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0. 30 เม.ย. 67\"/>
    </mc:Choice>
  </mc:AlternateContent>
  <xr:revisionPtr revIDLastSave="0" documentId="13_ncr:1_{2E04754A-4D8C-4963-8523-D94B81C96A09}" xr6:coauthVersionLast="47" xr6:coauthVersionMax="47" xr10:uidLastSave="{00000000-0000-0000-0000-000000000000}"/>
  <bookViews>
    <workbookView xWindow="-120" yWindow="-120" windowWidth="24240" windowHeight="13020" firstSheet="8" activeTab="12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18" l="1"/>
  <c r="M22" i="18"/>
  <c r="N22" i="18"/>
  <c r="Q22" i="18"/>
  <c r="R22" i="18"/>
  <c r="S22" i="18"/>
  <c r="T22" i="18"/>
  <c r="L25" i="18"/>
  <c r="M25" i="18"/>
  <c r="N25" i="18"/>
  <c r="Q25" i="18"/>
  <c r="R25" i="18"/>
  <c r="S25" i="18"/>
  <c r="Q26" i="18"/>
  <c r="R26" i="18"/>
  <c r="U26" i="18" s="1"/>
  <c r="S26" i="18"/>
  <c r="T26" i="18"/>
  <c r="L45" i="18"/>
  <c r="O45" i="18" s="1"/>
  <c r="M45" i="18"/>
  <c r="N45" i="18"/>
  <c r="Q45" i="18"/>
  <c r="Q44" i="18" s="1"/>
  <c r="T44" i="18" s="1"/>
  <c r="R45" i="18"/>
  <c r="R44" i="18" s="1"/>
  <c r="U44" i="18" s="1"/>
  <c r="S45" i="18"/>
  <c r="S44" i="18" s="1"/>
  <c r="T45" i="18"/>
  <c r="U45" i="18"/>
  <c r="Q46" i="18"/>
  <c r="T46" i="18" s="1"/>
  <c r="R46" i="18"/>
  <c r="S46" i="18"/>
  <c r="U46" i="18"/>
  <c r="Q47" i="18"/>
  <c r="T47" i="18" s="1"/>
  <c r="R47" i="18"/>
  <c r="U47" i="18" s="1"/>
  <c r="S47" i="18"/>
  <c r="O48" i="18"/>
  <c r="P48" i="18"/>
  <c r="T48" i="18"/>
  <c r="U48" i="18"/>
  <c r="L49" i="18"/>
  <c r="L47" i="18" s="1"/>
  <c r="M49" i="18"/>
  <c r="M47" i="18" s="1"/>
  <c r="N49" i="18"/>
  <c r="N47" i="18" s="1"/>
  <c r="T49" i="18"/>
  <c r="U49" i="18"/>
  <c r="Q50" i="18"/>
  <c r="R50" i="18"/>
  <c r="U50" i="18" s="1"/>
  <c r="S50" i="18"/>
  <c r="T50" i="18"/>
  <c r="O51" i="18"/>
  <c r="P51" i="18"/>
  <c r="T51" i="18"/>
  <c r="U51" i="18"/>
  <c r="L52" i="18"/>
  <c r="M52" i="18"/>
  <c r="N52" i="18"/>
  <c r="N50" i="18" s="1"/>
  <c r="T52" i="18"/>
  <c r="U52" i="18"/>
  <c r="L60" i="18"/>
  <c r="M60" i="18"/>
  <c r="N60" i="18"/>
  <c r="O60" i="18"/>
  <c r="Q60" i="18"/>
  <c r="T60" i="18" s="1"/>
  <c r="R60" i="18"/>
  <c r="R59" i="18" s="1"/>
  <c r="U59" i="18" s="1"/>
  <c r="S60" i="18"/>
  <c r="Q61" i="18"/>
  <c r="T61" i="18" s="1"/>
  <c r="R61" i="18"/>
  <c r="U61" i="18" s="1"/>
  <c r="S61" i="18"/>
  <c r="Q62" i="18"/>
  <c r="T62" i="18" s="1"/>
  <c r="R62" i="18"/>
  <c r="U62" i="18" s="1"/>
  <c r="S62" i="18"/>
  <c r="O63" i="18"/>
  <c r="P63" i="18"/>
  <c r="T63" i="18"/>
  <c r="U63" i="18"/>
  <c r="L64" i="18"/>
  <c r="M64" i="18"/>
  <c r="N64" i="18"/>
  <c r="N62" i="18" s="1"/>
  <c r="T64" i="18"/>
  <c r="U64" i="18"/>
  <c r="Q65" i="18"/>
  <c r="T65" i="18" s="1"/>
  <c r="R65" i="18"/>
  <c r="S65" i="18"/>
  <c r="U65" i="18"/>
  <c r="O66" i="18"/>
  <c r="P66" i="18"/>
  <c r="T66" i="18"/>
  <c r="U66" i="18"/>
  <c r="L67" i="18"/>
  <c r="M67" i="18"/>
  <c r="N67" i="18"/>
  <c r="N65" i="18" s="1"/>
  <c r="T67" i="18"/>
  <c r="U67" i="18"/>
  <c r="L73" i="18"/>
  <c r="M73" i="18"/>
  <c r="N73" i="18"/>
  <c r="O73" i="18"/>
  <c r="Q73" i="18"/>
  <c r="T73" i="18" s="1"/>
  <c r="R73" i="18"/>
  <c r="S73" i="18"/>
  <c r="U73" i="18"/>
  <c r="O76" i="18"/>
  <c r="P76" i="18"/>
  <c r="T76" i="18"/>
  <c r="U76" i="18"/>
  <c r="L77" i="18"/>
  <c r="L75" i="18" s="1"/>
  <c r="M77" i="18"/>
  <c r="M75" i="18" s="1"/>
  <c r="N77" i="18"/>
  <c r="N75" i="18" s="1"/>
  <c r="Q77" i="18"/>
  <c r="R77" i="18"/>
  <c r="R74" i="18" s="1"/>
  <c r="S77" i="18"/>
  <c r="S75" i="18" s="1"/>
  <c r="Q78" i="18"/>
  <c r="T78" i="18" s="1"/>
  <c r="R78" i="18"/>
  <c r="U78" i="18" s="1"/>
  <c r="S78" i="18"/>
  <c r="O79" i="18"/>
  <c r="P79" i="18"/>
  <c r="T79" i="18"/>
  <c r="U79" i="18"/>
  <c r="L80" i="18"/>
  <c r="M80" i="18"/>
  <c r="M78" i="18" s="1"/>
  <c r="P78" i="18" s="1"/>
  <c r="N80" i="18"/>
  <c r="N78" i="18" s="1"/>
  <c r="T80" i="18"/>
  <c r="U80" i="18"/>
  <c r="J82" i="18"/>
  <c r="J70" i="18" s="1"/>
  <c r="J83" i="18"/>
  <c r="J71" i="18" s="1"/>
  <c r="I84" i="18"/>
  <c r="I85" i="18"/>
  <c r="K85" i="18" s="1"/>
  <c r="I86" i="18"/>
  <c r="K86" i="18" s="1"/>
  <c r="I87" i="18"/>
  <c r="K87" i="18" s="1"/>
  <c r="I88" i="18"/>
  <c r="K88" i="18" s="1"/>
  <c r="I89" i="18"/>
  <c r="K89" i="18" s="1"/>
  <c r="I90" i="18"/>
  <c r="K90" i="18" s="1"/>
  <c r="J92" i="18"/>
  <c r="J93" i="18"/>
  <c r="L95" i="18"/>
  <c r="M95" i="18"/>
  <c r="P95" i="18" s="1"/>
  <c r="N95" i="18"/>
  <c r="O95" i="18"/>
  <c r="Q95" i="18"/>
  <c r="R95" i="18"/>
  <c r="S95" i="18"/>
  <c r="T95" i="18"/>
  <c r="U95" i="18"/>
  <c r="O98" i="18"/>
  <c r="P98" i="18"/>
  <c r="T98" i="18"/>
  <c r="U98" i="18"/>
  <c r="L99" i="18"/>
  <c r="M99" i="18"/>
  <c r="P99" i="18" s="1"/>
  <c r="N99" i="18"/>
  <c r="N97" i="18" s="1"/>
  <c r="Q99" i="18"/>
  <c r="Q96" i="18" s="1"/>
  <c r="T96" i="18" s="1"/>
  <c r="R99" i="18"/>
  <c r="R96" i="18" s="1"/>
  <c r="S99" i="18"/>
  <c r="Q100" i="18"/>
  <c r="R100" i="18"/>
  <c r="U100" i="18" s="1"/>
  <c r="S100" i="18"/>
  <c r="T100" i="18"/>
  <c r="O101" i="18"/>
  <c r="P101" i="18"/>
  <c r="T101" i="18"/>
  <c r="U101" i="18"/>
  <c r="L102" i="18"/>
  <c r="M102" i="18"/>
  <c r="N102" i="18"/>
  <c r="N100" i="18" s="1"/>
  <c r="T102" i="18"/>
  <c r="U102" i="18"/>
  <c r="I108" i="18"/>
  <c r="K108" i="18" s="1"/>
  <c r="I109" i="18"/>
  <c r="I93" i="18" s="1"/>
  <c r="K93" i="18" s="1"/>
  <c r="I114" i="18"/>
  <c r="K114" i="18" s="1"/>
  <c r="J116" i="18"/>
  <c r="L118" i="18"/>
  <c r="O118" i="18" s="1"/>
  <c r="M118" i="18"/>
  <c r="N118" i="18"/>
  <c r="P118" i="18"/>
  <c r="Q118" i="18"/>
  <c r="T118" i="18" s="1"/>
  <c r="R118" i="18"/>
  <c r="U118" i="18" s="1"/>
  <c r="S118" i="18"/>
  <c r="O121" i="18"/>
  <c r="P121" i="18"/>
  <c r="T121" i="18"/>
  <c r="U121" i="18"/>
  <c r="L122" i="18"/>
  <c r="M122" i="18"/>
  <c r="P122" i="18" s="1"/>
  <c r="N122" i="18"/>
  <c r="N120" i="18" s="1"/>
  <c r="Q122" i="18"/>
  <c r="Q119" i="18" s="1"/>
  <c r="R122" i="18"/>
  <c r="R119" i="18" s="1"/>
  <c r="R117" i="18" s="1"/>
  <c r="S122" i="18"/>
  <c r="S119" i="18" s="1"/>
  <c r="S117" i="18" s="1"/>
  <c r="Q123" i="18"/>
  <c r="T123" i="18" s="1"/>
  <c r="R123" i="18"/>
  <c r="U123" i="18" s="1"/>
  <c r="S123" i="18"/>
  <c r="O124" i="18"/>
  <c r="P124" i="18"/>
  <c r="T124" i="18"/>
  <c r="U124" i="18"/>
  <c r="L125" i="18"/>
  <c r="O125" i="18" s="1"/>
  <c r="M125" i="18"/>
  <c r="P125" i="18" s="1"/>
  <c r="N125" i="18"/>
  <c r="N123" i="18" s="1"/>
  <c r="T125" i="18"/>
  <c r="U125" i="18"/>
  <c r="I127" i="18"/>
  <c r="I116" i="18" s="1"/>
  <c r="K116" i="18" s="1"/>
  <c r="I128" i="18"/>
  <c r="K128" i="18" s="1"/>
  <c r="I129" i="18"/>
  <c r="K129" i="18" s="1"/>
  <c r="I130" i="18"/>
  <c r="K130" i="18" s="1"/>
  <c r="J136" i="18"/>
  <c r="J137" i="18"/>
  <c r="J138" i="18"/>
  <c r="L140" i="18"/>
  <c r="M140" i="18"/>
  <c r="N140" i="18"/>
  <c r="Q140" i="18"/>
  <c r="R140" i="18"/>
  <c r="S140" i="18"/>
  <c r="T140" i="18"/>
  <c r="O143" i="18"/>
  <c r="P143" i="18"/>
  <c r="T143" i="18"/>
  <c r="U143" i="18"/>
  <c r="L144" i="18"/>
  <c r="L142" i="18" s="1"/>
  <c r="M144" i="18"/>
  <c r="N144" i="18"/>
  <c r="Q144" i="18"/>
  <c r="R144" i="18"/>
  <c r="R142" i="18" s="1"/>
  <c r="U142" i="18" s="1"/>
  <c r="S144" i="18"/>
  <c r="S141" i="18" s="1"/>
  <c r="Q145" i="18"/>
  <c r="T145" i="18" s="1"/>
  <c r="R145" i="18"/>
  <c r="U145" i="18" s="1"/>
  <c r="S145" i="18"/>
  <c r="O146" i="18"/>
  <c r="P146" i="18"/>
  <c r="T146" i="18"/>
  <c r="U146" i="18"/>
  <c r="L147" i="18"/>
  <c r="L145" i="18" s="1"/>
  <c r="O145" i="18" s="1"/>
  <c r="M147" i="18"/>
  <c r="M145" i="18" s="1"/>
  <c r="P145" i="18" s="1"/>
  <c r="N147" i="18"/>
  <c r="T147" i="18"/>
  <c r="U147" i="18"/>
  <c r="I150" i="18"/>
  <c r="K150" i="18" s="1"/>
  <c r="I151" i="18"/>
  <c r="K151" i="18" s="1"/>
  <c r="I152" i="18"/>
  <c r="I137" i="18" s="1"/>
  <c r="K137" i="18" s="1"/>
  <c r="I153" i="18"/>
  <c r="I138" i="18" s="1"/>
  <c r="K138" i="18" s="1"/>
  <c r="I154" i="18"/>
  <c r="J156" i="18"/>
  <c r="L158" i="18"/>
  <c r="O158" i="18" s="1"/>
  <c r="M158" i="18"/>
  <c r="N158" i="18"/>
  <c r="P158" i="18"/>
  <c r="Q158" i="18"/>
  <c r="T158" i="18" s="1"/>
  <c r="R158" i="18"/>
  <c r="U158" i="18" s="1"/>
  <c r="S158" i="18"/>
  <c r="O161" i="18"/>
  <c r="P161" i="18"/>
  <c r="T161" i="18"/>
  <c r="U161" i="18"/>
  <c r="L162" i="18"/>
  <c r="L160" i="18" s="1"/>
  <c r="M162" i="18"/>
  <c r="N162" i="18"/>
  <c r="N160" i="18" s="1"/>
  <c r="Q162" i="18"/>
  <c r="Q159" i="18" s="1"/>
  <c r="T159" i="18" s="1"/>
  <c r="R162" i="18"/>
  <c r="S162" i="18"/>
  <c r="S160" i="18" s="1"/>
  <c r="Q163" i="18"/>
  <c r="R163" i="18"/>
  <c r="S163" i="18"/>
  <c r="T163" i="18"/>
  <c r="U163" i="18"/>
  <c r="O164" i="18"/>
  <c r="P164" i="18"/>
  <c r="T164" i="18"/>
  <c r="U164" i="18"/>
  <c r="L165" i="18"/>
  <c r="M165" i="18"/>
  <c r="M163" i="18" s="1"/>
  <c r="P163" i="18" s="1"/>
  <c r="N165" i="18"/>
  <c r="N163" i="18" s="1"/>
  <c r="T165" i="18"/>
  <c r="U165" i="18"/>
  <c r="I167" i="18"/>
  <c r="J172" i="18"/>
  <c r="L174" i="18"/>
  <c r="M174" i="18"/>
  <c r="N174" i="18"/>
  <c r="O174" i="18"/>
  <c r="P174" i="18"/>
  <c r="Q174" i="18"/>
  <c r="R174" i="18"/>
  <c r="S174" i="18"/>
  <c r="T174" i="18"/>
  <c r="U174" i="18"/>
  <c r="O177" i="18"/>
  <c r="P177" i="18"/>
  <c r="T177" i="18"/>
  <c r="U177" i="18"/>
  <c r="L178" i="18"/>
  <c r="M178" i="18"/>
  <c r="N178" i="18"/>
  <c r="N176" i="18" s="1"/>
  <c r="Q178" i="18"/>
  <c r="Q175" i="18" s="1"/>
  <c r="T175" i="18" s="1"/>
  <c r="R178" i="18"/>
  <c r="R175" i="18" s="1"/>
  <c r="U175" i="18" s="1"/>
  <c r="S178" i="18"/>
  <c r="Q179" i="18"/>
  <c r="R179" i="18"/>
  <c r="U179" i="18" s="1"/>
  <c r="S179" i="18"/>
  <c r="T179" i="18"/>
  <c r="O180" i="18"/>
  <c r="P180" i="18"/>
  <c r="T180" i="18"/>
  <c r="U180" i="18"/>
  <c r="L181" i="18"/>
  <c r="O181" i="18" s="1"/>
  <c r="M181" i="18"/>
  <c r="M179" i="18" s="1"/>
  <c r="P179" i="18" s="1"/>
  <c r="N181" i="18"/>
  <c r="N179" i="18" s="1"/>
  <c r="T181" i="18"/>
  <c r="U181" i="18"/>
  <c r="I183" i="18"/>
  <c r="K184" i="18"/>
  <c r="L187" i="18"/>
  <c r="O187" i="18" s="1"/>
  <c r="M187" i="18"/>
  <c r="N187" i="18"/>
  <c r="Q187" i="18"/>
  <c r="R187" i="18"/>
  <c r="U187" i="18" s="1"/>
  <c r="S187" i="18"/>
  <c r="O190" i="18"/>
  <c r="P190" i="18"/>
  <c r="T190" i="18"/>
  <c r="U190" i="18"/>
  <c r="L191" i="18"/>
  <c r="M191" i="18"/>
  <c r="M189" i="18" s="1"/>
  <c r="N191" i="18"/>
  <c r="N189" i="18" s="1"/>
  <c r="Q191" i="18"/>
  <c r="R191" i="18"/>
  <c r="R188" i="18" s="1"/>
  <c r="S191" i="18"/>
  <c r="S189" i="18" s="1"/>
  <c r="Q192" i="18"/>
  <c r="T192" i="18" s="1"/>
  <c r="R192" i="18"/>
  <c r="U192" i="18" s="1"/>
  <c r="S192" i="18"/>
  <c r="O193" i="18"/>
  <c r="P193" i="18"/>
  <c r="T193" i="18"/>
  <c r="U193" i="18"/>
  <c r="L194" i="18"/>
  <c r="L192" i="18" s="1"/>
  <c r="O192" i="18" s="1"/>
  <c r="M194" i="18"/>
  <c r="P194" i="18" s="1"/>
  <c r="N194" i="18"/>
  <c r="T194" i="18"/>
  <c r="U194" i="18"/>
  <c r="J195" i="18"/>
  <c r="L196" i="18"/>
  <c r="O196" i="18" s="1"/>
  <c r="P196" i="18"/>
  <c r="I198" i="18"/>
  <c r="I195" i="18" s="1"/>
  <c r="J199" i="18"/>
  <c r="J202" i="18"/>
  <c r="N203" i="18"/>
  <c r="P203" i="18"/>
  <c r="S203" i="18"/>
  <c r="U203" i="18"/>
  <c r="L204" i="18"/>
  <c r="L205" i="18"/>
  <c r="L206" i="18"/>
  <c r="Q206" i="18"/>
  <c r="Q203" i="18" s="1"/>
  <c r="T203" i="18" s="1"/>
  <c r="L207" i="18"/>
  <c r="I209" i="18"/>
  <c r="I211" i="18"/>
  <c r="K211" i="18" s="1"/>
  <c r="I212" i="18"/>
  <c r="K212" i="18" s="1"/>
  <c r="J213" i="18"/>
  <c r="N214" i="18"/>
  <c r="P214" i="18"/>
  <c r="S214" i="18"/>
  <c r="U214" i="18"/>
  <c r="L215" i="18"/>
  <c r="L216" i="18"/>
  <c r="L217" i="18"/>
  <c r="Q217" i="18"/>
  <c r="Q214" i="18" s="1"/>
  <c r="T214" i="18" s="1"/>
  <c r="I219" i="18"/>
  <c r="K219" i="18" s="1"/>
  <c r="I220" i="18"/>
  <c r="K220" i="18" s="1"/>
  <c r="J221" i="18"/>
  <c r="N222" i="18"/>
  <c r="P222" i="18"/>
  <c r="L223" i="18"/>
  <c r="L224" i="18"/>
  <c r="L225" i="18"/>
  <c r="I228" i="18"/>
  <c r="K228" i="18" s="1"/>
  <c r="I229" i="18"/>
  <c r="I221" i="18" s="1"/>
  <c r="K221" i="18" s="1"/>
  <c r="I230" i="18"/>
  <c r="N233" i="18"/>
  <c r="N234" i="18"/>
  <c r="N235" i="18"/>
  <c r="N236" i="18"/>
  <c r="J238" i="18"/>
  <c r="I240" i="18"/>
  <c r="J240" i="18"/>
  <c r="K240" i="18"/>
  <c r="I241" i="18"/>
  <c r="K241" i="18" s="1"/>
  <c r="J241" i="18"/>
  <c r="J242" i="18"/>
  <c r="J231" i="18" s="1"/>
  <c r="J185" i="18" s="1"/>
  <c r="N243" i="18"/>
  <c r="P243" i="18"/>
  <c r="L244" i="18"/>
  <c r="L245" i="18"/>
  <c r="L246" i="18"/>
  <c r="L247" i="18"/>
  <c r="I249" i="18"/>
  <c r="K249" i="18" s="1"/>
  <c r="K251" i="18"/>
  <c r="K252" i="18"/>
  <c r="J253" i="18"/>
  <c r="N254" i="18"/>
  <c r="P254" i="18"/>
  <c r="L255" i="18"/>
  <c r="L256" i="18"/>
  <c r="L257" i="18"/>
  <c r="L258" i="18"/>
  <c r="I260" i="18"/>
  <c r="K262" i="18"/>
  <c r="K263" i="18"/>
  <c r="J265" i="18"/>
  <c r="L267" i="18"/>
  <c r="M267" i="18"/>
  <c r="N267" i="18"/>
  <c r="O267" i="18"/>
  <c r="Q267" i="18"/>
  <c r="T267" i="18" s="1"/>
  <c r="R267" i="18"/>
  <c r="S267" i="18"/>
  <c r="U267" i="18"/>
  <c r="O270" i="18"/>
  <c r="P270" i="18"/>
  <c r="T270" i="18"/>
  <c r="U270" i="18"/>
  <c r="L271" i="18"/>
  <c r="M271" i="18"/>
  <c r="N271" i="18"/>
  <c r="N269" i="18" s="1"/>
  <c r="Q271" i="18"/>
  <c r="Q268" i="18" s="1"/>
  <c r="R271" i="18"/>
  <c r="R269" i="18" s="1"/>
  <c r="S271" i="18"/>
  <c r="S268" i="18" s="1"/>
  <c r="Q272" i="18"/>
  <c r="T272" i="18" s="1"/>
  <c r="R272" i="18"/>
  <c r="U272" i="18" s="1"/>
  <c r="S272" i="18"/>
  <c r="O273" i="18"/>
  <c r="P273" i="18"/>
  <c r="T273" i="18"/>
  <c r="U273" i="18"/>
  <c r="L274" i="18"/>
  <c r="M274" i="18"/>
  <c r="M272" i="18" s="1"/>
  <c r="P272" i="18" s="1"/>
  <c r="N274" i="18"/>
  <c r="N272" i="18" s="1"/>
  <c r="T274" i="18"/>
  <c r="U274" i="18"/>
  <c r="I276" i="18"/>
  <c r="I265" i="18" s="1"/>
  <c r="J281" i="18"/>
  <c r="S282" i="18"/>
  <c r="L283" i="18"/>
  <c r="O283" i="18" s="1"/>
  <c r="M283" i="18"/>
  <c r="N283" i="18"/>
  <c r="P283" i="18"/>
  <c r="Q283" i="18"/>
  <c r="T283" i="18" s="1"/>
  <c r="R283" i="18"/>
  <c r="U283" i="18" s="1"/>
  <c r="S283" i="18"/>
  <c r="Q284" i="18"/>
  <c r="T284" i="18" s="1"/>
  <c r="R284" i="18"/>
  <c r="U284" i="18" s="1"/>
  <c r="S284" i="18"/>
  <c r="Q285" i="18"/>
  <c r="T285" i="18" s="1"/>
  <c r="R285" i="18"/>
  <c r="U285" i="18" s="1"/>
  <c r="S285" i="18"/>
  <c r="O286" i="18"/>
  <c r="P286" i="18"/>
  <c r="T286" i="18"/>
  <c r="U286" i="18"/>
  <c r="L287" i="18"/>
  <c r="L285" i="18" s="1"/>
  <c r="M287" i="18"/>
  <c r="N287" i="18"/>
  <c r="N285" i="18" s="1"/>
  <c r="T287" i="18"/>
  <c r="U287" i="18"/>
  <c r="Q288" i="18"/>
  <c r="T288" i="18" s="1"/>
  <c r="R288" i="18"/>
  <c r="S288" i="18"/>
  <c r="U288" i="18"/>
  <c r="O289" i="18"/>
  <c r="P289" i="18"/>
  <c r="T289" i="18"/>
  <c r="U289" i="18"/>
  <c r="L290" i="18"/>
  <c r="M290" i="18"/>
  <c r="N290" i="18"/>
  <c r="N288" i="18" s="1"/>
  <c r="T290" i="18"/>
  <c r="U290" i="18"/>
  <c r="I292" i="18"/>
  <c r="I281" i="18" s="1"/>
  <c r="K281" i="18" s="1"/>
  <c r="I293" i="18"/>
  <c r="J293" i="18"/>
  <c r="J280" i="18" s="1"/>
  <c r="I295" i="18"/>
  <c r="K295" i="18" s="1"/>
  <c r="I296" i="18"/>
  <c r="K296" i="18" s="1"/>
  <c r="J302" i="18"/>
  <c r="L304" i="18"/>
  <c r="M304" i="18"/>
  <c r="N304" i="18"/>
  <c r="O304" i="18"/>
  <c r="P304" i="18"/>
  <c r="Q304" i="18"/>
  <c r="T304" i="18" s="1"/>
  <c r="R304" i="18"/>
  <c r="S304" i="18"/>
  <c r="U304" i="18"/>
  <c r="O307" i="18"/>
  <c r="P307" i="18"/>
  <c r="T307" i="18"/>
  <c r="U307" i="18"/>
  <c r="L308" i="18"/>
  <c r="L306" i="18" s="1"/>
  <c r="M308" i="18"/>
  <c r="N308" i="18"/>
  <c r="Q308" i="18"/>
  <c r="R308" i="18"/>
  <c r="R305" i="18" s="1"/>
  <c r="R303" i="18" s="1"/>
  <c r="S308" i="18"/>
  <c r="S305" i="18" s="1"/>
  <c r="Q309" i="18"/>
  <c r="R309" i="18"/>
  <c r="U309" i="18" s="1"/>
  <c r="S309" i="18"/>
  <c r="T309" i="18"/>
  <c r="O310" i="18"/>
  <c r="P310" i="18"/>
  <c r="T310" i="18"/>
  <c r="U310" i="18"/>
  <c r="L311" i="18"/>
  <c r="O311" i="18" s="1"/>
  <c r="M311" i="18"/>
  <c r="P311" i="18" s="1"/>
  <c r="N311" i="18"/>
  <c r="N309" i="18" s="1"/>
  <c r="T311" i="18"/>
  <c r="U311" i="18"/>
  <c r="I314" i="18"/>
  <c r="I302" i="18" s="1"/>
  <c r="J319" i="18"/>
  <c r="L321" i="18"/>
  <c r="M321" i="18"/>
  <c r="N321" i="18"/>
  <c r="Q321" i="18"/>
  <c r="R321" i="18"/>
  <c r="S321" i="18"/>
  <c r="Q322" i="18"/>
  <c r="R322" i="18"/>
  <c r="U322" i="18" s="1"/>
  <c r="S322" i="18"/>
  <c r="T322" i="18"/>
  <c r="Q323" i="18"/>
  <c r="T323" i="18" s="1"/>
  <c r="R323" i="18"/>
  <c r="U323" i="18" s="1"/>
  <c r="S323" i="18"/>
  <c r="O324" i="18"/>
  <c r="P324" i="18"/>
  <c r="T324" i="18"/>
  <c r="U324" i="18"/>
  <c r="L325" i="18"/>
  <c r="M325" i="18"/>
  <c r="M323" i="18" s="1"/>
  <c r="N325" i="18"/>
  <c r="T325" i="18"/>
  <c r="U325" i="18"/>
  <c r="Q326" i="18"/>
  <c r="R326" i="18"/>
  <c r="S326" i="18"/>
  <c r="T326" i="18"/>
  <c r="U326" i="18"/>
  <c r="O327" i="18"/>
  <c r="P327" i="18"/>
  <c r="T327" i="18"/>
  <c r="U327" i="18"/>
  <c r="L328" i="18"/>
  <c r="M328" i="18"/>
  <c r="P328" i="18" s="1"/>
  <c r="N328" i="18"/>
  <c r="N326" i="18" s="1"/>
  <c r="T328" i="18"/>
  <c r="U328" i="18"/>
  <c r="I330" i="18"/>
  <c r="K330" i="18" s="1"/>
  <c r="Q333" i="18"/>
  <c r="T333" i="18" s="1"/>
  <c r="L334" i="18"/>
  <c r="M334" i="18"/>
  <c r="N334" i="18"/>
  <c r="O334" i="18"/>
  <c r="Q334" i="18"/>
  <c r="T334" i="18" s="1"/>
  <c r="R334" i="18"/>
  <c r="R333" i="18" s="1"/>
  <c r="U333" i="18" s="1"/>
  <c r="S334" i="18"/>
  <c r="Q335" i="18"/>
  <c r="T335" i="18" s="1"/>
  <c r="R335" i="18"/>
  <c r="U335" i="18" s="1"/>
  <c r="S335" i="18"/>
  <c r="Q336" i="18"/>
  <c r="T336" i="18" s="1"/>
  <c r="R336" i="18"/>
  <c r="U336" i="18" s="1"/>
  <c r="S336" i="18"/>
  <c r="O337" i="18"/>
  <c r="P337" i="18"/>
  <c r="T337" i="18"/>
  <c r="U337" i="18"/>
  <c r="L338" i="18"/>
  <c r="L336" i="18" s="1"/>
  <c r="M338" i="18"/>
  <c r="M336" i="18" s="1"/>
  <c r="N338" i="18"/>
  <c r="N336" i="18" s="1"/>
  <c r="T338" i="18"/>
  <c r="U338" i="18"/>
  <c r="Q339" i="18"/>
  <c r="R339" i="18"/>
  <c r="S339" i="18"/>
  <c r="T339" i="18"/>
  <c r="U339" i="18"/>
  <c r="O340" i="18"/>
  <c r="P340" i="18"/>
  <c r="T340" i="18"/>
  <c r="U340" i="18"/>
  <c r="L341" i="18"/>
  <c r="M341" i="18"/>
  <c r="N341" i="18"/>
  <c r="N339" i="18" s="1"/>
  <c r="T341" i="18"/>
  <c r="U341" i="18"/>
  <c r="I344" i="18"/>
  <c r="J344" i="18"/>
  <c r="I346" i="18"/>
  <c r="J346" i="18"/>
  <c r="J347" i="18"/>
  <c r="J348" i="18"/>
  <c r="J349" i="18"/>
  <c r="D350" i="18"/>
  <c r="J352" i="18"/>
  <c r="J353" i="18"/>
  <c r="D354" i="18"/>
  <c r="L357" i="18"/>
  <c r="M357" i="18"/>
  <c r="P357" i="18" s="1"/>
  <c r="N357" i="18"/>
  <c r="Q357" i="18"/>
  <c r="R357" i="18"/>
  <c r="S357" i="18"/>
  <c r="Q358" i="18"/>
  <c r="T358" i="18" s="1"/>
  <c r="R358" i="18"/>
  <c r="U358" i="18" s="1"/>
  <c r="S358" i="18"/>
  <c r="Q359" i="18"/>
  <c r="T359" i="18" s="1"/>
  <c r="R359" i="18"/>
  <c r="U359" i="18" s="1"/>
  <c r="S359" i="18"/>
  <c r="O360" i="18"/>
  <c r="P360" i="18"/>
  <c r="T360" i="18"/>
  <c r="U360" i="18"/>
  <c r="L361" i="18"/>
  <c r="M361" i="18"/>
  <c r="N361" i="18"/>
  <c r="T361" i="18"/>
  <c r="U361" i="18"/>
  <c r="Q362" i="18"/>
  <c r="T362" i="18" s="1"/>
  <c r="R362" i="18"/>
  <c r="U362" i="18" s="1"/>
  <c r="S362" i="18"/>
  <c r="O363" i="18"/>
  <c r="P363" i="18"/>
  <c r="T363" i="18"/>
  <c r="U363" i="18"/>
  <c r="L364" i="18"/>
  <c r="M364" i="18"/>
  <c r="P364" i="18" s="1"/>
  <c r="N364" i="18"/>
  <c r="N362" i="18" s="1"/>
  <c r="T364" i="18"/>
  <c r="U364" i="18"/>
  <c r="J367" i="18"/>
  <c r="K367" i="18"/>
  <c r="I368" i="18"/>
  <c r="J368" i="18"/>
  <c r="I369" i="18"/>
  <c r="J369" i="18"/>
  <c r="J370" i="18"/>
  <c r="K370" i="18"/>
  <c r="I371" i="18"/>
  <c r="I365" i="18" s="1"/>
  <c r="J371" i="18"/>
  <c r="J365" i="18" s="1"/>
  <c r="J372" i="18"/>
  <c r="K372" i="18"/>
  <c r="D373" i="18"/>
  <c r="L376" i="18"/>
  <c r="O376" i="18" s="1"/>
  <c r="M376" i="18"/>
  <c r="N376" i="18"/>
  <c r="Q376" i="18"/>
  <c r="T376" i="18" s="1"/>
  <c r="R376" i="18"/>
  <c r="S376" i="18"/>
  <c r="L377" i="18"/>
  <c r="M377" i="18"/>
  <c r="P377" i="18" s="1"/>
  <c r="N377" i="18"/>
  <c r="O377" i="18"/>
  <c r="L378" i="18"/>
  <c r="O378" i="18" s="1"/>
  <c r="M378" i="18"/>
  <c r="N378" i="18"/>
  <c r="P378" i="18"/>
  <c r="O379" i="18"/>
  <c r="P379" i="18"/>
  <c r="T379" i="18"/>
  <c r="U379" i="18"/>
  <c r="O380" i="18"/>
  <c r="P380" i="18"/>
  <c r="Q380" i="18"/>
  <c r="Q378" i="18" s="1"/>
  <c r="R380" i="18"/>
  <c r="S380" i="18"/>
  <c r="L381" i="18"/>
  <c r="O381" i="18" s="1"/>
  <c r="M381" i="18"/>
  <c r="P381" i="18" s="1"/>
  <c r="N381" i="18"/>
  <c r="Q381" i="18"/>
  <c r="R381" i="18"/>
  <c r="S381" i="18"/>
  <c r="T381" i="18"/>
  <c r="U381" i="18"/>
  <c r="O382" i="18"/>
  <c r="P382" i="18"/>
  <c r="T382" i="18"/>
  <c r="U382" i="18"/>
  <c r="O383" i="18"/>
  <c r="P383" i="18"/>
  <c r="T383" i="18"/>
  <c r="U383" i="18"/>
  <c r="J385" i="18"/>
  <c r="K385" i="18"/>
  <c r="I386" i="18"/>
  <c r="J386" i="18"/>
  <c r="J387" i="18"/>
  <c r="K387" i="18"/>
  <c r="I388" i="18"/>
  <c r="K388" i="18" s="1"/>
  <c r="J388" i="18"/>
  <c r="I391" i="18"/>
  <c r="J391" i="18"/>
  <c r="K391" i="18"/>
  <c r="L393" i="18"/>
  <c r="M393" i="18"/>
  <c r="N393" i="18"/>
  <c r="Q393" i="18"/>
  <c r="R393" i="18"/>
  <c r="S393" i="18"/>
  <c r="T393" i="18"/>
  <c r="L394" i="18"/>
  <c r="O394" i="18" s="1"/>
  <c r="M394" i="18"/>
  <c r="P394" i="18" s="1"/>
  <c r="N394" i="18"/>
  <c r="Q394" i="18"/>
  <c r="T394" i="18" s="1"/>
  <c r="R394" i="18"/>
  <c r="U394" i="18" s="1"/>
  <c r="S394" i="18"/>
  <c r="L395" i="18"/>
  <c r="O395" i="18" s="1"/>
  <c r="M395" i="18"/>
  <c r="P395" i="18" s="1"/>
  <c r="N395" i="18"/>
  <c r="Q395" i="18"/>
  <c r="T395" i="18" s="1"/>
  <c r="R395" i="18"/>
  <c r="U395" i="18" s="1"/>
  <c r="S395" i="18"/>
  <c r="O396" i="18"/>
  <c r="P396" i="18"/>
  <c r="T396" i="18"/>
  <c r="U396" i="18"/>
  <c r="O397" i="18"/>
  <c r="P397" i="18"/>
  <c r="T397" i="18"/>
  <c r="U397" i="18"/>
  <c r="L398" i="18"/>
  <c r="O398" i="18" s="1"/>
  <c r="M398" i="18"/>
  <c r="P398" i="18" s="1"/>
  <c r="N398" i="18"/>
  <c r="Q398" i="18"/>
  <c r="T398" i="18" s="1"/>
  <c r="R398" i="18"/>
  <c r="U398" i="18" s="1"/>
  <c r="S398" i="18"/>
  <c r="O399" i="18"/>
  <c r="P399" i="18"/>
  <c r="T399" i="18"/>
  <c r="U399" i="18"/>
  <c r="O400" i="18"/>
  <c r="P400" i="18"/>
  <c r="T400" i="18"/>
  <c r="U400" i="18"/>
  <c r="L414" i="18"/>
  <c r="O414" i="18" s="1"/>
  <c r="M414" i="18"/>
  <c r="N414" i="18"/>
  <c r="P414" i="18"/>
  <c r="Q414" i="18"/>
  <c r="T414" i="18" s="1"/>
  <c r="R414" i="18"/>
  <c r="S414" i="18"/>
  <c r="U414" i="18"/>
  <c r="L415" i="18"/>
  <c r="O415" i="18" s="1"/>
  <c r="M415" i="18"/>
  <c r="P415" i="18" s="1"/>
  <c r="N415" i="18"/>
  <c r="N413" i="18" s="1"/>
  <c r="L416" i="18"/>
  <c r="M416" i="18"/>
  <c r="P416" i="18" s="1"/>
  <c r="N416" i="18"/>
  <c r="O416" i="18"/>
  <c r="O417" i="18"/>
  <c r="P417" i="18"/>
  <c r="T417" i="18"/>
  <c r="U417" i="18"/>
  <c r="O418" i="18"/>
  <c r="P418" i="18"/>
  <c r="Q418" i="18"/>
  <c r="Q416" i="18" s="1"/>
  <c r="T416" i="18" s="1"/>
  <c r="R418" i="18"/>
  <c r="R416" i="18" s="1"/>
  <c r="U416" i="18" s="1"/>
  <c r="S418" i="18"/>
  <c r="L419" i="18"/>
  <c r="O419" i="18" s="1"/>
  <c r="M419" i="18"/>
  <c r="N419" i="18"/>
  <c r="P419" i="18"/>
  <c r="Q419" i="18"/>
  <c r="T419" i="18" s="1"/>
  <c r="R419" i="18"/>
  <c r="U419" i="18" s="1"/>
  <c r="S419" i="18"/>
  <c r="O420" i="18"/>
  <c r="P420" i="18"/>
  <c r="T420" i="18"/>
  <c r="U420" i="18"/>
  <c r="O421" i="18"/>
  <c r="P421" i="18"/>
  <c r="T421" i="18"/>
  <c r="U421" i="18"/>
  <c r="I424" i="18"/>
  <c r="K424" i="18" s="1"/>
  <c r="J424" i="18"/>
  <c r="I425" i="18"/>
  <c r="K425" i="18" s="1"/>
  <c r="J425" i="18"/>
  <c r="I432" i="18"/>
  <c r="K432" i="18" s="1"/>
  <c r="J432" i="18"/>
  <c r="I433" i="18"/>
  <c r="K433" i="18" s="1"/>
  <c r="J433" i="18"/>
  <c r="I440" i="18"/>
  <c r="I423" i="18" s="1"/>
  <c r="I412" i="18" s="1"/>
  <c r="K412" i="18" s="1"/>
  <c r="I441" i="18"/>
  <c r="K441" i="18" s="1"/>
  <c r="J446" i="18"/>
  <c r="J440" i="18" s="1"/>
  <c r="J423" i="18" s="1"/>
  <c r="J412" i="18" s="1"/>
  <c r="J447" i="18"/>
  <c r="J441" i="18" s="1"/>
  <c r="I457" i="18"/>
  <c r="I456" i="18" s="1"/>
  <c r="K456" i="18" s="1"/>
  <c r="I458" i="18"/>
  <c r="K458" i="18" s="1"/>
  <c r="J459" i="18"/>
  <c r="J457" i="18" s="1"/>
  <c r="J456" i="18" s="1"/>
  <c r="J460" i="18"/>
  <c r="J467" i="18"/>
  <c r="J468" i="18"/>
  <c r="J458" i="18" s="1"/>
  <c r="J475" i="18"/>
  <c r="K475" i="18"/>
  <c r="J476" i="18"/>
  <c r="K476" i="18"/>
  <c r="J477" i="18"/>
  <c r="K477" i="18"/>
  <c r="J482" i="18"/>
  <c r="J483" i="18"/>
  <c r="I484" i="18"/>
  <c r="K484" i="18" s="1"/>
  <c r="J484" i="18"/>
  <c r="I485" i="18"/>
  <c r="K485" i="18" s="1"/>
  <c r="J485" i="18"/>
  <c r="L493" i="18"/>
  <c r="O493" i="18" s="1"/>
  <c r="L494" i="18"/>
  <c r="O494" i="18" s="1"/>
  <c r="M494" i="18"/>
  <c r="N494" i="18"/>
  <c r="Q494" i="18"/>
  <c r="T494" i="18" s="1"/>
  <c r="R494" i="18"/>
  <c r="U494" i="18" s="1"/>
  <c r="S494" i="18"/>
  <c r="L495" i="18"/>
  <c r="M495" i="18"/>
  <c r="P495" i="18" s="1"/>
  <c r="N495" i="18"/>
  <c r="O495" i="18"/>
  <c r="L496" i="18"/>
  <c r="O496" i="18" s="1"/>
  <c r="M496" i="18"/>
  <c r="P496" i="18" s="1"/>
  <c r="N496" i="18"/>
  <c r="O497" i="18"/>
  <c r="P497" i="18"/>
  <c r="T497" i="18"/>
  <c r="U497" i="18"/>
  <c r="O498" i="18"/>
  <c r="P498" i="18"/>
  <c r="Q498" i="18"/>
  <c r="Q496" i="18" s="1"/>
  <c r="R498" i="18"/>
  <c r="S498" i="18"/>
  <c r="L499" i="18"/>
  <c r="O499" i="18" s="1"/>
  <c r="M499" i="18"/>
  <c r="P499" i="18" s="1"/>
  <c r="N499" i="18"/>
  <c r="Q499" i="18"/>
  <c r="R499" i="18"/>
  <c r="U499" i="18" s="1"/>
  <c r="S499" i="18"/>
  <c r="T499" i="18"/>
  <c r="O500" i="18"/>
  <c r="P500" i="18"/>
  <c r="T500" i="18"/>
  <c r="U500" i="18"/>
  <c r="O501" i="18"/>
  <c r="P501" i="18"/>
  <c r="T501" i="18"/>
  <c r="U501" i="18"/>
  <c r="I503" i="18"/>
  <c r="I492" i="18" s="1"/>
  <c r="I504" i="18"/>
  <c r="K504" i="18" s="1"/>
  <c r="I505" i="18"/>
  <c r="K505" i="18" s="1"/>
  <c r="I506" i="18"/>
  <c r="K506" i="18" s="1"/>
  <c r="I507" i="18"/>
  <c r="K507" i="18" s="1"/>
  <c r="K508" i="18"/>
  <c r="I509" i="18"/>
  <c r="K509" i="18" s="1"/>
  <c r="I512" i="18"/>
  <c r="K512" i="18" s="1"/>
  <c r="J512" i="18"/>
  <c r="L514" i="18"/>
  <c r="M514" i="18"/>
  <c r="P514" i="18" s="1"/>
  <c r="N514" i="18"/>
  <c r="Q514" i="18"/>
  <c r="R514" i="18"/>
  <c r="S514" i="18"/>
  <c r="Q515" i="18"/>
  <c r="T515" i="18" s="1"/>
  <c r="R515" i="18"/>
  <c r="U515" i="18" s="1"/>
  <c r="S515" i="18"/>
  <c r="Q516" i="18"/>
  <c r="T516" i="18" s="1"/>
  <c r="R516" i="18"/>
  <c r="S516" i="18"/>
  <c r="U516" i="18"/>
  <c r="O517" i="18"/>
  <c r="P517" i="18"/>
  <c r="T517" i="18"/>
  <c r="U517" i="18"/>
  <c r="L518" i="18"/>
  <c r="L516" i="18" s="1"/>
  <c r="O516" i="18" s="1"/>
  <c r="M518" i="18"/>
  <c r="N518" i="18"/>
  <c r="N516" i="18" s="1"/>
  <c r="T518" i="18"/>
  <c r="U518" i="18"/>
  <c r="Q519" i="18"/>
  <c r="R519" i="18"/>
  <c r="U519" i="18" s="1"/>
  <c r="S519" i="18"/>
  <c r="T519" i="18"/>
  <c r="O520" i="18"/>
  <c r="P520" i="18"/>
  <c r="T520" i="18"/>
  <c r="U520" i="18"/>
  <c r="L521" i="18"/>
  <c r="M521" i="18"/>
  <c r="M519" i="18" s="1"/>
  <c r="P519" i="18" s="1"/>
  <c r="N521" i="18"/>
  <c r="N519" i="18" s="1"/>
  <c r="T521" i="18"/>
  <c r="U521" i="18"/>
  <c r="K523" i="18"/>
  <c r="K524" i="18"/>
  <c r="I533" i="18"/>
  <c r="J533" i="18"/>
  <c r="K533" i="18"/>
  <c r="L535" i="18"/>
  <c r="M535" i="18"/>
  <c r="N535" i="18"/>
  <c r="Q535" i="18"/>
  <c r="R535" i="18"/>
  <c r="S535" i="18"/>
  <c r="S534" i="18" s="1"/>
  <c r="T535" i="18"/>
  <c r="L536" i="18"/>
  <c r="O536" i="18" s="1"/>
  <c r="M536" i="18"/>
  <c r="N536" i="18"/>
  <c r="N534" i="18" s="1"/>
  <c r="P536" i="18"/>
  <c r="Q536" i="18"/>
  <c r="T536" i="18" s="1"/>
  <c r="R536" i="18"/>
  <c r="S536" i="18"/>
  <c r="U536" i="18"/>
  <c r="L537" i="18"/>
  <c r="O537" i="18" s="1"/>
  <c r="M537" i="18"/>
  <c r="P537" i="18" s="1"/>
  <c r="N537" i="18"/>
  <c r="Q537" i="18"/>
  <c r="T537" i="18" s="1"/>
  <c r="R537" i="18"/>
  <c r="U537" i="18" s="1"/>
  <c r="S537" i="18"/>
  <c r="O538" i="18"/>
  <c r="P538" i="18"/>
  <c r="T538" i="18"/>
  <c r="U538" i="18"/>
  <c r="O539" i="18"/>
  <c r="P539" i="18"/>
  <c r="T539" i="18"/>
  <c r="U539" i="18"/>
  <c r="L540" i="18"/>
  <c r="O540" i="18" s="1"/>
  <c r="M540" i="18"/>
  <c r="N540" i="18"/>
  <c r="P540" i="18"/>
  <c r="Q540" i="18"/>
  <c r="T540" i="18" s="1"/>
  <c r="R540" i="18"/>
  <c r="U540" i="18" s="1"/>
  <c r="S540" i="18"/>
  <c r="O541" i="18"/>
  <c r="P541" i="18"/>
  <c r="T541" i="18"/>
  <c r="U541" i="18"/>
  <c r="O542" i="18"/>
  <c r="P542" i="18"/>
  <c r="T542" i="18"/>
  <c r="U542" i="18"/>
  <c r="I554" i="18"/>
  <c r="K554" i="18" s="1"/>
  <c r="J554" i="18"/>
  <c r="N555" i="18"/>
  <c r="L556" i="18"/>
  <c r="M556" i="18"/>
  <c r="N556" i="18"/>
  <c r="Q556" i="18"/>
  <c r="T556" i="18" s="1"/>
  <c r="R556" i="18"/>
  <c r="S556" i="18"/>
  <c r="S555" i="18" s="1"/>
  <c r="L557" i="18"/>
  <c r="O557" i="18" s="1"/>
  <c r="M557" i="18"/>
  <c r="P557" i="18" s="1"/>
  <c r="N557" i="18"/>
  <c r="Q557" i="18"/>
  <c r="R557" i="18"/>
  <c r="U557" i="18" s="1"/>
  <c r="S557" i="18"/>
  <c r="L558" i="18"/>
  <c r="M558" i="18"/>
  <c r="P558" i="18" s="1"/>
  <c r="N558" i="18"/>
  <c r="O558" i="18"/>
  <c r="Q558" i="18"/>
  <c r="T558" i="18" s="1"/>
  <c r="R558" i="18"/>
  <c r="U558" i="18" s="1"/>
  <c r="S558" i="18"/>
  <c r="O559" i="18"/>
  <c r="P559" i="18"/>
  <c r="T559" i="18"/>
  <c r="U559" i="18"/>
  <c r="O560" i="18"/>
  <c r="P560" i="18"/>
  <c r="T560" i="18"/>
  <c r="U560" i="18"/>
  <c r="L561" i="18"/>
  <c r="M561" i="18"/>
  <c r="P561" i="18" s="1"/>
  <c r="N561" i="18"/>
  <c r="O561" i="18"/>
  <c r="Q561" i="18"/>
  <c r="T561" i="18" s="1"/>
  <c r="R561" i="18"/>
  <c r="U561" i="18" s="1"/>
  <c r="S561" i="18"/>
  <c r="O562" i="18"/>
  <c r="P562" i="18"/>
  <c r="T562" i="18"/>
  <c r="U562" i="18"/>
  <c r="O563" i="18"/>
  <c r="P563" i="18"/>
  <c r="T563" i="18"/>
  <c r="U563" i="18"/>
  <c r="I575" i="18"/>
  <c r="K575" i="18" s="1"/>
  <c r="J575" i="18"/>
  <c r="L577" i="18"/>
  <c r="M577" i="18"/>
  <c r="N577" i="18"/>
  <c r="Q577" i="18"/>
  <c r="R577" i="18"/>
  <c r="S577" i="18"/>
  <c r="T577" i="18"/>
  <c r="L578" i="18"/>
  <c r="O578" i="18" s="1"/>
  <c r="M578" i="18"/>
  <c r="P578" i="18" s="1"/>
  <c r="N578" i="18"/>
  <c r="Q578" i="18"/>
  <c r="Q576" i="18" s="1"/>
  <c r="T576" i="18" s="1"/>
  <c r="R578" i="18"/>
  <c r="U578" i="18" s="1"/>
  <c r="S578" i="18"/>
  <c r="T578" i="18"/>
  <c r="L579" i="18"/>
  <c r="O579" i="18" s="1"/>
  <c r="M579" i="18"/>
  <c r="N579" i="18"/>
  <c r="P579" i="18"/>
  <c r="Q579" i="18"/>
  <c r="T579" i="18" s="1"/>
  <c r="R579" i="18"/>
  <c r="U579" i="18" s="1"/>
  <c r="S579" i="18"/>
  <c r="O580" i="18"/>
  <c r="P580" i="18"/>
  <c r="T580" i="18"/>
  <c r="U580" i="18"/>
  <c r="O581" i="18"/>
  <c r="P581" i="18"/>
  <c r="T581" i="18"/>
  <c r="U581" i="18"/>
  <c r="L582" i="18"/>
  <c r="O582" i="18" s="1"/>
  <c r="M582" i="18"/>
  <c r="N582" i="18"/>
  <c r="P582" i="18"/>
  <c r="Q582" i="18"/>
  <c r="T582" i="18" s="1"/>
  <c r="R582" i="18"/>
  <c r="U582" i="18" s="1"/>
  <c r="S582" i="18"/>
  <c r="O583" i="18"/>
  <c r="P583" i="18"/>
  <c r="T583" i="18"/>
  <c r="U583" i="18"/>
  <c r="O584" i="18"/>
  <c r="P584" i="18"/>
  <c r="T584" i="18"/>
  <c r="U584" i="18"/>
  <c r="L600" i="18"/>
  <c r="M600" i="18"/>
  <c r="N600" i="18"/>
  <c r="Q600" i="18"/>
  <c r="Q599" i="18" s="1"/>
  <c r="T599" i="18" s="1"/>
  <c r="R600" i="18"/>
  <c r="S600" i="18"/>
  <c r="L601" i="18"/>
  <c r="O601" i="18" s="1"/>
  <c r="M601" i="18"/>
  <c r="P601" i="18" s="1"/>
  <c r="N601" i="18"/>
  <c r="Q601" i="18"/>
  <c r="R601" i="18"/>
  <c r="U601" i="18" s="1"/>
  <c r="S601" i="18"/>
  <c r="T601" i="18"/>
  <c r="L602" i="18"/>
  <c r="O602" i="18" s="1"/>
  <c r="M602" i="18"/>
  <c r="N602" i="18"/>
  <c r="P602" i="18"/>
  <c r="Q602" i="18"/>
  <c r="T602" i="18" s="1"/>
  <c r="R602" i="18"/>
  <c r="U602" i="18" s="1"/>
  <c r="S602" i="18"/>
  <c r="O603" i="18"/>
  <c r="P603" i="18"/>
  <c r="T603" i="18"/>
  <c r="U603" i="18"/>
  <c r="O604" i="18"/>
  <c r="P604" i="18"/>
  <c r="T604" i="18"/>
  <c r="U604" i="18"/>
  <c r="L605" i="18"/>
  <c r="O605" i="18" s="1"/>
  <c r="M605" i="18"/>
  <c r="P605" i="18" s="1"/>
  <c r="N605" i="18"/>
  <c r="Q605" i="18"/>
  <c r="T605" i="18" s="1"/>
  <c r="R605" i="18"/>
  <c r="U605" i="18" s="1"/>
  <c r="S605" i="18"/>
  <c r="O606" i="18"/>
  <c r="P606" i="18"/>
  <c r="T606" i="18"/>
  <c r="U606" i="18"/>
  <c r="O607" i="18"/>
  <c r="P607" i="18"/>
  <c r="T607" i="18"/>
  <c r="U607" i="18"/>
  <c r="L617" i="18"/>
  <c r="M617" i="18"/>
  <c r="M616" i="18" s="1"/>
  <c r="P616" i="18" s="1"/>
  <c r="N617" i="18"/>
  <c r="Q617" i="18"/>
  <c r="T617" i="18" s="1"/>
  <c r="R617" i="18"/>
  <c r="U617" i="18" s="1"/>
  <c r="S617" i="18"/>
  <c r="L618" i="18"/>
  <c r="O618" i="18" s="1"/>
  <c r="M618" i="18"/>
  <c r="P618" i="18" s="1"/>
  <c r="N618" i="18"/>
  <c r="L619" i="18"/>
  <c r="M619" i="18"/>
  <c r="P619" i="18" s="1"/>
  <c r="N619" i="18"/>
  <c r="O619" i="18"/>
  <c r="O620" i="18"/>
  <c r="P620" i="18"/>
  <c r="T620" i="18"/>
  <c r="U620" i="18"/>
  <c r="O621" i="18"/>
  <c r="P621" i="18"/>
  <c r="Q621" i="18"/>
  <c r="Q619" i="18" s="1"/>
  <c r="R621" i="18"/>
  <c r="R619" i="18" s="1"/>
  <c r="S621" i="18"/>
  <c r="L622" i="18"/>
  <c r="O622" i="18" s="1"/>
  <c r="M622" i="18"/>
  <c r="N622" i="18"/>
  <c r="P622" i="18"/>
  <c r="Q622" i="18"/>
  <c r="T622" i="18" s="1"/>
  <c r="R622" i="18"/>
  <c r="U622" i="18" s="1"/>
  <c r="S622" i="18"/>
  <c r="O623" i="18"/>
  <c r="P623" i="18"/>
  <c r="T623" i="18"/>
  <c r="U623" i="18"/>
  <c r="O624" i="18"/>
  <c r="P624" i="18"/>
  <c r="T624" i="18"/>
  <c r="U624" i="18"/>
  <c r="I626" i="18"/>
  <c r="K630" i="18" s="1"/>
  <c r="I627" i="18"/>
  <c r="K627" i="18" s="1"/>
  <c r="I628" i="18"/>
  <c r="K628" i="18" s="1"/>
  <c r="J632" i="18"/>
  <c r="J626" i="18" s="1"/>
  <c r="J615" i="18" s="1"/>
  <c r="I635" i="18"/>
  <c r="K635" i="18" s="1"/>
  <c r="J636" i="18"/>
  <c r="J635" i="18" s="1"/>
  <c r="L642" i="18"/>
  <c r="O642" i="18" s="1"/>
  <c r="L643" i="18"/>
  <c r="M643" i="18"/>
  <c r="N643" i="18"/>
  <c r="N642" i="18" s="1"/>
  <c r="O643" i="18"/>
  <c r="P643" i="18"/>
  <c r="Q643" i="18"/>
  <c r="R643" i="18"/>
  <c r="S643" i="18"/>
  <c r="T643" i="18"/>
  <c r="U643" i="18"/>
  <c r="L644" i="18"/>
  <c r="O644" i="18" s="1"/>
  <c r="M644" i="18"/>
  <c r="M642" i="18" s="1"/>
  <c r="P642" i="18" s="1"/>
  <c r="N644" i="18"/>
  <c r="P644" i="18"/>
  <c r="L645" i="18"/>
  <c r="O645" i="18" s="1"/>
  <c r="M645" i="18"/>
  <c r="P645" i="18" s="1"/>
  <c r="N645" i="18"/>
  <c r="O646" i="18"/>
  <c r="P646" i="18"/>
  <c r="T646" i="18"/>
  <c r="U646" i="18"/>
  <c r="O647" i="18"/>
  <c r="P647" i="18"/>
  <c r="Q647" i="18"/>
  <c r="Q645" i="18" s="1"/>
  <c r="R647" i="18"/>
  <c r="R645" i="18" s="1"/>
  <c r="S647" i="18"/>
  <c r="S645" i="18" s="1"/>
  <c r="L648" i="18"/>
  <c r="M648" i="18"/>
  <c r="N648" i="18"/>
  <c r="O648" i="18"/>
  <c r="P648" i="18"/>
  <c r="Q648" i="18"/>
  <c r="T648" i="18" s="1"/>
  <c r="R648" i="18"/>
  <c r="S648" i="18"/>
  <c r="U648" i="18"/>
  <c r="O649" i="18"/>
  <c r="P649" i="18"/>
  <c r="T649" i="18"/>
  <c r="U649" i="18"/>
  <c r="O650" i="18"/>
  <c r="P650" i="18"/>
  <c r="T650" i="18"/>
  <c r="U650" i="18"/>
  <c r="I652" i="18"/>
  <c r="K652" i="18" s="1"/>
  <c r="J652" i="18"/>
  <c r="I653" i="18"/>
  <c r="K653" i="18" s="1"/>
  <c r="J653" i="18"/>
  <c r="I654" i="18"/>
  <c r="K654" i="18" s="1"/>
  <c r="J654" i="18"/>
  <c r="I657" i="18"/>
  <c r="I660" i="18"/>
  <c r="I661" i="18"/>
  <c r="K661" i="18" s="1"/>
  <c r="J661" i="18"/>
  <c r="J671" i="18"/>
  <c r="J672" i="18"/>
  <c r="I673" i="18"/>
  <c r="J673" i="18"/>
  <c r="I674" i="18"/>
  <c r="I675" i="18"/>
  <c r="I676" i="18"/>
  <c r="J676" i="18"/>
  <c r="J677" i="18"/>
  <c r="I678" i="18"/>
  <c r="J678" i="18"/>
  <c r="I679" i="18"/>
  <c r="J679" i="18"/>
  <c r="J680" i="18"/>
  <c r="I681" i="18"/>
  <c r="J681" i="18"/>
  <c r="I682" i="18"/>
  <c r="J682" i="18"/>
  <c r="L691" i="18"/>
  <c r="M691" i="18"/>
  <c r="N691" i="18"/>
  <c r="Q691" i="18"/>
  <c r="T691" i="18" s="1"/>
  <c r="R691" i="18"/>
  <c r="U691" i="18" s="1"/>
  <c r="S691" i="18"/>
  <c r="L692" i="18"/>
  <c r="O692" i="18" s="1"/>
  <c r="M692" i="18"/>
  <c r="P692" i="18" s="1"/>
  <c r="N692" i="18"/>
  <c r="L693" i="18"/>
  <c r="O693" i="18" s="1"/>
  <c r="M693" i="18"/>
  <c r="P693" i="18" s="1"/>
  <c r="N693" i="18"/>
  <c r="O694" i="18"/>
  <c r="P694" i="18"/>
  <c r="T694" i="18"/>
  <c r="U694" i="18"/>
  <c r="O695" i="18"/>
  <c r="P695" i="18"/>
  <c r="Q695" i="18"/>
  <c r="Q693" i="18" s="1"/>
  <c r="R695" i="18"/>
  <c r="R692" i="18" s="1"/>
  <c r="R690" i="18" s="1"/>
  <c r="S695" i="18"/>
  <c r="L696" i="18"/>
  <c r="O696" i="18" s="1"/>
  <c r="M696" i="18"/>
  <c r="P696" i="18" s="1"/>
  <c r="N696" i="18"/>
  <c r="Q696" i="18"/>
  <c r="T696" i="18" s="1"/>
  <c r="R696" i="18"/>
  <c r="U696" i="18" s="1"/>
  <c r="S696" i="18"/>
  <c r="O697" i="18"/>
  <c r="P697" i="18"/>
  <c r="T697" i="18"/>
  <c r="U697" i="18"/>
  <c r="O698" i="18"/>
  <c r="P698" i="18"/>
  <c r="T698" i="18"/>
  <c r="U698" i="18"/>
  <c r="I700" i="18"/>
  <c r="K700" i="18" s="1"/>
  <c r="K702" i="18"/>
  <c r="I703" i="18"/>
  <c r="J703" i="18"/>
  <c r="J704" i="18"/>
  <c r="K704" i="18"/>
  <c r="I705" i="18"/>
  <c r="J705" i="18"/>
  <c r="J706" i="18"/>
  <c r="K706" i="18"/>
  <c r="I707" i="18"/>
  <c r="J707" i="18"/>
  <c r="J689" i="18" s="1"/>
  <c r="J708" i="18"/>
  <c r="K708" i="18"/>
  <c r="I709" i="18"/>
  <c r="J709" i="18"/>
  <c r="J710" i="18"/>
  <c r="K710" i="18"/>
  <c r="J712" i="18"/>
  <c r="K712" i="18"/>
  <c r="L715" i="18"/>
  <c r="M715" i="18"/>
  <c r="N715" i="18"/>
  <c r="Q715" i="18"/>
  <c r="R715" i="18"/>
  <c r="S715" i="18"/>
  <c r="T715" i="18"/>
  <c r="L716" i="18"/>
  <c r="O716" i="18" s="1"/>
  <c r="M716" i="18"/>
  <c r="N716" i="18"/>
  <c r="N714" i="18" s="1"/>
  <c r="P716" i="18"/>
  <c r="Q716" i="18"/>
  <c r="T716" i="18" s="1"/>
  <c r="R716" i="18"/>
  <c r="U716" i="18" s="1"/>
  <c r="S716" i="18"/>
  <c r="L717" i="18"/>
  <c r="O717" i="18" s="1"/>
  <c r="M717" i="18"/>
  <c r="P717" i="18" s="1"/>
  <c r="N717" i="18"/>
  <c r="Q717" i="18"/>
  <c r="T717" i="18" s="1"/>
  <c r="R717" i="18"/>
  <c r="U717" i="18" s="1"/>
  <c r="S717" i="18"/>
  <c r="O718" i="18"/>
  <c r="P718" i="18"/>
  <c r="T718" i="18"/>
  <c r="U718" i="18"/>
  <c r="O719" i="18"/>
  <c r="P719" i="18"/>
  <c r="T719" i="18"/>
  <c r="U719" i="18"/>
  <c r="L720" i="18"/>
  <c r="O720" i="18" s="1"/>
  <c r="M720" i="18"/>
  <c r="P720" i="18" s="1"/>
  <c r="N720" i="18"/>
  <c r="Q720" i="18"/>
  <c r="T720" i="18" s="1"/>
  <c r="R720" i="18"/>
  <c r="U720" i="18" s="1"/>
  <c r="S720" i="18"/>
  <c r="O721" i="18"/>
  <c r="P721" i="18"/>
  <c r="T721" i="18"/>
  <c r="U721" i="18"/>
  <c r="O722" i="18"/>
  <c r="P722" i="18"/>
  <c r="T722" i="18"/>
  <c r="U722" i="18"/>
  <c r="I726" i="18"/>
  <c r="J726" i="18"/>
  <c r="I727" i="18"/>
  <c r="K727" i="18" s="1"/>
  <c r="J727" i="18"/>
  <c r="L729" i="18"/>
  <c r="M729" i="18"/>
  <c r="N729" i="18"/>
  <c r="Q729" i="18"/>
  <c r="R729" i="18"/>
  <c r="S729" i="18"/>
  <c r="T729" i="18"/>
  <c r="L730" i="18"/>
  <c r="O730" i="18" s="1"/>
  <c r="M730" i="18"/>
  <c r="N730" i="18"/>
  <c r="N728" i="18" s="1"/>
  <c r="P730" i="18"/>
  <c r="L731" i="18"/>
  <c r="O731" i="18" s="1"/>
  <c r="M731" i="18"/>
  <c r="P731" i="18" s="1"/>
  <c r="N731" i="18"/>
  <c r="O732" i="18"/>
  <c r="P732" i="18"/>
  <c r="T732" i="18"/>
  <c r="U732" i="18"/>
  <c r="O733" i="18"/>
  <c r="P733" i="18"/>
  <c r="Q733" i="18"/>
  <c r="Q731" i="18" s="1"/>
  <c r="R733" i="18"/>
  <c r="S733" i="18"/>
  <c r="S731" i="18" s="1"/>
  <c r="L734" i="18"/>
  <c r="M734" i="18"/>
  <c r="P734" i="18" s="1"/>
  <c r="N734" i="18"/>
  <c r="O734" i="18"/>
  <c r="Q734" i="18"/>
  <c r="T734" i="18" s="1"/>
  <c r="R734" i="18"/>
  <c r="U734" i="18" s="1"/>
  <c r="S734" i="18"/>
  <c r="O735" i="18"/>
  <c r="P735" i="18"/>
  <c r="T735" i="18"/>
  <c r="U735" i="18"/>
  <c r="O736" i="18"/>
  <c r="P736" i="18"/>
  <c r="T736" i="18"/>
  <c r="U736" i="18"/>
  <c r="I740" i="18"/>
  <c r="K740" i="18" s="1"/>
  <c r="I742" i="18"/>
  <c r="K742" i="18" s="1"/>
  <c r="I744" i="18"/>
  <c r="K744" i="18" s="1"/>
  <c r="I746" i="18"/>
  <c r="K746" i="18" s="1"/>
  <c r="I749" i="18"/>
  <c r="K749" i="18" s="1"/>
  <c r="I752" i="18"/>
  <c r="K752" i="18" s="1"/>
  <c r="I755" i="18"/>
  <c r="K755" i="18" s="1"/>
  <c r="J758" i="18"/>
  <c r="J759" i="18"/>
  <c r="L761" i="18"/>
  <c r="L760" i="18" s="1"/>
  <c r="O760" i="18" s="1"/>
  <c r="M761" i="18"/>
  <c r="N761" i="18"/>
  <c r="N760" i="18" s="1"/>
  <c r="O761" i="18"/>
  <c r="Q761" i="18"/>
  <c r="R761" i="18"/>
  <c r="S761" i="18"/>
  <c r="T761" i="18"/>
  <c r="U761" i="18"/>
  <c r="L762" i="18"/>
  <c r="O762" i="18" s="1"/>
  <c r="M762" i="18"/>
  <c r="N762" i="18"/>
  <c r="P762" i="18"/>
  <c r="L763" i="18"/>
  <c r="O763" i="18" s="1"/>
  <c r="M763" i="18"/>
  <c r="P763" i="18" s="1"/>
  <c r="N763" i="18"/>
  <c r="O764" i="18"/>
  <c r="P764" i="18"/>
  <c r="T764" i="18"/>
  <c r="U764" i="18"/>
  <c r="O765" i="18"/>
  <c r="P765" i="18"/>
  <c r="Q765" i="18"/>
  <c r="Q762" i="18" s="1"/>
  <c r="Q760" i="18" s="1"/>
  <c r="R765" i="18"/>
  <c r="R763" i="18" s="1"/>
  <c r="S765" i="18"/>
  <c r="L766" i="18"/>
  <c r="M766" i="18"/>
  <c r="P766" i="18" s="1"/>
  <c r="N766" i="18"/>
  <c r="O766" i="18"/>
  <c r="Q766" i="18"/>
  <c r="T766" i="18" s="1"/>
  <c r="R766" i="18"/>
  <c r="U766" i="18" s="1"/>
  <c r="S766" i="18"/>
  <c r="O767" i="18"/>
  <c r="P767" i="18"/>
  <c r="T767" i="18"/>
  <c r="U767" i="18"/>
  <c r="O768" i="18"/>
  <c r="P768" i="18"/>
  <c r="T768" i="18"/>
  <c r="U768" i="18"/>
  <c r="I770" i="18"/>
  <c r="K770" i="18" s="1"/>
  <c r="I772" i="18"/>
  <c r="K772" i="18" s="1"/>
  <c r="I774" i="18"/>
  <c r="K774" i="18" s="1"/>
  <c r="I775" i="18"/>
  <c r="I776" i="18"/>
  <c r="H777" i="18"/>
  <c r="I778" i="18"/>
  <c r="J778" i="18"/>
  <c r="I779" i="18"/>
  <c r="J779" i="18"/>
  <c r="I780" i="18"/>
  <c r="J780" i="18"/>
  <c r="I781" i="18"/>
  <c r="J781" i="18"/>
  <c r="I782" i="18"/>
  <c r="J782" i="18"/>
  <c r="I783" i="18"/>
  <c r="J783" i="18"/>
  <c r="I784" i="18"/>
  <c r="J784" i="18"/>
  <c r="I785" i="18"/>
  <c r="J785" i="18"/>
  <c r="A788" i="18"/>
  <c r="A789" i="18"/>
  <c r="L22" i="17"/>
  <c r="M22" i="17"/>
  <c r="N22" i="17"/>
  <c r="Q22" i="17"/>
  <c r="R22" i="17"/>
  <c r="S22" i="17"/>
  <c r="L25" i="17"/>
  <c r="M25" i="17"/>
  <c r="N25" i="17"/>
  <c r="Q25" i="17"/>
  <c r="R25" i="17"/>
  <c r="S25" i="17"/>
  <c r="Q26" i="17"/>
  <c r="R26" i="17"/>
  <c r="S26" i="17"/>
  <c r="T26" i="17"/>
  <c r="U26" i="17"/>
  <c r="L45" i="17"/>
  <c r="M45" i="17"/>
  <c r="N45" i="17"/>
  <c r="Q45" i="17"/>
  <c r="T45" i="17" s="1"/>
  <c r="R45" i="17"/>
  <c r="S45" i="17"/>
  <c r="S44" i="17" s="1"/>
  <c r="Q46" i="17"/>
  <c r="R46" i="17"/>
  <c r="S46" i="17"/>
  <c r="T46" i="17"/>
  <c r="U46" i="17"/>
  <c r="Q47" i="17"/>
  <c r="T47" i="17" s="1"/>
  <c r="R47" i="17"/>
  <c r="U47" i="17" s="1"/>
  <c r="S47" i="17"/>
  <c r="O48" i="17"/>
  <c r="P48" i="17"/>
  <c r="T48" i="17"/>
  <c r="U48" i="17"/>
  <c r="L49" i="17"/>
  <c r="M49" i="17"/>
  <c r="N49" i="17"/>
  <c r="T49" i="17"/>
  <c r="U49" i="17"/>
  <c r="Q50" i="17"/>
  <c r="T50" i="17" s="1"/>
  <c r="R50" i="17"/>
  <c r="S50" i="17"/>
  <c r="U50" i="17"/>
  <c r="O51" i="17"/>
  <c r="P51" i="17"/>
  <c r="T51" i="17"/>
  <c r="U51" i="17"/>
  <c r="L52" i="17"/>
  <c r="M52" i="17"/>
  <c r="P52" i="17" s="1"/>
  <c r="N52" i="17"/>
  <c r="N50" i="17" s="1"/>
  <c r="T52" i="17"/>
  <c r="U52" i="17"/>
  <c r="L60" i="17"/>
  <c r="M60" i="17"/>
  <c r="N60" i="17"/>
  <c r="Q60" i="17"/>
  <c r="R60" i="17"/>
  <c r="S60" i="17"/>
  <c r="Q61" i="17"/>
  <c r="T61" i="17" s="1"/>
  <c r="R61" i="17"/>
  <c r="U61" i="17" s="1"/>
  <c r="S61" i="17"/>
  <c r="Q62" i="17"/>
  <c r="T62" i="17" s="1"/>
  <c r="R62" i="17"/>
  <c r="U62" i="17" s="1"/>
  <c r="S62" i="17"/>
  <c r="O63" i="17"/>
  <c r="P63" i="17"/>
  <c r="T63" i="17"/>
  <c r="U63" i="17"/>
  <c r="L64" i="17"/>
  <c r="M64" i="17"/>
  <c r="M62" i="17" s="1"/>
  <c r="N64" i="17"/>
  <c r="T64" i="17"/>
  <c r="U64" i="17"/>
  <c r="Q65" i="17"/>
  <c r="R65" i="17"/>
  <c r="S65" i="17"/>
  <c r="T65" i="17"/>
  <c r="U65" i="17"/>
  <c r="O66" i="17"/>
  <c r="P66" i="17"/>
  <c r="T66" i="17"/>
  <c r="U66" i="17"/>
  <c r="L67" i="17"/>
  <c r="M67" i="17"/>
  <c r="P67" i="17" s="1"/>
  <c r="N67" i="17"/>
  <c r="N65" i="17" s="1"/>
  <c r="T67" i="17"/>
  <c r="U67" i="17"/>
  <c r="J71" i="17"/>
  <c r="L73" i="17"/>
  <c r="M73" i="17"/>
  <c r="N73" i="17"/>
  <c r="Q73" i="17"/>
  <c r="R73" i="17"/>
  <c r="S73" i="17"/>
  <c r="T73" i="17"/>
  <c r="O76" i="17"/>
  <c r="P76" i="17"/>
  <c r="T76" i="17"/>
  <c r="U76" i="17"/>
  <c r="L77" i="17"/>
  <c r="M77" i="17"/>
  <c r="N77" i="17"/>
  <c r="N75" i="17" s="1"/>
  <c r="Q77" i="17"/>
  <c r="R77" i="17"/>
  <c r="R75" i="17" s="1"/>
  <c r="U75" i="17" s="1"/>
  <c r="S77" i="17"/>
  <c r="S74" i="17" s="1"/>
  <c r="Q78" i="17"/>
  <c r="T78" i="17" s="1"/>
  <c r="R78" i="17"/>
  <c r="U78" i="17" s="1"/>
  <c r="S78" i="17"/>
  <c r="O79" i="17"/>
  <c r="P79" i="17"/>
  <c r="T79" i="17"/>
  <c r="U79" i="17"/>
  <c r="L80" i="17"/>
  <c r="M80" i="17"/>
  <c r="M78" i="17" s="1"/>
  <c r="P78" i="17" s="1"/>
  <c r="N80" i="17"/>
  <c r="T80" i="17"/>
  <c r="U80" i="17"/>
  <c r="J82" i="17"/>
  <c r="J70" i="17" s="1"/>
  <c r="J83" i="17"/>
  <c r="I84" i="17"/>
  <c r="K84" i="17" s="1"/>
  <c r="I85" i="17"/>
  <c r="I86" i="17"/>
  <c r="K86" i="17" s="1"/>
  <c r="I87" i="17"/>
  <c r="K87" i="17" s="1"/>
  <c r="I88" i="17"/>
  <c r="K88" i="17" s="1"/>
  <c r="I89" i="17"/>
  <c r="K89" i="17" s="1"/>
  <c r="I90" i="17"/>
  <c r="K90" i="17" s="1"/>
  <c r="J92" i="17"/>
  <c r="J93" i="17"/>
  <c r="L95" i="17"/>
  <c r="M95" i="17"/>
  <c r="N95" i="17"/>
  <c r="O95" i="17"/>
  <c r="Q95" i="17"/>
  <c r="T95" i="17" s="1"/>
  <c r="R95" i="17"/>
  <c r="U95" i="17" s="1"/>
  <c r="S95" i="17"/>
  <c r="O98" i="17"/>
  <c r="P98" i="17"/>
  <c r="T98" i="17"/>
  <c r="U98" i="17"/>
  <c r="L99" i="17"/>
  <c r="L97" i="17" s="1"/>
  <c r="O97" i="17" s="1"/>
  <c r="M99" i="17"/>
  <c r="M97" i="17" s="1"/>
  <c r="P97" i="17" s="1"/>
  <c r="N99" i="17"/>
  <c r="Q99" i="17"/>
  <c r="Q96" i="17" s="1"/>
  <c r="T96" i="17" s="1"/>
  <c r="R99" i="17"/>
  <c r="R96" i="17" s="1"/>
  <c r="U96" i="17" s="1"/>
  <c r="S99" i="17"/>
  <c r="S96" i="17" s="1"/>
  <c r="Q100" i="17"/>
  <c r="T100" i="17" s="1"/>
  <c r="R100" i="17"/>
  <c r="U100" i="17" s="1"/>
  <c r="S100" i="17"/>
  <c r="O101" i="17"/>
  <c r="P101" i="17"/>
  <c r="T101" i="17"/>
  <c r="U101" i="17"/>
  <c r="L102" i="17"/>
  <c r="O102" i="17" s="1"/>
  <c r="M102" i="17"/>
  <c r="N102" i="17"/>
  <c r="N100" i="17" s="1"/>
  <c r="T102" i="17"/>
  <c r="U102" i="17"/>
  <c r="I108" i="17"/>
  <c r="I109" i="17"/>
  <c r="I93" i="17" s="1"/>
  <c r="K93" i="17" s="1"/>
  <c r="I114" i="17"/>
  <c r="K114" i="17" s="1"/>
  <c r="J116" i="17"/>
  <c r="L118" i="17"/>
  <c r="O118" i="17" s="1"/>
  <c r="M118" i="17"/>
  <c r="N118" i="17"/>
  <c r="Q118" i="17"/>
  <c r="T118" i="17" s="1"/>
  <c r="R118" i="17"/>
  <c r="U118" i="17" s="1"/>
  <c r="S118" i="17"/>
  <c r="O121" i="17"/>
  <c r="P121" i="17"/>
  <c r="T121" i="17"/>
  <c r="U121" i="17"/>
  <c r="L122" i="17"/>
  <c r="L120" i="17" s="1"/>
  <c r="O120" i="17" s="1"/>
  <c r="M122" i="17"/>
  <c r="M120" i="17" s="1"/>
  <c r="P120" i="17" s="1"/>
  <c r="N122" i="17"/>
  <c r="Q122" i="17"/>
  <c r="Q119" i="17" s="1"/>
  <c r="R122" i="17"/>
  <c r="R119" i="17" s="1"/>
  <c r="S122" i="17"/>
  <c r="S119" i="17" s="1"/>
  <c r="Q123" i="17"/>
  <c r="T123" i="17" s="1"/>
  <c r="R123" i="17"/>
  <c r="U123" i="17" s="1"/>
  <c r="S123" i="17"/>
  <c r="O124" i="17"/>
  <c r="P124" i="17"/>
  <c r="T124" i="17"/>
  <c r="U124" i="17"/>
  <c r="L125" i="17"/>
  <c r="O125" i="17" s="1"/>
  <c r="M125" i="17"/>
  <c r="N125" i="17"/>
  <c r="N123" i="17" s="1"/>
  <c r="T125" i="17"/>
  <c r="U125" i="17"/>
  <c r="I127" i="17"/>
  <c r="I116" i="17" s="1"/>
  <c r="K116" i="17" s="1"/>
  <c r="I128" i="17"/>
  <c r="K128" i="17" s="1"/>
  <c r="I129" i="17"/>
  <c r="K129" i="17" s="1"/>
  <c r="I130" i="17"/>
  <c r="K130" i="17" s="1"/>
  <c r="J136" i="17"/>
  <c r="J137" i="17"/>
  <c r="J138" i="17"/>
  <c r="L140" i="17"/>
  <c r="M140" i="17"/>
  <c r="N140" i="17"/>
  <c r="Q140" i="17"/>
  <c r="R140" i="17"/>
  <c r="S140" i="17"/>
  <c r="O143" i="17"/>
  <c r="P143" i="17"/>
  <c r="T143" i="17"/>
  <c r="U143" i="17"/>
  <c r="L144" i="17"/>
  <c r="M144" i="17"/>
  <c r="N144" i="17"/>
  <c r="Q144" i="17"/>
  <c r="Q141" i="17" s="1"/>
  <c r="T141" i="17" s="1"/>
  <c r="R144" i="17"/>
  <c r="S144" i="17"/>
  <c r="S142" i="17" s="1"/>
  <c r="Q145" i="17"/>
  <c r="T145" i="17" s="1"/>
  <c r="R145" i="17"/>
  <c r="U145" i="17" s="1"/>
  <c r="S145" i="17"/>
  <c r="O146" i="17"/>
  <c r="P146" i="17"/>
  <c r="T146" i="17"/>
  <c r="U146" i="17"/>
  <c r="L147" i="17"/>
  <c r="M147" i="17"/>
  <c r="N147" i="17"/>
  <c r="T147" i="17"/>
  <c r="U147" i="17"/>
  <c r="I150" i="17"/>
  <c r="K150" i="17" s="1"/>
  <c r="I151" i="17"/>
  <c r="K151" i="17" s="1"/>
  <c r="I152" i="17"/>
  <c r="I137" i="17" s="1"/>
  <c r="K137" i="17" s="1"/>
  <c r="I153" i="17"/>
  <c r="K153" i="17" s="1"/>
  <c r="I154" i="17"/>
  <c r="J156" i="17"/>
  <c r="L158" i="17"/>
  <c r="O158" i="17" s="1"/>
  <c r="M158" i="17"/>
  <c r="N158" i="17"/>
  <c r="Q158" i="17"/>
  <c r="T158" i="17" s="1"/>
  <c r="R158" i="17"/>
  <c r="U158" i="17" s="1"/>
  <c r="S158" i="17"/>
  <c r="O161" i="17"/>
  <c r="P161" i="17"/>
  <c r="T161" i="17"/>
  <c r="U161" i="17"/>
  <c r="L162" i="17"/>
  <c r="M162" i="17"/>
  <c r="M160" i="17" s="1"/>
  <c r="N162" i="17"/>
  <c r="Q162" i="17"/>
  <c r="Q160" i="17" s="1"/>
  <c r="T160" i="17" s="1"/>
  <c r="R162" i="17"/>
  <c r="R159" i="17" s="1"/>
  <c r="S162" i="17"/>
  <c r="Q163" i="17"/>
  <c r="R163" i="17"/>
  <c r="U163" i="17" s="1"/>
  <c r="S163" i="17"/>
  <c r="T163" i="17"/>
  <c r="O164" i="17"/>
  <c r="P164" i="17"/>
  <c r="T164" i="17"/>
  <c r="U164" i="17"/>
  <c r="L165" i="17"/>
  <c r="M165" i="17"/>
  <c r="P165" i="17" s="1"/>
  <c r="N165" i="17"/>
  <c r="N163" i="17" s="1"/>
  <c r="T165" i="17"/>
  <c r="U165" i="17"/>
  <c r="I167" i="17"/>
  <c r="K167" i="17" s="1"/>
  <c r="I168" i="17"/>
  <c r="K168" i="17" s="1"/>
  <c r="I169" i="17"/>
  <c r="I156" i="17" s="1"/>
  <c r="K156" i="17" s="1"/>
  <c r="J172" i="17"/>
  <c r="L174" i="17"/>
  <c r="O174" i="17" s="1"/>
  <c r="M174" i="17"/>
  <c r="N174" i="17"/>
  <c r="Q174" i="17"/>
  <c r="T174" i="17" s="1"/>
  <c r="R174" i="17"/>
  <c r="U174" i="17" s="1"/>
  <c r="S174" i="17"/>
  <c r="O177" i="17"/>
  <c r="P177" i="17"/>
  <c r="T177" i="17"/>
  <c r="U177" i="17"/>
  <c r="L178" i="17"/>
  <c r="M178" i="17"/>
  <c r="M176" i="17" s="1"/>
  <c r="N178" i="17"/>
  <c r="N176" i="17" s="1"/>
  <c r="Q178" i="17"/>
  <c r="R178" i="17"/>
  <c r="S178" i="17"/>
  <c r="Q179" i="17"/>
  <c r="T179" i="17" s="1"/>
  <c r="R179" i="17"/>
  <c r="S179" i="17"/>
  <c r="U179" i="17"/>
  <c r="O180" i="17"/>
  <c r="P180" i="17"/>
  <c r="T180" i="17"/>
  <c r="U180" i="17"/>
  <c r="L181" i="17"/>
  <c r="M181" i="17"/>
  <c r="N181" i="17"/>
  <c r="N179" i="17" s="1"/>
  <c r="T181" i="17"/>
  <c r="U181" i="17"/>
  <c r="I183" i="17"/>
  <c r="K184" i="17"/>
  <c r="L187" i="17"/>
  <c r="O187" i="17" s="1"/>
  <c r="M187" i="17"/>
  <c r="P187" i="17" s="1"/>
  <c r="N187" i="17"/>
  <c r="Q187" i="17"/>
  <c r="R187" i="17"/>
  <c r="S187" i="17"/>
  <c r="T187" i="17"/>
  <c r="O190" i="17"/>
  <c r="P190" i="17"/>
  <c r="T190" i="17"/>
  <c r="U190" i="17"/>
  <c r="L191" i="17"/>
  <c r="M191" i="17"/>
  <c r="M189" i="17" s="1"/>
  <c r="N191" i="17"/>
  <c r="N189" i="17" s="1"/>
  <c r="Q191" i="17"/>
  <c r="R191" i="17"/>
  <c r="R188" i="17" s="1"/>
  <c r="S191" i="17"/>
  <c r="Q192" i="17"/>
  <c r="T192" i="17" s="1"/>
  <c r="R192" i="17"/>
  <c r="U192" i="17" s="1"/>
  <c r="S192" i="17"/>
  <c r="O193" i="17"/>
  <c r="P193" i="17"/>
  <c r="T193" i="17"/>
  <c r="U193" i="17"/>
  <c r="L194" i="17"/>
  <c r="O194" i="17" s="1"/>
  <c r="M194" i="17"/>
  <c r="P194" i="17" s="1"/>
  <c r="N194" i="17"/>
  <c r="N192" i="17" s="1"/>
  <c r="T194" i="17"/>
  <c r="U194" i="17"/>
  <c r="J195" i="17"/>
  <c r="L196" i="17"/>
  <c r="O196" i="17" s="1"/>
  <c r="P196" i="17"/>
  <c r="I198" i="17"/>
  <c r="I195" i="17" s="1"/>
  <c r="J199" i="17"/>
  <c r="J202" i="17"/>
  <c r="N203" i="17"/>
  <c r="P203" i="17"/>
  <c r="S203" i="17"/>
  <c r="U203" i="17"/>
  <c r="L204" i="17"/>
  <c r="L205" i="17"/>
  <c r="L206" i="17"/>
  <c r="Q206" i="17"/>
  <c r="Q203" i="17" s="1"/>
  <c r="T203" i="17" s="1"/>
  <c r="L207" i="17"/>
  <c r="I209" i="17"/>
  <c r="K209" i="17" s="1"/>
  <c r="I211" i="17"/>
  <c r="K211" i="17" s="1"/>
  <c r="I212" i="17"/>
  <c r="K212" i="17" s="1"/>
  <c r="J213" i="17"/>
  <c r="N214" i="17"/>
  <c r="P214" i="17"/>
  <c r="S214" i="17"/>
  <c r="U214" i="17"/>
  <c r="L215" i="17"/>
  <c r="L216" i="17"/>
  <c r="L217" i="17"/>
  <c r="Q217" i="17"/>
  <c r="Q214" i="17" s="1"/>
  <c r="T214" i="17" s="1"/>
  <c r="I219" i="17"/>
  <c r="K219" i="17" s="1"/>
  <c r="I220" i="17"/>
  <c r="J221" i="17"/>
  <c r="N222" i="17"/>
  <c r="P222" i="17"/>
  <c r="L223" i="17"/>
  <c r="L224" i="17"/>
  <c r="L225" i="17"/>
  <c r="I228" i="17"/>
  <c r="K228" i="17" s="1"/>
  <c r="I229" i="17"/>
  <c r="I221" i="17" s="1"/>
  <c r="K221" i="17" s="1"/>
  <c r="I230" i="17"/>
  <c r="N233" i="17"/>
  <c r="N234" i="17"/>
  <c r="N235" i="17"/>
  <c r="N236" i="17"/>
  <c r="J238" i="17"/>
  <c r="I240" i="17"/>
  <c r="J240" i="17"/>
  <c r="K240" i="17"/>
  <c r="I241" i="17"/>
  <c r="K241" i="17" s="1"/>
  <c r="J241" i="17"/>
  <c r="J242" i="17"/>
  <c r="J231" i="17" s="1"/>
  <c r="J185" i="17" s="1"/>
  <c r="N243" i="17"/>
  <c r="P243" i="17"/>
  <c r="L244" i="17"/>
  <c r="L245" i="17"/>
  <c r="L246" i="17"/>
  <c r="L247" i="17"/>
  <c r="I249" i="17"/>
  <c r="I242" i="17" s="1"/>
  <c r="K242" i="17" s="1"/>
  <c r="K251" i="17"/>
  <c r="K252" i="17"/>
  <c r="J253" i="17"/>
  <c r="N254" i="17"/>
  <c r="N232" i="17" s="1"/>
  <c r="P254" i="17"/>
  <c r="L255" i="17"/>
  <c r="L256" i="17"/>
  <c r="L257" i="17"/>
  <c r="L258" i="17"/>
  <c r="I260" i="17"/>
  <c r="K260" i="17" s="1"/>
  <c r="K262" i="17"/>
  <c r="K263" i="17"/>
  <c r="J265" i="17"/>
  <c r="L267" i="17"/>
  <c r="M267" i="17"/>
  <c r="N267" i="17"/>
  <c r="Q267" i="17"/>
  <c r="R267" i="17"/>
  <c r="U267" i="17" s="1"/>
  <c r="S267" i="17"/>
  <c r="T267" i="17"/>
  <c r="O270" i="17"/>
  <c r="P270" i="17"/>
  <c r="T270" i="17"/>
  <c r="U270" i="17"/>
  <c r="L271" i="17"/>
  <c r="O271" i="17" s="1"/>
  <c r="M271" i="17"/>
  <c r="N271" i="17"/>
  <c r="Q271" i="17"/>
  <c r="Q268" i="17" s="1"/>
  <c r="R271" i="17"/>
  <c r="R268" i="17" s="1"/>
  <c r="S271" i="17"/>
  <c r="Q272" i="17"/>
  <c r="T272" i="17" s="1"/>
  <c r="R272" i="17"/>
  <c r="S272" i="17"/>
  <c r="U272" i="17"/>
  <c r="O273" i="17"/>
  <c r="P273" i="17"/>
  <c r="T273" i="17"/>
  <c r="U273" i="17"/>
  <c r="L274" i="17"/>
  <c r="L272" i="17" s="1"/>
  <c r="O272" i="17" s="1"/>
  <c r="M274" i="17"/>
  <c r="N274" i="17"/>
  <c r="N272" i="17" s="1"/>
  <c r="T274" i="17"/>
  <c r="U274" i="17"/>
  <c r="I276" i="17"/>
  <c r="K276" i="17" s="1"/>
  <c r="J281" i="17"/>
  <c r="L283" i="17"/>
  <c r="M283" i="17"/>
  <c r="P283" i="17" s="1"/>
  <c r="N283" i="17"/>
  <c r="Q283" i="17"/>
  <c r="T283" i="17" s="1"/>
  <c r="R283" i="17"/>
  <c r="S283" i="17"/>
  <c r="S282" i="17" s="1"/>
  <c r="Q284" i="17"/>
  <c r="R284" i="17"/>
  <c r="U284" i="17" s="1"/>
  <c r="S284" i="17"/>
  <c r="Q285" i="17"/>
  <c r="T285" i="17" s="1"/>
  <c r="R285" i="17"/>
  <c r="U285" i="17" s="1"/>
  <c r="S285" i="17"/>
  <c r="O286" i="17"/>
  <c r="P286" i="17"/>
  <c r="T286" i="17"/>
  <c r="U286" i="17"/>
  <c r="L287" i="17"/>
  <c r="M287" i="17"/>
  <c r="M285" i="17" s="1"/>
  <c r="N287" i="17"/>
  <c r="T287" i="17"/>
  <c r="U287" i="17"/>
  <c r="Q288" i="17"/>
  <c r="R288" i="17"/>
  <c r="S288" i="17"/>
  <c r="T288" i="17"/>
  <c r="U288" i="17"/>
  <c r="O289" i="17"/>
  <c r="P289" i="17"/>
  <c r="T289" i="17"/>
  <c r="U289" i="17"/>
  <c r="L290" i="17"/>
  <c r="O290" i="17" s="1"/>
  <c r="M290" i="17"/>
  <c r="P290" i="17" s="1"/>
  <c r="N290" i="17"/>
  <c r="N288" i="17" s="1"/>
  <c r="T290" i="17"/>
  <c r="U290" i="17"/>
  <c r="I292" i="17"/>
  <c r="I281" i="17" s="1"/>
  <c r="I293" i="17"/>
  <c r="J293" i="17"/>
  <c r="J280" i="17" s="1"/>
  <c r="I295" i="17"/>
  <c r="K295" i="17" s="1"/>
  <c r="I296" i="17"/>
  <c r="K296" i="17" s="1"/>
  <c r="J302" i="17"/>
  <c r="L304" i="17"/>
  <c r="M304" i="17"/>
  <c r="P304" i="17" s="1"/>
  <c r="N304" i="17"/>
  <c r="O304" i="17"/>
  <c r="Q304" i="17"/>
  <c r="T304" i="17" s="1"/>
  <c r="R304" i="17"/>
  <c r="S304" i="17"/>
  <c r="U304" i="17"/>
  <c r="O307" i="17"/>
  <c r="P307" i="17"/>
  <c r="T307" i="17"/>
  <c r="U307" i="17"/>
  <c r="L308" i="17"/>
  <c r="L306" i="17" s="1"/>
  <c r="M308" i="17"/>
  <c r="N308" i="17"/>
  <c r="Q308" i="17"/>
  <c r="R308" i="17"/>
  <c r="S308" i="17"/>
  <c r="S305" i="17" s="1"/>
  <c r="Q309" i="17"/>
  <c r="T309" i="17" s="1"/>
  <c r="R309" i="17"/>
  <c r="U309" i="17" s="1"/>
  <c r="S309" i="17"/>
  <c r="O310" i="17"/>
  <c r="P310" i="17"/>
  <c r="T310" i="17"/>
  <c r="U310" i="17"/>
  <c r="L311" i="17"/>
  <c r="M311" i="17"/>
  <c r="M309" i="17" s="1"/>
  <c r="P309" i="17" s="1"/>
  <c r="N311" i="17"/>
  <c r="N309" i="17" s="1"/>
  <c r="T311" i="17"/>
  <c r="U311" i="17"/>
  <c r="I314" i="17"/>
  <c r="I302" i="17" s="1"/>
  <c r="J319" i="17"/>
  <c r="L321" i="17"/>
  <c r="M321" i="17"/>
  <c r="N321" i="17"/>
  <c r="Q321" i="17"/>
  <c r="T321" i="17" s="1"/>
  <c r="R321" i="17"/>
  <c r="S321" i="17"/>
  <c r="S320" i="17" s="1"/>
  <c r="Q322" i="17"/>
  <c r="R322" i="17"/>
  <c r="S322" i="17"/>
  <c r="T322" i="17"/>
  <c r="U322" i="17"/>
  <c r="Q323" i="17"/>
  <c r="R323" i="17"/>
  <c r="S323" i="17"/>
  <c r="T323" i="17"/>
  <c r="U323" i="17"/>
  <c r="O324" i="17"/>
  <c r="P324" i="17"/>
  <c r="T324" i="17"/>
  <c r="U324" i="17"/>
  <c r="L325" i="17"/>
  <c r="M325" i="17"/>
  <c r="N325" i="17"/>
  <c r="T325" i="17"/>
  <c r="U325" i="17"/>
  <c r="Q326" i="17"/>
  <c r="T326" i="17" s="1"/>
  <c r="R326" i="17"/>
  <c r="U326" i="17" s="1"/>
  <c r="S326" i="17"/>
  <c r="O327" i="17"/>
  <c r="P327" i="17"/>
  <c r="T327" i="17"/>
  <c r="U327" i="17"/>
  <c r="L328" i="17"/>
  <c r="O328" i="17" s="1"/>
  <c r="M328" i="17"/>
  <c r="P328" i="17" s="1"/>
  <c r="N328" i="17"/>
  <c r="N326" i="17" s="1"/>
  <c r="T328" i="17"/>
  <c r="U328" i="17"/>
  <c r="I330" i="17"/>
  <c r="I319" i="17" s="1"/>
  <c r="K319" i="17" s="1"/>
  <c r="L334" i="17"/>
  <c r="O334" i="17" s="1"/>
  <c r="M334" i="17"/>
  <c r="N334" i="17"/>
  <c r="Q334" i="17"/>
  <c r="Q333" i="17" s="1"/>
  <c r="T333" i="17" s="1"/>
  <c r="R334" i="17"/>
  <c r="U334" i="17" s="1"/>
  <c r="S334" i="17"/>
  <c r="T334" i="17"/>
  <c r="Q335" i="17"/>
  <c r="R335" i="17"/>
  <c r="S335" i="17"/>
  <c r="T335" i="17"/>
  <c r="U335" i="17"/>
  <c r="Q336" i="17"/>
  <c r="T336" i="17" s="1"/>
  <c r="R336" i="17"/>
  <c r="S336" i="17"/>
  <c r="U336" i="17"/>
  <c r="O337" i="17"/>
  <c r="P337" i="17"/>
  <c r="T337" i="17"/>
  <c r="U337" i="17"/>
  <c r="L338" i="17"/>
  <c r="L336" i="17" s="1"/>
  <c r="M338" i="17"/>
  <c r="N338" i="17"/>
  <c r="N336" i="17" s="1"/>
  <c r="T338" i="17"/>
  <c r="U338" i="17"/>
  <c r="Q339" i="17"/>
  <c r="R339" i="17"/>
  <c r="S339" i="17"/>
  <c r="T339" i="17"/>
  <c r="U339" i="17"/>
  <c r="O340" i="17"/>
  <c r="P340" i="17"/>
  <c r="T340" i="17"/>
  <c r="U340" i="17"/>
  <c r="L341" i="17"/>
  <c r="O341" i="17" s="1"/>
  <c r="M341" i="17"/>
  <c r="N341" i="17"/>
  <c r="N339" i="17" s="1"/>
  <c r="T341" i="17"/>
  <c r="U341" i="17"/>
  <c r="I344" i="17"/>
  <c r="I332" i="17" s="1"/>
  <c r="J344" i="17"/>
  <c r="I346" i="17"/>
  <c r="J346" i="17"/>
  <c r="J347" i="17"/>
  <c r="J348" i="17"/>
  <c r="J349" i="17"/>
  <c r="D350" i="17"/>
  <c r="J352" i="17"/>
  <c r="J353" i="17"/>
  <c r="D354" i="17"/>
  <c r="L357" i="17"/>
  <c r="O357" i="17" s="1"/>
  <c r="M357" i="17"/>
  <c r="N357" i="17"/>
  <c r="Q357" i="17"/>
  <c r="T357" i="17" s="1"/>
  <c r="R357" i="17"/>
  <c r="U357" i="17" s="1"/>
  <c r="S357" i="17"/>
  <c r="Q358" i="17"/>
  <c r="T358" i="17" s="1"/>
  <c r="R358" i="17"/>
  <c r="S358" i="17"/>
  <c r="U358" i="17"/>
  <c r="Q359" i="17"/>
  <c r="R359" i="17"/>
  <c r="S359" i="17"/>
  <c r="T359" i="17"/>
  <c r="U359" i="17"/>
  <c r="O360" i="17"/>
  <c r="P360" i="17"/>
  <c r="T360" i="17"/>
  <c r="U360" i="17"/>
  <c r="L361" i="17"/>
  <c r="L359" i="17" s="1"/>
  <c r="M361" i="17"/>
  <c r="N361" i="17"/>
  <c r="N359" i="17" s="1"/>
  <c r="T361" i="17"/>
  <c r="U361" i="17"/>
  <c r="Q362" i="17"/>
  <c r="T362" i="17" s="1"/>
  <c r="R362" i="17"/>
  <c r="U362" i="17" s="1"/>
  <c r="S362" i="17"/>
  <c r="O363" i="17"/>
  <c r="P363" i="17"/>
  <c r="T363" i="17"/>
  <c r="U363" i="17"/>
  <c r="L364" i="17"/>
  <c r="O364" i="17" s="1"/>
  <c r="M364" i="17"/>
  <c r="M362" i="17" s="1"/>
  <c r="P362" i="17" s="1"/>
  <c r="N364" i="17"/>
  <c r="N362" i="17" s="1"/>
  <c r="T364" i="17"/>
  <c r="U364" i="17"/>
  <c r="J367" i="17"/>
  <c r="K367" i="17"/>
  <c r="I368" i="17"/>
  <c r="J368" i="17"/>
  <c r="I369" i="17"/>
  <c r="J369" i="17"/>
  <c r="J370" i="17"/>
  <c r="K370" i="17"/>
  <c r="I371" i="17"/>
  <c r="J371" i="17"/>
  <c r="J365" i="17" s="1"/>
  <c r="J372" i="17"/>
  <c r="K372" i="17"/>
  <c r="D373" i="17"/>
  <c r="L376" i="17"/>
  <c r="M376" i="17"/>
  <c r="N376" i="17"/>
  <c r="O376" i="17"/>
  <c r="Q376" i="17"/>
  <c r="R376" i="17"/>
  <c r="S376" i="17"/>
  <c r="U376" i="17"/>
  <c r="L377" i="17"/>
  <c r="O377" i="17" s="1"/>
  <c r="M377" i="17"/>
  <c r="P377" i="17" s="1"/>
  <c r="N377" i="17"/>
  <c r="L378" i="17"/>
  <c r="O378" i="17" s="1"/>
  <c r="M378" i="17"/>
  <c r="P378" i="17" s="1"/>
  <c r="N378" i="17"/>
  <c r="O379" i="17"/>
  <c r="P379" i="17"/>
  <c r="T379" i="17"/>
  <c r="U379" i="17"/>
  <c r="O380" i="17"/>
  <c r="P380" i="17"/>
  <c r="Q380" i="17"/>
  <c r="R380" i="17"/>
  <c r="S380" i="17"/>
  <c r="S377" i="17" s="1"/>
  <c r="L381" i="17"/>
  <c r="O381" i="17" s="1"/>
  <c r="M381" i="17"/>
  <c r="N381" i="17"/>
  <c r="P381" i="17"/>
  <c r="Q381" i="17"/>
  <c r="R381" i="17"/>
  <c r="U381" i="17" s="1"/>
  <c r="S381" i="17"/>
  <c r="T381" i="17"/>
  <c r="O382" i="17"/>
  <c r="P382" i="17"/>
  <c r="T382" i="17"/>
  <c r="U382" i="17"/>
  <c r="O383" i="17"/>
  <c r="P383" i="17"/>
  <c r="T383" i="17"/>
  <c r="U383" i="17"/>
  <c r="J385" i="17"/>
  <c r="K385" i="17"/>
  <c r="I386" i="17"/>
  <c r="J386" i="17"/>
  <c r="J387" i="17"/>
  <c r="K387" i="17"/>
  <c r="I388" i="17"/>
  <c r="K388" i="17" s="1"/>
  <c r="J388" i="17"/>
  <c r="I391" i="17"/>
  <c r="J391" i="17"/>
  <c r="K391" i="17"/>
  <c r="L393" i="17"/>
  <c r="M393" i="17"/>
  <c r="N393" i="17"/>
  <c r="Q393" i="17"/>
  <c r="R393" i="17"/>
  <c r="U393" i="17" s="1"/>
  <c r="S393" i="17"/>
  <c r="S392" i="17" s="1"/>
  <c r="T393" i="17"/>
  <c r="L394" i="17"/>
  <c r="O394" i="17" s="1"/>
  <c r="M394" i="17"/>
  <c r="N394" i="17"/>
  <c r="P394" i="17"/>
  <c r="Q394" i="17"/>
  <c r="T394" i="17" s="1"/>
  <c r="R394" i="17"/>
  <c r="U394" i="17" s="1"/>
  <c r="S394" i="17"/>
  <c r="L395" i="17"/>
  <c r="O395" i="17" s="1"/>
  <c r="M395" i="17"/>
  <c r="P395" i="17" s="1"/>
  <c r="N395" i="17"/>
  <c r="Q395" i="17"/>
  <c r="T395" i="17" s="1"/>
  <c r="R395" i="17"/>
  <c r="S395" i="17"/>
  <c r="U395" i="17"/>
  <c r="O396" i="17"/>
  <c r="P396" i="17"/>
  <c r="T396" i="17"/>
  <c r="U396" i="17"/>
  <c r="O397" i="17"/>
  <c r="P397" i="17"/>
  <c r="T397" i="17"/>
  <c r="U397" i="17"/>
  <c r="L398" i="17"/>
  <c r="M398" i="17"/>
  <c r="P398" i="17" s="1"/>
  <c r="N398" i="17"/>
  <c r="O398" i="17"/>
  <c r="Q398" i="17"/>
  <c r="T398" i="17" s="1"/>
  <c r="R398" i="17"/>
  <c r="S398" i="17"/>
  <c r="U398" i="17"/>
  <c r="O399" i="17"/>
  <c r="P399" i="17"/>
  <c r="T399" i="17"/>
  <c r="U399" i="17"/>
  <c r="O400" i="17"/>
  <c r="P400" i="17"/>
  <c r="T400" i="17"/>
  <c r="U400" i="17"/>
  <c r="L414" i="17"/>
  <c r="O414" i="17" s="1"/>
  <c r="M414" i="17"/>
  <c r="P414" i="17" s="1"/>
  <c r="N414" i="17"/>
  <c r="N413" i="17" s="1"/>
  <c r="Q414" i="17"/>
  <c r="R414" i="17"/>
  <c r="U414" i="17" s="1"/>
  <c r="S414" i="17"/>
  <c r="L415" i="17"/>
  <c r="M415" i="17"/>
  <c r="N415" i="17"/>
  <c r="P415" i="17"/>
  <c r="L416" i="17"/>
  <c r="M416" i="17"/>
  <c r="P416" i="17" s="1"/>
  <c r="N416" i="17"/>
  <c r="O416" i="17"/>
  <c r="O417" i="17"/>
  <c r="P417" i="17"/>
  <c r="T417" i="17"/>
  <c r="U417" i="17"/>
  <c r="O418" i="17"/>
  <c r="P418" i="17"/>
  <c r="Q418" i="17"/>
  <c r="Q416" i="17" s="1"/>
  <c r="T416" i="17" s="1"/>
  <c r="R418" i="17"/>
  <c r="R416" i="17" s="1"/>
  <c r="U416" i="17" s="1"/>
  <c r="S418" i="17"/>
  <c r="L419" i="17"/>
  <c r="M419" i="17"/>
  <c r="P419" i="17" s="1"/>
  <c r="N419" i="17"/>
  <c r="O419" i="17"/>
  <c r="Q419" i="17"/>
  <c r="T419" i="17" s="1"/>
  <c r="R419" i="17"/>
  <c r="U419" i="17" s="1"/>
  <c r="S419" i="17"/>
  <c r="O420" i="17"/>
  <c r="P420" i="17"/>
  <c r="T420" i="17"/>
  <c r="U420" i="17"/>
  <c r="O421" i="17"/>
  <c r="P421" i="17"/>
  <c r="T421" i="17"/>
  <c r="U421" i="17"/>
  <c r="I424" i="17"/>
  <c r="K424" i="17" s="1"/>
  <c r="J424" i="17"/>
  <c r="I425" i="17"/>
  <c r="K425" i="17" s="1"/>
  <c r="J425" i="17"/>
  <c r="I432" i="17"/>
  <c r="K432" i="17" s="1"/>
  <c r="J432" i="17"/>
  <c r="I433" i="17"/>
  <c r="K433" i="17" s="1"/>
  <c r="J433" i="17"/>
  <c r="I440" i="17"/>
  <c r="K440" i="17" s="1"/>
  <c r="I441" i="17"/>
  <c r="K441" i="17" s="1"/>
  <c r="J446" i="17"/>
  <c r="J440" i="17" s="1"/>
  <c r="J423" i="17" s="1"/>
  <c r="J412" i="17" s="1"/>
  <c r="J447" i="17"/>
  <c r="J441" i="17" s="1"/>
  <c r="I457" i="17"/>
  <c r="I456" i="17" s="1"/>
  <c r="K456" i="17" s="1"/>
  <c r="I458" i="17"/>
  <c r="K458" i="17" s="1"/>
  <c r="J459" i="17"/>
  <c r="J460" i="17"/>
  <c r="J467" i="17"/>
  <c r="J457" i="17" s="1"/>
  <c r="J456" i="17" s="1"/>
  <c r="J468" i="17"/>
  <c r="J458" i="17" s="1"/>
  <c r="J475" i="17"/>
  <c r="K475" i="17"/>
  <c r="J476" i="17"/>
  <c r="K476" i="17"/>
  <c r="J477" i="17"/>
  <c r="K477" i="17"/>
  <c r="J482" i="17"/>
  <c r="J483" i="17"/>
  <c r="I484" i="17"/>
  <c r="J484" i="17"/>
  <c r="K484" i="17"/>
  <c r="I485" i="17"/>
  <c r="K485" i="17" s="1"/>
  <c r="J485" i="17"/>
  <c r="L494" i="17"/>
  <c r="O494" i="17" s="1"/>
  <c r="M494" i="17"/>
  <c r="N494" i="17"/>
  <c r="Q494" i="17"/>
  <c r="T494" i="17" s="1"/>
  <c r="R494" i="17"/>
  <c r="S494" i="17"/>
  <c r="L495" i="17"/>
  <c r="M495" i="17"/>
  <c r="P495" i="17" s="1"/>
  <c r="N495" i="17"/>
  <c r="O495" i="17"/>
  <c r="L496" i="17"/>
  <c r="O496" i="17" s="1"/>
  <c r="M496" i="17"/>
  <c r="P496" i="17" s="1"/>
  <c r="N496" i="17"/>
  <c r="O497" i="17"/>
  <c r="P497" i="17"/>
  <c r="T497" i="17"/>
  <c r="U497" i="17"/>
  <c r="O498" i="17"/>
  <c r="P498" i="17"/>
  <c r="Q498" i="17"/>
  <c r="Q495" i="17" s="1"/>
  <c r="T495" i="17" s="1"/>
  <c r="R498" i="17"/>
  <c r="S498" i="17"/>
  <c r="S495" i="17" s="1"/>
  <c r="L499" i="17"/>
  <c r="M499" i="17"/>
  <c r="N499" i="17"/>
  <c r="O499" i="17"/>
  <c r="P499" i="17"/>
  <c r="Q499" i="17"/>
  <c r="T499" i="17" s="1"/>
  <c r="R499" i="17"/>
  <c r="S499" i="17"/>
  <c r="U499" i="17"/>
  <c r="O500" i="17"/>
  <c r="P500" i="17"/>
  <c r="T500" i="17"/>
  <c r="U500" i="17"/>
  <c r="O501" i="17"/>
  <c r="P501" i="17"/>
  <c r="T501" i="17"/>
  <c r="U501" i="17"/>
  <c r="I503" i="17"/>
  <c r="I492" i="17" s="1"/>
  <c r="K492" i="17" s="1"/>
  <c r="I504" i="17"/>
  <c r="I505" i="17"/>
  <c r="K505" i="17" s="1"/>
  <c r="I506" i="17"/>
  <c r="K506" i="17" s="1"/>
  <c r="I507" i="17"/>
  <c r="K507" i="17" s="1"/>
  <c r="K508" i="17"/>
  <c r="I509" i="17"/>
  <c r="K509" i="17" s="1"/>
  <c r="I512" i="17"/>
  <c r="K512" i="17" s="1"/>
  <c r="J512" i="17"/>
  <c r="L514" i="17"/>
  <c r="M514" i="17"/>
  <c r="P514" i="17" s="1"/>
  <c r="N514" i="17"/>
  <c r="O514" i="17"/>
  <c r="Q514" i="17"/>
  <c r="Q513" i="17" s="1"/>
  <c r="T513" i="17" s="1"/>
  <c r="R514" i="17"/>
  <c r="R513" i="17" s="1"/>
  <c r="U513" i="17" s="1"/>
  <c r="S514" i="17"/>
  <c r="U514" i="17"/>
  <c r="Q515" i="17"/>
  <c r="T515" i="17" s="1"/>
  <c r="R515" i="17"/>
  <c r="U515" i="17" s="1"/>
  <c r="S515" i="17"/>
  <c r="Q516" i="17"/>
  <c r="T516" i="17" s="1"/>
  <c r="R516" i="17"/>
  <c r="U516" i="17" s="1"/>
  <c r="S516" i="17"/>
  <c r="O517" i="17"/>
  <c r="P517" i="17"/>
  <c r="T517" i="17"/>
  <c r="U517" i="17"/>
  <c r="L518" i="17"/>
  <c r="L516" i="17" s="1"/>
  <c r="O516" i="17" s="1"/>
  <c r="M518" i="17"/>
  <c r="M516" i="17" s="1"/>
  <c r="P516" i="17" s="1"/>
  <c r="N518" i="17"/>
  <c r="N516" i="17" s="1"/>
  <c r="T518" i="17"/>
  <c r="U518" i="17"/>
  <c r="Q519" i="17"/>
  <c r="R519" i="17"/>
  <c r="U519" i="17" s="1"/>
  <c r="S519" i="17"/>
  <c r="T519" i="17"/>
  <c r="O520" i="17"/>
  <c r="P520" i="17"/>
  <c r="T520" i="17"/>
  <c r="U520" i="17"/>
  <c r="L521" i="17"/>
  <c r="M521" i="17"/>
  <c r="P521" i="17" s="1"/>
  <c r="N521" i="17"/>
  <c r="N519" i="17" s="1"/>
  <c r="T521" i="17"/>
  <c r="U521" i="17"/>
  <c r="K523" i="17"/>
  <c r="K524" i="17"/>
  <c r="I533" i="17"/>
  <c r="K533" i="17" s="1"/>
  <c r="J533" i="17"/>
  <c r="M534" i="17"/>
  <c r="P534" i="17" s="1"/>
  <c r="L535" i="17"/>
  <c r="M535" i="17"/>
  <c r="N535" i="17"/>
  <c r="O535" i="17"/>
  <c r="P535" i="17"/>
  <c r="Q535" i="17"/>
  <c r="T535" i="17" s="1"/>
  <c r="R535" i="17"/>
  <c r="S535" i="17"/>
  <c r="U535" i="17"/>
  <c r="L536" i="17"/>
  <c r="O536" i="17" s="1"/>
  <c r="M536" i="17"/>
  <c r="P536" i="17" s="1"/>
  <c r="N536" i="17"/>
  <c r="N534" i="17" s="1"/>
  <c r="Q536" i="17"/>
  <c r="T536" i="17" s="1"/>
  <c r="R536" i="17"/>
  <c r="U536" i="17" s="1"/>
  <c r="S536" i="17"/>
  <c r="S534" i="17" s="1"/>
  <c r="L537" i="17"/>
  <c r="O537" i="17" s="1"/>
  <c r="M537" i="17"/>
  <c r="P537" i="17" s="1"/>
  <c r="N537" i="17"/>
  <c r="Q537" i="17"/>
  <c r="R537" i="17"/>
  <c r="U537" i="17" s="1"/>
  <c r="S537" i="17"/>
  <c r="T537" i="17"/>
  <c r="O538" i="17"/>
  <c r="P538" i="17"/>
  <c r="T538" i="17"/>
  <c r="U538" i="17"/>
  <c r="O539" i="17"/>
  <c r="P539" i="17"/>
  <c r="T539" i="17"/>
  <c r="U539" i="17"/>
  <c r="L540" i="17"/>
  <c r="O540" i="17" s="1"/>
  <c r="M540" i="17"/>
  <c r="N540" i="17"/>
  <c r="P540" i="17"/>
  <c r="Q540" i="17"/>
  <c r="T540" i="17" s="1"/>
  <c r="R540" i="17"/>
  <c r="U540" i="17" s="1"/>
  <c r="S540" i="17"/>
  <c r="O541" i="17"/>
  <c r="P541" i="17"/>
  <c r="T541" i="17"/>
  <c r="U541" i="17"/>
  <c r="O542" i="17"/>
  <c r="P542" i="17"/>
  <c r="T542" i="17"/>
  <c r="U542" i="17"/>
  <c r="I554" i="17"/>
  <c r="K554" i="17" s="1"/>
  <c r="J554" i="17"/>
  <c r="L556" i="17"/>
  <c r="O556" i="17" s="1"/>
  <c r="M556" i="17"/>
  <c r="P556" i="17" s="1"/>
  <c r="N556" i="17"/>
  <c r="N555" i="17" s="1"/>
  <c r="Q556" i="17"/>
  <c r="T556" i="17" s="1"/>
  <c r="R556" i="17"/>
  <c r="S556" i="17"/>
  <c r="U556" i="17"/>
  <c r="L557" i="17"/>
  <c r="O557" i="17" s="1"/>
  <c r="M557" i="17"/>
  <c r="P557" i="17" s="1"/>
  <c r="N557" i="17"/>
  <c r="Q557" i="17"/>
  <c r="R557" i="17"/>
  <c r="U557" i="17" s="1"/>
  <c r="S557" i="17"/>
  <c r="L558" i="17"/>
  <c r="O558" i="17" s="1"/>
  <c r="M558" i="17"/>
  <c r="P558" i="17" s="1"/>
  <c r="N558" i="17"/>
  <c r="Q558" i="17"/>
  <c r="T558" i="17" s="1"/>
  <c r="R558" i="17"/>
  <c r="U558" i="17" s="1"/>
  <c r="S558" i="17"/>
  <c r="O559" i="17"/>
  <c r="P559" i="17"/>
  <c r="T559" i="17"/>
  <c r="U559" i="17"/>
  <c r="O560" i="17"/>
  <c r="P560" i="17"/>
  <c r="T560" i="17"/>
  <c r="U560" i="17"/>
  <c r="L561" i="17"/>
  <c r="O561" i="17" s="1"/>
  <c r="M561" i="17"/>
  <c r="P561" i="17" s="1"/>
  <c r="N561" i="17"/>
  <c r="Q561" i="17"/>
  <c r="R561" i="17"/>
  <c r="U561" i="17" s="1"/>
  <c r="S561" i="17"/>
  <c r="T561" i="17"/>
  <c r="O562" i="17"/>
  <c r="P562" i="17"/>
  <c r="T562" i="17"/>
  <c r="U562" i="17"/>
  <c r="O563" i="17"/>
  <c r="P563" i="17"/>
  <c r="T563" i="17"/>
  <c r="U563" i="17"/>
  <c r="I575" i="17"/>
  <c r="J575" i="17"/>
  <c r="K575" i="17"/>
  <c r="L577" i="17"/>
  <c r="O577" i="17" s="1"/>
  <c r="M577" i="17"/>
  <c r="N577" i="17"/>
  <c r="Q577" i="17"/>
  <c r="R577" i="17"/>
  <c r="U577" i="17" s="1"/>
  <c r="S577" i="17"/>
  <c r="T577" i="17"/>
  <c r="L578" i="17"/>
  <c r="O578" i="17" s="1"/>
  <c r="M578" i="17"/>
  <c r="N578" i="17"/>
  <c r="P578" i="17"/>
  <c r="Q578" i="17"/>
  <c r="R578" i="17"/>
  <c r="U578" i="17" s="1"/>
  <c r="S578" i="17"/>
  <c r="L579" i="17"/>
  <c r="O579" i="17" s="1"/>
  <c r="M579" i="17"/>
  <c r="N579" i="17"/>
  <c r="P579" i="17"/>
  <c r="Q579" i="17"/>
  <c r="T579" i="17" s="1"/>
  <c r="R579" i="17"/>
  <c r="U579" i="17" s="1"/>
  <c r="S579" i="17"/>
  <c r="O580" i="17"/>
  <c r="P580" i="17"/>
  <c r="T580" i="17"/>
  <c r="U580" i="17"/>
  <c r="O581" i="17"/>
  <c r="P581" i="17"/>
  <c r="T581" i="17"/>
  <c r="U581" i="17"/>
  <c r="L582" i="17"/>
  <c r="O582" i="17" s="1"/>
  <c r="M582" i="17"/>
  <c r="P582" i="17" s="1"/>
  <c r="N582" i="17"/>
  <c r="Q582" i="17"/>
  <c r="T582" i="17" s="1"/>
  <c r="R582" i="17"/>
  <c r="U582" i="17" s="1"/>
  <c r="S582" i="17"/>
  <c r="O583" i="17"/>
  <c r="P583" i="17"/>
  <c r="T583" i="17"/>
  <c r="U583" i="17"/>
  <c r="O584" i="17"/>
  <c r="P584" i="17"/>
  <c r="T584" i="17"/>
  <c r="U584" i="17"/>
  <c r="L600" i="17"/>
  <c r="L599" i="17" s="1"/>
  <c r="O599" i="17" s="1"/>
  <c r="M600" i="17"/>
  <c r="P600" i="17" s="1"/>
  <c r="N600" i="17"/>
  <c r="Q600" i="17"/>
  <c r="R600" i="17"/>
  <c r="R599" i="17" s="1"/>
  <c r="U599" i="17" s="1"/>
  <c r="S600" i="17"/>
  <c r="T600" i="17"/>
  <c r="L601" i="17"/>
  <c r="M601" i="17"/>
  <c r="P601" i="17" s="1"/>
  <c r="N601" i="17"/>
  <c r="O601" i="17"/>
  <c r="Q601" i="17"/>
  <c r="Q599" i="17" s="1"/>
  <c r="T599" i="17" s="1"/>
  <c r="R601" i="17"/>
  <c r="S601" i="17"/>
  <c r="U601" i="17"/>
  <c r="L602" i="17"/>
  <c r="O602" i="17" s="1"/>
  <c r="M602" i="17"/>
  <c r="P602" i="17" s="1"/>
  <c r="N602" i="17"/>
  <c r="Q602" i="17"/>
  <c r="T602" i="17" s="1"/>
  <c r="R602" i="17"/>
  <c r="U602" i="17" s="1"/>
  <c r="S602" i="17"/>
  <c r="O603" i="17"/>
  <c r="P603" i="17"/>
  <c r="T603" i="17"/>
  <c r="U603" i="17"/>
  <c r="O604" i="17"/>
  <c r="P604" i="17"/>
  <c r="T604" i="17"/>
  <c r="U604" i="17"/>
  <c r="L605" i="17"/>
  <c r="O605" i="17" s="1"/>
  <c r="M605" i="17"/>
  <c r="P605" i="17" s="1"/>
  <c r="N605" i="17"/>
  <c r="Q605" i="17"/>
  <c r="R605" i="17"/>
  <c r="U605" i="17" s="1"/>
  <c r="S605" i="17"/>
  <c r="T605" i="17"/>
  <c r="O606" i="17"/>
  <c r="P606" i="17"/>
  <c r="T606" i="17"/>
  <c r="U606" i="17"/>
  <c r="O607" i="17"/>
  <c r="P607" i="17"/>
  <c r="T607" i="17"/>
  <c r="U607" i="17"/>
  <c r="L617" i="17"/>
  <c r="M617" i="17"/>
  <c r="P617" i="17" s="1"/>
  <c r="N617" i="17"/>
  <c r="N616" i="17" s="1"/>
  <c r="Q617" i="17"/>
  <c r="T617" i="17" s="1"/>
  <c r="R617" i="17"/>
  <c r="S617" i="17"/>
  <c r="L618" i="17"/>
  <c r="O618" i="17" s="1"/>
  <c r="M618" i="17"/>
  <c r="P618" i="17" s="1"/>
  <c r="N618" i="17"/>
  <c r="L619" i="17"/>
  <c r="O619" i="17" s="1"/>
  <c r="M619" i="17"/>
  <c r="P619" i="17" s="1"/>
  <c r="N619" i="17"/>
  <c r="O620" i="17"/>
  <c r="P620" i="17"/>
  <c r="T620" i="17"/>
  <c r="U620" i="17"/>
  <c r="O621" i="17"/>
  <c r="P621" i="17"/>
  <c r="Q621" i="17"/>
  <c r="Q619" i="17" s="1"/>
  <c r="R621" i="17"/>
  <c r="R619" i="17" s="1"/>
  <c r="S621" i="17"/>
  <c r="S619" i="17" s="1"/>
  <c r="L622" i="17"/>
  <c r="O622" i="17" s="1"/>
  <c r="M622" i="17"/>
  <c r="P622" i="17" s="1"/>
  <c r="N622" i="17"/>
  <c r="Q622" i="17"/>
  <c r="T622" i="17" s="1"/>
  <c r="R622" i="17"/>
  <c r="U622" i="17" s="1"/>
  <c r="S622" i="17"/>
  <c r="O623" i="17"/>
  <c r="P623" i="17"/>
  <c r="T623" i="17"/>
  <c r="U623" i="17"/>
  <c r="O624" i="17"/>
  <c r="P624" i="17"/>
  <c r="T624" i="17"/>
  <c r="U624" i="17"/>
  <c r="I626" i="17"/>
  <c r="I615" i="17" s="1"/>
  <c r="J626" i="17"/>
  <c r="J615" i="17" s="1"/>
  <c r="I627" i="17"/>
  <c r="K627" i="17" s="1"/>
  <c r="I628" i="17"/>
  <c r="K628" i="17" s="1"/>
  <c r="J632" i="17"/>
  <c r="I635" i="17"/>
  <c r="K635" i="17" s="1"/>
  <c r="J635" i="17"/>
  <c r="J636" i="17"/>
  <c r="L643" i="17"/>
  <c r="L642" i="17" s="1"/>
  <c r="O642" i="17" s="1"/>
  <c r="M643" i="17"/>
  <c r="M642" i="17" s="1"/>
  <c r="P642" i="17" s="1"/>
  <c r="N643" i="17"/>
  <c r="Q643" i="17"/>
  <c r="R643" i="17"/>
  <c r="S643" i="17"/>
  <c r="L644" i="17"/>
  <c r="O644" i="17" s="1"/>
  <c r="M644" i="17"/>
  <c r="P644" i="17" s="1"/>
  <c r="N644" i="17"/>
  <c r="N642" i="17" s="1"/>
  <c r="L645" i="17"/>
  <c r="M645" i="17"/>
  <c r="P645" i="17" s="1"/>
  <c r="N645" i="17"/>
  <c r="O645" i="17"/>
  <c r="O646" i="17"/>
  <c r="P646" i="17"/>
  <c r="T646" i="17"/>
  <c r="U646" i="17"/>
  <c r="O647" i="17"/>
  <c r="P647" i="17"/>
  <c r="Q647" i="17"/>
  <c r="Q644" i="17" s="1"/>
  <c r="R647" i="17"/>
  <c r="R645" i="17" s="1"/>
  <c r="S647" i="17"/>
  <c r="L648" i="17"/>
  <c r="O648" i="17" s="1"/>
  <c r="M648" i="17"/>
  <c r="N648" i="17"/>
  <c r="P648" i="17"/>
  <c r="Q648" i="17"/>
  <c r="T648" i="17" s="1"/>
  <c r="R648" i="17"/>
  <c r="U648" i="17" s="1"/>
  <c r="S648" i="17"/>
  <c r="O649" i="17"/>
  <c r="P649" i="17"/>
  <c r="T649" i="17"/>
  <c r="U649" i="17"/>
  <c r="O650" i="17"/>
  <c r="P650" i="17"/>
  <c r="T650" i="17"/>
  <c r="U650" i="17"/>
  <c r="I652" i="17"/>
  <c r="K652" i="17" s="1"/>
  <c r="J652" i="17"/>
  <c r="I653" i="17"/>
  <c r="K653" i="17" s="1"/>
  <c r="J653" i="17"/>
  <c r="I654" i="17"/>
  <c r="J654" i="17"/>
  <c r="I657" i="17"/>
  <c r="I660" i="17"/>
  <c r="I661" i="17"/>
  <c r="K661" i="17" s="1"/>
  <c r="J661" i="17"/>
  <c r="J671" i="17"/>
  <c r="J672" i="17"/>
  <c r="I673" i="17"/>
  <c r="J673" i="17"/>
  <c r="I674" i="17"/>
  <c r="I675" i="17"/>
  <c r="I676" i="17"/>
  <c r="J676" i="17"/>
  <c r="J677" i="17"/>
  <c r="I678" i="17"/>
  <c r="J678" i="17"/>
  <c r="I679" i="17"/>
  <c r="K679" i="17" s="1"/>
  <c r="J679" i="17"/>
  <c r="J680" i="17"/>
  <c r="I681" i="17"/>
  <c r="K681" i="17" s="1"/>
  <c r="J681" i="17"/>
  <c r="I682" i="17"/>
  <c r="K682" i="17" s="1"/>
  <c r="J682" i="17"/>
  <c r="L691" i="17"/>
  <c r="L690" i="17" s="1"/>
  <c r="O690" i="17" s="1"/>
  <c r="M691" i="17"/>
  <c r="M690" i="17" s="1"/>
  <c r="P690" i="17" s="1"/>
  <c r="N691" i="17"/>
  <c r="N690" i="17" s="1"/>
  <c r="Q691" i="17"/>
  <c r="R691" i="17"/>
  <c r="S691" i="17"/>
  <c r="U691" i="17"/>
  <c r="L692" i="17"/>
  <c r="O692" i="17" s="1"/>
  <c r="M692" i="17"/>
  <c r="P692" i="17" s="1"/>
  <c r="N692" i="17"/>
  <c r="L693" i="17"/>
  <c r="M693" i="17"/>
  <c r="P693" i="17" s="1"/>
  <c r="N693" i="17"/>
  <c r="O693" i="17"/>
  <c r="O694" i="17"/>
  <c r="P694" i="17"/>
  <c r="T694" i="17"/>
  <c r="U694" i="17"/>
  <c r="O695" i="17"/>
  <c r="P695" i="17"/>
  <c r="Q695" i="17"/>
  <c r="Q692" i="17" s="1"/>
  <c r="R695" i="17"/>
  <c r="R693" i="17" s="1"/>
  <c r="S695" i="17"/>
  <c r="S692" i="17" s="1"/>
  <c r="L696" i="17"/>
  <c r="O696" i="17" s="1"/>
  <c r="M696" i="17"/>
  <c r="N696" i="17"/>
  <c r="P696" i="17"/>
  <c r="Q696" i="17"/>
  <c r="T696" i="17" s="1"/>
  <c r="R696" i="17"/>
  <c r="U696" i="17" s="1"/>
  <c r="S696" i="17"/>
  <c r="O697" i="17"/>
  <c r="P697" i="17"/>
  <c r="T697" i="17"/>
  <c r="U697" i="17"/>
  <c r="O698" i="17"/>
  <c r="P698" i="17"/>
  <c r="T698" i="17"/>
  <c r="U698" i="17"/>
  <c r="I700" i="17"/>
  <c r="K700" i="17" s="1"/>
  <c r="K702" i="17"/>
  <c r="I703" i="17"/>
  <c r="K703" i="17" s="1"/>
  <c r="J703" i="17"/>
  <c r="J704" i="17"/>
  <c r="K704" i="17"/>
  <c r="I705" i="17"/>
  <c r="J705" i="17"/>
  <c r="J706" i="17"/>
  <c r="K706" i="17"/>
  <c r="I707" i="17"/>
  <c r="I689" i="17" s="1"/>
  <c r="K689" i="17" s="1"/>
  <c r="J707" i="17"/>
  <c r="J689" i="17" s="1"/>
  <c r="J708" i="17"/>
  <c r="K708" i="17"/>
  <c r="I709" i="17"/>
  <c r="J709" i="17"/>
  <c r="J710" i="17"/>
  <c r="K710" i="17"/>
  <c r="J712" i="17"/>
  <c r="K712" i="17"/>
  <c r="L715" i="17"/>
  <c r="L714" i="17" s="1"/>
  <c r="O714" i="17" s="1"/>
  <c r="M715" i="17"/>
  <c r="M714" i="17" s="1"/>
  <c r="P714" i="17" s="1"/>
  <c r="N715" i="17"/>
  <c r="N714" i="17" s="1"/>
  <c r="Q715" i="17"/>
  <c r="Q714" i="17" s="1"/>
  <c r="T714" i="17" s="1"/>
  <c r="R715" i="17"/>
  <c r="R714" i="17" s="1"/>
  <c r="U714" i="17" s="1"/>
  <c r="S715" i="17"/>
  <c r="S714" i="17" s="1"/>
  <c r="T715" i="17"/>
  <c r="U715" i="17"/>
  <c r="L716" i="17"/>
  <c r="M716" i="17"/>
  <c r="N716" i="17"/>
  <c r="O716" i="17"/>
  <c r="P716" i="17"/>
  <c r="Q716" i="17"/>
  <c r="T716" i="17" s="1"/>
  <c r="R716" i="17"/>
  <c r="S716" i="17"/>
  <c r="U716" i="17"/>
  <c r="L717" i="17"/>
  <c r="O717" i="17" s="1"/>
  <c r="M717" i="17"/>
  <c r="P717" i="17" s="1"/>
  <c r="N717" i="17"/>
  <c r="Q717" i="17"/>
  <c r="T717" i="17" s="1"/>
  <c r="R717" i="17"/>
  <c r="U717" i="17" s="1"/>
  <c r="S717" i="17"/>
  <c r="O718" i="17"/>
  <c r="P718" i="17"/>
  <c r="T718" i="17"/>
  <c r="U718" i="17"/>
  <c r="O719" i="17"/>
  <c r="P719" i="17"/>
  <c r="T719" i="17"/>
  <c r="U719" i="17"/>
  <c r="L720" i="17"/>
  <c r="O720" i="17" s="1"/>
  <c r="M720" i="17"/>
  <c r="P720" i="17" s="1"/>
  <c r="N720" i="17"/>
  <c r="Q720" i="17"/>
  <c r="T720" i="17" s="1"/>
  <c r="R720" i="17"/>
  <c r="U720" i="17" s="1"/>
  <c r="S720" i="17"/>
  <c r="O721" i="17"/>
  <c r="P721" i="17"/>
  <c r="T721" i="17"/>
  <c r="U721" i="17"/>
  <c r="O722" i="17"/>
  <c r="P722" i="17"/>
  <c r="T722" i="17"/>
  <c r="U722" i="17"/>
  <c r="I726" i="17"/>
  <c r="J726" i="17"/>
  <c r="I727" i="17"/>
  <c r="J727" i="17"/>
  <c r="L729" i="17"/>
  <c r="L728" i="17" s="1"/>
  <c r="O728" i="17" s="1"/>
  <c r="M729" i="17"/>
  <c r="M728" i="17" s="1"/>
  <c r="P728" i="17" s="1"/>
  <c r="N729" i="17"/>
  <c r="N728" i="17" s="1"/>
  <c r="O729" i="17"/>
  <c r="Q729" i="17"/>
  <c r="R729" i="17"/>
  <c r="S729" i="17"/>
  <c r="T729" i="17"/>
  <c r="U729" i="17"/>
  <c r="L730" i="17"/>
  <c r="O730" i="17" s="1"/>
  <c r="M730" i="17"/>
  <c r="N730" i="17"/>
  <c r="P730" i="17"/>
  <c r="L731" i="17"/>
  <c r="O731" i="17" s="1"/>
  <c r="M731" i="17"/>
  <c r="P731" i="17" s="1"/>
  <c r="N731" i="17"/>
  <c r="O732" i="17"/>
  <c r="P732" i="17"/>
  <c r="T732" i="17"/>
  <c r="U732" i="17"/>
  <c r="O733" i="17"/>
  <c r="P733" i="17"/>
  <c r="Q733" i="17"/>
  <c r="Q731" i="17" s="1"/>
  <c r="R733" i="17"/>
  <c r="R730" i="17" s="1"/>
  <c r="S733" i="17"/>
  <c r="S731" i="17" s="1"/>
  <c r="L734" i="17"/>
  <c r="M734" i="17"/>
  <c r="N734" i="17"/>
  <c r="O734" i="17"/>
  <c r="P734" i="17"/>
  <c r="Q734" i="17"/>
  <c r="R734" i="17"/>
  <c r="S734" i="17"/>
  <c r="T734" i="17"/>
  <c r="U734" i="17"/>
  <c r="O735" i="17"/>
  <c r="P735" i="17"/>
  <c r="T735" i="17"/>
  <c r="U735" i="17"/>
  <c r="O736" i="17"/>
  <c r="P736" i="17"/>
  <c r="T736" i="17"/>
  <c r="U736" i="17"/>
  <c r="I740" i="17"/>
  <c r="K740" i="17" s="1"/>
  <c r="I742" i="17"/>
  <c r="K742" i="17" s="1"/>
  <c r="I744" i="17"/>
  <c r="K744" i="17" s="1"/>
  <c r="I746" i="17"/>
  <c r="K746" i="17" s="1"/>
  <c r="I749" i="17"/>
  <c r="K749" i="17" s="1"/>
  <c r="I752" i="17"/>
  <c r="K752" i="17" s="1"/>
  <c r="I755" i="17"/>
  <c r="K755" i="17" s="1"/>
  <c r="J758" i="17"/>
  <c r="J759" i="17"/>
  <c r="L761" i="17"/>
  <c r="L760" i="17" s="1"/>
  <c r="O760" i="17" s="1"/>
  <c r="M761" i="17"/>
  <c r="M760" i="17" s="1"/>
  <c r="P760" i="17" s="1"/>
  <c r="N761" i="17"/>
  <c r="Q761" i="17"/>
  <c r="R761" i="17"/>
  <c r="U761" i="17" s="1"/>
  <c r="S761" i="17"/>
  <c r="L762" i="17"/>
  <c r="O762" i="17" s="1"/>
  <c r="M762" i="17"/>
  <c r="N762" i="17"/>
  <c r="P762" i="17"/>
  <c r="L763" i="17"/>
  <c r="O763" i="17" s="1"/>
  <c r="M763" i="17"/>
  <c r="P763" i="17" s="1"/>
  <c r="N763" i="17"/>
  <c r="O764" i="17"/>
  <c r="P764" i="17"/>
  <c r="T764" i="17"/>
  <c r="U764" i="17"/>
  <c r="O765" i="17"/>
  <c r="P765" i="17"/>
  <c r="Q765" i="17"/>
  <c r="Q763" i="17" s="1"/>
  <c r="R765" i="17"/>
  <c r="R762" i="17" s="1"/>
  <c r="S765" i="17"/>
  <c r="L766" i="17"/>
  <c r="O766" i="17" s="1"/>
  <c r="M766" i="17"/>
  <c r="N766" i="17"/>
  <c r="P766" i="17"/>
  <c r="Q766" i="17"/>
  <c r="T766" i="17" s="1"/>
  <c r="R766" i="17"/>
  <c r="U766" i="17" s="1"/>
  <c r="S766" i="17"/>
  <c r="O767" i="17"/>
  <c r="P767" i="17"/>
  <c r="T767" i="17"/>
  <c r="U767" i="17"/>
  <c r="O768" i="17"/>
  <c r="P768" i="17"/>
  <c r="T768" i="17"/>
  <c r="U768" i="17"/>
  <c r="I770" i="17"/>
  <c r="K770" i="17" s="1"/>
  <c r="I772" i="17"/>
  <c r="I758" i="17" s="1"/>
  <c r="K758" i="17" s="1"/>
  <c r="I774" i="17"/>
  <c r="K774" i="17" s="1"/>
  <c r="I775" i="17"/>
  <c r="I776" i="17"/>
  <c r="H777" i="17"/>
  <c r="I778" i="17"/>
  <c r="J778" i="17"/>
  <c r="I779" i="17"/>
  <c r="J779" i="17"/>
  <c r="I780" i="17"/>
  <c r="J780" i="17"/>
  <c r="I781" i="17"/>
  <c r="J781" i="17"/>
  <c r="I782" i="17"/>
  <c r="J782" i="17"/>
  <c r="I783" i="17"/>
  <c r="J783" i="17"/>
  <c r="I784" i="17"/>
  <c r="J784" i="17"/>
  <c r="I785" i="17"/>
  <c r="J785" i="17"/>
  <c r="A788" i="17"/>
  <c r="A789" i="17"/>
  <c r="L22" i="16"/>
  <c r="L19" i="16" s="1"/>
  <c r="M22" i="16"/>
  <c r="N22" i="16"/>
  <c r="N19" i="16" s="1"/>
  <c r="O22" i="16"/>
  <c r="Q22" i="16"/>
  <c r="T22" i="16" s="1"/>
  <c r="R22" i="16"/>
  <c r="R19" i="16" s="1"/>
  <c r="S22" i="16"/>
  <c r="U22" i="16"/>
  <c r="Q24" i="16"/>
  <c r="T24" i="16" s="1"/>
  <c r="L25" i="16"/>
  <c r="M25" i="16"/>
  <c r="N25" i="16"/>
  <c r="O25" i="16"/>
  <c r="Q25" i="16"/>
  <c r="T25" i="16" s="1"/>
  <c r="R25" i="16"/>
  <c r="S25" i="16"/>
  <c r="U25" i="16"/>
  <c r="Q26" i="16"/>
  <c r="T26" i="16" s="1"/>
  <c r="R26" i="16"/>
  <c r="R24" i="16" s="1"/>
  <c r="U24" i="16" s="1"/>
  <c r="S26" i="16"/>
  <c r="U26" i="16"/>
  <c r="R44" i="16"/>
  <c r="U44" i="16" s="1"/>
  <c r="L45" i="16"/>
  <c r="O45" i="16" s="1"/>
  <c r="M45" i="16"/>
  <c r="N45" i="16"/>
  <c r="P45" i="16"/>
  <c r="Q45" i="16"/>
  <c r="Q44" i="16" s="1"/>
  <c r="T44" i="16" s="1"/>
  <c r="R45" i="16"/>
  <c r="U45" i="16" s="1"/>
  <c r="S45" i="16"/>
  <c r="T45" i="16"/>
  <c r="Q46" i="16"/>
  <c r="R46" i="16"/>
  <c r="U46" i="16" s="1"/>
  <c r="S46" i="16"/>
  <c r="S44" i="16" s="1"/>
  <c r="T46" i="16"/>
  <c r="Q47" i="16"/>
  <c r="R47" i="16"/>
  <c r="U47" i="16" s="1"/>
  <c r="S47" i="16"/>
  <c r="T47" i="16"/>
  <c r="O48" i="16"/>
  <c r="P48" i="16"/>
  <c r="T48" i="16"/>
  <c r="U48" i="16"/>
  <c r="L49" i="16"/>
  <c r="L47" i="16" s="1"/>
  <c r="M49" i="16"/>
  <c r="M47" i="16" s="1"/>
  <c r="N49" i="16"/>
  <c r="N47" i="16" s="1"/>
  <c r="T49" i="16"/>
  <c r="U49" i="16"/>
  <c r="Q50" i="16"/>
  <c r="T50" i="16" s="1"/>
  <c r="R50" i="16"/>
  <c r="S50" i="16"/>
  <c r="U50" i="16"/>
  <c r="O51" i="16"/>
  <c r="P51" i="16"/>
  <c r="T51" i="16"/>
  <c r="U51" i="16"/>
  <c r="L52" i="16"/>
  <c r="L50" i="16" s="1"/>
  <c r="O50" i="16" s="1"/>
  <c r="M52" i="16"/>
  <c r="N52" i="16"/>
  <c r="T52" i="16"/>
  <c r="U52" i="16"/>
  <c r="R59" i="16"/>
  <c r="U59" i="16" s="1"/>
  <c r="L60" i="16"/>
  <c r="O60" i="16" s="1"/>
  <c r="M60" i="16"/>
  <c r="N60" i="16"/>
  <c r="P60" i="16"/>
  <c r="Q60" i="16"/>
  <c r="Q59" i="16" s="1"/>
  <c r="T59" i="16" s="1"/>
  <c r="R60" i="16"/>
  <c r="U60" i="16" s="1"/>
  <c r="S60" i="16"/>
  <c r="T60" i="16"/>
  <c r="Q61" i="16"/>
  <c r="R61" i="16"/>
  <c r="U61" i="16" s="1"/>
  <c r="S61" i="16"/>
  <c r="S59" i="16" s="1"/>
  <c r="T61" i="16"/>
  <c r="Q62" i="16"/>
  <c r="R62" i="16"/>
  <c r="U62" i="16" s="1"/>
  <c r="S62" i="16"/>
  <c r="T62" i="16"/>
  <c r="O63" i="16"/>
  <c r="P63" i="16"/>
  <c r="T63" i="16"/>
  <c r="U63" i="16"/>
  <c r="L64" i="16"/>
  <c r="L62" i="16" s="1"/>
  <c r="M64" i="16"/>
  <c r="M62" i="16" s="1"/>
  <c r="N64" i="16"/>
  <c r="N62" i="16" s="1"/>
  <c r="T64" i="16"/>
  <c r="U64" i="16"/>
  <c r="Q65" i="16"/>
  <c r="T65" i="16" s="1"/>
  <c r="R65" i="16"/>
  <c r="S65" i="16"/>
  <c r="U65" i="16"/>
  <c r="O66" i="16"/>
  <c r="P66" i="16"/>
  <c r="T66" i="16"/>
  <c r="U66" i="16"/>
  <c r="L67" i="16"/>
  <c r="L65" i="16" s="1"/>
  <c r="O65" i="16" s="1"/>
  <c r="M67" i="16"/>
  <c r="N67" i="16"/>
  <c r="N65" i="16" s="1"/>
  <c r="T67" i="16"/>
  <c r="U67" i="16"/>
  <c r="L73" i="16"/>
  <c r="O73" i="16" s="1"/>
  <c r="M73" i="16"/>
  <c r="N73" i="16"/>
  <c r="P73" i="16"/>
  <c r="Q73" i="16"/>
  <c r="R73" i="16"/>
  <c r="U73" i="16" s="1"/>
  <c r="S73" i="16"/>
  <c r="T73" i="16"/>
  <c r="O76" i="16"/>
  <c r="P76" i="16"/>
  <c r="T76" i="16"/>
  <c r="U76" i="16"/>
  <c r="L77" i="16"/>
  <c r="L75" i="16" s="1"/>
  <c r="M77" i="16"/>
  <c r="M75" i="16" s="1"/>
  <c r="N77" i="16"/>
  <c r="N75" i="16" s="1"/>
  <c r="Q77" i="16"/>
  <c r="Q74" i="16" s="1"/>
  <c r="R77" i="16"/>
  <c r="R74" i="16" s="1"/>
  <c r="R72" i="16" s="1"/>
  <c r="S77" i="16"/>
  <c r="S75" i="16" s="1"/>
  <c r="Q78" i="16"/>
  <c r="R78" i="16"/>
  <c r="U78" i="16" s="1"/>
  <c r="S78" i="16"/>
  <c r="T78" i="16"/>
  <c r="O79" i="16"/>
  <c r="P79" i="16"/>
  <c r="T79" i="16"/>
  <c r="U79" i="16"/>
  <c r="L80" i="16"/>
  <c r="O80" i="16" s="1"/>
  <c r="M80" i="16"/>
  <c r="M78" i="16" s="1"/>
  <c r="P78" i="16" s="1"/>
  <c r="N80" i="16"/>
  <c r="N78" i="16" s="1"/>
  <c r="T80" i="16"/>
  <c r="U80" i="16"/>
  <c r="J82" i="16"/>
  <c r="J70" i="16" s="1"/>
  <c r="J83" i="16"/>
  <c r="J71" i="16" s="1"/>
  <c r="I84" i="16"/>
  <c r="K84" i="16" s="1"/>
  <c r="I85" i="16"/>
  <c r="K85" i="16" s="1"/>
  <c r="I86" i="16"/>
  <c r="K86" i="16" s="1"/>
  <c r="I87" i="16"/>
  <c r="K87" i="16" s="1"/>
  <c r="I88" i="16"/>
  <c r="K88" i="16" s="1"/>
  <c r="I89" i="16"/>
  <c r="K89" i="16" s="1"/>
  <c r="I90" i="16"/>
  <c r="K90" i="16" s="1"/>
  <c r="J92" i="16"/>
  <c r="J93" i="16"/>
  <c r="L95" i="16"/>
  <c r="M95" i="16"/>
  <c r="P95" i="16" s="1"/>
  <c r="N95" i="16"/>
  <c r="O95" i="16"/>
  <c r="Q95" i="16"/>
  <c r="R95" i="16"/>
  <c r="S95" i="16"/>
  <c r="U95" i="16"/>
  <c r="O98" i="16"/>
  <c r="P98" i="16"/>
  <c r="T98" i="16"/>
  <c r="U98" i="16"/>
  <c r="L99" i="16"/>
  <c r="M99" i="16"/>
  <c r="M97" i="16" s="1"/>
  <c r="P97" i="16" s="1"/>
  <c r="N99" i="16"/>
  <c r="N97" i="16" s="1"/>
  <c r="Q99" i="16"/>
  <c r="Q96" i="16" s="1"/>
  <c r="T96" i="16" s="1"/>
  <c r="R99" i="16"/>
  <c r="R96" i="16" s="1"/>
  <c r="U96" i="16" s="1"/>
  <c r="S99" i="16"/>
  <c r="S96" i="16" s="1"/>
  <c r="S94" i="16" s="1"/>
  <c r="Q100" i="16"/>
  <c r="R100" i="16"/>
  <c r="S100" i="16"/>
  <c r="T100" i="16"/>
  <c r="U100" i="16"/>
  <c r="O101" i="16"/>
  <c r="P101" i="16"/>
  <c r="T101" i="16"/>
  <c r="U101" i="16"/>
  <c r="L102" i="16"/>
  <c r="O102" i="16" s="1"/>
  <c r="M102" i="16"/>
  <c r="P102" i="16" s="1"/>
  <c r="N102" i="16"/>
  <c r="N100" i="16" s="1"/>
  <c r="T102" i="16"/>
  <c r="U102" i="16"/>
  <c r="I108" i="16"/>
  <c r="K108" i="16" s="1"/>
  <c r="I109" i="16"/>
  <c r="I93" i="16" s="1"/>
  <c r="K93" i="16" s="1"/>
  <c r="I114" i="16"/>
  <c r="K114" i="16" s="1"/>
  <c r="J116" i="16"/>
  <c r="L118" i="16"/>
  <c r="M118" i="16"/>
  <c r="N118" i="16"/>
  <c r="O118" i="16"/>
  <c r="P118" i="16"/>
  <c r="Q118" i="16"/>
  <c r="R118" i="16"/>
  <c r="S118" i="16"/>
  <c r="U118" i="16"/>
  <c r="O121" i="16"/>
  <c r="P121" i="16"/>
  <c r="T121" i="16"/>
  <c r="U121" i="16"/>
  <c r="L122" i="16"/>
  <c r="M122" i="16"/>
  <c r="N122" i="16"/>
  <c r="Q122" i="16"/>
  <c r="Q119" i="16" s="1"/>
  <c r="R122" i="16"/>
  <c r="R119" i="16" s="1"/>
  <c r="S122" i="16"/>
  <c r="S119" i="16" s="1"/>
  <c r="S117" i="16" s="1"/>
  <c r="Q123" i="16"/>
  <c r="R123" i="16"/>
  <c r="S123" i="16"/>
  <c r="T123" i="16"/>
  <c r="U123" i="16"/>
  <c r="O124" i="16"/>
  <c r="P124" i="16"/>
  <c r="T124" i="16"/>
  <c r="U124" i="16"/>
  <c r="L125" i="16"/>
  <c r="O125" i="16" s="1"/>
  <c r="M125" i="16"/>
  <c r="P125" i="16" s="1"/>
  <c r="N125" i="16"/>
  <c r="N123" i="16" s="1"/>
  <c r="T125" i="16"/>
  <c r="U125" i="16"/>
  <c r="I127" i="16"/>
  <c r="I116" i="16" s="1"/>
  <c r="K116" i="16" s="1"/>
  <c r="I128" i="16"/>
  <c r="K128" i="16" s="1"/>
  <c r="I129" i="16"/>
  <c r="K129" i="16" s="1"/>
  <c r="I130" i="16"/>
  <c r="K130" i="16" s="1"/>
  <c r="J136" i="16"/>
  <c r="J137" i="16"/>
  <c r="J138" i="16"/>
  <c r="L140" i="16"/>
  <c r="M140" i="16"/>
  <c r="N140" i="16"/>
  <c r="O140" i="16"/>
  <c r="Q140" i="16"/>
  <c r="R140" i="16"/>
  <c r="S140" i="16"/>
  <c r="T140" i="16"/>
  <c r="U140" i="16"/>
  <c r="O143" i="16"/>
  <c r="P143" i="16"/>
  <c r="T143" i="16"/>
  <c r="U143" i="16"/>
  <c r="L144" i="16"/>
  <c r="M144" i="16"/>
  <c r="P144" i="16" s="1"/>
  <c r="N144" i="16"/>
  <c r="N142" i="16" s="1"/>
  <c r="Q144" i="16"/>
  <c r="Q141" i="16" s="1"/>
  <c r="R144" i="16"/>
  <c r="R141" i="16" s="1"/>
  <c r="S144" i="16"/>
  <c r="S141" i="16" s="1"/>
  <c r="Q145" i="16"/>
  <c r="T145" i="16" s="1"/>
  <c r="R145" i="16"/>
  <c r="U145" i="16" s="1"/>
  <c r="S145" i="16"/>
  <c r="O146" i="16"/>
  <c r="P146" i="16"/>
  <c r="T146" i="16"/>
  <c r="U146" i="16"/>
  <c r="L147" i="16"/>
  <c r="L145" i="16" s="1"/>
  <c r="O145" i="16" s="1"/>
  <c r="M147" i="16"/>
  <c r="M145" i="16" s="1"/>
  <c r="P145" i="16" s="1"/>
  <c r="N147" i="16"/>
  <c r="N145" i="16" s="1"/>
  <c r="T147" i="16"/>
  <c r="U147" i="16"/>
  <c r="I150" i="16"/>
  <c r="K150" i="16" s="1"/>
  <c r="I151" i="16"/>
  <c r="K151" i="16" s="1"/>
  <c r="I152" i="16"/>
  <c r="I153" i="16"/>
  <c r="I138" i="16" s="1"/>
  <c r="K138" i="16" s="1"/>
  <c r="I154" i="16"/>
  <c r="I136" i="16" s="1"/>
  <c r="K136" i="16" s="1"/>
  <c r="J156" i="16"/>
  <c r="L158" i="16"/>
  <c r="M158" i="16"/>
  <c r="N158" i="16"/>
  <c r="O158" i="16"/>
  <c r="P158" i="16"/>
  <c r="Q158" i="16"/>
  <c r="R158" i="16"/>
  <c r="S158" i="16"/>
  <c r="U158" i="16"/>
  <c r="O161" i="16"/>
  <c r="P161" i="16"/>
  <c r="T161" i="16"/>
  <c r="U161" i="16"/>
  <c r="L162" i="16"/>
  <c r="M162" i="16"/>
  <c r="N162" i="16"/>
  <c r="N160" i="16" s="1"/>
  <c r="Q162" i="16"/>
  <c r="Q160" i="16" s="1"/>
  <c r="T160" i="16" s="1"/>
  <c r="R162" i="16"/>
  <c r="R159" i="16" s="1"/>
  <c r="U159" i="16" s="1"/>
  <c r="S162" i="16"/>
  <c r="S159" i="16" s="1"/>
  <c r="S157" i="16" s="1"/>
  <c r="Q163" i="16"/>
  <c r="T163" i="16" s="1"/>
  <c r="R163" i="16"/>
  <c r="S163" i="16"/>
  <c r="U163" i="16"/>
  <c r="O164" i="16"/>
  <c r="P164" i="16"/>
  <c r="T164" i="16"/>
  <c r="U164" i="16"/>
  <c r="L165" i="16"/>
  <c r="L163" i="16" s="1"/>
  <c r="O163" i="16" s="1"/>
  <c r="M165" i="16"/>
  <c r="N165" i="16"/>
  <c r="N163" i="16" s="1"/>
  <c r="T165" i="16"/>
  <c r="U165" i="16"/>
  <c r="I167" i="16"/>
  <c r="I156" i="16" s="1"/>
  <c r="K156" i="16" s="1"/>
  <c r="J172" i="16"/>
  <c r="L174" i="16"/>
  <c r="M174" i="16"/>
  <c r="N174" i="16"/>
  <c r="O174" i="16"/>
  <c r="P174" i="16"/>
  <c r="Q174" i="16"/>
  <c r="R174" i="16"/>
  <c r="S174" i="16"/>
  <c r="U174" i="16"/>
  <c r="O177" i="16"/>
  <c r="P177" i="16"/>
  <c r="T177" i="16"/>
  <c r="U177" i="16"/>
  <c r="L178" i="16"/>
  <c r="L176" i="16" s="1"/>
  <c r="M178" i="16"/>
  <c r="N178" i="16"/>
  <c r="N176" i="16" s="1"/>
  <c r="Q178" i="16"/>
  <c r="R178" i="16"/>
  <c r="S178" i="16"/>
  <c r="S175" i="16" s="1"/>
  <c r="S173" i="16" s="1"/>
  <c r="Q179" i="16"/>
  <c r="R179" i="16"/>
  <c r="S179" i="16"/>
  <c r="T179" i="16"/>
  <c r="U179" i="16"/>
  <c r="O180" i="16"/>
  <c r="P180" i="16"/>
  <c r="T180" i="16"/>
  <c r="U180" i="16"/>
  <c r="L181" i="16"/>
  <c r="M181" i="16"/>
  <c r="P181" i="16" s="1"/>
  <c r="N181" i="16"/>
  <c r="N179" i="16" s="1"/>
  <c r="T181" i="16"/>
  <c r="U181" i="16"/>
  <c r="I183" i="16"/>
  <c r="I172" i="16" s="1"/>
  <c r="K172" i="16" s="1"/>
  <c r="K184" i="16"/>
  <c r="L187" i="16"/>
  <c r="O187" i="16" s="1"/>
  <c r="M187" i="16"/>
  <c r="N187" i="16"/>
  <c r="P187" i="16"/>
  <c r="Q187" i="16"/>
  <c r="R187" i="16"/>
  <c r="S187" i="16"/>
  <c r="T187" i="16"/>
  <c r="O190" i="16"/>
  <c r="P190" i="16"/>
  <c r="T190" i="16"/>
  <c r="U190" i="16"/>
  <c r="L191" i="16"/>
  <c r="L189" i="16" s="1"/>
  <c r="M191" i="16"/>
  <c r="N191" i="16"/>
  <c r="N189" i="16" s="1"/>
  <c r="Q191" i="16"/>
  <c r="Q188" i="16" s="1"/>
  <c r="R191" i="16"/>
  <c r="R189" i="16" s="1"/>
  <c r="S191" i="16"/>
  <c r="S189" i="16" s="1"/>
  <c r="Q192" i="16"/>
  <c r="T192" i="16" s="1"/>
  <c r="R192" i="16"/>
  <c r="S192" i="16"/>
  <c r="U192" i="16"/>
  <c r="O193" i="16"/>
  <c r="P193" i="16"/>
  <c r="T193" i="16"/>
  <c r="U193" i="16"/>
  <c r="L194" i="16"/>
  <c r="L192" i="16" s="1"/>
  <c r="O192" i="16" s="1"/>
  <c r="M194" i="16"/>
  <c r="N194" i="16"/>
  <c r="T194" i="16"/>
  <c r="U194" i="16"/>
  <c r="J195" i="16"/>
  <c r="L196" i="16"/>
  <c r="O196" i="16" s="1"/>
  <c r="P196" i="16"/>
  <c r="I198" i="16"/>
  <c r="I195" i="16" s="1"/>
  <c r="K195" i="16" s="1"/>
  <c r="J199" i="16"/>
  <c r="J202" i="16"/>
  <c r="N203" i="16"/>
  <c r="P203" i="16"/>
  <c r="S203" i="16"/>
  <c r="U203" i="16"/>
  <c r="L204" i="16"/>
  <c r="L205" i="16"/>
  <c r="L206" i="16"/>
  <c r="Q206" i="16"/>
  <c r="Q203" i="16" s="1"/>
  <c r="T203" i="16" s="1"/>
  <c r="L207" i="16"/>
  <c r="I209" i="16"/>
  <c r="I211" i="16"/>
  <c r="K211" i="16" s="1"/>
  <c r="I212" i="16"/>
  <c r="K212" i="16" s="1"/>
  <c r="J213" i="16"/>
  <c r="N214" i="16"/>
  <c r="P214" i="16"/>
  <c r="S214" i="16"/>
  <c r="U214" i="16"/>
  <c r="L215" i="16"/>
  <c r="L216" i="16"/>
  <c r="L217" i="16"/>
  <c r="Q217" i="16"/>
  <c r="Q214" i="16" s="1"/>
  <c r="T214" i="16" s="1"/>
  <c r="I219" i="16"/>
  <c r="K219" i="16" s="1"/>
  <c r="I220" i="16"/>
  <c r="K220" i="16" s="1"/>
  <c r="J221" i="16"/>
  <c r="N222" i="16"/>
  <c r="P222" i="16"/>
  <c r="L223" i="16"/>
  <c r="L224" i="16"/>
  <c r="L225" i="16"/>
  <c r="I228" i="16"/>
  <c r="K228" i="16" s="1"/>
  <c r="I229" i="16"/>
  <c r="K229" i="16" s="1"/>
  <c r="I230" i="16"/>
  <c r="K230" i="16" s="1"/>
  <c r="J231" i="16"/>
  <c r="J185" i="16" s="1"/>
  <c r="N233" i="16"/>
  <c r="N234" i="16"/>
  <c r="N235" i="16"/>
  <c r="N236" i="16"/>
  <c r="J238" i="16"/>
  <c r="I240" i="16"/>
  <c r="J240" i="16"/>
  <c r="K240" i="16"/>
  <c r="I241" i="16"/>
  <c r="K241" i="16" s="1"/>
  <c r="J241" i="16"/>
  <c r="J242" i="16"/>
  <c r="N243" i="16"/>
  <c r="N232" i="16" s="1"/>
  <c r="P243" i="16"/>
  <c r="L244" i="16"/>
  <c r="L245" i="16"/>
  <c r="L246" i="16"/>
  <c r="L247" i="16"/>
  <c r="I249" i="16"/>
  <c r="K249" i="16" s="1"/>
  <c r="K251" i="16"/>
  <c r="K252" i="16"/>
  <c r="J253" i="16"/>
  <c r="N254" i="16"/>
  <c r="P254" i="16"/>
  <c r="L255" i="16"/>
  <c r="L256" i="16"/>
  <c r="L257" i="16"/>
  <c r="L258" i="16"/>
  <c r="I260" i="16"/>
  <c r="K262" i="16"/>
  <c r="K263" i="16"/>
  <c r="J265" i="16"/>
  <c r="L267" i="16"/>
  <c r="M267" i="16"/>
  <c r="P267" i="16" s="1"/>
  <c r="N267" i="16"/>
  <c r="O267" i="16"/>
  <c r="Q267" i="16"/>
  <c r="R267" i="16"/>
  <c r="S267" i="16"/>
  <c r="T267" i="16"/>
  <c r="U267" i="16"/>
  <c r="O270" i="16"/>
  <c r="P270" i="16"/>
  <c r="T270" i="16"/>
  <c r="U270" i="16"/>
  <c r="L271" i="16"/>
  <c r="O271" i="16" s="1"/>
  <c r="M271" i="16"/>
  <c r="N271" i="16"/>
  <c r="N269" i="16" s="1"/>
  <c r="Q271" i="16"/>
  <c r="Q268" i="16" s="1"/>
  <c r="R271" i="16"/>
  <c r="R268" i="16" s="1"/>
  <c r="S271" i="16"/>
  <c r="S268" i="16" s="1"/>
  <c r="Q272" i="16"/>
  <c r="T272" i="16" s="1"/>
  <c r="R272" i="16"/>
  <c r="U272" i="16" s="1"/>
  <c r="S272" i="16"/>
  <c r="O273" i="16"/>
  <c r="P273" i="16"/>
  <c r="T273" i="16"/>
  <c r="U273" i="16"/>
  <c r="L274" i="16"/>
  <c r="O274" i="16" s="1"/>
  <c r="M274" i="16"/>
  <c r="M272" i="16" s="1"/>
  <c r="P272" i="16" s="1"/>
  <c r="N274" i="16"/>
  <c r="N272" i="16" s="1"/>
  <c r="T274" i="16"/>
  <c r="U274" i="16"/>
  <c r="I276" i="16"/>
  <c r="I265" i="16" s="1"/>
  <c r="K265" i="16" s="1"/>
  <c r="J280" i="16"/>
  <c r="J281" i="16"/>
  <c r="S282" i="16"/>
  <c r="L283" i="16"/>
  <c r="M283" i="16"/>
  <c r="N283" i="16"/>
  <c r="O283" i="16"/>
  <c r="P283" i="16"/>
  <c r="Q283" i="16"/>
  <c r="R283" i="16"/>
  <c r="S283" i="16"/>
  <c r="T283" i="16"/>
  <c r="U283" i="16"/>
  <c r="Q284" i="16"/>
  <c r="R284" i="16"/>
  <c r="S284" i="16"/>
  <c r="Q285" i="16"/>
  <c r="R285" i="16"/>
  <c r="U285" i="16" s="1"/>
  <c r="S285" i="16"/>
  <c r="T285" i="16"/>
  <c r="O286" i="16"/>
  <c r="P286" i="16"/>
  <c r="T286" i="16"/>
  <c r="U286" i="16"/>
  <c r="L287" i="16"/>
  <c r="M287" i="16"/>
  <c r="M285" i="16" s="1"/>
  <c r="N287" i="16"/>
  <c r="N285" i="16" s="1"/>
  <c r="T287" i="16"/>
  <c r="U287" i="16"/>
  <c r="Q288" i="16"/>
  <c r="T288" i="16" s="1"/>
  <c r="R288" i="16"/>
  <c r="S288" i="16"/>
  <c r="U288" i="16"/>
  <c r="O289" i="16"/>
  <c r="P289" i="16"/>
  <c r="T289" i="16"/>
  <c r="U289" i="16"/>
  <c r="L290" i="16"/>
  <c r="L288" i="16" s="1"/>
  <c r="O288" i="16" s="1"/>
  <c r="M290" i="16"/>
  <c r="N290" i="16"/>
  <c r="N288" i="16" s="1"/>
  <c r="T290" i="16"/>
  <c r="U290" i="16"/>
  <c r="I292" i="16"/>
  <c r="I281" i="16" s="1"/>
  <c r="K281" i="16" s="1"/>
  <c r="I293" i="16"/>
  <c r="K293" i="16" s="1"/>
  <c r="J293" i="16"/>
  <c r="I295" i="16"/>
  <c r="K295" i="16" s="1"/>
  <c r="I296" i="16"/>
  <c r="K296" i="16" s="1"/>
  <c r="J302" i="16"/>
  <c r="L304" i="16"/>
  <c r="M304" i="16"/>
  <c r="N304" i="16"/>
  <c r="O304" i="16"/>
  <c r="P304" i="16"/>
  <c r="Q304" i="16"/>
  <c r="R304" i="16"/>
  <c r="S304" i="16"/>
  <c r="T304" i="16"/>
  <c r="U304" i="16"/>
  <c r="O307" i="16"/>
  <c r="P307" i="16"/>
  <c r="T307" i="16"/>
  <c r="U307" i="16"/>
  <c r="L308" i="16"/>
  <c r="O308" i="16" s="1"/>
  <c r="M308" i="16"/>
  <c r="N308" i="16"/>
  <c r="Q308" i="16"/>
  <c r="R308" i="16"/>
  <c r="S308" i="16"/>
  <c r="S305" i="16" s="1"/>
  <c r="S303" i="16" s="1"/>
  <c r="Q309" i="16"/>
  <c r="R309" i="16"/>
  <c r="U309" i="16" s="1"/>
  <c r="S309" i="16"/>
  <c r="T309" i="16"/>
  <c r="O310" i="16"/>
  <c r="P310" i="16"/>
  <c r="T310" i="16"/>
  <c r="U310" i="16"/>
  <c r="L311" i="16"/>
  <c r="O311" i="16" s="1"/>
  <c r="M311" i="16"/>
  <c r="M309" i="16" s="1"/>
  <c r="P309" i="16" s="1"/>
  <c r="N311" i="16"/>
  <c r="N309" i="16" s="1"/>
  <c r="T311" i="16"/>
  <c r="U311" i="16"/>
  <c r="I314" i="16"/>
  <c r="I302" i="16" s="1"/>
  <c r="K302" i="16" s="1"/>
  <c r="J319" i="16"/>
  <c r="Q320" i="16"/>
  <c r="T320" i="16" s="1"/>
  <c r="L321" i="16"/>
  <c r="M321" i="16"/>
  <c r="N321" i="16"/>
  <c r="Q321" i="16"/>
  <c r="R321" i="16"/>
  <c r="U321" i="16" s="1"/>
  <c r="S321" i="16"/>
  <c r="S320" i="16" s="1"/>
  <c r="T321" i="16"/>
  <c r="Q322" i="16"/>
  <c r="R322" i="16"/>
  <c r="S322" i="16"/>
  <c r="T322" i="16"/>
  <c r="U322" i="16"/>
  <c r="Q323" i="16"/>
  <c r="T323" i="16" s="1"/>
  <c r="R323" i="16"/>
  <c r="U323" i="16" s="1"/>
  <c r="S323" i="16"/>
  <c r="O324" i="16"/>
  <c r="P324" i="16"/>
  <c r="T324" i="16"/>
  <c r="U324" i="16"/>
  <c r="L325" i="16"/>
  <c r="O325" i="16" s="1"/>
  <c r="M325" i="16"/>
  <c r="M323" i="16" s="1"/>
  <c r="P323" i="16" s="1"/>
  <c r="N325" i="16"/>
  <c r="T325" i="16"/>
  <c r="U325" i="16"/>
  <c r="Q326" i="16"/>
  <c r="R326" i="16"/>
  <c r="S326" i="16"/>
  <c r="T326" i="16"/>
  <c r="U326" i="16"/>
  <c r="O327" i="16"/>
  <c r="P327" i="16"/>
  <c r="T327" i="16"/>
  <c r="U327" i="16"/>
  <c r="L328" i="16"/>
  <c r="M328" i="16"/>
  <c r="P328" i="16" s="1"/>
  <c r="N328" i="16"/>
  <c r="N326" i="16" s="1"/>
  <c r="T328" i="16"/>
  <c r="U328" i="16"/>
  <c r="I330" i="16"/>
  <c r="R333" i="16"/>
  <c r="U333" i="16" s="1"/>
  <c r="S333" i="16"/>
  <c r="L334" i="16"/>
  <c r="M334" i="16"/>
  <c r="N334" i="16"/>
  <c r="O334" i="16"/>
  <c r="Q334" i="16"/>
  <c r="R334" i="16"/>
  <c r="S334" i="16"/>
  <c r="T334" i="16"/>
  <c r="U334" i="16"/>
  <c r="Q335" i="16"/>
  <c r="R335" i="16"/>
  <c r="S335" i="16"/>
  <c r="U335" i="16"/>
  <c r="Q336" i="16"/>
  <c r="T336" i="16" s="1"/>
  <c r="R336" i="16"/>
  <c r="U336" i="16" s="1"/>
  <c r="S336" i="16"/>
  <c r="O337" i="16"/>
  <c r="P337" i="16"/>
  <c r="T337" i="16"/>
  <c r="U337" i="16"/>
  <c r="L338" i="16"/>
  <c r="M338" i="16"/>
  <c r="N338" i="16"/>
  <c r="N336" i="16" s="1"/>
  <c r="T338" i="16"/>
  <c r="U338" i="16"/>
  <c r="Q339" i="16"/>
  <c r="R339" i="16"/>
  <c r="S339" i="16"/>
  <c r="T339" i="16"/>
  <c r="U339" i="16"/>
  <c r="O340" i="16"/>
  <c r="P340" i="16"/>
  <c r="T340" i="16"/>
  <c r="U340" i="16"/>
  <c r="L341" i="16"/>
  <c r="M341" i="16"/>
  <c r="N341" i="16"/>
  <c r="N339" i="16" s="1"/>
  <c r="T341" i="16"/>
  <c r="U341" i="16"/>
  <c r="I344" i="16"/>
  <c r="J344" i="16"/>
  <c r="I346" i="16"/>
  <c r="J346" i="16"/>
  <c r="J347" i="16"/>
  <c r="J348" i="16"/>
  <c r="J349" i="16"/>
  <c r="D350" i="16"/>
  <c r="J352" i="16"/>
  <c r="J353" i="16"/>
  <c r="D354" i="16"/>
  <c r="U356" i="16"/>
  <c r="L357" i="16"/>
  <c r="M357" i="16"/>
  <c r="N357" i="16"/>
  <c r="O357" i="16"/>
  <c r="P357" i="16"/>
  <c r="Q357" i="16"/>
  <c r="R357" i="16"/>
  <c r="R356" i="16" s="1"/>
  <c r="S357" i="16"/>
  <c r="U357" i="16"/>
  <c r="Q358" i="16"/>
  <c r="R358" i="16"/>
  <c r="U358" i="16" s="1"/>
  <c r="S358" i="16"/>
  <c r="S356" i="16" s="1"/>
  <c r="T358" i="16"/>
  <c r="Q359" i="16"/>
  <c r="R359" i="16"/>
  <c r="S359" i="16"/>
  <c r="T359" i="16"/>
  <c r="U359" i="16"/>
  <c r="O360" i="16"/>
  <c r="P360" i="16"/>
  <c r="T360" i="16"/>
  <c r="U360" i="16"/>
  <c r="L361" i="16"/>
  <c r="M361" i="16"/>
  <c r="N361" i="16"/>
  <c r="T361" i="16"/>
  <c r="U361" i="16"/>
  <c r="Q362" i="16"/>
  <c r="T362" i="16" s="1"/>
  <c r="R362" i="16"/>
  <c r="U362" i="16" s="1"/>
  <c r="S362" i="16"/>
  <c r="O363" i="16"/>
  <c r="P363" i="16"/>
  <c r="T363" i="16"/>
  <c r="U363" i="16"/>
  <c r="L364" i="16"/>
  <c r="O364" i="16" s="1"/>
  <c r="M364" i="16"/>
  <c r="M362" i="16" s="1"/>
  <c r="P362" i="16" s="1"/>
  <c r="N364" i="16"/>
  <c r="N362" i="16" s="1"/>
  <c r="T364" i="16"/>
  <c r="U364" i="16"/>
  <c r="J367" i="16"/>
  <c r="K367" i="16"/>
  <c r="I368" i="16"/>
  <c r="J368" i="16"/>
  <c r="I369" i="16"/>
  <c r="J369" i="16"/>
  <c r="J370" i="16"/>
  <c r="K370" i="16"/>
  <c r="I371" i="16"/>
  <c r="I365" i="16" s="1"/>
  <c r="J371" i="16"/>
  <c r="J365" i="16" s="1"/>
  <c r="J372" i="16"/>
  <c r="K372" i="16"/>
  <c r="D373" i="16"/>
  <c r="L375" i="16"/>
  <c r="O375" i="16" s="1"/>
  <c r="L376" i="16"/>
  <c r="O376" i="16" s="1"/>
  <c r="M376" i="16"/>
  <c r="N376" i="16"/>
  <c r="Q376" i="16"/>
  <c r="R376" i="16"/>
  <c r="U376" i="16" s="1"/>
  <c r="S376" i="16"/>
  <c r="T376" i="16"/>
  <c r="L377" i="16"/>
  <c r="M377" i="16"/>
  <c r="N377" i="16"/>
  <c r="O377" i="16"/>
  <c r="P377" i="16"/>
  <c r="L378" i="16"/>
  <c r="O378" i="16" s="1"/>
  <c r="M378" i="16"/>
  <c r="N378" i="16"/>
  <c r="P378" i="16"/>
  <c r="O379" i="16"/>
  <c r="P379" i="16"/>
  <c r="T379" i="16"/>
  <c r="U379" i="16"/>
  <c r="O380" i="16"/>
  <c r="P380" i="16"/>
  <c r="Q380" i="16"/>
  <c r="R380" i="16"/>
  <c r="S380" i="16"/>
  <c r="L381" i="16"/>
  <c r="M381" i="16"/>
  <c r="P381" i="16" s="1"/>
  <c r="N381" i="16"/>
  <c r="O381" i="16"/>
  <c r="Q381" i="16"/>
  <c r="R381" i="16"/>
  <c r="S381" i="16"/>
  <c r="T381" i="16"/>
  <c r="U381" i="16"/>
  <c r="O382" i="16"/>
  <c r="P382" i="16"/>
  <c r="T382" i="16"/>
  <c r="U382" i="16"/>
  <c r="O383" i="16"/>
  <c r="P383" i="16"/>
  <c r="T383" i="16"/>
  <c r="U383" i="16"/>
  <c r="J385" i="16"/>
  <c r="K385" i="16"/>
  <c r="I386" i="16"/>
  <c r="J386" i="16"/>
  <c r="J387" i="16"/>
  <c r="K387" i="16"/>
  <c r="I388" i="16"/>
  <c r="K388" i="16" s="1"/>
  <c r="J388" i="16"/>
  <c r="I391" i="16"/>
  <c r="K391" i="16" s="1"/>
  <c r="J391" i="16"/>
  <c r="L392" i="16"/>
  <c r="O392" i="16" s="1"/>
  <c r="M392" i="16"/>
  <c r="P392" i="16" s="1"/>
  <c r="S392" i="16"/>
  <c r="L393" i="16"/>
  <c r="M393" i="16"/>
  <c r="N393" i="16"/>
  <c r="N392" i="16" s="1"/>
  <c r="O393" i="16"/>
  <c r="P393" i="16"/>
  <c r="Q393" i="16"/>
  <c r="Q392" i="16" s="1"/>
  <c r="T392" i="16" s="1"/>
  <c r="R393" i="16"/>
  <c r="S393" i="16"/>
  <c r="T393" i="16"/>
  <c r="U393" i="16"/>
  <c r="L394" i="16"/>
  <c r="O394" i="16" s="1"/>
  <c r="M394" i="16"/>
  <c r="N394" i="16"/>
  <c r="P394" i="16"/>
  <c r="Q394" i="16"/>
  <c r="T394" i="16" s="1"/>
  <c r="R394" i="16"/>
  <c r="U394" i="16" s="1"/>
  <c r="S394" i="16"/>
  <c r="L395" i="16"/>
  <c r="O395" i="16" s="1"/>
  <c r="M395" i="16"/>
  <c r="P395" i="16" s="1"/>
  <c r="N395" i="16"/>
  <c r="Q395" i="16"/>
  <c r="R395" i="16"/>
  <c r="U395" i="16" s="1"/>
  <c r="S395" i="16"/>
  <c r="T395" i="16"/>
  <c r="O396" i="16"/>
  <c r="P396" i="16"/>
  <c r="T396" i="16"/>
  <c r="U396" i="16"/>
  <c r="O397" i="16"/>
  <c r="P397" i="16"/>
  <c r="T397" i="16"/>
  <c r="U397" i="16"/>
  <c r="L398" i="16"/>
  <c r="O398" i="16" s="1"/>
  <c r="M398" i="16"/>
  <c r="P398" i="16" s="1"/>
  <c r="N398" i="16"/>
  <c r="Q398" i="16"/>
  <c r="R398" i="16"/>
  <c r="U398" i="16" s="1"/>
  <c r="S398" i="16"/>
  <c r="T398" i="16"/>
  <c r="O399" i="16"/>
  <c r="P399" i="16"/>
  <c r="T399" i="16"/>
  <c r="U399" i="16"/>
  <c r="O400" i="16"/>
  <c r="P400" i="16"/>
  <c r="T400" i="16"/>
  <c r="U400" i="16"/>
  <c r="J412" i="16"/>
  <c r="L414" i="16"/>
  <c r="M414" i="16"/>
  <c r="N414" i="16"/>
  <c r="Q414" i="16"/>
  <c r="T414" i="16" s="1"/>
  <c r="R414" i="16"/>
  <c r="S414" i="16"/>
  <c r="L415" i="16"/>
  <c r="M415" i="16"/>
  <c r="P415" i="16" s="1"/>
  <c r="N415" i="16"/>
  <c r="O415" i="16"/>
  <c r="L416" i="16"/>
  <c r="M416" i="16"/>
  <c r="N416" i="16"/>
  <c r="O416" i="16"/>
  <c r="P416" i="16"/>
  <c r="O417" i="16"/>
  <c r="P417" i="16"/>
  <c r="T417" i="16"/>
  <c r="U417" i="16"/>
  <c r="O418" i="16"/>
  <c r="P418" i="16"/>
  <c r="Q418" i="16"/>
  <c r="Q416" i="16" s="1"/>
  <c r="T416" i="16" s="1"/>
  <c r="R418" i="16"/>
  <c r="S418" i="16"/>
  <c r="S416" i="16" s="1"/>
  <c r="L419" i="16"/>
  <c r="O419" i="16" s="1"/>
  <c r="M419" i="16"/>
  <c r="P419" i="16" s="1"/>
  <c r="N419" i="16"/>
  <c r="Q419" i="16"/>
  <c r="R419" i="16"/>
  <c r="U419" i="16" s="1"/>
  <c r="S419" i="16"/>
  <c r="T419" i="16"/>
  <c r="O420" i="16"/>
  <c r="P420" i="16"/>
  <c r="T420" i="16"/>
  <c r="U420" i="16"/>
  <c r="O421" i="16"/>
  <c r="P421" i="16"/>
  <c r="T421" i="16"/>
  <c r="U421" i="16"/>
  <c r="J423" i="16"/>
  <c r="I424" i="16"/>
  <c r="K424" i="16" s="1"/>
  <c r="J424" i="16"/>
  <c r="I425" i="16"/>
  <c r="K425" i="16" s="1"/>
  <c r="J425" i="16"/>
  <c r="I432" i="16"/>
  <c r="K432" i="16" s="1"/>
  <c r="J432" i="16"/>
  <c r="I433" i="16"/>
  <c r="K433" i="16" s="1"/>
  <c r="J433" i="16"/>
  <c r="I440" i="16"/>
  <c r="K440" i="16" s="1"/>
  <c r="J440" i="16"/>
  <c r="I441" i="16"/>
  <c r="K441" i="16" s="1"/>
  <c r="J441" i="16"/>
  <c r="J446" i="16"/>
  <c r="J447" i="16"/>
  <c r="I457" i="16"/>
  <c r="I458" i="16"/>
  <c r="K458" i="16" s="1"/>
  <c r="J458" i="16"/>
  <c r="J459" i="16"/>
  <c r="J457" i="16" s="1"/>
  <c r="J456" i="16" s="1"/>
  <c r="J460" i="16"/>
  <c r="J467" i="16"/>
  <c r="J468" i="16"/>
  <c r="J475" i="16"/>
  <c r="K475" i="16"/>
  <c r="J476" i="16"/>
  <c r="K476" i="16"/>
  <c r="J477" i="16"/>
  <c r="K477" i="16"/>
  <c r="J482" i="16"/>
  <c r="J483" i="16"/>
  <c r="I484" i="16"/>
  <c r="K484" i="16" s="1"/>
  <c r="J484" i="16"/>
  <c r="I485" i="16"/>
  <c r="J485" i="16"/>
  <c r="K485" i="16"/>
  <c r="M493" i="16"/>
  <c r="P493" i="16" s="1"/>
  <c r="N493" i="16"/>
  <c r="L494" i="16"/>
  <c r="L493" i="16" s="1"/>
  <c r="O493" i="16" s="1"/>
  <c r="M494" i="16"/>
  <c r="N494" i="16"/>
  <c r="O494" i="16"/>
  <c r="P494" i="16"/>
  <c r="Q494" i="16"/>
  <c r="R494" i="16"/>
  <c r="S494" i="16"/>
  <c r="U494" i="16"/>
  <c r="L495" i="16"/>
  <c r="O495" i="16" s="1"/>
  <c r="M495" i="16"/>
  <c r="P495" i="16" s="1"/>
  <c r="N495" i="16"/>
  <c r="L496" i="16"/>
  <c r="M496" i="16"/>
  <c r="P496" i="16" s="1"/>
  <c r="N496" i="16"/>
  <c r="O496" i="16"/>
  <c r="O497" i="16"/>
  <c r="P497" i="16"/>
  <c r="T497" i="16"/>
  <c r="U497" i="16"/>
  <c r="O498" i="16"/>
  <c r="P498" i="16"/>
  <c r="Q498" i="16"/>
  <c r="Q496" i="16" s="1"/>
  <c r="T496" i="16" s="1"/>
  <c r="R498" i="16"/>
  <c r="R496" i="16" s="1"/>
  <c r="U496" i="16" s="1"/>
  <c r="S498" i="16"/>
  <c r="S496" i="16" s="1"/>
  <c r="L499" i="16"/>
  <c r="O499" i="16" s="1"/>
  <c r="M499" i="16"/>
  <c r="N499" i="16"/>
  <c r="P499" i="16"/>
  <c r="Q499" i="16"/>
  <c r="T499" i="16" s="1"/>
  <c r="R499" i="16"/>
  <c r="U499" i="16" s="1"/>
  <c r="S499" i="16"/>
  <c r="O500" i="16"/>
  <c r="P500" i="16"/>
  <c r="T500" i="16"/>
  <c r="U500" i="16"/>
  <c r="O501" i="16"/>
  <c r="P501" i="16"/>
  <c r="T501" i="16"/>
  <c r="U501" i="16"/>
  <c r="I503" i="16"/>
  <c r="I504" i="16"/>
  <c r="K504" i="16" s="1"/>
  <c r="I505" i="16"/>
  <c r="K505" i="16" s="1"/>
  <c r="I506" i="16"/>
  <c r="K506" i="16" s="1"/>
  <c r="I507" i="16"/>
  <c r="K507" i="16" s="1"/>
  <c r="K508" i="16"/>
  <c r="I509" i="16"/>
  <c r="K509" i="16" s="1"/>
  <c r="I512" i="16"/>
  <c r="J512" i="16"/>
  <c r="K512" i="16"/>
  <c r="R513" i="16"/>
  <c r="U513" i="16" s="1"/>
  <c r="L514" i="16"/>
  <c r="M514" i="16"/>
  <c r="N514" i="16"/>
  <c r="O514" i="16"/>
  <c r="Q514" i="16"/>
  <c r="R514" i="16"/>
  <c r="S514" i="16"/>
  <c r="S513" i="16" s="1"/>
  <c r="T514" i="16"/>
  <c r="U514" i="16"/>
  <c r="Q515" i="16"/>
  <c r="T515" i="16" s="1"/>
  <c r="R515" i="16"/>
  <c r="S515" i="16"/>
  <c r="U515" i="16"/>
  <c r="Q516" i="16"/>
  <c r="T516" i="16" s="1"/>
  <c r="R516" i="16"/>
  <c r="U516" i="16" s="1"/>
  <c r="S516" i="16"/>
  <c r="O517" i="16"/>
  <c r="P517" i="16"/>
  <c r="T517" i="16"/>
  <c r="U517" i="16"/>
  <c r="L518" i="16"/>
  <c r="M518" i="16"/>
  <c r="N518" i="16"/>
  <c r="N516" i="16" s="1"/>
  <c r="T518" i="16"/>
  <c r="U518" i="16"/>
  <c r="Q519" i="16"/>
  <c r="R519" i="16"/>
  <c r="S519" i="16"/>
  <c r="T519" i="16"/>
  <c r="U519" i="16"/>
  <c r="O520" i="16"/>
  <c r="P520" i="16"/>
  <c r="T520" i="16"/>
  <c r="U520" i="16"/>
  <c r="L521" i="16"/>
  <c r="M521" i="16"/>
  <c r="N521" i="16"/>
  <c r="N519" i="16" s="1"/>
  <c r="T521" i="16"/>
  <c r="U521" i="16"/>
  <c r="K523" i="16"/>
  <c r="K524" i="16"/>
  <c r="I533" i="16"/>
  <c r="K533" i="16" s="1"/>
  <c r="J533" i="16"/>
  <c r="L534" i="16"/>
  <c r="O534" i="16" s="1"/>
  <c r="M534" i="16"/>
  <c r="P534" i="16" s="1"/>
  <c r="S534" i="16"/>
  <c r="L535" i="16"/>
  <c r="M535" i="16"/>
  <c r="N535" i="16"/>
  <c r="N534" i="16" s="1"/>
  <c r="O535" i="16"/>
  <c r="P535" i="16"/>
  <c r="Q535" i="16"/>
  <c r="R535" i="16"/>
  <c r="S535" i="16"/>
  <c r="T535" i="16"/>
  <c r="U535" i="16"/>
  <c r="L536" i="16"/>
  <c r="O536" i="16" s="1"/>
  <c r="M536" i="16"/>
  <c r="N536" i="16"/>
  <c r="P536" i="16"/>
  <c r="Q536" i="16"/>
  <c r="T536" i="16" s="1"/>
  <c r="R536" i="16"/>
  <c r="U536" i="16" s="1"/>
  <c r="S536" i="16"/>
  <c r="L537" i="16"/>
  <c r="O537" i="16" s="1"/>
  <c r="M537" i="16"/>
  <c r="P537" i="16" s="1"/>
  <c r="N537" i="16"/>
  <c r="Q537" i="16"/>
  <c r="R537" i="16"/>
  <c r="U537" i="16" s="1"/>
  <c r="S537" i="16"/>
  <c r="T537" i="16"/>
  <c r="O538" i="16"/>
  <c r="P538" i="16"/>
  <c r="T538" i="16"/>
  <c r="U538" i="16"/>
  <c r="O539" i="16"/>
  <c r="P539" i="16"/>
  <c r="T539" i="16"/>
  <c r="U539" i="16"/>
  <c r="L540" i="16"/>
  <c r="O540" i="16" s="1"/>
  <c r="M540" i="16"/>
  <c r="P540" i="16" s="1"/>
  <c r="N540" i="16"/>
  <c r="Q540" i="16"/>
  <c r="R540" i="16"/>
  <c r="U540" i="16" s="1"/>
  <c r="S540" i="16"/>
  <c r="T540" i="16"/>
  <c r="O541" i="16"/>
  <c r="P541" i="16"/>
  <c r="T541" i="16"/>
  <c r="U541" i="16"/>
  <c r="O542" i="16"/>
  <c r="P542" i="16"/>
  <c r="T542" i="16"/>
  <c r="U542" i="16"/>
  <c r="I554" i="16"/>
  <c r="J554" i="16"/>
  <c r="K554" i="16"/>
  <c r="L556" i="16"/>
  <c r="M556" i="16"/>
  <c r="N556" i="16"/>
  <c r="Q556" i="16"/>
  <c r="T556" i="16" s="1"/>
  <c r="R556" i="16"/>
  <c r="S556" i="16"/>
  <c r="L557" i="16"/>
  <c r="M557" i="16"/>
  <c r="P557" i="16" s="1"/>
  <c r="N557" i="16"/>
  <c r="O557" i="16"/>
  <c r="Q557" i="16"/>
  <c r="R557" i="16"/>
  <c r="S557" i="16"/>
  <c r="T557" i="16"/>
  <c r="U557" i="16"/>
  <c r="L558" i="16"/>
  <c r="M558" i="16"/>
  <c r="N558" i="16"/>
  <c r="O558" i="16"/>
  <c r="P558" i="16"/>
  <c r="Q558" i="16"/>
  <c r="T558" i="16" s="1"/>
  <c r="R558" i="16"/>
  <c r="U558" i="16" s="1"/>
  <c r="S558" i="16"/>
  <c r="O559" i="16"/>
  <c r="P559" i="16"/>
  <c r="T559" i="16"/>
  <c r="U559" i="16"/>
  <c r="O560" i="16"/>
  <c r="P560" i="16"/>
  <c r="T560" i="16"/>
  <c r="U560" i="16"/>
  <c r="L561" i="16"/>
  <c r="O561" i="16" s="1"/>
  <c r="M561" i="16"/>
  <c r="N561" i="16"/>
  <c r="P561" i="16"/>
  <c r="Q561" i="16"/>
  <c r="T561" i="16" s="1"/>
  <c r="R561" i="16"/>
  <c r="U561" i="16" s="1"/>
  <c r="S561" i="16"/>
  <c r="O562" i="16"/>
  <c r="P562" i="16"/>
  <c r="T562" i="16"/>
  <c r="U562" i="16"/>
  <c r="O563" i="16"/>
  <c r="P563" i="16"/>
  <c r="T563" i="16"/>
  <c r="U563" i="16"/>
  <c r="I575" i="16"/>
  <c r="K575" i="16" s="1"/>
  <c r="J575" i="16"/>
  <c r="M576" i="16"/>
  <c r="P576" i="16"/>
  <c r="R576" i="16"/>
  <c r="U576" i="16" s="1"/>
  <c r="S576" i="16"/>
  <c r="L577" i="16"/>
  <c r="L576" i="16" s="1"/>
  <c r="O576" i="16" s="1"/>
  <c r="M577" i="16"/>
  <c r="N577" i="16"/>
  <c r="N576" i="16" s="1"/>
  <c r="P577" i="16"/>
  <c r="Q577" i="16"/>
  <c r="R577" i="16"/>
  <c r="U577" i="16" s="1"/>
  <c r="S577" i="16"/>
  <c r="T577" i="16"/>
  <c r="L578" i="16"/>
  <c r="O578" i="16" s="1"/>
  <c r="M578" i="16"/>
  <c r="N578" i="16"/>
  <c r="P578" i="16"/>
  <c r="Q578" i="16"/>
  <c r="T578" i="16" s="1"/>
  <c r="R578" i="16"/>
  <c r="U578" i="16" s="1"/>
  <c r="S578" i="16"/>
  <c r="L579" i="16"/>
  <c r="O579" i="16" s="1"/>
  <c r="M579" i="16"/>
  <c r="P579" i="16" s="1"/>
  <c r="N579" i="16"/>
  <c r="Q579" i="16"/>
  <c r="R579" i="16"/>
  <c r="U579" i="16" s="1"/>
  <c r="S579" i="16"/>
  <c r="T579" i="16"/>
  <c r="O580" i="16"/>
  <c r="P580" i="16"/>
  <c r="T580" i="16"/>
  <c r="U580" i="16"/>
  <c r="O581" i="16"/>
  <c r="P581" i="16"/>
  <c r="T581" i="16"/>
  <c r="U581" i="16"/>
  <c r="L582" i="16"/>
  <c r="O582" i="16" s="1"/>
  <c r="M582" i="16"/>
  <c r="P582" i="16" s="1"/>
  <c r="N582" i="16"/>
  <c r="Q582" i="16"/>
  <c r="R582" i="16"/>
  <c r="U582" i="16" s="1"/>
  <c r="S582" i="16"/>
  <c r="T582" i="16"/>
  <c r="O583" i="16"/>
  <c r="P583" i="16"/>
  <c r="T583" i="16"/>
  <c r="U583" i="16"/>
  <c r="O584" i="16"/>
  <c r="P584" i="16"/>
  <c r="T584" i="16"/>
  <c r="U584" i="16"/>
  <c r="N599" i="16"/>
  <c r="L600" i="16"/>
  <c r="M600" i="16"/>
  <c r="N600" i="16"/>
  <c r="O600" i="16"/>
  <c r="P600" i="16"/>
  <c r="Q600" i="16"/>
  <c r="R600" i="16"/>
  <c r="R599" i="16" s="1"/>
  <c r="U599" i="16" s="1"/>
  <c r="S600" i="16"/>
  <c r="U600" i="16"/>
  <c r="L601" i="16"/>
  <c r="M601" i="16"/>
  <c r="P601" i="16" s="1"/>
  <c r="N601" i="16"/>
  <c r="Q601" i="16"/>
  <c r="R601" i="16"/>
  <c r="U601" i="16" s="1"/>
  <c r="S601" i="16"/>
  <c r="S599" i="16" s="1"/>
  <c r="T601" i="16"/>
  <c r="L602" i="16"/>
  <c r="M602" i="16"/>
  <c r="N602" i="16"/>
  <c r="O602" i="16"/>
  <c r="P602" i="16"/>
  <c r="Q602" i="16"/>
  <c r="R602" i="16"/>
  <c r="S602" i="16"/>
  <c r="T602" i="16"/>
  <c r="U602" i="16"/>
  <c r="O603" i="16"/>
  <c r="P603" i="16"/>
  <c r="T603" i="16"/>
  <c r="U603" i="16"/>
  <c r="O604" i="16"/>
  <c r="P604" i="16"/>
  <c r="T604" i="16"/>
  <c r="U604" i="16"/>
  <c r="L605" i="16"/>
  <c r="M605" i="16"/>
  <c r="N605" i="16"/>
  <c r="O605" i="16"/>
  <c r="P605" i="16"/>
  <c r="Q605" i="16"/>
  <c r="R605" i="16"/>
  <c r="S605" i="16"/>
  <c r="T605" i="16"/>
  <c r="U605" i="16"/>
  <c r="O606" i="16"/>
  <c r="P606" i="16"/>
  <c r="T606" i="16"/>
  <c r="U606" i="16"/>
  <c r="O607" i="16"/>
  <c r="P607" i="16"/>
  <c r="T607" i="16"/>
  <c r="U607" i="16"/>
  <c r="M616" i="16"/>
  <c r="P616" i="16" s="1"/>
  <c r="L617" i="16"/>
  <c r="M617" i="16"/>
  <c r="N617" i="16"/>
  <c r="P617" i="16"/>
  <c r="Q617" i="16"/>
  <c r="R617" i="16"/>
  <c r="S617" i="16"/>
  <c r="L618" i="16"/>
  <c r="O618" i="16" s="1"/>
  <c r="M618" i="16"/>
  <c r="P618" i="16" s="1"/>
  <c r="N618" i="16"/>
  <c r="L619" i="16"/>
  <c r="M619" i="16"/>
  <c r="N619" i="16"/>
  <c r="O619" i="16"/>
  <c r="P619" i="16"/>
  <c r="O620" i="16"/>
  <c r="P620" i="16"/>
  <c r="T620" i="16"/>
  <c r="U620" i="16"/>
  <c r="O621" i="16"/>
  <c r="P621" i="16"/>
  <c r="Q621" i="16"/>
  <c r="R621" i="16"/>
  <c r="R619" i="16" s="1"/>
  <c r="S621" i="16"/>
  <c r="S619" i="16" s="1"/>
  <c r="L622" i="16"/>
  <c r="O622" i="16" s="1"/>
  <c r="M622" i="16"/>
  <c r="P622" i="16" s="1"/>
  <c r="N622" i="16"/>
  <c r="Q622" i="16"/>
  <c r="T622" i="16" s="1"/>
  <c r="R622" i="16"/>
  <c r="U622" i="16" s="1"/>
  <c r="S622" i="16"/>
  <c r="O623" i="16"/>
  <c r="P623" i="16"/>
  <c r="T623" i="16"/>
  <c r="U623" i="16"/>
  <c r="O624" i="16"/>
  <c r="P624" i="16"/>
  <c r="T624" i="16"/>
  <c r="U624" i="16"/>
  <c r="I626" i="16"/>
  <c r="K629" i="16" s="1"/>
  <c r="J626" i="16"/>
  <c r="J615" i="16" s="1"/>
  <c r="I627" i="16"/>
  <c r="K627" i="16" s="1"/>
  <c r="I628" i="16"/>
  <c r="K628" i="16" s="1"/>
  <c r="J632" i="16"/>
  <c r="I635" i="16"/>
  <c r="K635" i="16" s="1"/>
  <c r="J635" i="16"/>
  <c r="J636" i="16"/>
  <c r="N642" i="16"/>
  <c r="L643" i="16"/>
  <c r="L642" i="16" s="1"/>
  <c r="O642" i="16" s="1"/>
  <c r="M643" i="16"/>
  <c r="N643" i="16"/>
  <c r="O643" i="16"/>
  <c r="P643" i="16"/>
  <c r="Q643" i="16"/>
  <c r="R643" i="16"/>
  <c r="S643" i="16"/>
  <c r="U643" i="16"/>
  <c r="L644" i="16"/>
  <c r="O644" i="16" s="1"/>
  <c r="M644" i="16"/>
  <c r="N644" i="16"/>
  <c r="L645" i="16"/>
  <c r="M645" i="16"/>
  <c r="P645" i="16" s="1"/>
  <c r="N645" i="16"/>
  <c r="O645" i="16"/>
  <c r="O646" i="16"/>
  <c r="P646" i="16"/>
  <c r="T646" i="16"/>
  <c r="U646" i="16"/>
  <c r="O647" i="16"/>
  <c r="P647" i="16"/>
  <c r="Q647" i="16"/>
  <c r="Q645" i="16" s="1"/>
  <c r="R647" i="16"/>
  <c r="R645" i="16" s="1"/>
  <c r="S647" i="16"/>
  <c r="S644" i="16" s="1"/>
  <c r="S642" i="16" s="1"/>
  <c r="L648" i="16"/>
  <c r="O648" i="16" s="1"/>
  <c r="M648" i="16"/>
  <c r="N648" i="16"/>
  <c r="P648" i="16"/>
  <c r="Q648" i="16"/>
  <c r="T648" i="16" s="1"/>
  <c r="R648" i="16"/>
  <c r="U648" i="16" s="1"/>
  <c r="S648" i="16"/>
  <c r="O649" i="16"/>
  <c r="P649" i="16"/>
  <c r="T649" i="16"/>
  <c r="U649" i="16"/>
  <c r="O650" i="16"/>
  <c r="P650" i="16"/>
  <c r="T650" i="16"/>
  <c r="U650" i="16"/>
  <c r="I652" i="16"/>
  <c r="K652" i="16" s="1"/>
  <c r="J652" i="16"/>
  <c r="I653" i="16"/>
  <c r="K653" i="16" s="1"/>
  <c r="J653" i="16"/>
  <c r="I654" i="16"/>
  <c r="J654" i="16"/>
  <c r="I657" i="16"/>
  <c r="I660" i="16"/>
  <c r="I661" i="16"/>
  <c r="K661" i="16" s="1"/>
  <c r="J661" i="16"/>
  <c r="J671" i="16"/>
  <c r="J672" i="16"/>
  <c r="I673" i="16"/>
  <c r="K673" i="16" s="1"/>
  <c r="J673" i="16"/>
  <c r="I674" i="16"/>
  <c r="I675" i="16"/>
  <c r="I676" i="16"/>
  <c r="J676" i="16"/>
  <c r="J677" i="16"/>
  <c r="I678" i="16"/>
  <c r="J678" i="16"/>
  <c r="I679" i="16"/>
  <c r="K679" i="16" s="1"/>
  <c r="J679" i="16"/>
  <c r="J680" i="16"/>
  <c r="I681" i="16"/>
  <c r="K681" i="16" s="1"/>
  <c r="J681" i="16"/>
  <c r="I682" i="16"/>
  <c r="K682" i="16" s="1"/>
  <c r="J682" i="16"/>
  <c r="M690" i="16"/>
  <c r="P690" i="16" s="1"/>
  <c r="N690" i="16"/>
  <c r="L691" i="16"/>
  <c r="L690" i="16" s="1"/>
  <c r="O690" i="16" s="1"/>
  <c r="M691" i="16"/>
  <c r="N691" i="16"/>
  <c r="O691" i="16"/>
  <c r="P691" i="16"/>
  <c r="Q691" i="16"/>
  <c r="R691" i="16"/>
  <c r="S691" i="16"/>
  <c r="U691" i="16"/>
  <c r="L692" i="16"/>
  <c r="O692" i="16" s="1"/>
  <c r="M692" i="16"/>
  <c r="P692" i="16" s="1"/>
  <c r="N692" i="16"/>
  <c r="L693" i="16"/>
  <c r="M693" i="16"/>
  <c r="P693" i="16" s="1"/>
  <c r="N693" i="16"/>
  <c r="O693" i="16"/>
  <c r="O694" i="16"/>
  <c r="P694" i="16"/>
  <c r="T694" i="16"/>
  <c r="U694" i="16"/>
  <c r="O695" i="16"/>
  <c r="P695" i="16"/>
  <c r="Q695" i="16"/>
  <c r="Q693" i="16" s="1"/>
  <c r="R695" i="16"/>
  <c r="R693" i="16" s="1"/>
  <c r="S695" i="16"/>
  <c r="L696" i="16"/>
  <c r="O696" i="16" s="1"/>
  <c r="M696" i="16"/>
  <c r="N696" i="16"/>
  <c r="P696" i="16"/>
  <c r="Q696" i="16"/>
  <c r="T696" i="16" s="1"/>
  <c r="R696" i="16"/>
  <c r="U696" i="16" s="1"/>
  <c r="S696" i="16"/>
  <c r="O697" i="16"/>
  <c r="P697" i="16"/>
  <c r="T697" i="16"/>
  <c r="U697" i="16"/>
  <c r="O698" i="16"/>
  <c r="P698" i="16"/>
  <c r="T698" i="16"/>
  <c r="U698" i="16"/>
  <c r="I700" i="16"/>
  <c r="K700" i="16" s="1"/>
  <c r="K702" i="16"/>
  <c r="I703" i="16"/>
  <c r="J703" i="16"/>
  <c r="J704" i="16"/>
  <c r="K704" i="16"/>
  <c r="I705" i="16"/>
  <c r="J705" i="16"/>
  <c r="J706" i="16"/>
  <c r="K706" i="16"/>
  <c r="I707" i="16"/>
  <c r="I689" i="16" s="1"/>
  <c r="J707" i="16"/>
  <c r="J689" i="16" s="1"/>
  <c r="J708" i="16"/>
  <c r="K708" i="16"/>
  <c r="I709" i="16"/>
  <c r="J709" i="16"/>
  <c r="J710" i="16"/>
  <c r="K710" i="16"/>
  <c r="J712" i="16"/>
  <c r="K712" i="16"/>
  <c r="L714" i="16"/>
  <c r="O714" i="16" s="1"/>
  <c r="M714" i="16"/>
  <c r="P714" i="16" s="1"/>
  <c r="Q714" i="16"/>
  <c r="T714" i="16" s="1"/>
  <c r="R714" i="16"/>
  <c r="U714" i="16" s="1"/>
  <c r="S714" i="16"/>
  <c r="L715" i="16"/>
  <c r="M715" i="16"/>
  <c r="P715" i="16" s="1"/>
  <c r="N715" i="16"/>
  <c r="N714" i="16" s="1"/>
  <c r="O715" i="16"/>
  <c r="Q715" i="16"/>
  <c r="R715" i="16"/>
  <c r="S715" i="16"/>
  <c r="T715" i="16"/>
  <c r="U715" i="16"/>
  <c r="L716" i="16"/>
  <c r="M716" i="16"/>
  <c r="N716" i="16"/>
  <c r="O716" i="16"/>
  <c r="P716" i="16"/>
  <c r="Q716" i="16"/>
  <c r="T716" i="16" s="1"/>
  <c r="R716" i="16"/>
  <c r="S716" i="16"/>
  <c r="U716" i="16"/>
  <c r="L717" i="16"/>
  <c r="O717" i="16" s="1"/>
  <c r="M717" i="16"/>
  <c r="P717" i="16" s="1"/>
  <c r="N717" i="16"/>
  <c r="Q717" i="16"/>
  <c r="T717" i="16" s="1"/>
  <c r="R717" i="16"/>
  <c r="U717" i="16" s="1"/>
  <c r="S717" i="16"/>
  <c r="O718" i="16"/>
  <c r="P718" i="16"/>
  <c r="T718" i="16"/>
  <c r="U718" i="16"/>
  <c r="O719" i="16"/>
  <c r="P719" i="16"/>
  <c r="T719" i="16"/>
  <c r="U719" i="16"/>
  <c r="L720" i="16"/>
  <c r="O720" i="16" s="1"/>
  <c r="M720" i="16"/>
  <c r="P720" i="16" s="1"/>
  <c r="N720" i="16"/>
  <c r="Q720" i="16"/>
  <c r="T720" i="16" s="1"/>
  <c r="R720" i="16"/>
  <c r="U720" i="16" s="1"/>
  <c r="S720" i="16"/>
  <c r="O721" i="16"/>
  <c r="P721" i="16"/>
  <c r="T721" i="16"/>
  <c r="U721" i="16"/>
  <c r="O722" i="16"/>
  <c r="P722" i="16"/>
  <c r="T722" i="16"/>
  <c r="U722" i="16"/>
  <c r="I726" i="16"/>
  <c r="J726" i="16"/>
  <c r="I727" i="16"/>
  <c r="K727" i="16" s="1"/>
  <c r="J727" i="16"/>
  <c r="L728" i="16"/>
  <c r="O728" i="16" s="1"/>
  <c r="L729" i="16"/>
  <c r="M729" i="16"/>
  <c r="P729" i="16" s="1"/>
  <c r="N729" i="16"/>
  <c r="N728" i="16" s="1"/>
  <c r="O729" i="16"/>
  <c r="Q729" i="16"/>
  <c r="R729" i="16"/>
  <c r="S729" i="16"/>
  <c r="T729" i="16"/>
  <c r="U729" i="16"/>
  <c r="L730" i="16"/>
  <c r="M730" i="16"/>
  <c r="N730" i="16"/>
  <c r="O730" i="16"/>
  <c r="P730" i="16"/>
  <c r="L731" i="16"/>
  <c r="O731" i="16" s="1"/>
  <c r="M731" i="16"/>
  <c r="P731" i="16" s="1"/>
  <c r="N731" i="16"/>
  <c r="O732" i="16"/>
  <c r="P732" i="16"/>
  <c r="T732" i="16"/>
  <c r="U732" i="16"/>
  <c r="O733" i="16"/>
  <c r="P733" i="16"/>
  <c r="Q733" i="16"/>
  <c r="Q731" i="16" s="1"/>
  <c r="R733" i="16"/>
  <c r="R731" i="16" s="1"/>
  <c r="S733" i="16"/>
  <c r="S730" i="16" s="1"/>
  <c r="L734" i="16"/>
  <c r="M734" i="16"/>
  <c r="N734" i="16"/>
  <c r="O734" i="16"/>
  <c r="P734" i="16"/>
  <c r="Q734" i="16"/>
  <c r="R734" i="16"/>
  <c r="S734" i="16"/>
  <c r="T734" i="16"/>
  <c r="U734" i="16"/>
  <c r="O735" i="16"/>
  <c r="P735" i="16"/>
  <c r="T735" i="16"/>
  <c r="U735" i="16"/>
  <c r="O736" i="16"/>
  <c r="P736" i="16"/>
  <c r="T736" i="16"/>
  <c r="U736" i="16"/>
  <c r="I740" i="16"/>
  <c r="K740" i="16" s="1"/>
  <c r="I742" i="16"/>
  <c r="K742" i="16" s="1"/>
  <c r="I744" i="16"/>
  <c r="K744" i="16" s="1"/>
  <c r="I746" i="16"/>
  <c r="K746" i="16" s="1"/>
  <c r="I749" i="16"/>
  <c r="K749" i="16" s="1"/>
  <c r="I752" i="16"/>
  <c r="K752" i="16" s="1"/>
  <c r="I755" i="16"/>
  <c r="K755" i="16" s="1"/>
  <c r="J758" i="16"/>
  <c r="J759" i="16"/>
  <c r="M760" i="16"/>
  <c r="P760" i="16" s="1"/>
  <c r="L761" i="16"/>
  <c r="M761" i="16"/>
  <c r="N761" i="16"/>
  <c r="N760" i="16" s="1"/>
  <c r="O761" i="16"/>
  <c r="P761" i="16"/>
  <c r="Q761" i="16"/>
  <c r="R761" i="16"/>
  <c r="S761" i="16"/>
  <c r="T761" i="16"/>
  <c r="U761" i="16"/>
  <c r="L762" i="16"/>
  <c r="O762" i="16" s="1"/>
  <c r="M762" i="16"/>
  <c r="N762" i="16"/>
  <c r="P762" i="16"/>
  <c r="L763" i="16"/>
  <c r="O763" i="16" s="1"/>
  <c r="M763" i="16"/>
  <c r="P763" i="16" s="1"/>
  <c r="N763" i="16"/>
  <c r="O764" i="16"/>
  <c r="P764" i="16"/>
  <c r="T764" i="16"/>
  <c r="U764" i="16"/>
  <c r="O765" i="16"/>
  <c r="P765" i="16"/>
  <c r="Q765" i="16"/>
  <c r="Q763" i="16" s="1"/>
  <c r="R765" i="16"/>
  <c r="R763" i="16" s="1"/>
  <c r="S765" i="16"/>
  <c r="S762" i="16" s="1"/>
  <c r="S760" i="16" s="1"/>
  <c r="L766" i="16"/>
  <c r="M766" i="16"/>
  <c r="N766" i="16"/>
  <c r="O766" i="16"/>
  <c r="P766" i="16"/>
  <c r="Q766" i="16"/>
  <c r="T766" i="16" s="1"/>
  <c r="R766" i="16"/>
  <c r="S766" i="16"/>
  <c r="U766" i="16"/>
  <c r="O767" i="16"/>
  <c r="P767" i="16"/>
  <c r="T767" i="16"/>
  <c r="U767" i="16"/>
  <c r="O768" i="16"/>
  <c r="P768" i="16"/>
  <c r="T768" i="16"/>
  <c r="U768" i="16"/>
  <c r="I770" i="16"/>
  <c r="K770" i="16" s="1"/>
  <c r="I772" i="16"/>
  <c r="I758" i="16" s="1"/>
  <c r="K758" i="16" s="1"/>
  <c r="I774" i="16"/>
  <c r="I759" i="16" s="1"/>
  <c r="K759" i="16" s="1"/>
  <c r="I775" i="16"/>
  <c r="I776" i="16"/>
  <c r="H777" i="16"/>
  <c r="I778" i="16"/>
  <c r="J778" i="16"/>
  <c r="I779" i="16"/>
  <c r="J779" i="16"/>
  <c r="I780" i="16"/>
  <c r="J780" i="16"/>
  <c r="I781" i="16"/>
  <c r="J781" i="16"/>
  <c r="I782" i="16"/>
  <c r="J782" i="16"/>
  <c r="I783" i="16"/>
  <c r="J783" i="16"/>
  <c r="I784" i="16"/>
  <c r="J784" i="16"/>
  <c r="I785" i="16"/>
  <c r="J785" i="16"/>
  <c r="A788" i="16"/>
  <c r="A789" i="16"/>
  <c r="L22" i="15"/>
  <c r="M22" i="15"/>
  <c r="N22" i="15"/>
  <c r="O22" i="15"/>
  <c r="Q22" i="15"/>
  <c r="T22" i="15" s="1"/>
  <c r="R22" i="15"/>
  <c r="S22" i="15"/>
  <c r="L25" i="15"/>
  <c r="O25" i="15" s="1"/>
  <c r="M25" i="15"/>
  <c r="N25" i="15"/>
  <c r="Q25" i="15"/>
  <c r="T25" i="15" s="1"/>
  <c r="R25" i="15"/>
  <c r="U25" i="15" s="1"/>
  <c r="S25" i="15"/>
  <c r="Q26" i="15"/>
  <c r="R26" i="15"/>
  <c r="S26" i="15"/>
  <c r="U26" i="15"/>
  <c r="L45" i="15"/>
  <c r="O45" i="15" s="1"/>
  <c r="M45" i="15"/>
  <c r="P45" i="15" s="1"/>
  <c r="N45" i="15"/>
  <c r="Q45" i="15"/>
  <c r="Q44" i="15" s="1"/>
  <c r="T44" i="15" s="1"/>
  <c r="R45" i="15"/>
  <c r="U45" i="15" s="1"/>
  <c r="S45" i="15"/>
  <c r="T45" i="15"/>
  <c r="Q46" i="15"/>
  <c r="R46" i="15"/>
  <c r="U46" i="15" s="1"/>
  <c r="S46" i="15"/>
  <c r="S44" i="15" s="1"/>
  <c r="T46" i="15"/>
  <c r="Q47" i="15"/>
  <c r="T47" i="15" s="1"/>
  <c r="R47" i="15"/>
  <c r="U47" i="15" s="1"/>
  <c r="S47" i="15"/>
  <c r="O48" i="15"/>
  <c r="P48" i="15"/>
  <c r="T48" i="15"/>
  <c r="U48" i="15"/>
  <c r="L49" i="15"/>
  <c r="L47" i="15" s="1"/>
  <c r="M49" i="15"/>
  <c r="M47" i="15" s="1"/>
  <c r="N49" i="15"/>
  <c r="N47" i="15" s="1"/>
  <c r="T49" i="15"/>
  <c r="U49" i="15"/>
  <c r="Q50" i="15"/>
  <c r="T50" i="15" s="1"/>
  <c r="R50" i="15"/>
  <c r="S50" i="15"/>
  <c r="U50" i="15"/>
  <c r="O51" i="15"/>
  <c r="P51" i="15"/>
  <c r="T51" i="15"/>
  <c r="U51" i="15"/>
  <c r="L52" i="15"/>
  <c r="M52" i="15"/>
  <c r="N52" i="15"/>
  <c r="T52" i="15"/>
  <c r="U52" i="15"/>
  <c r="L60" i="15"/>
  <c r="O60" i="15" s="1"/>
  <c r="M60" i="15"/>
  <c r="N60" i="15"/>
  <c r="P60" i="15"/>
  <c r="Q60" i="15"/>
  <c r="R60" i="15"/>
  <c r="U60" i="15" s="1"/>
  <c r="S60" i="15"/>
  <c r="T60" i="15"/>
  <c r="Q61" i="15"/>
  <c r="R61" i="15"/>
  <c r="U61" i="15" s="1"/>
  <c r="S61" i="15"/>
  <c r="T61" i="15"/>
  <c r="Q62" i="15"/>
  <c r="T62" i="15" s="1"/>
  <c r="R62" i="15"/>
  <c r="U62" i="15" s="1"/>
  <c r="S62" i="15"/>
  <c r="O63" i="15"/>
  <c r="P63" i="15"/>
  <c r="T63" i="15"/>
  <c r="U63" i="15"/>
  <c r="L64" i="15"/>
  <c r="M64" i="15"/>
  <c r="M62" i="15" s="1"/>
  <c r="N64" i="15"/>
  <c r="T64" i="15"/>
  <c r="U64" i="15"/>
  <c r="Q65" i="15"/>
  <c r="T65" i="15" s="1"/>
  <c r="R65" i="15"/>
  <c r="S65" i="15"/>
  <c r="U65" i="15"/>
  <c r="O66" i="15"/>
  <c r="P66" i="15"/>
  <c r="T66" i="15"/>
  <c r="U66" i="15"/>
  <c r="L67" i="15"/>
  <c r="O67" i="15" s="1"/>
  <c r="M67" i="15"/>
  <c r="N67" i="15"/>
  <c r="N65" i="15" s="1"/>
  <c r="T67" i="15"/>
  <c r="U67" i="15"/>
  <c r="L73" i="15"/>
  <c r="O73" i="15" s="1"/>
  <c r="M73" i="15"/>
  <c r="P73" i="15" s="1"/>
  <c r="N73" i="15"/>
  <c r="Q73" i="15"/>
  <c r="R73" i="15"/>
  <c r="U73" i="15" s="1"/>
  <c r="S73" i="15"/>
  <c r="T73" i="15"/>
  <c r="O76" i="15"/>
  <c r="P76" i="15"/>
  <c r="T76" i="15"/>
  <c r="U76" i="15"/>
  <c r="L77" i="15"/>
  <c r="M77" i="15"/>
  <c r="M75" i="15" s="1"/>
  <c r="N77" i="15"/>
  <c r="N75" i="15" s="1"/>
  <c r="Q77" i="15"/>
  <c r="Q74" i="15" s="1"/>
  <c r="R77" i="15"/>
  <c r="S77" i="15"/>
  <c r="S75" i="15" s="1"/>
  <c r="Q78" i="15"/>
  <c r="R78" i="15"/>
  <c r="U78" i="15" s="1"/>
  <c r="S78" i="15"/>
  <c r="T78" i="15"/>
  <c r="O79" i="15"/>
  <c r="P79" i="15"/>
  <c r="T79" i="15"/>
  <c r="U79" i="15"/>
  <c r="L80" i="15"/>
  <c r="L78" i="15" s="1"/>
  <c r="O78" i="15" s="1"/>
  <c r="M80" i="15"/>
  <c r="N80" i="15"/>
  <c r="N78" i="15" s="1"/>
  <c r="T80" i="15"/>
  <c r="U80" i="15"/>
  <c r="J82" i="15"/>
  <c r="J70" i="15" s="1"/>
  <c r="J83" i="15"/>
  <c r="J71" i="15" s="1"/>
  <c r="I84" i="15"/>
  <c r="I85" i="15"/>
  <c r="K85" i="15" s="1"/>
  <c r="I86" i="15"/>
  <c r="K86" i="15" s="1"/>
  <c r="I87" i="15"/>
  <c r="K87" i="15" s="1"/>
  <c r="I88" i="15"/>
  <c r="K88" i="15" s="1"/>
  <c r="I89" i="15"/>
  <c r="K89" i="15" s="1"/>
  <c r="I90" i="15"/>
  <c r="K90" i="15" s="1"/>
  <c r="J92" i="15"/>
  <c r="J93" i="15"/>
  <c r="L95" i="15"/>
  <c r="O95" i="15" s="1"/>
  <c r="M95" i="15"/>
  <c r="P95" i="15" s="1"/>
  <c r="N95" i="15"/>
  <c r="Q95" i="15"/>
  <c r="R95" i="15"/>
  <c r="U95" i="15" s="1"/>
  <c r="S95" i="15"/>
  <c r="O98" i="15"/>
  <c r="P98" i="15"/>
  <c r="T98" i="15"/>
  <c r="U98" i="15"/>
  <c r="L99" i="15"/>
  <c r="M99" i="15"/>
  <c r="M97" i="15" s="1"/>
  <c r="N99" i="15"/>
  <c r="N97" i="15" s="1"/>
  <c r="Q99" i="15"/>
  <c r="Q96" i="15" s="1"/>
  <c r="R99" i="15"/>
  <c r="R96" i="15" s="1"/>
  <c r="S99" i="15"/>
  <c r="S96" i="15" s="1"/>
  <c r="Q100" i="15"/>
  <c r="T100" i="15" s="1"/>
  <c r="R100" i="15"/>
  <c r="S100" i="15"/>
  <c r="U100" i="15"/>
  <c r="O101" i="15"/>
  <c r="P101" i="15"/>
  <c r="T101" i="15"/>
  <c r="U101" i="15"/>
  <c r="L102" i="15"/>
  <c r="L100" i="15" s="1"/>
  <c r="O100" i="15" s="1"/>
  <c r="M102" i="15"/>
  <c r="P102" i="15" s="1"/>
  <c r="N102" i="15"/>
  <c r="N100" i="15" s="1"/>
  <c r="T102" i="15"/>
  <c r="U102" i="15"/>
  <c r="I108" i="15"/>
  <c r="K108" i="15" s="1"/>
  <c r="I109" i="15"/>
  <c r="I93" i="15" s="1"/>
  <c r="K93" i="15" s="1"/>
  <c r="I113" i="15"/>
  <c r="K113" i="15" s="1"/>
  <c r="I114" i="15"/>
  <c r="K114" i="15" s="1"/>
  <c r="J116" i="15"/>
  <c r="L118" i="15"/>
  <c r="M118" i="15"/>
  <c r="N118" i="15"/>
  <c r="O118" i="15"/>
  <c r="Q118" i="15"/>
  <c r="T118" i="15" s="1"/>
  <c r="R118" i="15"/>
  <c r="S118" i="15"/>
  <c r="U118" i="15"/>
  <c r="O121" i="15"/>
  <c r="P121" i="15"/>
  <c r="T121" i="15"/>
  <c r="U121" i="15"/>
  <c r="L122" i="15"/>
  <c r="O122" i="15" s="1"/>
  <c r="M122" i="15"/>
  <c r="N122" i="15"/>
  <c r="N120" i="15" s="1"/>
  <c r="Q122" i="15"/>
  <c r="Q120" i="15" s="1"/>
  <c r="R122" i="15"/>
  <c r="S122" i="15"/>
  <c r="S119" i="15" s="1"/>
  <c r="Q123" i="15"/>
  <c r="T123" i="15" s="1"/>
  <c r="R123" i="15"/>
  <c r="U123" i="15" s="1"/>
  <c r="S123" i="15"/>
  <c r="O124" i="15"/>
  <c r="P124" i="15"/>
  <c r="T124" i="15"/>
  <c r="U124" i="15"/>
  <c r="L125" i="15"/>
  <c r="L123" i="15" s="1"/>
  <c r="O123" i="15" s="1"/>
  <c r="M125" i="15"/>
  <c r="P125" i="15" s="1"/>
  <c r="N125" i="15"/>
  <c r="N123" i="15" s="1"/>
  <c r="T125" i="15"/>
  <c r="U125" i="15"/>
  <c r="I127" i="15"/>
  <c r="I128" i="15"/>
  <c r="K128" i="15" s="1"/>
  <c r="I129" i="15"/>
  <c r="K129" i="15" s="1"/>
  <c r="I130" i="15"/>
  <c r="K130" i="15" s="1"/>
  <c r="J136" i="15"/>
  <c r="J137" i="15"/>
  <c r="J138" i="15"/>
  <c r="L140" i="15"/>
  <c r="M140" i="15"/>
  <c r="P140" i="15" s="1"/>
  <c r="N140" i="15"/>
  <c r="O140" i="15"/>
  <c r="Q140" i="15"/>
  <c r="R140" i="15"/>
  <c r="S140" i="15"/>
  <c r="T140" i="15"/>
  <c r="U140" i="15"/>
  <c r="O143" i="15"/>
  <c r="P143" i="15"/>
  <c r="T143" i="15"/>
  <c r="U143" i="15"/>
  <c r="L144" i="15"/>
  <c r="O144" i="15" s="1"/>
  <c r="M144" i="15"/>
  <c r="P144" i="15" s="1"/>
  <c r="N144" i="15"/>
  <c r="Q144" i="15"/>
  <c r="R144" i="15"/>
  <c r="R141" i="15" s="1"/>
  <c r="U141" i="15" s="1"/>
  <c r="S144" i="15"/>
  <c r="S142" i="15" s="1"/>
  <c r="Q145" i="15"/>
  <c r="T145" i="15" s="1"/>
  <c r="R145" i="15"/>
  <c r="U145" i="15" s="1"/>
  <c r="S145" i="15"/>
  <c r="O146" i="15"/>
  <c r="P146" i="15"/>
  <c r="T146" i="15"/>
  <c r="U146" i="15"/>
  <c r="L147" i="15"/>
  <c r="L145" i="15" s="1"/>
  <c r="O145" i="15" s="1"/>
  <c r="M147" i="15"/>
  <c r="P147" i="15" s="1"/>
  <c r="N147" i="15"/>
  <c r="N145" i="15" s="1"/>
  <c r="T147" i="15"/>
  <c r="U147" i="15"/>
  <c r="I150" i="15"/>
  <c r="K150" i="15" s="1"/>
  <c r="I151" i="15"/>
  <c r="K151" i="15" s="1"/>
  <c r="I152" i="15"/>
  <c r="K152" i="15" s="1"/>
  <c r="I153" i="15"/>
  <c r="K153" i="15" s="1"/>
  <c r="I154" i="15"/>
  <c r="K154" i="15" s="1"/>
  <c r="J156" i="15"/>
  <c r="L158" i="15"/>
  <c r="M158" i="15"/>
  <c r="P158" i="15" s="1"/>
  <c r="N158" i="15"/>
  <c r="O158" i="15"/>
  <c r="Q158" i="15"/>
  <c r="T158" i="15" s="1"/>
  <c r="R158" i="15"/>
  <c r="S158" i="15"/>
  <c r="U158" i="15"/>
  <c r="O161" i="15"/>
  <c r="P161" i="15"/>
  <c r="T161" i="15"/>
  <c r="U161" i="15"/>
  <c r="L162" i="15"/>
  <c r="M162" i="15"/>
  <c r="N162" i="15"/>
  <c r="N160" i="15" s="1"/>
  <c r="Q162" i="15"/>
  <c r="T162" i="15" s="1"/>
  <c r="R162" i="15"/>
  <c r="S162" i="15"/>
  <c r="S160" i="15" s="1"/>
  <c r="Q163" i="15"/>
  <c r="T163" i="15" s="1"/>
  <c r="R163" i="15"/>
  <c r="S163" i="15"/>
  <c r="U163" i="15"/>
  <c r="O164" i="15"/>
  <c r="P164" i="15"/>
  <c r="T164" i="15"/>
  <c r="U164" i="15"/>
  <c r="L165" i="15"/>
  <c r="L163" i="15" s="1"/>
  <c r="O163" i="15" s="1"/>
  <c r="M165" i="15"/>
  <c r="P165" i="15" s="1"/>
  <c r="N165" i="15"/>
  <c r="N163" i="15" s="1"/>
  <c r="T165" i="15"/>
  <c r="U165" i="15"/>
  <c r="I167" i="15"/>
  <c r="K167" i="15" s="1"/>
  <c r="J172" i="15"/>
  <c r="L174" i="15"/>
  <c r="M174" i="15"/>
  <c r="N174" i="15"/>
  <c r="O174" i="15"/>
  <c r="Q174" i="15"/>
  <c r="T174" i="15" s="1"/>
  <c r="R174" i="15"/>
  <c r="U174" i="15" s="1"/>
  <c r="S174" i="15"/>
  <c r="O177" i="15"/>
  <c r="P177" i="15"/>
  <c r="T177" i="15"/>
  <c r="U177" i="15"/>
  <c r="L178" i="15"/>
  <c r="M178" i="15"/>
  <c r="N178" i="15"/>
  <c r="N176" i="15" s="1"/>
  <c r="Q178" i="15"/>
  <c r="T178" i="15" s="1"/>
  <c r="R178" i="15"/>
  <c r="S178" i="15"/>
  <c r="Q179" i="15"/>
  <c r="T179" i="15" s="1"/>
  <c r="R179" i="15"/>
  <c r="U179" i="15" s="1"/>
  <c r="S179" i="15"/>
  <c r="O180" i="15"/>
  <c r="P180" i="15"/>
  <c r="T180" i="15"/>
  <c r="U180" i="15"/>
  <c r="L181" i="15"/>
  <c r="O181" i="15" s="1"/>
  <c r="M181" i="15"/>
  <c r="P181" i="15" s="1"/>
  <c r="N181" i="15"/>
  <c r="N179" i="15" s="1"/>
  <c r="T181" i="15"/>
  <c r="U181" i="15"/>
  <c r="I183" i="15"/>
  <c r="K183" i="15" s="1"/>
  <c r="K184" i="15"/>
  <c r="L187" i="15"/>
  <c r="M187" i="15"/>
  <c r="P187" i="15" s="1"/>
  <c r="N187" i="15"/>
  <c r="Q187" i="15"/>
  <c r="R187" i="15"/>
  <c r="S187" i="15"/>
  <c r="O190" i="15"/>
  <c r="P190" i="15"/>
  <c r="T190" i="15"/>
  <c r="U190" i="15"/>
  <c r="L191" i="15"/>
  <c r="L189" i="15" s="1"/>
  <c r="M191" i="15"/>
  <c r="N191" i="15"/>
  <c r="Q191" i="15"/>
  <c r="Q188" i="15" s="1"/>
  <c r="R191" i="15"/>
  <c r="R189" i="15" s="1"/>
  <c r="S191" i="15"/>
  <c r="Q192" i="15"/>
  <c r="T192" i="15" s="1"/>
  <c r="R192" i="15"/>
  <c r="U192" i="15" s="1"/>
  <c r="S192" i="15"/>
  <c r="O193" i="15"/>
  <c r="P193" i="15"/>
  <c r="T193" i="15"/>
  <c r="U193" i="15"/>
  <c r="L194" i="15"/>
  <c r="L192" i="15" s="1"/>
  <c r="O192" i="15" s="1"/>
  <c r="M194" i="15"/>
  <c r="M192" i="15" s="1"/>
  <c r="P192" i="15" s="1"/>
  <c r="N194" i="15"/>
  <c r="N192" i="15" s="1"/>
  <c r="T194" i="15"/>
  <c r="U194" i="15"/>
  <c r="J195" i="15"/>
  <c r="L196" i="15"/>
  <c r="O196" i="15" s="1"/>
  <c r="P196" i="15"/>
  <c r="I198" i="15"/>
  <c r="I195" i="15" s="1"/>
  <c r="K195" i="15" s="1"/>
  <c r="J199" i="15"/>
  <c r="J202" i="15"/>
  <c r="N203" i="15"/>
  <c r="P203" i="15"/>
  <c r="S203" i="15"/>
  <c r="U203" i="15"/>
  <c r="L204" i="15"/>
  <c r="L205" i="15"/>
  <c r="L206" i="15"/>
  <c r="Q206" i="15"/>
  <c r="Q203" i="15" s="1"/>
  <c r="T203" i="15" s="1"/>
  <c r="L207" i="15"/>
  <c r="I209" i="15"/>
  <c r="I211" i="15"/>
  <c r="K211" i="15" s="1"/>
  <c r="I212" i="15"/>
  <c r="K212" i="15" s="1"/>
  <c r="J213" i="15"/>
  <c r="N214" i="15"/>
  <c r="P214" i="15"/>
  <c r="S214" i="15"/>
  <c r="U214" i="15"/>
  <c r="L215" i="15"/>
  <c r="L216" i="15"/>
  <c r="L217" i="15"/>
  <c r="Q217" i="15"/>
  <c r="Q214" i="15" s="1"/>
  <c r="T214" i="15" s="1"/>
  <c r="I219" i="15"/>
  <c r="K219" i="15" s="1"/>
  <c r="I220" i="15"/>
  <c r="I213" i="15" s="1"/>
  <c r="K213" i="15" s="1"/>
  <c r="J221" i="15"/>
  <c r="N222" i="15"/>
  <c r="P222" i="15"/>
  <c r="L223" i="15"/>
  <c r="L224" i="15"/>
  <c r="L225" i="15"/>
  <c r="I228" i="15"/>
  <c r="K228" i="15" s="1"/>
  <c r="I229" i="15"/>
  <c r="K229" i="15" s="1"/>
  <c r="I230" i="15"/>
  <c r="K230" i="15" s="1"/>
  <c r="N233" i="15"/>
  <c r="N234" i="15"/>
  <c r="N235" i="15"/>
  <c r="N236" i="15"/>
  <c r="J238" i="15"/>
  <c r="J240" i="15"/>
  <c r="J241" i="15"/>
  <c r="J242" i="15"/>
  <c r="N243" i="15"/>
  <c r="P243" i="15"/>
  <c r="L244" i="15"/>
  <c r="L245" i="15"/>
  <c r="L246" i="15"/>
  <c r="L247" i="15"/>
  <c r="I249" i="15"/>
  <c r="I242" i="15" s="1"/>
  <c r="I251" i="15"/>
  <c r="I252" i="15"/>
  <c r="I241" i="15" s="1"/>
  <c r="K241" i="15" s="1"/>
  <c r="J253" i="15"/>
  <c r="N254" i="15"/>
  <c r="P254" i="15"/>
  <c r="L255" i="15"/>
  <c r="L256" i="15"/>
  <c r="L257" i="15"/>
  <c r="L258" i="15"/>
  <c r="I260" i="15"/>
  <c r="I253" i="15" s="1"/>
  <c r="K253" i="15" s="1"/>
  <c r="K262" i="15"/>
  <c r="K263" i="15"/>
  <c r="J265" i="15"/>
  <c r="L267" i="15"/>
  <c r="O267" i="15" s="1"/>
  <c r="M267" i="15"/>
  <c r="N267" i="15"/>
  <c r="Q267" i="15"/>
  <c r="R267" i="15"/>
  <c r="S267" i="15"/>
  <c r="T267" i="15"/>
  <c r="O270" i="15"/>
  <c r="P270" i="15"/>
  <c r="T270" i="15"/>
  <c r="U270" i="15"/>
  <c r="L271" i="15"/>
  <c r="L269" i="15" s="1"/>
  <c r="O269" i="15" s="1"/>
  <c r="M271" i="15"/>
  <c r="N271" i="15"/>
  <c r="N269" i="15" s="1"/>
  <c r="Q271" i="15"/>
  <c r="Q269" i="15" s="1"/>
  <c r="R271" i="15"/>
  <c r="R268" i="15" s="1"/>
  <c r="S271" i="15"/>
  <c r="S268" i="15" s="1"/>
  <c r="S266" i="15" s="1"/>
  <c r="Q272" i="15"/>
  <c r="R272" i="15"/>
  <c r="U272" i="15" s="1"/>
  <c r="S272" i="15"/>
  <c r="T272" i="15"/>
  <c r="O273" i="15"/>
  <c r="P273" i="15"/>
  <c r="T273" i="15"/>
  <c r="U273" i="15"/>
  <c r="L274" i="15"/>
  <c r="O274" i="15" s="1"/>
  <c r="M274" i="15"/>
  <c r="M272" i="15" s="1"/>
  <c r="P272" i="15" s="1"/>
  <c r="N274" i="15"/>
  <c r="N272" i="15" s="1"/>
  <c r="T274" i="15"/>
  <c r="U274" i="15"/>
  <c r="I276" i="15"/>
  <c r="I265" i="15" s="1"/>
  <c r="K265" i="15" s="1"/>
  <c r="J281" i="15"/>
  <c r="L283" i="15"/>
  <c r="M283" i="15"/>
  <c r="N283" i="15"/>
  <c r="O283" i="15"/>
  <c r="Q283" i="15"/>
  <c r="R283" i="15"/>
  <c r="S283" i="15"/>
  <c r="U283" i="15"/>
  <c r="Q284" i="15"/>
  <c r="T284" i="15" s="1"/>
  <c r="R284" i="15"/>
  <c r="R282" i="15" s="1"/>
  <c r="U282" i="15" s="1"/>
  <c r="S284" i="15"/>
  <c r="Q285" i="15"/>
  <c r="T285" i="15" s="1"/>
  <c r="R285" i="15"/>
  <c r="U285" i="15" s="1"/>
  <c r="S285" i="15"/>
  <c r="O286" i="15"/>
  <c r="P286" i="15"/>
  <c r="T286" i="15"/>
  <c r="U286" i="15"/>
  <c r="L287" i="15"/>
  <c r="M287" i="15"/>
  <c r="N287" i="15"/>
  <c r="T287" i="15"/>
  <c r="U287" i="15"/>
  <c r="Q288" i="15"/>
  <c r="T288" i="15" s="1"/>
  <c r="R288" i="15"/>
  <c r="U288" i="15" s="1"/>
  <c r="S288" i="15"/>
  <c r="O289" i="15"/>
  <c r="P289" i="15"/>
  <c r="T289" i="15"/>
  <c r="U289" i="15"/>
  <c r="L290" i="15"/>
  <c r="L288" i="15" s="1"/>
  <c r="O288" i="15" s="1"/>
  <c r="M290" i="15"/>
  <c r="M288" i="15" s="1"/>
  <c r="P288" i="15" s="1"/>
  <c r="N290" i="15"/>
  <c r="N288" i="15" s="1"/>
  <c r="T290" i="15"/>
  <c r="U290" i="15"/>
  <c r="I292" i="15"/>
  <c r="K292" i="15" s="1"/>
  <c r="I293" i="15"/>
  <c r="J293" i="15"/>
  <c r="J280" i="15" s="1"/>
  <c r="I295" i="15"/>
  <c r="K295" i="15" s="1"/>
  <c r="I296" i="15"/>
  <c r="K296" i="15" s="1"/>
  <c r="J302" i="15"/>
  <c r="L304" i="15"/>
  <c r="O304" i="15" s="1"/>
  <c r="M304" i="15"/>
  <c r="N304" i="15"/>
  <c r="Q304" i="15"/>
  <c r="T304" i="15" s="1"/>
  <c r="R304" i="15"/>
  <c r="S304" i="15"/>
  <c r="U304" i="15"/>
  <c r="O307" i="15"/>
  <c r="P307" i="15"/>
  <c r="T307" i="15"/>
  <c r="U307" i="15"/>
  <c r="L308" i="15"/>
  <c r="L306" i="15" s="1"/>
  <c r="O306" i="15" s="1"/>
  <c r="M308" i="15"/>
  <c r="M306" i="15" s="1"/>
  <c r="P306" i="15" s="1"/>
  <c r="N308" i="15"/>
  <c r="Q308" i="15"/>
  <c r="R308" i="15"/>
  <c r="S308" i="15"/>
  <c r="S305" i="15" s="1"/>
  <c r="Q309" i="15"/>
  <c r="T309" i="15" s="1"/>
  <c r="R309" i="15"/>
  <c r="S309" i="15"/>
  <c r="U309" i="15"/>
  <c r="O310" i="15"/>
  <c r="P310" i="15"/>
  <c r="T310" i="15"/>
  <c r="U310" i="15"/>
  <c r="L311" i="15"/>
  <c r="L309" i="15" s="1"/>
  <c r="O309" i="15" s="1"/>
  <c r="M311" i="15"/>
  <c r="N311" i="15"/>
  <c r="N309" i="15" s="1"/>
  <c r="T311" i="15"/>
  <c r="U311" i="15"/>
  <c r="I314" i="15"/>
  <c r="K314" i="15" s="1"/>
  <c r="J319" i="15"/>
  <c r="R320" i="15"/>
  <c r="U320" i="15" s="1"/>
  <c r="L321" i="15"/>
  <c r="M321" i="15"/>
  <c r="N321" i="15"/>
  <c r="Q321" i="15"/>
  <c r="R321" i="15"/>
  <c r="S321" i="15"/>
  <c r="S320" i="15" s="1"/>
  <c r="U321" i="15"/>
  <c r="Q322" i="15"/>
  <c r="T322" i="15" s="1"/>
  <c r="R322" i="15"/>
  <c r="S322" i="15"/>
  <c r="U322" i="15"/>
  <c r="Q323" i="15"/>
  <c r="T323" i="15" s="1"/>
  <c r="R323" i="15"/>
  <c r="S323" i="15"/>
  <c r="U323" i="15"/>
  <c r="O324" i="15"/>
  <c r="P324" i="15"/>
  <c r="T324" i="15"/>
  <c r="U324" i="15"/>
  <c r="L325" i="15"/>
  <c r="M325" i="15"/>
  <c r="M323" i="15" s="1"/>
  <c r="P323" i="15" s="1"/>
  <c r="N325" i="15"/>
  <c r="N323" i="15" s="1"/>
  <c r="T325" i="15"/>
  <c r="U325" i="15"/>
  <c r="Q326" i="15"/>
  <c r="T326" i="15" s="1"/>
  <c r="R326" i="15"/>
  <c r="U326" i="15" s="1"/>
  <c r="S326" i="15"/>
  <c r="O327" i="15"/>
  <c r="P327" i="15"/>
  <c r="T327" i="15"/>
  <c r="U327" i="15"/>
  <c r="L328" i="15"/>
  <c r="O328" i="15" s="1"/>
  <c r="M328" i="15"/>
  <c r="M326" i="15" s="1"/>
  <c r="P326" i="15" s="1"/>
  <c r="N328" i="15"/>
  <c r="T328" i="15"/>
  <c r="U328" i="15"/>
  <c r="I330" i="15"/>
  <c r="K330" i="15" s="1"/>
  <c r="L334" i="15"/>
  <c r="O334" i="15" s="1"/>
  <c r="M334" i="15"/>
  <c r="N334" i="15"/>
  <c r="P334" i="15"/>
  <c r="Q334" i="15"/>
  <c r="T334" i="15" s="1"/>
  <c r="R334" i="15"/>
  <c r="U334" i="15" s="1"/>
  <c r="S334" i="15"/>
  <c r="Q335" i="15"/>
  <c r="Q333" i="15" s="1"/>
  <c r="T333" i="15" s="1"/>
  <c r="R335" i="15"/>
  <c r="U335" i="15" s="1"/>
  <c r="S335" i="15"/>
  <c r="Q336" i="15"/>
  <c r="T336" i="15" s="1"/>
  <c r="R336" i="15"/>
  <c r="U336" i="15" s="1"/>
  <c r="S336" i="15"/>
  <c r="O337" i="15"/>
  <c r="P337" i="15"/>
  <c r="T337" i="15"/>
  <c r="U337" i="15"/>
  <c r="L338" i="15"/>
  <c r="M338" i="15"/>
  <c r="M336" i="15" s="1"/>
  <c r="N338" i="15"/>
  <c r="N336" i="15" s="1"/>
  <c r="T338" i="15"/>
  <c r="U338" i="15"/>
  <c r="Q339" i="15"/>
  <c r="R339" i="15"/>
  <c r="S339" i="15"/>
  <c r="T339" i="15"/>
  <c r="U339" i="15"/>
  <c r="O340" i="15"/>
  <c r="P340" i="15"/>
  <c r="T340" i="15"/>
  <c r="U340" i="15"/>
  <c r="L341" i="15"/>
  <c r="M341" i="15"/>
  <c r="N341" i="15"/>
  <c r="N339" i="15" s="1"/>
  <c r="T341" i="15"/>
  <c r="U341" i="15"/>
  <c r="I344" i="15"/>
  <c r="J344" i="15"/>
  <c r="I346" i="15"/>
  <c r="J346" i="15"/>
  <c r="J347" i="15"/>
  <c r="J348" i="15"/>
  <c r="J349" i="15"/>
  <c r="D350" i="15"/>
  <c r="J352" i="15"/>
  <c r="J353" i="15"/>
  <c r="D354" i="15"/>
  <c r="S356" i="15"/>
  <c r="L357" i="15"/>
  <c r="O357" i="15" s="1"/>
  <c r="M357" i="15"/>
  <c r="N357" i="15"/>
  <c r="P357" i="15"/>
  <c r="Q357" i="15"/>
  <c r="T357" i="15" s="1"/>
  <c r="R357" i="15"/>
  <c r="S357" i="15"/>
  <c r="U357" i="15"/>
  <c r="Q358" i="15"/>
  <c r="R358" i="15"/>
  <c r="U358" i="15" s="1"/>
  <c r="S358" i="15"/>
  <c r="T358" i="15"/>
  <c r="Q359" i="15"/>
  <c r="T359" i="15" s="1"/>
  <c r="R359" i="15"/>
  <c r="S359" i="15"/>
  <c r="U359" i="15"/>
  <c r="O360" i="15"/>
  <c r="P360" i="15"/>
  <c r="T360" i="15"/>
  <c r="U360" i="15"/>
  <c r="L361" i="15"/>
  <c r="M361" i="15"/>
  <c r="N361" i="15"/>
  <c r="N359" i="15" s="1"/>
  <c r="T361" i="15"/>
  <c r="U361" i="15"/>
  <c r="Q362" i="15"/>
  <c r="T362" i="15" s="1"/>
  <c r="R362" i="15"/>
  <c r="U362" i="15" s="1"/>
  <c r="S362" i="15"/>
  <c r="O363" i="15"/>
  <c r="P363" i="15"/>
  <c r="T363" i="15"/>
  <c r="U363" i="15"/>
  <c r="L364" i="15"/>
  <c r="L358" i="15" s="1"/>
  <c r="M364" i="15"/>
  <c r="M362" i="15" s="1"/>
  <c r="P362" i="15" s="1"/>
  <c r="N364" i="15"/>
  <c r="N362" i="15" s="1"/>
  <c r="T364" i="15"/>
  <c r="U364" i="15"/>
  <c r="J367" i="15"/>
  <c r="K367" i="15"/>
  <c r="I368" i="15"/>
  <c r="J368" i="15"/>
  <c r="I369" i="15"/>
  <c r="J369" i="15"/>
  <c r="J370" i="15"/>
  <c r="K370" i="15"/>
  <c r="I371" i="15"/>
  <c r="I365" i="15" s="1"/>
  <c r="J371" i="15"/>
  <c r="J372" i="15"/>
  <c r="K372" i="15"/>
  <c r="D373" i="15"/>
  <c r="L376" i="15"/>
  <c r="M376" i="15"/>
  <c r="N376" i="15"/>
  <c r="Q376" i="15"/>
  <c r="T376" i="15" s="1"/>
  <c r="R376" i="15"/>
  <c r="S376" i="15"/>
  <c r="L377" i="15"/>
  <c r="O377" i="15" s="1"/>
  <c r="M377" i="15"/>
  <c r="N377" i="15"/>
  <c r="P377" i="15"/>
  <c r="L378" i="15"/>
  <c r="O378" i="15" s="1"/>
  <c r="M378" i="15"/>
  <c r="P378" i="15" s="1"/>
  <c r="N378" i="15"/>
  <c r="O379" i="15"/>
  <c r="P379" i="15"/>
  <c r="T379" i="15"/>
  <c r="U379" i="15"/>
  <c r="O380" i="15"/>
  <c r="P380" i="15"/>
  <c r="Q380" i="15"/>
  <c r="Q378" i="15" s="1"/>
  <c r="R380" i="15"/>
  <c r="S380" i="15"/>
  <c r="S377" i="15" s="1"/>
  <c r="L381" i="15"/>
  <c r="O381" i="15" s="1"/>
  <c r="M381" i="15"/>
  <c r="P381" i="15" s="1"/>
  <c r="N381" i="15"/>
  <c r="Q381" i="15"/>
  <c r="T381" i="15" s="1"/>
  <c r="R381" i="15"/>
  <c r="S381" i="15"/>
  <c r="U381" i="15"/>
  <c r="O382" i="15"/>
  <c r="P382" i="15"/>
  <c r="T382" i="15"/>
  <c r="U382" i="15"/>
  <c r="O383" i="15"/>
  <c r="P383" i="15"/>
  <c r="T383" i="15"/>
  <c r="U383" i="15"/>
  <c r="J385" i="15"/>
  <c r="K385" i="15"/>
  <c r="I386" i="15"/>
  <c r="J386" i="15"/>
  <c r="J387" i="15"/>
  <c r="K387" i="15"/>
  <c r="I388" i="15"/>
  <c r="K388" i="15" s="1"/>
  <c r="J388" i="15"/>
  <c r="I391" i="15"/>
  <c r="K391" i="15" s="1"/>
  <c r="J391" i="15"/>
  <c r="M392" i="15"/>
  <c r="P392" i="15" s="1"/>
  <c r="L393" i="15"/>
  <c r="L392" i="15" s="1"/>
  <c r="O392" i="15" s="1"/>
  <c r="M393" i="15"/>
  <c r="P393" i="15" s="1"/>
  <c r="N393" i="15"/>
  <c r="O393" i="15"/>
  <c r="Q393" i="15"/>
  <c r="Q392" i="15" s="1"/>
  <c r="T392" i="15" s="1"/>
  <c r="R393" i="15"/>
  <c r="R392" i="15" s="1"/>
  <c r="U392" i="15" s="1"/>
  <c r="S393" i="15"/>
  <c r="S392" i="15" s="1"/>
  <c r="U393" i="15"/>
  <c r="L394" i="15"/>
  <c r="O394" i="15" s="1"/>
  <c r="M394" i="15"/>
  <c r="N394" i="15"/>
  <c r="P394" i="15"/>
  <c r="Q394" i="15"/>
  <c r="T394" i="15" s="1"/>
  <c r="R394" i="15"/>
  <c r="U394" i="15" s="1"/>
  <c r="S394" i="15"/>
  <c r="L395" i="15"/>
  <c r="O395" i="15" s="1"/>
  <c r="M395" i="15"/>
  <c r="P395" i="15" s="1"/>
  <c r="N395" i="15"/>
  <c r="Q395" i="15"/>
  <c r="R395" i="15"/>
  <c r="U395" i="15" s="1"/>
  <c r="S395" i="15"/>
  <c r="T395" i="15"/>
  <c r="O396" i="15"/>
  <c r="P396" i="15"/>
  <c r="T396" i="15"/>
  <c r="U396" i="15"/>
  <c r="O397" i="15"/>
  <c r="P397" i="15"/>
  <c r="T397" i="15"/>
  <c r="U397" i="15"/>
  <c r="L398" i="15"/>
  <c r="O398" i="15" s="1"/>
  <c r="M398" i="15"/>
  <c r="P398" i="15" s="1"/>
  <c r="N398" i="15"/>
  <c r="Q398" i="15"/>
  <c r="T398" i="15" s="1"/>
  <c r="R398" i="15"/>
  <c r="U398" i="15" s="1"/>
  <c r="S398" i="15"/>
  <c r="O399" i="15"/>
  <c r="P399" i="15"/>
  <c r="T399" i="15"/>
  <c r="U399" i="15"/>
  <c r="O400" i="15"/>
  <c r="P400" i="15"/>
  <c r="T400" i="15"/>
  <c r="U400" i="15"/>
  <c r="L414" i="15"/>
  <c r="M414" i="15"/>
  <c r="P414" i="15" s="1"/>
  <c r="N414" i="15"/>
  <c r="Q414" i="15"/>
  <c r="R414" i="15"/>
  <c r="S414" i="15"/>
  <c r="L415" i="15"/>
  <c r="O415" i="15" s="1"/>
  <c r="M415" i="15"/>
  <c r="N415" i="15"/>
  <c r="L416" i="15"/>
  <c r="M416" i="15"/>
  <c r="P416" i="15" s="1"/>
  <c r="N416" i="15"/>
  <c r="O416" i="15"/>
  <c r="O417" i="15"/>
  <c r="P417" i="15"/>
  <c r="T417" i="15"/>
  <c r="U417" i="15"/>
  <c r="O418" i="15"/>
  <c r="P418" i="15"/>
  <c r="Q418" i="15"/>
  <c r="R418" i="15"/>
  <c r="R415" i="15" s="1"/>
  <c r="U415" i="15" s="1"/>
  <c r="S418" i="15"/>
  <c r="S416" i="15" s="1"/>
  <c r="L419" i="15"/>
  <c r="O419" i="15" s="1"/>
  <c r="M419" i="15"/>
  <c r="P419" i="15" s="1"/>
  <c r="N419" i="15"/>
  <c r="Q419" i="15"/>
  <c r="T419" i="15" s="1"/>
  <c r="R419" i="15"/>
  <c r="U419" i="15" s="1"/>
  <c r="S419" i="15"/>
  <c r="O420" i="15"/>
  <c r="P420" i="15"/>
  <c r="T420" i="15"/>
  <c r="U420" i="15"/>
  <c r="O421" i="15"/>
  <c r="P421" i="15"/>
  <c r="T421" i="15"/>
  <c r="U421" i="15"/>
  <c r="I424" i="15"/>
  <c r="K424" i="15" s="1"/>
  <c r="J424" i="15"/>
  <c r="I425" i="15"/>
  <c r="K425" i="15" s="1"/>
  <c r="J425" i="15"/>
  <c r="I432" i="15"/>
  <c r="K432" i="15" s="1"/>
  <c r="J432" i="15"/>
  <c r="I433" i="15"/>
  <c r="K433" i="15" s="1"/>
  <c r="J433" i="15"/>
  <c r="I440" i="15"/>
  <c r="K440" i="15" s="1"/>
  <c r="I441" i="15"/>
  <c r="K441" i="15" s="1"/>
  <c r="J446" i="15"/>
  <c r="J440" i="15" s="1"/>
  <c r="J423" i="15" s="1"/>
  <c r="J412" i="15" s="1"/>
  <c r="J447" i="15"/>
  <c r="J441" i="15" s="1"/>
  <c r="I457" i="15"/>
  <c r="I456" i="15" s="1"/>
  <c r="K456" i="15" s="1"/>
  <c r="J457" i="15"/>
  <c r="J456" i="15" s="1"/>
  <c r="I458" i="15"/>
  <c r="K458" i="15" s="1"/>
  <c r="J459" i="15"/>
  <c r="J460" i="15"/>
  <c r="J458" i="15" s="1"/>
  <c r="J467" i="15"/>
  <c r="J468" i="15"/>
  <c r="J475" i="15"/>
  <c r="K475" i="15"/>
  <c r="J476" i="15"/>
  <c r="K476" i="15"/>
  <c r="J477" i="15"/>
  <c r="K477" i="15"/>
  <c r="J482" i="15"/>
  <c r="J483" i="15"/>
  <c r="I484" i="15"/>
  <c r="J484" i="15"/>
  <c r="K484" i="15"/>
  <c r="I485" i="15"/>
  <c r="J485" i="15"/>
  <c r="K485" i="15"/>
  <c r="N493" i="15"/>
  <c r="L494" i="15"/>
  <c r="O494" i="15" s="1"/>
  <c r="M494" i="15"/>
  <c r="M493" i="15" s="1"/>
  <c r="P493" i="15" s="1"/>
  <c r="N494" i="15"/>
  <c r="P494" i="15"/>
  <c r="Q494" i="15"/>
  <c r="T494" i="15" s="1"/>
  <c r="R494" i="15"/>
  <c r="S494" i="15"/>
  <c r="U494" i="15"/>
  <c r="L495" i="15"/>
  <c r="O495" i="15" s="1"/>
  <c r="M495" i="15"/>
  <c r="P495" i="15" s="1"/>
  <c r="N495" i="15"/>
  <c r="L496" i="15"/>
  <c r="O496" i="15" s="1"/>
  <c r="M496" i="15"/>
  <c r="P496" i="15" s="1"/>
  <c r="N496" i="15"/>
  <c r="O497" i="15"/>
  <c r="P497" i="15"/>
  <c r="T497" i="15"/>
  <c r="U497" i="15"/>
  <c r="O498" i="15"/>
  <c r="P498" i="15"/>
  <c r="Q498" i="15"/>
  <c r="Q496" i="15" s="1"/>
  <c r="T496" i="15" s="1"/>
  <c r="R498" i="15"/>
  <c r="R496" i="15" s="1"/>
  <c r="U496" i="15" s="1"/>
  <c r="S498" i="15"/>
  <c r="L499" i="15"/>
  <c r="O499" i="15" s="1"/>
  <c r="M499" i="15"/>
  <c r="P499" i="15" s="1"/>
  <c r="N499" i="15"/>
  <c r="Q499" i="15"/>
  <c r="T499" i="15" s="1"/>
  <c r="R499" i="15"/>
  <c r="U499" i="15" s="1"/>
  <c r="S499" i="15"/>
  <c r="O500" i="15"/>
  <c r="P500" i="15"/>
  <c r="T500" i="15"/>
  <c r="U500" i="15"/>
  <c r="O501" i="15"/>
  <c r="P501" i="15"/>
  <c r="T501" i="15"/>
  <c r="U501" i="15"/>
  <c r="I503" i="15"/>
  <c r="I492" i="15" s="1"/>
  <c r="K492" i="15" s="1"/>
  <c r="I504" i="15"/>
  <c r="K504" i="15" s="1"/>
  <c r="I505" i="15"/>
  <c r="K505" i="15" s="1"/>
  <c r="I506" i="15"/>
  <c r="K506" i="15" s="1"/>
  <c r="I507" i="15"/>
  <c r="K507" i="15" s="1"/>
  <c r="K508" i="15"/>
  <c r="I509" i="15"/>
  <c r="K509" i="15" s="1"/>
  <c r="I512" i="15"/>
  <c r="K512" i="15" s="1"/>
  <c r="J512" i="15"/>
  <c r="Q513" i="15"/>
  <c r="T513" i="15" s="1"/>
  <c r="L514" i="15"/>
  <c r="M514" i="15"/>
  <c r="N514" i="15"/>
  <c r="O514" i="15"/>
  <c r="Q514" i="15"/>
  <c r="R514" i="15"/>
  <c r="U514" i="15" s="1"/>
  <c r="S514" i="15"/>
  <c r="T514" i="15"/>
  <c r="Q515" i="15"/>
  <c r="T515" i="15" s="1"/>
  <c r="R515" i="15"/>
  <c r="S515" i="15"/>
  <c r="Q516" i="15"/>
  <c r="T516" i="15" s="1"/>
  <c r="R516" i="15"/>
  <c r="U516" i="15" s="1"/>
  <c r="S516" i="15"/>
  <c r="O517" i="15"/>
  <c r="P517" i="15"/>
  <c r="T517" i="15"/>
  <c r="U517" i="15"/>
  <c r="L518" i="15"/>
  <c r="O518" i="15" s="1"/>
  <c r="M518" i="15"/>
  <c r="M516" i="15" s="1"/>
  <c r="P516" i="15" s="1"/>
  <c r="N518" i="15"/>
  <c r="N516" i="15" s="1"/>
  <c r="T518" i="15"/>
  <c r="U518" i="15"/>
  <c r="Q519" i="15"/>
  <c r="T519" i="15" s="1"/>
  <c r="R519" i="15"/>
  <c r="U519" i="15" s="1"/>
  <c r="S519" i="15"/>
  <c r="O520" i="15"/>
  <c r="P520" i="15"/>
  <c r="T520" i="15"/>
  <c r="U520" i="15"/>
  <c r="L521" i="15"/>
  <c r="M521" i="15"/>
  <c r="M519" i="15" s="1"/>
  <c r="P519" i="15" s="1"/>
  <c r="N521" i="15"/>
  <c r="N519" i="15" s="1"/>
  <c r="T521" i="15"/>
  <c r="U521" i="15"/>
  <c r="K523" i="15"/>
  <c r="K524" i="15"/>
  <c r="I533" i="15"/>
  <c r="K533" i="15" s="1"/>
  <c r="J533" i="15"/>
  <c r="R534" i="15"/>
  <c r="U534" i="15" s="1"/>
  <c r="L535" i="15"/>
  <c r="M535" i="15"/>
  <c r="M534" i="15" s="1"/>
  <c r="P534" i="15" s="1"/>
  <c r="N535" i="15"/>
  <c r="O535" i="15"/>
  <c r="Q535" i="15"/>
  <c r="Q534" i="15" s="1"/>
  <c r="T534" i="15" s="1"/>
  <c r="R535" i="15"/>
  <c r="S535" i="15"/>
  <c r="U535" i="15"/>
  <c r="L536" i="15"/>
  <c r="O536" i="15" s="1"/>
  <c r="M536" i="15"/>
  <c r="P536" i="15" s="1"/>
  <c r="N536" i="15"/>
  <c r="Q536" i="15"/>
  <c r="R536" i="15"/>
  <c r="U536" i="15" s="1"/>
  <c r="S536" i="15"/>
  <c r="S534" i="15" s="1"/>
  <c r="T536" i="15"/>
  <c r="L537" i="15"/>
  <c r="M537" i="15"/>
  <c r="P537" i="15" s="1"/>
  <c r="N537" i="15"/>
  <c r="O537" i="15"/>
  <c r="Q537" i="15"/>
  <c r="T537" i="15" s="1"/>
  <c r="R537" i="15"/>
  <c r="S537" i="15"/>
  <c r="U537" i="15"/>
  <c r="O538" i="15"/>
  <c r="P538" i="15"/>
  <c r="T538" i="15"/>
  <c r="U538" i="15"/>
  <c r="O539" i="15"/>
  <c r="P539" i="15"/>
  <c r="T539" i="15"/>
  <c r="U539" i="15"/>
  <c r="L540" i="15"/>
  <c r="M540" i="15"/>
  <c r="P540" i="15" s="1"/>
  <c r="N540" i="15"/>
  <c r="O540" i="15"/>
  <c r="Q540" i="15"/>
  <c r="T540" i="15" s="1"/>
  <c r="R540" i="15"/>
  <c r="S540" i="15"/>
  <c r="U540" i="15"/>
  <c r="O541" i="15"/>
  <c r="P541" i="15"/>
  <c r="T541" i="15"/>
  <c r="U541" i="15"/>
  <c r="O542" i="15"/>
  <c r="P542" i="15"/>
  <c r="T542" i="15"/>
  <c r="U542" i="15"/>
  <c r="I554" i="15"/>
  <c r="K554" i="15" s="1"/>
  <c r="J554" i="15"/>
  <c r="L556" i="15"/>
  <c r="O556" i="15" s="1"/>
  <c r="M556" i="15"/>
  <c r="P556" i="15" s="1"/>
  <c r="N556" i="15"/>
  <c r="Q556" i="15"/>
  <c r="T556" i="15" s="1"/>
  <c r="R556" i="15"/>
  <c r="R555" i="15" s="1"/>
  <c r="U555" i="15" s="1"/>
  <c r="S556" i="15"/>
  <c r="U556" i="15"/>
  <c r="L557" i="15"/>
  <c r="M557" i="15"/>
  <c r="P557" i="15" s="1"/>
  <c r="N557" i="15"/>
  <c r="O557" i="15"/>
  <c r="Q557" i="15"/>
  <c r="T557" i="15" s="1"/>
  <c r="R557" i="15"/>
  <c r="S557" i="15"/>
  <c r="S555" i="15" s="1"/>
  <c r="U557" i="15"/>
  <c r="L558" i="15"/>
  <c r="O558" i="15" s="1"/>
  <c r="M558" i="15"/>
  <c r="P558" i="15" s="1"/>
  <c r="N558" i="15"/>
  <c r="Q558" i="15"/>
  <c r="T558" i="15" s="1"/>
  <c r="R558" i="15"/>
  <c r="U558" i="15" s="1"/>
  <c r="S558" i="15"/>
  <c r="O559" i="15"/>
  <c r="P559" i="15"/>
  <c r="T559" i="15"/>
  <c r="U559" i="15"/>
  <c r="O560" i="15"/>
  <c r="P560" i="15"/>
  <c r="T560" i="15"/>
  <c r="U560" i="15"/>
  <c r="L561" i="15"/>
  <c r="O561" i="15" s="1"/>
  <c r="M561" i="15"/>
  <c r="P561" i="15" s="1"/>
  <c r="N561" i="15"/>
  <c r="Q561" i="15"/>
  <c r="T561" i="15" s="1"/>
  <c r="R561" i="15"/>
  <c r="U561" i="15" s="1"/>
  <c r="S561" i="15"/>
  <c r="O562" i="15"/>
  <c r="P562" i="15"/>
  <c r="T562" i="15"/>
  <c r="U562" i="15"/>
  <c r="O563" i="15"/>
  <c r="P563" i="15"/>
  <c r="T563" i="15"/>
  <c r="U563" i="15"/>
  <c r="I575" i="15"/>
  <c r="K575" i="15" s="1"/>
  <c r="J575" i="15"/>
  <c r="S576" i="15"/>
  <c r="L577" i="15"/>
  <c r="O577" i="15" s="1"/>
  <c r="M577" i="15"/>
  <c r="N577" i="15"/>
  <c r="N576" i="15" s="1"/>
  <c r="P577" i="15"/>
  <c r="Q577" i="15"/>
  <c r="R577" i="15"/>
  <c r="U577" i="15" s="1"/>
  <c r="S577" i="15"/>
  <c r="T577" i="15"/>
  <c r="L578" i="15"/>
  <c r="O578" i="15" s="1"/>
  <c r="M578" i="15"/>
  <c r="M576" i="15" s="1"/>
  <c r="P576" i="15" s="1"/>
  <c r="N578" i="15"/>
  <c r="Q578" i="15"/>
  <c r="T578" i="15" s="1"/>
  <c r="R578" i="15"/>
  <c r="U578" i="15" s="1"/>
  <c r="S578" i="15"/>
  <c r="L579" i="15"/>
  <c r="M579" i="15"/>
  <c r="N579" i="15"/>
  <c r="O579" i="15"/>
  <c r="P579" i="15"/>
  <c r="Q579" i="15"/>
  <c r="R579" i="15"/>
  <c r="S579" i="15"/>
  <c r="T579" i="15"/>
  <c r="U579" i="15"/>
  <c r="O580" i="15"/>
  <c r="P580" i="15"/>
  <c r="T580" i="15"/>
  <c r="U580" i="15"/>
  <c r="O581" i="15"/>
  <c r="P581" i="15"/>
  <c r="T581" i="15"/>
  <c r="U581" i="15"/>
  <c r="L582" i="15"/>
  <c r="M582" i="15"/>
  <c r="N582" i="15"/>
  <c r="O582" i="15"/>
  <c r="P582" i="15"/>
  <c r="Q582" i="15"/>
  <c r="R582" i="15"/>
  <c r="S582" i="15"/>
  <c r="T582" i="15"/>
  <c r="U582" i="15"/>
  <c r="O583" i="15"/>
  <c r="P583" i="15"/>
  <c r="T583" i="15"/>
  <c r="U583" i="15"/>
  <c r="O584" i="15"/>
  <c r="P584" i="15"/>
  <c r="T584" i="15"/>
  <c r="U584" i="15"/>
  <c r="L600" i="15"/>
  <c r="M600" i="15"/>
  <c r="P600" i="15" s="1"/>
  <c r="N600" i="15"/>
  <c r="Q600" i="15"/>
  <c r="R600" i="15"/>
  <c r="S600" i="15"/>
  <c r="L601" i="15"/>
  <c r="O601" i="15" s="1"/>
  <c r="M601" i="15"/>
  <c r="P601" i="15" s="1"/>
  <c r="N601" i="15"/>
  <c r="Q601" i="15"/>
  <c r="T601" i="15" s="1"/>
  <c r="R601" i="15"/>
  <c r="U601" i="15" s="1"/>
  <c r="S601" i="15"/>
  <c r="S599" i="15" s="1"/>
  <c r="L602" i="15"/>
  <c r="O602" i="15" s="1"/>
  <c r="M602" i="15"/>
  <c r="P602" i="15" s="1"/>
  <c r="N602" i="15"/>
  <c r="Q602" i="15"/>
  <c r="R602" i="15"/>
  <c r="U602" i="15" s="1"/>
  <c r="S602" i="15"/>
  <c r="T602" i="15"/>
  <c r="O603" i="15"/>
  <c r="P603" i="15"/>
  <c r="T603" i="15"/>
  <c r="U603" i="15"/>
  <c r="O604" i="15"/>
  <c r="P604" i="15"/>
  <c r="T604" i="15"/>
  <c r="U604" i="15"/>
  <c r="L605" i="15"/>
  <c r="O605" i="15" s="1"/>
  <c r="M605" i="15"/>
  <c r="P605" i="15" s="1"/>
  <c r="N605" i="15"/>
  <c r="Q605" i="15"/>
  <c r="T605" i="15" s="1"/>
  <c r="R605" i="15"/>
  <c r="U605" i="15" s="1"/>
  <c r="S605" i="15"/>
  <c r="O606" i="15"/>
  <c r="P606" i="15"/>
  <c r="T606" i="15"/>
  <c r="U606" i="15"/>
  <c r="O607" i="15"/>
  <c r="P607" i="15"/>
  <c r="T607" i="15"/>
  <c r="U607" i="15"/>
  <c r="L617" i="15"/>
  <c r="O617" i="15" s="1"/>
  <c r="M617" i="15"/>
  <c r="P617" i="15" s="1"/>
  <c r="N617" i="15"/>
  <c r="N616" i="15" s="1"/>
  <c r="Q617" i="15"/>
  <c r="R617" i="15"/>
  <c r="S617" i="15"/>
  <c r="T617" i="15"/>
  <c r="U617" i="15"/>
  <c r="L618" i="15"/>
  <c r="O618" i="15" s="1"/>
  <c r="M618" i="15"/>
  <c r="N618" i="15"/>
  <c r="P618" i="15"/>
  <c r="L619" i="15"/>
  <c r="O619" i="15" s="1"/>
  <c r="M619" i="15"/>
  <c r="P619" i="15" s="1"/>
  <c r="N619" i="15"/>
  <c r="O620" i="15"/>
  <c r="P620" i="15"/>
  <c r="T620" i="15"/>
  <c r="U620" i="15"/>
  <c r="O621" i="15"/>
  <c r="P621" i="15"/>
  <c r="Q621" i="15"/>
  <c r="Q618" i="15" s="1"/>
  <c r="R621" i="15"/>
  <c r="R619" i="15" s="1"/>
  <c r="S621" i="15"/>
  <c r="S618" i="15" s="1"/>
  <c r="L622" i="15"/>
  <c r="O622" i="15" s="1"/>
  <c r="M622" i="15"/>
  <c r="P622" i="15" s="1"/>
  <c r="N622" i="15"/>
  <c r="Q622" i="15"/>
  <c r="T622" i="15" s="1"/>
  <c r="R622" i="15"/>
  <c r="U622" i="15" s="1"/>
  <c r="S622" i="15"/>
  <c r="O623" i="15"/>
  <c r="P623" i="15"/>
  <c r="T623" i="15"/>
  <c r="U623" i="15"/>
  <c r="O624" i="15"/>
  <c r="P624" i="15"/>
  <c r="T624" i="15"/>
  <c r="U624" i="15"/>
  <c r="I626" i="15"/>
  <c r="K632" i="15" s="1"/>
  <c r="I627" i="15"/>
  <c r="K627" i="15" s="1"/>
  <c r="I628" i="15"/>
  <c r="K628" i="15" s="1"/>
  <c r="J632" i="15"/>
  <c r="J626" i="15" s="1"/>
  <c r="J615" i="15" s="1"/>
  <c r="I635" i="15"/>
  <c r="K635" i="15" s="1"/>
  <c r="J636" i="15"/>
  <c r="J635" i="15" s="1"/>
  <c r="L643" i="15"/>
  <c r="O643" i="15" s="1"/>
  <c r="M643" i="15"/>
  <c r="N643" i="15"/>
  <c r="N642" i="15" s="1"/>
  <c r="Q643" i="15"/>
  <c r="R643" i="15"/>
  <c r="U643" i="15" s="1"/>
  <c r="S643" i="15"/>
  <c r="T643" i="15"/>
  <c r="L644" i="15"/>
  <c r="O644" i="15" s="1"/>
  <c r="M644" i="15"/>
  <c r="P644" i="15" s="1"/>
  <c r="N644" i="15"/>
  <c r="L645" i="15"/>
  <c r="O645" i="15" s="1"/>
  <c r="M645" i="15"/>
  <c r="P645" i="15" s="1"/>
  <c r="N645" i="15"/>
  <c r="O646" i="15"/>
  <c r="P646" i="15"/>
  <c r="T646" i="15"/>
  <c r="U646" i="15"/>
  <c r="O647" i="15"/>
  <c r="P647" i="15"/>
  <c r="Q647" i="15"/>
  <c r="Q645" i="15" s="1"/>
  <c r="R647" i="15"/>
  <c r="R645" i="15" s="1"/>
  <c r="S647" i="15"/>
  <c r="S645" i="15" s="1"/>
  <c r="L648" i="15"/>
  <c r="O648" i="15" s="1"/>
  <c r="M648" i="15"/>
  <c r="P648" i="15" s="1"/>
  <c r="N648" i="15"/>
  <c r="Q648" i="15"/>
  <c r="T648" i="15" s="1"/>
  <c r="R648" i="15"/>
  <c r="U648" i="15" s="1"/>
  <c r="S648" i="15"/>
  <c r="O649" i="15"/>
  <c r="P649" i="15"/>
  <c r="T649" i="15"/>
  <c r="U649" i="15"/>
  <c r="O650" i="15"/>
  <c r="P650" i="15"/>
  <c r="T650" i="15"/>
  <c r="U650" i="15"/>
  <c r="I652" i="15"/>
  <c r="K652" i="15" s="1"/>
  <c r="J652" i="15"/>
  <c r="I653" i="15"/>
  <c r="K653" i="15" s="1"/>
  <c r="J653" i="15"/>
  <c r="I654" i="15"/>
  <c r="J654" i="15"/>
  <c r="I657" i="15"/>
  <c r="I660" i="15"/>
  <c r="I661" i="15"/>
  <c r="J661" i="15"/>
  <c r="J671" i="15"/>
  <c r="J672" i="15"/>
  <c r="I673" i="15"/>
  <c r="J673" i="15"/>
  <c r="I674" i="15"/>
  <c r="I675" i="15"/>
  <c r="I676" i="15"/>
  <c r="J676" i="15"/>
  <c r="J677" i="15"/>
  <c r="I678" i="15"/>
  <c r="J678" i="15"/>
  <c r="I679" i="15"/>
  <c r="J679" i="15"/>
  <c r="J680" i="15"/>
  <c r="I681" i="15"/>
  <c r="J681" i="15"/>
  <c r="I682" i="15"/>
  <c r="K682" i="15" s="1"/>
  <c r="J682" i="15"/>
  <c r="L691" i="15"/>
  <c r="O691" i="15" s="1"/>
  <c r="M691" i="15"/>
  <c r="N691" i="15"/>
  <c r="P691" i="15"/>
  <c r="Q691" i="15"/>
  <c r="T691" i="15" s="1"/>
  <c r="R691" i="15"/>
  <c r="U691" i="15" s="1"/>
  <c r="S691" i="15"/>
  <c r="L692" i="15"/>
  <c r="O692" i="15" s="1"/>
  <c r="M692" i="15"/>
  <c r="P692" i="15" s="1"/>
  <c r="N692" i="15"/>
  <c r="L693" i="15"/>
  <c r="O693" i="15" s="1"/>
  <c r="M693" i="15"/>
  <c r="P693" i="15" s="1"/>
  <c r="N693" i="15"/>
  <c r="O694" i="15"/>
  <c r="P694" i="15"/>
  <c r="T694" i="15"/>
  <c r="U694" i="15"/>
  <c r="O695" i="15"/>
  <c r="P695" i="15"/>
  <c r="Q695" i="15"/>
  <c r="Q693" i="15" s="1"/>
  <c r="R695" i="15"/>
  <c r="R693" i="15" s="1"/>
  <c r="S695" i="15"/>
  <c r="S693" i="15" s="1"/>
  <c r="L696" i="15"/>
  <c r="O696" i="15" s="1"/>
  <c r="M696" i="15"/>
  <c r="P696" i="15" s="1"/>
  <c r="N696" i="15"/>
  <c r="Q696" i="15"/>
  <c r="T696" i="15" s="1"/>
  <c r="R696" i="15"/>
  <c r="U696" i="15" s="1"/>
  <c r="S696" i="15"/>
  <c r="O697" i="15"/>
  <c r="P697" i="15"/>
  <c r="T697" i="15"/>
  <c r="U697" i="15"/>
  <c r="O698" i="15"/>
  <c r="P698" i="15"/>
  <c r="T698" i="15"/>
  <c r="U698" i="15"/>
  <c r="I700" i="15"/>
  <c r="K700" i="15" s="1"/>
  <c r="K702" i="15"/>
  <c r="I703" i="15"/>
  <c r="J703" i="15"/>
  <c r="J704" i="15"/>
  <c r="K704" i="15"/>
  <c r="I705" i="15"/>
  <c r="J705" i="15"/>
  <c r="J706" i="15"/>
  <c r="K706" i="15"/>
  <c r="I707" i="15"/>
  <c r="K707" i="15" s="1"/>
  <c r="J707" i="15"/>
  <c r="J689" i="15" s="1"/>
  <c r="J708" i="15"/>
  <c r="K708" i="15"/>
  <c r="I709" i="15"/>
  <c r="J709" i="15"/>
  <c r="J710" i="15"/>
  <c r="K710" i="15"/>
  <c r="J712" i="15"/>
  <c r="K712" i="15"/>
  <c r="L715" i="15"/>
  <c r="M715" i="15"/>
  <c r="N715" i="15"/>
  <c r="O715" i="15"/>
  <c r="Q715" i="15"/>
  <c r="R715" i="15"/>
  <c r="S715" i="15"/>
  <c r="L716" i="15"/>
  <c r="O716" i="15" s="1"/>
  <c r="M716" i="15"/>
  <c r="P716" i="15" s="1"/>
  <c r="N716" i="15"/>
  <c r="N714" i="15" s="1"/>
  <c r="Q716" i="15"/>
  <c r="T716" i="15" s="1"/>
  <c r="R716" i="15"/>
  <c r="U716" i="15" s="1"/>
  <c r="S716" i="15"/>
  <c r="L717" i="15"/>
  <c r="M717" i="15"/>
  <c r="P717" i="15" s="1"/>
  <c r="N717" i="15"/>
  <c r="O717" i="15"/>
  <c r="Q717" i="15"/>
  <c r="R717" i="15"/>
  <c r="S717" i="15"/>
  <c r="T717" i="15"/>
  <c r="U717" i="15"/>
  <c r="O718" i="15"/>
  <c r="P718" i="15"/>
  <c r="T718" i="15"/>
  <c r="U718" i="15"/>
  <c r="O719" i="15"/>
  <c r="P719" i="15"/>
  <c r="T719" i="15"/>
  <c r="U719" i="15"/>
  <c r="L720" i="15"/>
  <c r="M720" i="15"/>
  <c r="P720" i="15" s="1"/>
  <c r="N720" i="15"/>
  <c r="O720" i="15"/>
  <c r="Q720" i="15"/>
  <c r="T720" i="15" s="1"/>
  <c r="R720" i="15"/>
  <c r="S720" i="15"/>
  <c r="U720" i="15"/>
  <c r="O721" i="15"/>
  <c r="P721" i="15"/>
  <c r="T721" i="15"/>
  <c r="U721" i="15"/>
  <c r="O722" i="15"/>
  <c r="P722" i="15"/>
  <c r="T722" i="15"/>
  <c r="U722" i="15"/>
  <c r="I726" i="15"/>
  <c r="K726" i="15" s="1"/>
  <c r="J726" i="15"/>
  <c r="I727" i="15"/>
  <c r="J727" i="15"/>
  <c r="P728" i="15"/>
  <c r="L729" i="15"/>
  <c r="O729" i="15" s="1"/>
  <c r="M729" i="15"/>
  <c r="M728" i="15" s="1"/>
  <c r="N729" i="15"/>
  <c r="N728" i="15" s="1"/>
  <c r="Q729" i="15"/>
  <c r="R729" i="15"/>
  <c r="S729" i="15"/>
  <c r="T729" i="15"/>
  <c r="L730" i="15"/>
  <c r="O730" i="15" s="1"/>
  <c r="M730" i="15"/>
  <c r="N730" i="15"/>
  <c r="P730" i="15"/>
  <c r="L731" i="15"/>
  <c r="M731" i="15"/>
  <c r="P731" i="15" s="1"/>
  <c r="N731" i="15"/>
  <c r="O731" i="15"/>
  <c r="O732" i="15"/>
  <c r="P732" i="15"/>
  <c r="T732" i="15"/>
  <c r="U732" i="15"/>
  <c r="O733" i="15"/>
  <c r="P733" i="15"/>
  <c r="Q733" i="15"/>
  <c r="Q731" i="15" s="1"/>
  <c r="R733" i="15"/>
  <c r="S733" i="15"/>
  <c r="S731" i="15" s="1"/>
  <c r="L734" i="15"/>
  <c r="O734" i="15" s="1"/>
  <c r="M734" i="15"/>
  <c r="P734" i="15" s="1"/>
  <c r="N734" i="15"/>
  <c r="Q734" i="15"/>
  <c r="T734" i="15" s="1"/>
  <c r="R734" i="15"/>
  <c r="U734" i="15" s="1"/>
  <c r="S734" i="15"/>
  <c r="O735" i="15"/>
  <c r="P735" i="15"/>
  <c r="T735" i="15"/>
  <c r="U735" i="15"/>
  <c r="O736" i="15"/>
  <c r="P736" i="15"/>
  <c r="T736" i="15"/>
  <c r="U736" i="15"/>
  <c r="I740" i="15"/>
  <c r="K740" i="15" s="1"/>
  <c r="I742" i="15"/>
  <c r="K742" i="15" s="1"/>
  <c r="I744" i="15"/>
  <c r="K744" i="15" s="1"/>
  <c r="I746" i="15"/>
  <c r="K746" i="15" s="1"/>
  <c r="I749" i="15"/>
  <c r="K749" i="15" s="1"/>
  <c r="I752" i="15"/>
  <c r="K752" i="15" s="1"/>
  <c r="I755" i="15"/>
  <c r="K755" i="15" s="1"/>
  <c r="J758" i="15"/>
  <c r="J759" i="15"/>
  <c r="L761" i="15"/>
  <c r="M761" i="15"/>
  <c r="N761" i="15"/>
  <c r="Q761" i="15"/>
  <c r="T761" i="15" s="1"/>
  <c r="R761" i="15"/>
  <c r="S761" i="15"/>
  <c r="L762" i="15"/>
  <c r="O762" i="15" s="1"/>
  <c r="M762" i="15"/>
  <c r="P762" i="15" s="1"/>
  <c r="N762" i="15"/>
  <c r="L763" i="15"/>
  <c r="O763" i="15" s="1"/>
  <c r="M763" i="15"/>
  <c r="N763" i="15"/>
  <c r="P763" i="15"/>
  <c r="O764" i="15"/>
  <c r="P764" i="15"/>
  <c r="T764" i="15"/>
  <c r="U764" i="15"/>
  <c r="O765" i="15"/>
  <c r="P765" i="15"/>
  <c r="Q765" i="15"/>
  <c r="R765" i="15"/>
  <c r="R763" i="15" s="1"/>
  <c r="S765" i="15"/>
  <c r="S762" i="15" s="1"/>
  <c r="L766" i="15"/>
  <c r="O766" i="15" s="1"/>
  <c r="M766" i="15"/>
  <c r="P766" i="15" s="1"/>
  <c r="N766" i="15"/>
  <c r="Q766" i="15"/>
  <c r="T766" i="15" s="1"/>
  <c r="R766" i="15"/>
  <c r="U766" i="15" s="1"/>
  <c r="S766" i="15"/>
  <c r="O767" i="15"/>
  <c r="P767" i="15"/>
  <c r="T767" i="15"/>
  <c r="U767" i="15"/>
  <c r="O768" i="15"/>
  <c r="P768" i="15"/>
  <c r="T768" i="15"/>
  <c r="U768" i="15"/>
  <c r="I770" i="15"/>
  <c r="K770" i="15" s="1"/>
  <c r="I772" i="15"/>
  <c r="I758" i="15" s="1"/>
  <c r="K758" i="15" s="1"/>
  <c r="I774" i="15"/>
  <c r="K774" i="15" s="1"/>
  <c r="I775" i="15"/>
  <c r="I776" i="15"/>
  <c r="H777" i="15"/>
  <c r="I778" i="15"/>
  <c r="J778" i="15"/>
  <c r="I779" i="15"/>
  <c r="J779" i="15"/>
  <c r="I780" i="15"/>
  <c r="J780" i="15"/>
  <c r="I781" i="15"/>
  <c r="J781" i="15"/>
  <c r="I782" i="15"/>
  <c r="J782" i="15"/>
  <c r="I783" i="15"/>
  <c r="J783" i="15"/>
  <c r="I784" i="15"/>
  <c r="J784" i="15"/>
  <c r="I785" i="15"/>
  <c r="J785" i="15"/>
  <c r="A788" i="15"/>
  <c r="A789" i="15"/>
  <c r="L22" i="14"/>
  <c r="L19" i="14" s="1"/>
  <c r="M22" i="14"/>
  <c r="N22" i="14"/>
  <c r="N19" i="14" s="1"/>
  <c r="Q22" i="14"/>
  <c r="T22" i="14" s="1"/>
  <c r="R22" i="14"/>
  <c r="S22" i="14"/>
  <c r="L25" i="14"/>
  <c r="M25" i="14"/>
  <c r="N25" i="14"/>
  <c r="Q25" i="14"/>
  <c r="R25" i="14"/>
  <c r="S25" i="14"/>
  <c r="S24" i="14" s="1"/>
  <c r="Q26" i="14"/>
  <c r="R26" i="14"/>
  <c r="U26" i="14" s="1"/>
  <c r="S26" i="14"/>
  <c r="T26" i="14"/>
  <c r="Q44" i="14"/>
  <c r="T44" i="14" s="1"/>
  <c r="L45" i="14"/>
  <c r="O45" i="14" s="1"/>
  <c r="M45" i="14"/>
  <c r="N45" i="14"/>
  <c r="Q45" i="14"/>
  <c r="R45" i="14"/>
  <c r="U45" i="14" s="1"/>
  <c r="S45" i="14"/>
  <c r="S44" i="14" s="1"/>
  <c r="T45" i="14"/>
  <c r="Q46" i="14"/>
  <c r="R46" i="14"/>
  <c r="U46" i="14" s="1"/>
  <c r="S46" i="14"/>
  <c r="T46" i="14"/>
  <c r="Q47" i="14"/>
  <c r="T47" i="14" s="1"/>
  <c r="R47" i="14"/>
  <c r="U47" i="14" s="1"/>
  <c r="S47" i="14"/>
  <c r="O48" i="14"/>
  <c r="P48" i="14"/>
  <c r="T48" i="14"/>
  <c r="U48" i="14"/>
  <c r="L49" i="14"/>
  <c r="L47" i="14" s="1"/>
  <c r="M49" i="14"/>
  <c r="M47" i="14" s="1"/>
  <c r="N49" i="14"/>
  <c r="N47" i="14" s="1"/>
  <c r="T49" i="14"/>
  <c r="U49" i="14"/>
  <c r="Q50" i="14"/>
  <c r="R50" i="14"/>
  <c r="S50" i="14"/>
  <c r="T50" i="14"/>
  <c r="U50" i="14"/>
  <c r="O51" i="14"/>
  <c r="P51" i="14"/>
  <c r="T51" i="14"/>
  <c r="U51" i="14"/>
  <c r="L52" i="14"/>
  <c r="M52" i="14"/>
  <c r="N52" i="14"/>
  <c r="N50" i="14" s="1"/>
  <c r="T52" i="14"/>
  <c r="U52" i="14"/>
  <c r="R59" i="14"/>
  <c r="U59" i="14" s="1"/>
  <c r="L60" i="14"/>
  <c r="O60" i="14" s="1"/>
  <c r="M60" i="14"/>
  <c r="N60" i="14"/>
  <c r="Q60" i="14"/>
  <c r="Q59" i="14" s="1"/>
  <c r="T59" i="14" s="1"/>
  <c r="R60" i="14"/>
  <c r="U60" i="14" s="1"/>
  <c r="S60" i="14"/>
  <c r="S59" i="14" s="1"/>
  <c r="T60" i="14"/>
  <c r="Q61" i="14"/>
  <c r="T61" i="14" s="1"/>
  <c r="R61" i="14"/>
  <c r="S61" i="14"/>
  <c r="U61" i="14"/>
  <c r="Q62" i="14"/>
  <c r="T62" i="14" s="1"/>
  <c r="R62" i="14"/>
  <c r="U62" i="14" s="1"/>
  <c r="S62" i="14"/>
  <c r="O63" i="14"/>
  <c r="P63" i="14"/>
  <c r="T63" i="14"/>
  <c r="U63" i="14"/>
  <c r="L64" i="14"/>
  <c r="L62" i="14" s="1"/>
  <c r="M64" i="14"/>
  <c r="M62" i="14" s="1"/>
  <c r="N64" i="14"/>
  <c r="T64" i="14"/>
  <c r="U64" i="14"/>
  <c r="Q65" i="14"/>
  <c r="T65" i="14" s="1"/>
  <c r="R65" i="14"/>
  <c r="U65" i="14" s="1"/>
  <c r="S65" i="14"/>
  <c r="O66" i="14"/>
  <c r="P66" i="14"/>
  <c r="T66" i="14"/>
  <c r="U66" i="14"/>
  <c r="L67" i="14"/>
  <c r="M67" i="14"/>
  <c r="N67" i="14"/>
  <c r="N65" i="14" s="1"/>
  <c r="T67" i="14"/>
  <c r="U67" i="14"/>
  <c r="L73" i="14"/>
  <c r="O73" i="14" s="1"/>
  <c r="M73" i="14"/>
  <c r="N73" i="14"/>
  <c r="Q73" i="14"/>
  <c r="T73" i="14" s="1"/>
  <c r="R73" i="14"/>
  <c r="U73" i="14" s="1"/>
  <c r="S73" i="14"/>
  <c r="O76" i="14"/>
  <c r="P76" i="14"/>
  <c r="T76" i="14"/>
  <c r="U76" i="14"/>
  <c r="L77" i="14"/>
  <c r="L75" i="14" s="1"/>
  <c r="M77" i="14"/>
  <c r="M75" i="14" s="1"/>
  <c r="N77" i="14"/>
  <c r="N75" i="14" s="1"/>
  <c r="Q77" i="14"/>
  <c r="Q75" i="14" s="1"/>
  <c r="R77" i="14"/>
  <c r="R74" i="14" s="1"/>
  <c r="S77" i="14"/>
  <c r="S74" i="14" s="1"/>
  <c r="Q78" i="14"/>
  <c r="T78" i="14" s="1"/>
  <c r="R78" i="14"/>
  <c r="U78" i="14" s="1"/>
  <c r="S78" i="14"/>
  <c r="O79" i="14"/>
  <c r="P79" i="14"/>
  <c r="T79" i="14"/>
  <c r="U79" i="14"/>
  <c r="L80" i="14"/>
  <c r="L78" i="14" s="1"/>
  <c r="O78" i="14" s="1"/>
  <c r="M80" i="14"/>
  <c r="M78" i="14" s="1"/>
  <c r="P78" i="14" s="1"/>
  <c r="N80" i="14"/>
  <c r="N78" i="14" s="1"/>
  <c r="T80" i="14"/>
  <c r="U80" i="14"/>
  <c r="J82" i="14"/>
  <c r="J70" i="14" s="1"/>
  <c r="J83" i="14"/>
  <c r="J71" i="14" s="1"/>
  <c r="I84" i="14"/>
  <c r="K84" i="14" s="1"/>
  <c r="I85" i="14"/>
  <c r="K85" i="14" s="1"/>
  <c r="I86" i="14"/>
  <c r="K86" i="14" s="1"/>
  <c r="I87" i="14"/>
  <c r="K87" i="14" s="1"/>
  <c r="I88" i="14"/>
  <c r="K88" i="14" s="1"/>
  <c r="I89" i="14"/>
  <c r="K89" i="14" s="1"/>
  <c r="I90" i="14"/>
  <c r="K90" i="14" s="1"/>
  <c r="J92" i="14"/>
  <c r="J93" i="14"/>
  <c r="L95" i="14"/>
  <c r="M95" i="14"/>
  <c r="P95" i="14" s="1"/>
  <c r="N95" i="14"/>
  <c r="O95" i="14"/>
  <c r="Q95" i="14"/>
  <c r="R95" i="14"/>
  <c r="S95" i="14"/>
  <c r="T95" i="14"/>
  <c r="U95" i="14"/>
  <c r="O98" i="14"/>
  <c r="P98" i="14"/>
  <c r="T98" i="14"/>
  <c r="U98" i="14"/>
  <c r="L99" i="14"/>
  <c r="M99" i="14"/>
  <c r="N99" i="14"/>
  <c r="N97" i="14" s="1"/>
  <c r="Q99" i="14"/>
  <c r="Q96" i="14" s="1"/>
  <c r="R99" i="14"/>
  <c r="R96" i="14" s="1"/>
  <c r="S99" i="14"/>
  <c r="S96" i="14" s="1"/>
  <c r="S94" i="14" s="1"/>
  <c r="Q100" i="14"/>
  <c r="T100" i="14" s="1"/>
  <c r="R100" i="14"/>
  <c r="U100" i="14" s="1"/>
  <c r="S100" i="14"/>
  <c r="O101" i="14"/>
  <c r="P101" i="14"/>
  <c r="T101" i="14"/>
  <c r="U101" i="14"/>
  <c r="L102" i="14"/>
  <c r="M102" i="14"/>
  <c r="M100" i="14" s="1"/>
  <c r="P100" i="14" s="1"/>
  <c r="N102" i="14"/>
  <c r="N100" i="14" s="1"/>
  <c r="T102" i="14"/>
  <c r="U102" i="14"/>
  <c r="I108" i="14"/>
  <c r="K108" i="14" s="1"/>
  <c r="I109" i="14"/>
  <c r="I93" i="14" s="1"/>
  <c r="K93" i="14" s="1"/>
  <c r="I113" i="14"/>
  <c r="K113" i="14" s="1"/>
  <c r="I114" i="14"/>
  <c r="K114" i="14" s="1"/>
  <c r="J116" i="14"/>
  <c r="L118" i="14"/>
  <c r="M118" i="14"/>
  <c r="N118" i="14"/>
  <c r="Q118" i="14"/>
  <c r="T118" i="14" s="1"/>
  <c r="R118" i="14"/>
  <c r="S118" i="14"/>
  <c r="O121" i="14"/>
  <c r="P121" i="14"/>
  <c r="T121" i="14"/>
  <c r="U121" i="14"/>
  <c r="L122" i="14"/>
  <c r="O122" i="14" s="1"/>
  <c r="M122" i="14"/>
  <c r="P122" i="14" s="1"/>
  <c r="N122" i="14"/>
  <c r="Q122" i="14"/>
  <c r="Q119" i="14" s="1"/>
  <c r="Q117" i="14" s="1"/>
  <c r="R122" i="14"/>
  <c r="R119" i="14" s="1"/>
  <c r="S122" i="14"/>
  <c r="S120" i="14" s="1"/>
  <c r="Q123" i="14"/>
  <c r="T123" i="14" s="1"/>
  <c r="R123" i="14"/>
  <c r="U123" i="14" s="1"/>
  <c r="S123" i="14"/>
  <c r="O124" i="14"/>
  <c r="P124" i="14"/>
  <c r="T124" i="14"/>
  <c r="U124" i="14"/>
  <c r="L125" i="14"/>
  <c r="O125" i="14" s="1"/>
  <c r="M125" i="14"/>
  <c r="P125" i="14" s="1"/>
  <c r="N125" i="14"/>
  <c r="N123" i="14" s="1"/>
  <c r="T125" i="14"/>
  <c r="U125" i="14"/>
  <c r="I127" i="14"/>
  <c r="I116" i="14" s="1"/>
  <c r="I128" i="14"/>
  <c r="K128" i="14" s="1"/>
  <c r="I129" i="14"/>
  <c r="K129" i="14" s="1"/>
  <c r="I130" i="14"/>
  <c r="K130" i="14" s="1"/>
  <c r="J136" i="14"/>
  <c r="J137" i="14"/>
  <c r="J138" i="14"/>
  <c r="L140" i="14"/>
  <c r="M140" i="14"/>
  <c r="P140" i="14" s="1"/>
  <c r="N140" i="14"/>
  <c r="O140" i="14"/>
  <c r="Q140" i="14"/>
  <c r="R140" i="14"/>
  <c r="S140" i="14"/>
  <c r="U140" i="14"/>
  <c r="O143" i="14"/>
  <c r="P143" i="14"/>
  <c r="T143" i="14"/>
  <c r="U143" i="14"/>
  <c r="L144" i="14"/>
  <c r="M144" i="14"/>
  <c r="N144" i="14"/>
  <c r="Q144" i="14"/>
  <c r="R144" i="14"/>
  <c r="R141" i="14" s="1"/>
  <c r="U141" i="14" s="1"/>
  <c r="S144" i="14"/>
  <c r="Q145" i="14"/>
  <c r="R145" i="14"/>
  <c r="S145" i="14"/>
  <c r="T145" i="14"/>
  <c r="U145" i="14"/>
  <c r="O146" i="14"/>
  <c r="P146" i="14"/>
  <c r="T146" i="14"/>
  <c r="U146" i="14"/>
  <c r="L147" i="14"/>
  <c r="M147" i="14"/>
  <c r="P147" i="14" s="1"/>
  <c r="N147" i="14"/>
  <c r="N145" i="14" s="1"/>
  <c r="T147" i="14"/>
  <c r="U147" i="14"/>
  <c r="I150" i="14"/>
  <c r="K150" i="14" s="1"/>
  <c r="I151" i="14"/>
  <c r="K151" i="14" s="1"/>
  <c r="I152" i="14"/>
  <c r="I137" i="14" s="1"/>
  <c r="K137" i="14" s="1"/>
  <c r="I153" i="14"/>
  <c r="I154" i="14"/>
  <c r="K154" i="14" s="1"/>
  <c r="J156" i="14"/>
  <c r="L158" i="14"/>
  <c r="M158" i="14"/>
  <c r="N158" i="14"/>
  <c r="Q158" i="14"/>
  <c r="R158" i="14"/>
  <c r="S158" i="14"/>
  <c r="O161" i="14"/>
  <c r="P161" i="14"/>
  <c r="T161" i="14"/>
  <c r="U161" i="14"/>
  <c r="L162" i="14"/>
  <c r="M162" i="14"/>
  <c r="N162" i="14"/>
  <c r="N160" i="14" s="1"/>
  <c r="Q162" i="14"/>
  <c r="Q159" i="14" s="1"/>
  <c r="T159" i="14" s="1"/>
  <c r="R162" i="14"/>
  <c r="R159" i="14" s="1"/>
  <c r="U159" i="14" s="1"/>
  <c r="S162" i="14"/>
  <c r="Q163" i="14"/>
  <c r="T163" i="14" s="1"/>
  <c r="R163" i="14"/>
  <c r="U163" i="14" s="1"/>
  <c r="S163" i="14"/>
  <c r="O164" i="14"/>
  <c r="P164" i="14"/>
  <c r="T164" i="14"/>
  <c r="U164" i="14"/>
  <c r="L165" i="14"/>
  <c r="L163" i="14" s="1"/>
  <c r="O163" i="14" s="1"/>
  <c r="M165" i="14"/>
  <c r="M163" i="14" s="1"/>
  <c r="P163" i="14" s="1"/>
  <c r="N165" i="14"/>
  <c r="T165" i="14"/>
  <c r="U165" i="14"/>
  <c r="I167" i="14"/>
  <c r="K167" i="14" s="1"/>
  <c r="I168" i="14"/>
  <c r="K168" i="14" s="1"/>
  <c r="I169" i="14"/>
  <c r="J172" i="14"/>
  <c r="L174" i="14"/>
  <c r="O174" i="14" s="1"/>
  <c r="M174" i="14"/>
  <c r="N174" i="14"/>
  <c r="Q174" i="14"/>
  <c r="R174" i="14"/>
  <c r="U174" i="14" s="1"/>
  <c r="S174" i="14"/>
  <c r="O177" i="14"/>
  <c r="P177" i="14"/>
  <c r="T177" i="14"/>
  <c r="U177" i="14"/>
  <c r="L178" i="14"/>
  <c r="L176" i="14" s="1"/>
  <c r="M178" i="14"/>
  <c r="M176" i="14" s="1"/>
  <c r="N178" i="14"/>
  <c r="N176" i="14" s="1"/>
  <c r="Q178" i="14"/>
  <c r="Q175" i="14" s="1"/>
  <c r="T175" i="14" s="1"/>
  <c r="R178" i="14"/>
  <c r="R175" i="14" s="1"/>
  <c r="U175" i="14" s="1"/>
  <c r="S178" i="14"/>
  <c r="S176" i="14" s="1"/>
  <c r="Q179" i="14"/>
  <c r="R179" i="14"/>
  <c r="S179" i="14"/>
  <c r="T179" i="14"/>
  <c r="U179" i="14"/>
  <c r="O180" i="14"/>
  <c r="P180" i="14"/>
  <c r="T180" i="14"/>
  <c r="U180" i="14"/>
  <c r="L181" i="14"/>
  <c r="O181" i="14" s="1"/>
  <c r="M181" i="14"/>
  <c r="N181" i="14"/>
  <c r="N179" i="14" s="1"/>
  <c r="T181" i="14"/>
  <c r="U181" i="14"/>
  <c r="I183" i="14"/>
  <c r="K184" i="14"/>
  <c r="L187" i="14"/>
  <c r="M187" i="14"/>
  <c r="N187" i="14"/>
  <c r="O187" i="14"/>
  <c r="P187" i="14"/>
  <c r="Q187" i="14"/>
  <c r="T187" i="14" s="1"/>
  <c r="R187" i="14"/>
  <c r="S187" i="14"/>
  <c r="U187" i="14"/>
  <c r="O190" i="14"/>
  <c r="P190" i="14"/>
  <c r="T190" i="14"/>
  <c r="U190" i="14"/>
  <c r="L191" i="14"/>
  <c r="L189" i="14" s="1"/>
  <c r="M191" i="14"/>
  <c r="N191" i="14"/>
  <c r="N189" i="14" s="1"/>
  <c r="Q191" i="14"/>
  <c r="Q188" i="14" s="1"/>
  <c r="R191" i="14"/>
  <c r="R188" i="14" s="1"/>
  <c r="S191" i="14"/>
  <c r="S188" i="14" s="1"/>
  <c r="S186" i="14" s="1"/>
  <c r="Q192" i="14"/>
  <c r="R192" i="14"/>
  <c r="U192" i="14" s="1"/>
  <c r="S192" i="14"/>
  <c r="T192" i="14"/>
  <c r="O193" i="14"/>
  <c r="P193" i="14"/>
  <c r="T193" i="14"/>
  <c r="U193" i="14"/>
  <c r="L194" i="14"/>
  <c r="O194" i="14" s="1"/>
  <c r="M194" i="14"/>
  <c r="M192" i="14" s="1"/>
  <c r="P192" i="14" s="1"/>
  <c r="N194" i="14"/>
  <c r="N192" i="14" s="1"/>
  <c r="T194" i="14"/>
  <c r="U194" i="14"/>
  <c r="J195" i="14"/>
  <c r="L196" i="14"/>
  <c r="O196" i="14" s="1"/>
  <c r="P196" i="14"/>
  <c r="I198" i="14"/>
  <c r="I195" i="14" s="1"/>
  <c r="K195" i="14" s="1"/>
  <c r="J199" i="14"/>
  <c r="J202" i="14"/>
  <c r="N203" i="14"/>
  <c r="P203" i="14"/>
  <c r="S203" i="14"/>
  <c r="U203" i="14"/>
  <c r="L204" i="14"/>
  <c r="L205" i="14"/>
  <c r="L206" i="14"/>
  <c r="Q206" i="14"/>
  <c r="Q203" i="14" s="1"/>
  <c r="T203" i="14" s="1"/>
  <c r="L207" i="14"/>
  <c r="I209" i="14"/>
  <c r="K209" i="14" s="1"/>
  <c r="I211" i="14"/>
  <c r="K211" i="14" s="1"/>
  <c r="I212" i="14"/>
  <c r="K212" i="14" s="1"/>
  <c r="J213" i="14"/>
  <c r="N214" i="14"/>
  <c r="P214" i="14"/>
  <c r="S214" i="14"/>
  <c r="U214" i="14"/>
  <c r="L215" i="14"/>
  <c r="L216" i="14"/>
  <c r="L217" i="14"/>
  <c r="Q217" i="14"/>
  <c r="Q214" i="14" s="1"/>
  <c r="T214" i="14" s="1"/>
  <c r="I219" i="14"/>
  <c r="K219" i="14" s="1"/>
  <c r="I220" i="14"/>
  <c r="I213" i="14" s="1"/>
  <c r="K213" i="14" s="1"/>
  <c r="J221" i="14"/>
  <c r="N222" i="14"/>
  <c r="P222" i="14"/>
  <c r="L223" i="14"/>
  <c r="L224" i="14"/>
  <c r="L225" i="14"/>
  <c r="I228" i="14"/>
  <c r="K228" i="14" s="1"/>
  <c r="I229" i="14"/>
  <c r="I221" i="14" s="1"/>
  <c r="K221" i="14" s="1"/>
  <c r="I230" i="14"/>
  <c r="N233" i="14"/>
  <c r="N234" i="14"/>
  <c r="N235" i="14"/>
  <c r="N236" i="14"/>
  <c r="J238" i="14"/>
  <c r="I240" i="14"/>
  <c r="K240" i="14" s="1"/>
  <c r="J240" i="14"/>
  <c r="I241" i="14"/>
  <c r="K241" i="14" s="1"/>
  <c r="J241" i="14"/>
  <c r="J242" i="14"/>
  <c r="J231" i="14" s="1"/>
  <c r="J185" i="14" s="1"/>
  <c r="N243" i="14"/>
  <c r="N232" i="14" s="1"/>
  <c r="P243" i="14"/>
  <c r="L244" i="14"/>
  <c r="L245" i="14"/>
  <c r="L246" i="14"/>
  <c r="L247" i="14"/>
  <c r="I249" i="14"/>
  <c r="K249" i="14" s="1"/>
  <c r="K251" i="14"/>
  <c r="K252" i="14"/>
  <c r="J253" i="14"/>
  <c r="N254" i="14"/>
  <c r="P254" i="14"/>
  <c r="L255" i="14"/>
  <c r="L256" i="14"/>
  <c r="L257" i="14"/>
  <c r="L258" i="14"/>
  <c r="I260" i="14"/>
  <c r="I253" i="14" s="1"/>
  <c r="K253" i="14" s="1"/>
  <c r="K262" i="14"/>
  <c r="K263" i="14"/>
  <c r="J265" i="14"/>
  <c r="L267" i="14"/>
  <c r="O267" i="14" s="1"/>
  <c r="M267" i="14"/>
  <c r="N267" i="14"/>
  <c r="P267" i="14"/>
  <c r="Q267" i="14"/>
  <c r="R267" i="14"/>
  <c r="U267" i="14" s="1"/>
  <c r="S267" i="14"/>
  <c r="O270" i="14"/>
  <c r="P270" i="14"/>
  <c r="T270" i="14"/>
  <c r="U270" i="14"/>
  <c r="L271" i="14"/>
  <c r="M271" i="14"/>
  <c r="N271" i="14"/>
  <c r="N269" i="14" s="1"/>
  <c r="Q271" i="14"/>
  <c r="Q268" i="14" s="1"/>
  <c r="R271" i="14"/>
  <c r="S271" i="14"/>
  <c r="S268" i="14" s="1"/>
  <c r="Q272" i="14"/>
  <c r="T272" i="14" s="1"/>
  <c r="R272" i="14"/>
  <c r="S272" i="14"/>
  <c r="U272" i="14"/>
  <c r="O273" i="14"/>
  <c r="P273" i="14"/>
  <c r="T273" i="14"/>
  <c r="U273" i="14"/>
  <c r="L274" i="14"/>
  <c r="M274" i="14"/>
  <c r="N274" i="14"/>
  <c r="N272" i="14" s="1"/>
  <c r="T274" i="14"/>
  <c r="U274" i="14"/>
  <c r="I276" i="14"/>
  <c r="K276" i="14" s="1"/>
  <c r="J281" i="14"/>
  <c r="L283" i="14"/>
  <c r="M283" i="14"/>
  <c r="P283" i="14" s="1"/>
  <c r="N283" i="14"/>
  <c r="Q283" i="14"/>
  <c r="R283" i="14"/>
  <c r="U283" i="14" s="1"/>
  <c r="S283" i="14"/>
  <c r="Q284" i="14"/>
  <c r="R284" i="14"/>
  <c r="S284" i="14"/>
  <c r="T284" i="14"/>
  <c r="U284" i="14"/>
  <c r="Q285" i="14"/>
  <c r="T285" i="14" s="1"/>
  <c r="R285" i="14"/>
  <c r="U285" i="14" s="1"/>
  <c r="S285" i="14"/>
  <c r="O286" i="14"/>
  <c r="P286" i="14"/>
  <c r="T286" i="14"/>
  <c r="U286" i="14"/>
  <c r="L287" i="14"/>
  <c r="M287" i="14"/>
  <c r="M285" i="14" s="1"/>
  <c r="N287" i="14"/>
  <c r="T287" i="14"/>
  <c r="U287" i="14"/>
  <c r="Q288" i="14"/>
  <c r="T288" i="14" s="1"/>
  <c r="R288" i="14"/>
  <c r="U288" i="14" s="1"/>
  <c r="S288" i="14"/>
  <c r="O289" i="14"/>
  <c r="P289" i="14"/>
  <c r="T289" i="14"/>
  <c r="U289" i="14"/>
  <c r="L290" i="14"/>
  <c r="O290" i="14" s="1"/>
  <c r="M290" i="14"/>
  <c r="M288" i="14" s="1"/>
  <c r="P288" i="14" s="1"/>
  <c r="N290" i="14"/>
  <c r="N288" i="14" s="1"/>
  <c r="T290" i="14"/>
  <c r="U290" i="14"/>
  <c r="I292" i="14"/>
  <c r="I281" i="14" s="1"/>
  <c r="K281" i="14" s="1"/>
  <c r="I293" i="14"/>
  <c r="I280" i="14" s="1"/>
  <c r="J293" i="14"/>
  <c r="J280" i="14" s="1"/>
  <c r="I295" i="14"/>
  <c r="K295" i="14" s="1"/>
  <c r="I296" i="14"/>
  <c r="K296" i="14" s="1"/>
  <c r="J302" i="14"/>
  <c r="L304" i="14"/>
  <c r="O304" i="14" s="1"/>
  <c r="M304" i="14"/>
  <c r="P304" i="14" s="1"/>
  <c r="N304" i="14"/>
  <c r="Q304" i="14"/>
  <c r="R304" i="14"/>
  <c r="S304" i="14"/>
  <c r="O307" i="14"/>
  <c r="P307" i="14"/>
  <c r="T307" i="14"/>
  <c r="U307" i="14"/>
  <c r="L308" i="14"/>
  <c r="L306" i="14" s="1"/>
  <c r="O306" i="14" s="1"/>
  <c r="M308" i="14"/>
  <c r="P308" i="14" s="1"/>
  <c r="N308" i="14"/>
  <c r="N306" i="14" s="1"/>
  <c r="Q308" i="14"/>
  <c r="Q306" i="14" s="1"/>
  <c r="R308" i="14"/>
  <c r="R305" i="14" s="1"/>
  <c r="S308" i="14"/>
  <c r="S305" i="14" s="1"/>
  <c r="Q309" i="14"/>
  <c r="T309" i="14" s="1"/>
  <c r="R309" i="14"/>
  <c r="U309" i="14" s="1"/>
  <c r="S309" i="14"/>
  <c r="O310" i="14"/>
  <c r="P310" i="14"/>
  <c r="T310" i="14"/>
  <c r="U310" i="14"/>
  <c r="L311" i="14"/>
  <c r="O311" i="14" s="1"/>
  <c r="M311" i="14"/>
  <c r="M309" i="14" s="1"/>
  <c r="P309" i="14" s="1"/>
  <c r="N311" i="14"/>
  <c r="N309" i="14" s="1"/>
  <c r="T311" i="14"/>
  <c r="U311" i="14"/>
  <c r="I314" i="14"/>
  <c r="I302" i="14" s="1"/>
  <c r="J319" i="14"/>
  <c r="L321" i="14"/>
  <c r="M321" i="14"/>
  <c r="P321" i="14" s="1"/>
  <c r="N321" i="14"/>
  <c r="Q321" i="14"/>
  <c r="T321" i="14" s="1"/>
  <c r="R321" i="14"/>
  <c r="S321" i="14"/>
  <c r="Q322" i="14"/>
  <c r="R322" i="14"/>
  <c r="U322" i="14" s="1"/>
  <c r="S322" i="14"/>
  <c r="Q323" i="14"/>
  <c r="R323" i="14"/>
  <c r="U323" i="14" s="1"/>
  <c r="S323" i="14"/>
  <c r="T323" i="14"/>
  <c r="O324" i="14"/>
  <c r="P324" i="14"/>
  <c r="T324" i="14"/>
  <c r="U324" i="14"/>
  <c r="L325" i="14"/>
  <c r="M325" i="14"/>
  <c r="N325" i="14"/>
  <c r="N323" i="14" s="1"/>
  <c r="T325" i="14"/>
  <c r="U325" i="14"/>
  <c r="Q326" i="14"/>
  <c r="R326" i="14"/>
  <c r="U326" i="14" s="1"/>
  <c r="S326" i="14"/>
  <c r="T326" i="14"/>
  <c r="O327" i="14"/>
  <c r="P327" i="14"/>
  <c r="T327" i="14"/>
  <c r="U327" i="14"/>
  <c r="L328" i="14"/>
  <c r="L326" i="14" s="1"/>
  <c r="O326" i="14" s="1"/>
  <c r="M328" i="14"/>
  <c r="N328" i="14"/>
  <c r="N326" i="14" s="1"/>
  <c r="T328" i="14"/>
  <c r="U328" i="14"/>
  <c r="I330" i="14"/>
  <c r="L334" i="14"/>
  <c r="M334" i="14"/>
  <c r="N334" i="14"/>
  <c r="Q334" i="14"/>
  <c r="T334" i="14" s="1"/>
  <c r="R334" i="14"/>
  <c r="U334" i="14" s="1"/>
  <c r="S334" i="14"/>
  <c r="Q335" i="14"/>
  <c r="T335" i="14" s="1"/>
  <c r="R335" i="14"/>
  <c r="U335" i="14" s="1"/>
  <c r="S335" i="14"/>
  <c r="Q336" i="14"/>
  <c r="T336" i="14" s="1"/>
  <c r="R336" i="14"/>
  <c r="S336" i="14"/>
  <c r="U336" i="14"/>
  <c r="O337" i="14"/>
  <c r="P337" i="14"/>
  <c r="T337" i="14"/>
  <c r="U337" i="14"/>
  <c r="L338" i="14"/>
  <c r="L336" i="14" s="1"/>
  <c r="M338" i="14"/>
  <c r="M336" i="14" s="1"/>
  <c r="N338" i="14"/>
  <c r="T338" i="14"/>
  <c r="U338" i="14"/>
  <c r="Q339" i="14"/>
  <c r="T339" i="14" s="1"/>
  <c r="R339" i="14"/>
  <c r="U339" i="14" s="1"/>
  <c r="S339" i="14"/>
  <c r="O340" i="14"/>
  <c r="P340" i="14"/>
  <c r="T340" i="14"/>
  <c r="U340" i="14"/>
  <c r="L341" i="14"/>
  <c r="L339" i="14" s="1"/>
  <c r="O339" i="14" s="1"/>
  <c r="M341" i="14"/>
  <c r="N341" i="14"/>
  <c r="N339" i="14" s="1"/>
  <c r="T341" i="14"/>
  <c r="U341" i="14"/>
  <c r="I344" i="14"/>
  <c r="J344" i="14"/>
  <c r="I346" i="14"/>
  <c r="J346" i="14"/>
  <c r="J347" i="14"/>
  <c r="J348" i="14"/>
  <c r="J349" i="14"/>
  <c r="D350" i="14"/>
  <c r="J352" i="14"/>
  <c r="J353" i="14"/>
  <c r="D354" i="14"/>
  <c r="S356" i="14"/>
  <c r="L357" i="14"/>
  <c r="M357" i="14"/>
  <c r="N357" i="14"/>
  <c r="O357" i="14"/>
  <c r="P357" i="14"/>
  <c r="Q357" i="14"/>
  <c r="T357" i="14" s="1"/>
  <c r="R357" i="14"/>
  <c r="R356" i="14" s="1"/>
  <c r="U356" i="14" s="1"/>
  <c r="S357" i="14"/>
  <c r="U357" i="14"/>
  <c r="Q358" i="14"/>
  <c r="T358" i="14" s="1"/>
  <c r="R358" i="14"/>
  <c r="U358" i="14" s="1"/>
  <c r="S358" i="14"/>
  <c r="Q359" i="14"/>
  <c r="T359" i="14" s="1"/>
  <c r="R359" i="14"/>
  <c r="U359" i="14" s="1"/>
  <c r="S359" i="14"/>
  <c r="O360" i="14"/>
  <c r="P360" i="14"/>
  <c r="T360" i="14"/>
  <c r="U360" i="14"/>
  <c r="L361" i="14"/>
  <c r="L359" i="14" s="1"/>
  <c r="M361" i="14"/>
  <c r="N361" i="14"/>
  <c r="T361" i="14"/>
  <c r="U361" i="14"/>
  <c r="Q362" i="14"/>
  <c r="R362" i="14"/>
  <c r="U362" i="14" s="1"/>
  <c r="S362" i="14"/>
  <c r="T362" i="14"/>
  <c r="O363" i="14"/>
  <c r="P363" i="14"/>
  <c r="T363" i="14"/>
  <c r="U363" i="14"/>
  <c r="L364" i="14"/>
  <c r="M364" i="14"/>
  <c r="M362" i="14" s="1"/>
  <c r="P362" i="14" s="1"/>
  <c r="N364" i="14"/>
  <c r="N362" i="14" s="1"/>
  <c r="T364" i="14"/>
  <c r="U364" i="14"/>
  <c r="J367" i="14"/>
  <c r="K367" i="14"/>
  <c r="I368" i="14"/>
  <c r="J368" i="14"/>
  <c r="I369" i="14"/>
  <c r="J369" i="14"/>
  <c r="J370" i="14"/>
  <c r="K370" i="14"/>
  <c r="I371" i="14"/>
  <c r="I365" i="14" s="1"/>
  <c r="J371" i="14"/>
  <c r="J365" i="14" s="1"/>
  <c r="J372" i="14"/>
  <c r="K372" i="14"/>
  <c r="D373" i="14"/>
  <c r="M375" i="14"/>
  <c r="P375" i="14" s="1"/>
  <c r="L376" i="14"/>
  <c r="M376" i="14"/>
  <c r="N376" i="14"/>
  <c r="P376" i="14"/>
  <c r="Q376" i="14"/>
  <c r="R376" i="14"/>
  <c r="S376" i="14"/>
  <c r="T376" i="14"/>
  <c r="L377" i="14"/>
  <c r="O377" i="14" s="1"/>
  <c r="M377" i="14"/>
  <c r="N377" i="14"/>
  <c r="P377" i="14"/>
  <c r="L378" i="14"/>
  <c r="O378" i="14" s="1"/>
  <c r="M378" i="14"/>
  <c r="P378" i="14" s="1"/>
  <c r="N378" i="14"/>
  <c r="O379" i="14"/>
  <c r="P379" i="14"/>
  <c r="T379" i="14"/>
  <c r="U379" i="14"/>
  <c r="O380" i="14"/>
  <c r="P380" i="14"/>
  <c r="Q380" i="14"/>
  <c r="Q378" i="14" s="1"/>
  <c r="R380" i="14"/>
  <c r="R377" i="14" s="1"/>
  <c r="U377" i="14" s="1"/>
  <c r="S380" i="14"/>
  <c r="S377" i="14" s="1"/>
  <c r="S375" i="14" s="1"/>
  <c r="L381" i="14"/>
  <c r="M381" i="14"/>
  <c r="P381" i="14" s="1"/>
  <c r="N381" i="14"/>
  <c r="O381" i="14"/>
  <c r="Q381" i="14"/>
  <c r="T381" i="14" s="1"/>
  <c r="R381" i="14"/>
  <c r="U381" i="14" s="1"/>
  <c r="S381" i="14"/>
  <c r="O382" i="14"/>
  <c r="P382" i="14"/>
  <c r="T382" i="14"/>
  <c r="U382" i="14"/>
  <c r="O383" i="14"/>
  <c r="P383" i="14"/>
  <c r="T383" i="14"/>
  <c r="U383" i="14"/>
  <c r="J385" i="14"/>
  <c r="K385" i="14"/>
  <c r="I386" i="14"/>
  <c r="J386" i="14"/>
  <c r="J387" i="14"/>
  <c r="K387" i="14"/>
  <c r="I388" i="14"/>
  <c r="K388" i="14" s="1"/>
  <c r="J388" i="14"/>
  <c r="I391" i="14"/>
  <c r="K391" i="14" s="1"/>
  <c r="J391" i="14"/>
  <c r="L393" i="14"/>
  <c r="O393" i="14" s="1"/>
  <c r="M393" i="14"/>
  <c r="N393" i="14"/>
  <c r="N392" i="14" s="1"/>
  <c r="P393" i="14"/>
  <c r="Q393" i="14"/>
  <c r="R393" i="14"/>
  <c r="U393" i="14" s="1"/>
  <c r="S393" i="14"/>
  <c r="L394" i="14"/>
  <c r="M394" i="14"/>
  <c r="P394" i="14" s="1"/>
  <c r="N394" i="14"/>
  <c r="Q394" i="14"/>
  <c r="R394" i="14"/>
  <c r="S394" i="14"/>
  <c r="T394" i="14"/>
  <c r="L395" i="14"/>
  <c r="M395" i="14"/>
  <c r="P395" i="14" s="1"/>
  <c r="N395" i="14"/>
  <c r="O395" i="14"/>
  <c r="Q395" i="14"/>
  <c r="R395" i="14"/>
  <c r="S395" i="14"/>
  <c r="T395" i="14"/>
  <c r="U395" i="14"/>
  <c r="O396" i="14"/>
  <c r="P396" i="14"/>
  <c r="T396" i="14"/>
  <c r="U396" i="14"/>
  <c r="O397" i="14"/>
  <c r="P397" i="14"/>
  <c r="T397" i="14"/>
  <c r="U397" i="14"/>
  <c r="L398" i="14"/>
  <c r="M398" i="14"/>
  <c r="P398" i="14" s="1"/>
  <c r="N398" i="14"/>
  <c r="O398" i="14"/>
  <c r="Q398" i="14"/>
  <c r="R398" i="14"/>
  <c r="S398" i="14"/>
  <c r="T398" i="14"/>
  <c r="U398" i="14"/>
  <c r="O399" i="14"/>
  <c r="P399" i="14"/>
  <c r="T399" i="14"/>
  <c r="U399" i="14"/>
  <c r="O400" i="14"/>
  <c r="P400" i="14"/>
  <c r="T400" i="14"/>
  <c r="U400" i="14"/>
  <c r="L414" i="14"/>
  <c r="O414" i="14" s="1"/>
  <c r="M414" i="14"/>
  <c r="N414" i="14"/>
  <c r="Q414" i="14"/>
  <c r="R414" i="14"/>
  <c r="U414" i="14" s="1"/>
  <c r="S414" i="14"/>
  <c r="T414" i="14"/>
  <c r="L415" i="14"/>
  <c r="M415" i="14"/>
  <c r="P415" i="14" s="1"/>
  <c r="N415" i="14"/>
  <c r="O415" i="14"/>
  <c r="L416" i="14"/>
  <c r="O416" i="14" s="1"/>
  <c r="M416" i="14"/>
  <c r="P416" i="14" s="1"/>
  <c r="N416" i="14"/>
  <c r="O417" i="14"/>
  <c r="P417" i="14"/>
  <c r="T417" i="14"/>
  <c r="U417" i="14"/>
  <c r="O418" i="14"/>
  <c r="P418" i="14"/>
  <c r="Q418" i="14"/>
  <c r="Q416" i="14" s="1"/>
  <c r="T416" i="14" s="1"/>
  <c r="R418" i="14"/>
  <c r="S418" i="14"/>
  <c r="L419" i="14"/>
  <c r="O419" i="14" s="1"/>
  <c r="M419" i="14"/>
  <c r="N419" i="14"/>
  <c r="P419" i="14"/>
  <c r="Q419" i="14"/>
  <c r="R419" i="14"/>
  <c r="U419" i="14" s="1"/>
  <c r="S419" i="14"/>
  <c r="T419" i="14"/>
  <c r="O420" i="14"/>
  <c r="P420" i="14"/>
  <c r="T420" i="14"/>
  <c r="U420" i="14"/>
  <c r="O421" i="14"/>
  <c r="P421" i="14"/>
  <c r="T421" i="14"/>
  <c r="U421" i="14"/>
  <c r="I424" i="14"/>
  <c r="K424" i="14" s="1"/>
  <c r="J424" i="14"/>
  <c r="I425" i="14"/>
  <c r="K425" i="14" s="1"/>
  <c r="J425" i="14"/>
  <c r="I432" i="14"/>
  <c r="K432" i="14" s="1"/>
  <c r="J432" i="14"/>
  <c r="I433" i="14"/>
  <c r="K433" i="14" s="1"/>
  <c r="J433" i="14"/>
  <c r="I440" i="14"/>
  <c r="I441" i="14"/>
  <c r="K441" i="14" s="1"/>
  <c r="J446" i="14"/>
  <c r="J440" i="14" s="1"/>
  <c r="J423" i="14" s="1"/>
  <c r="J412" i="14" s="1"/>
  <c r="J447" i="14"/>
  <c r="J441" i="14" s="1"/>
  <c r="I457" i="14"/>
  <c r="I458" i="14"/>
  <c r="K458" i="14" s="1"/>
  <c r="J459" i="14"/>
  <c r="J457" i="14" s="1"/>
  <c r="J456" i="14" s="1"/>
  <c r="J460" i="14"/>
  <c r="J458" i="14" s="1"/>
  <c r="J467" i="14"/>
  <c r="J468" i="14"/>
  <c r="J475" i="14"/>
  <c r="K475" i="14"/>
  <c r="J476" i="14"/>
  <c r="K476" i="14"/>
  <c r="J477" i="14"/>
  <c r="K477" i="14"/>
  <c r="J482" i="14"/>
  <c r="J483" i="14"/>
  <c r="I484" i="14"/>
  <c r="K484" i="14" s="1"/>
  <c r="J484" i="14"/>
  <c r="I485" i="14"/>
  <c r="K485" i="14" s="1"/>
  <c r="J485" i="14"/>
  <c r="L494" i="14"/>
  <c r="M494" i="14"/>
  <c r="P494" i="14" s="1"/>
  <c r="N494" i="14"/>
  <c r="Q494" i="14"/>
  <c r="R494" i="14"/>
  <c r="S494" i="14"/>
  <c r="L495" i="14"/>
  <c r="M495" i="14"/>
  <c r="N495" i="14"/>
  <c r="O495" i="14"/>
  <c r="L496" i="14"/>
  <c r="M496" i="14"/>
  <c r="N496" i="14"/>
  <c r="O496" i="14"/>
  <c r="P496" i="14"/>
  <c r="O497" i="14"/>
  <c r="P497" i="14"/>
  <c r="T497" i="14"/>
  <c r="U497" i="14"/>
  <c r="O498" i="14"/>
  <c r="P498" i="14"/>
  <c r="Q498" i="14"/>
  <c r="R498" i="14"/>
  <c r="R495" i="14" s="1"/>
  <c r="U495" i="14" s="1"/>
  <c r="S498" i="14"/>
  <c r="L499" i="14"/>
  <c r="O499" i="14" s="1"/>
  <c r="M499" i="14"/>
  <c r="P499" i="14" s="1"/>
  <c r="N499" i="14"/>
  <c r="Q499" i="14"/>
  <c r="R499" i="14"/>
  <c r="U499" i="14" s="1"/>
  <c r="S499" i="14"/>
  <c r="T499" i="14"/>
  <c r="O500" i="14"/>
  <c r="P500" i="14"/>
  <c r="T500" i="14"/>
  <c r="U500" i="14"/>
  <c r="O501" i="14"/>
  <c r="P501" i="14"/>
  <c r="T501" i="14"/>
  <c r="U501" i="14"/>
  <c r="I503" i="14"/>
  <c r="K503" i="14" s="1"/>
  <c r="I504" i="14"/>
  <c r="I505" i="14"/>
  <c r="K505" i="14" s="1"/>
  <c r="I506" i="14"/>
  <c r="K506" i="14" s="1"/>
  <c r="I507" i="14"/>
  <c r="K507" i="14" s="1"/>
  <c r="K508" i="14"/>
  <c r="I509" i="14"/>
  <c r="K509" i="14" s="1"/>
  <c r="I512" i="14"/>
  <c r="J512" i="14"/>
  <c r="K512" i="14"/>
  <c r="S513" i="14"/>
  <c r="L514" i="14"/>
  <c r="M514" i="14"/>
  <c r="N514" i="14"/>
  <c r="O514" i="14"/>
  <c r="Q514" i="14"/>
  <c r="T514" i="14" s="1"/>
  <c r="R514" i="14"/>
  <c r="S514" i="14"/>
  <c r="U514" i="14"/>
  <c r="Q515" i="14"/>
  <c r="R515" i="14"/>
  <c r="U515" i="14" s="1"/>
  <c r="S515" i="14"/>
  <c r="Q516" i="14"/>
  <c r="R516" i="14"/>
  <c r="S516" i="14"/>
  <c r="T516" i="14"/>
  <c r="U516" i="14"/>
  <c r="O517" i="14"/>
  <c r="P517" i="14"/>
  <c r="T517" i="14"/>
  <c r="U517" i="14"/>
  <c r="L518" i="14"/>
  <c r="M518" i="14"/>
  <c r="N518" i="14"/>
  <c r="T518" i="14"/>
  <c r="U518" i="14"/>
  <c r="Q519" i="14"/>
  <c r="T519" i="14" s="1"/>
  <c r="R519" i="14"/>
  <c r="U519" i="14" s="1"/>
  <c r="S519" i="14"/>
  <c r="O520" i="14"/>
  <c r="P520" i="14"/>
  <c r="T520" i="14"/>
  <c r="U520" i="14"/>
  <c r="L521" i="14"/>
  <c r="L519" i="14" s="1"/>
  <c r="O519" i="14" s="1"/>
  <c r="M521" i="14"/>
  <c r="M519" i="14" s="1"/>
  <c r="P519" i="14" s="1"/>
  <c r="N521" i="14"/>
  <c r="N519" i="14" s="1"/>
  <c r="T521" i="14"/>
  <c r="U521" i="14"/>
  <c r="K523" i="14"/>
  <c r="K524" i="14"/>
  <c r="I533" i="14"/>
  <c r="K533" i="14" s="1"/>
  <c r="J533" i="14"/>
  <c r="L535" i="14"/>
  <c r="M535" i="14"/>
  <c r="N535" i="14"/>
  <c r="N534" i="14" s="1"/>
  <c r="P535" i="14"/>
  <c r="Q535" i="14"/>
  <c r="R535" i="14"/>
  <c r="S535" i="14"/>
  <c r="L536" i="14"/>
  <c r="O536" i="14" s="1"/>
  <c r="M536" i="14"/>
  <c r="P536" i="14" s="1"/>
  <c r="N536" i="14"/>
  <c r="Q536" i="14"/>
  <c r="T536" i="14" s="1"/>
  <c r="R536" i="14"/>
  <c r="U536" i="14" s="1"/>
  <c r="S536" i="14"/>
  <c r="L537" i="14"/>
  <c r="O537" i="14" s="1"/>
  <c r="M537" i="14"/>
  <c r="N537" i="14"/>
  <c r="P537" i="14"/>
  <c r="Q537" i="14"/>
  <c r="R537" i="14"/>
  <c r="U537" i="14" s="1"/>
  <c r="S537" i="14"/>
  <c r="T537" i="14"/>
  <c r="O538" i="14"/>
  <c r="P538" i="14"/>
  <c r="T538" i="14"/>
  <c r="U538" i="14"/>
  <c r="O539" i="14"/>
  <c r="P539" i="14"/>
  <c r="T539" i="14"/>
  <c r="U539" i="14"/>
  <c r="L540" i="14"/>
  <c r="O540" i="14" s="1"/>
  <c r="M540" i="14"/>
  <c r="N540" i="14"/>
  <c r="P540" i="14"/>
  <c r="Q540" i="14"/>
  <c r="R540" i="14"/>
  <c r="U540" i="14" s="1"/>
  <c r="S540" i="14"/>
  <c r="T540" i="14"/>
  <c r="O541" i="14"/>
  <c r="P541" i="14"/>
  <c r="T541" i="14"/>
  <c r="U541" i="14"/>
  <c r="O542" i="14"/>
  <c r="P542" i="14"/>
  <c r="T542" i="14"/>
  <c r="U542" i="14"/>
  <c r="I554" i="14"/>
  <c r="K554" i="14" s="1"/>
  <c r="J554" i="14"/>
  <c r="L556" i="14"/>
  <c r="M556" i="14"/>
  <c r="N556" i="14"/>
  <c r="N555" i="14" s="1"/>
  <c r="Q556" i="14"/>
  <c r="Q555" i="14" s="1"/>
  <c r="T555" i="14" s="1"/>
  <c r="R556" i="14"/>
  <c r="R555" i="14" s="1"/>
  <c r="U555" i="14" s="1"/>
  <c r="S556" i="14"/>
  <c r="S555" i="14" s="1"/>
  <c r="T556" i="14"/>
  <c r="U556" i="14"/>
  <c r="L557" i="14"/>
  <c r="M557" i="14"/>
  <c r="P557" i="14" s="1"/>
  <c r="N557" i="14"/>
  <c r="O557" i="14"/>
  <c r="Q557" i="14"/>
  <c r="T557" i="14" s="1"/>
  <c r="R557" i="14"/>
  <c r="U557" i="14" s="1"/>
  <c r="S557" i="14"/>
  <c r="L558" i="14"/>
  <c r="O558" i="14" s="1"/>
  <c r="M558" i="14"/>
  <c r="P558" i="14" s="1"/>
  <c r="N558" i="14"/>
  <c r="Q558" i="14"/>
  <c r="T558" i="14" s="1"/>
  <c r="R558" i="14"/>
  <c r="U558" i="14" s="1"/>
  <c r="S558" i="14"/>
  <c r="O559" i="14"/>
  <c r="P559" i="14"/>
  <c r="T559" i="14"/>
  <c r="U559" i="14"/>
  <c r="O560" i="14"/>
  <c r="P560" i="14"/>
  <c r="T560" i="14"/>
  <c r="U560" i="14"/>
  <c r="L561" i="14"/>
  <c r="O561" i="14" s="1"/>
  <c r="M561" i="14"/>
  <c r="P561" i="14" s="1"/>
  <c r="N561" i="14"/>
  <c r="Q561" i="14"/>
  <c r="T561" i="14" s="1"/>
  <c r="R561" i="14"/>
  <c r="U561" i="14" s="1"/>
  <c r="S561" i="14"/>
  <c r="O562" i="14"/>
  <c r="P562" i="14"/>
  <c r="T562" i="14"/>
  <c r="U562" i="14"/>
  <c r="O563" i="14"/>
  <c r="P563" i="14"/>
  <c r="T563" i="14"/>
  <c r="U563" i="14"/>
  <c r="I575" i="14"/>
  <c r="K575" i="14" s="1"/>
  <c r="J575" i="14"/>
  <c r="N576" i="14"/>
  <c r="L577" i="14"/>
  <c r="L576" i="14" s="1"/>
  <c r="O576" i="14" s="1"/>
  <c r="M577" i="14"/>
  <c r="P577" i="14" s="1"/>
  <c r="N577" i="14"/>
  <c r="Q577" i="14"/>
  <c r="R577" i="14"/>
  <c r="S577" i="14"/>
  <c r="L578" i="14"/>
  <c r="O578" i="14" s="1"/>
  <c r="M578" i="14"/>
  <c r="P578" i="14" s="1"/>
  <c r="N578" i="14"/>
  <c r="Q578" i="14"/>
  <c r="T578" i="14" s="1"/>
  <c r="R578" i="14"/>
  <c r="U578" i="14" s="1"/>
  <c r="S578" i="14"/>
  <c r="L579" i="14"/>
  <c r="O579" i="14" s="1"/>
  <c r="M579" i="14"/>
  <c r="N579" i="14"/>
  <c r="P579" i="14"/>
  <c r="Q579" i="14"/>
  <c r="R579" i="14"/>
  <c r="S579" i="14"/>
  <c r="T579" i="14"/>
  <c r="U579" i="14"/>
  <c r="O580" i="14"/>
  <c r="P580" i="14"/>
  <c r="T580" i="14"/>
  <c r="U580" i="14"/>
  <c r="O581" i="14"/>
  <c r="P581" i="14"/>
  <c r="T581" i="14"/>
  <c r="U581" i="14"/>
  <c r="L582" i="14"/>
  <c r="M582" i="14"/>
  <c r="N582" i="14"/>
  <c r="O582" i="14"/>
  <c r="P582" i="14"/>
  <c r="Q582" i="14"/>
  <c r="R582" i="14"/>
  <c r="S582" i="14"/>
  <c r="T582" i="14"/>
  <c r="U582" i="14"/>
  <c r="O583" i="14"/>
  <c r="P583" i="14"/>
  <c r="T583" i="14"/>
  <c r="U583" i="14"/>
  <c r="O584" i="14"/>
  <c r="P584" i="14"/>
  <c r="T584" i="14"/>
  <c r="U584" i="14"/>
  <c r="L600" i="14"/>
  <c r="L599" i="14" s="1"/>
  <c r="O599" i="14" s="1"/>
  <c r="M600" i="14"/>
  <c r="P600" i="14" s="1"/>
  <c r="N600" i="14"/>
  <c r="N599" i="14" s="1"/>
  <c r="Q600" i="14"/>
  <c r="R600" i="14"/>
  <c r="S600" i="14"/>
  <c r="L601" i="14"/>
  <c r="O601" i="14" s="1"/>
  <c r="M601" i="14"/>
  <c r="P601" i="14" s="1"/>
  <c r="N601" i="14"/>
  <c r="Q601" i="14"/>
  <c r="R601" i="14"/>
  <c r="U601" i="14" s="1"/>
  <c r="S601" i="14"/>
  <c r="T601" i="14"/>
  <c r="L602" i="14"/>
  <c r="O602" i="14" s="1"/>
  <c r="M602" i="14"/>
  <c r="N602" i="14"/>
  <c r="P602" i="14"/>
  <c r="Q602" i="14"/>
  <c r="T602" i="14" s="1"/>
  <c r="R602" i="14"/>
  <c r="U602" i="14" s="1"/>
  <c r="S602" i="14"/>
  <c r="O603" i="14"/>
  <c r="P603" i="14"/>
  <c r="T603" i="14"/>
  <c r="U603" i="14"/>
  <c r="O604" i="14"/>
  <c r="P604" i="14"/>
  <c r="T604" i="14"/>
  <c r="U604" i="14"/>
  <c r="L605" i="14"/>
  <c r="O605" i="14" s="1"/>
  <c r="M605" i="14"/>
  <c r="N605" i="14"/>
  <c r="P605" i="14"/>
  <c r="Q605" i="14"/>
  <c r="T605" i="14" s="1"/>
  <c r="R605" i="14"/>
  <c r="U605" i="14" s="1"/>
  <c r="S605" i="14"/>
  <c r="O606" i="14"/>
  <c r="P606" i="14"/>
  <c r="T606" i="14"/>
  <c r="U606" i="14"/>
  <c r="O607" i="14"/>
  <c r="P607" i="14"/>
  <c r="T607" i="14"/>
  <c r="U607" i="14"/>
  <c r="L617" i="14"/>
  <c r="L616" i="14" s="1"/>
  <c r="O616" i="14" s="1"/>
  <c r="M617" i="14"/>
  <c r="N617" i="14"/>
  <c r="N616" i="14" s="1"/>
  <c r="O617" i="14"/>
  <c r="Q617" i="14"/>
  <c r="R617" i="14"/>
  <c r="S617" i="14"/>
  <c r="T617" i="14"/>
  <c r="U617" i="14"/>
  <c r="L618" i="14"/>
  <c r="O618" i="14" s="1"/>
  <c r="M618" i="14"/>
  <c r="N618" i="14"/>
  <c r="P618" i="14"/>
  <c r="L619" i="14"/>
  <c r="O619" i="14" s="1"/>
  <c r="M619" i="14"/>
  <c r="P619" i="14" s="1"/>
  <c r="N619" i="14"/>
  <c r="O620" i="14"/>
  <c r="P620" i="14"/>
  <c r="T620" i="14"/>
  <c r="U620" i="14"/>
  <c r="O621" i="14"/>
  <c r="P621" i="14"/>
  <c r="Q621" i="14"/>
  <c r="Q618" i="14" s="1"/>
  <c r="R621" i="14"/>
  <c r="R619" i="14" s="1"/>
  <c r="S621" i="14"/>
  <c r="L622" i="14"/>
  <c r="M622" i="14"/>
  <c r="N622" i="14"/>
  <c r="O622" i="14"/>
  <c r="P622" i="14"/>
  <c r="Q622" i="14"/>
  <c r="R622" i="14"/>
  <c r="S622" i="14"/>
  <c r="T622" i="14"/>
  <c r="U622" i="14"/>
  <c r="O623" i="14"/>
  <c r="P623" i="14"/>
  <c r="T623" i="14"/>
  <c r="U623" i="14"/>
  <c r="O624" i="14"/>
  <c r="P624" i="14"/>
  <c r="T624" i="14"/>
  <c r="U624" i="14"/>
  <c r="I626" i="14"/>
  <c r="I615" i="14" s="1"/>
  <c r="K615" i="14" s="1"/>
  <c r="I627" i="14"/>
  <c r="K627" i="14" s="1"/>
  <c r="I628" i="14"/>
  <c r="K628" i="14" s="1"/>
  <c r="J632" i="14"/>
  <c r="J626" i="14" s="1"/>
  <c r="J615" i="14" s="1"/>
  <c r="I635" i="14"/>
  <c r="K635" i="14" s="1"/>
  <c r="J636" i="14"/>
  <c r="J635" i="14" s="1"/>
  <c r="L643" i="14"/>
  <c r="M643" i="14"/>
  <c r="N643" i="14"/>
  <c r="Q643" i="14"/>
  <c r="R643" i="14"/>
  <c r="S643" i="14"/>
  <c r="T643" i="14"/>
  <c r="L644" i="14"/>
  <c r="M644" i="14"/>
  <c r="P644" i="14" s="1"/>
  <c r="N644" i="14"/>
  <c r="O644" i="14"/>
  <c r="L645" i="14"/>
  <c r="O645" i="14" s="1"/>
  <c r="M645" i="14"/>
  <c r="N645" i="14"/>
  <c r="P645" i="14"/>
  <c r="O646" i="14"/>
  <c r="P646" i="14"/>
  <c r="T646" i="14"/>
  <c r="U646" i="14"/>
  <c r="O647" i="14"/>
  <c r="P647" i="14"/>
  <c r="Q647" i="14"/>
  <c r="R647" i="14"/>
  <c r="S647" i="14"/>
  <c r="S644" i="14" s="1"/>
  <c r="L648" i="14"/>
  <c r="M648" i="14"/>
  <c r="P648" i="14" s="1"/>
  <c r="N648" i="14"/>
  <c r="O648" i="14"/>
  <c r="Q648" i="14"/>
  <c r="R648" i="14"/>
  <c r="S648" i="14"/>
  <c r="T648" i="14"/>
  <c r="U648" i="14"/>
  <c r="O649" i="14"/>
  <c r="P649" i="14"/>
  <c r="T649" i="14"/>
  <c r="U649" i="14"/>
  <c r="O650" i="14"/>
  <c r="P650" i="14"/>
  <c r="T650" i="14"/>
  <c r="U650" i="14"/>
  <c r="I652" i="14"/>
  <c r="K652" i="14" s="1"/>
  <c r="J652" i="14"/>
  <c r="I653" i="14"/>
  <c r="K653" i="14" s="1"/>
  <c r="J653" i="14"/>
  <c r="I654" i="14"/>
  <c r="K654" i="14" s="1"/>
  <c r="J654" i="14"/>
  <c r="I657" i="14"/>
  <c r="I660" i="14"/>
  <c r="I661" i="14"/>
  <c r="K661" i="14" s="1"/>
  <c r="J661" i="14"/>
  <c r="J671" i="14"/>
  <c r="J672" i="14"/>
  <c r="I673" i="14"/>
  <c r="K673" i="14" s="1"/>
  <c r="J673" i="14"/>
  <c r="I674" i="14"/>
  <c r="K674" i="14" s="1"/>
  <c r="I675" i="14"/>
  <c r="K675" i="14" s="1"/>
  <c r="I676" i="14"/>
  <c r="K676" i="14" s="1"/>
  <c r="J676" i="14"/>
  <c r="J677" i="14"/>
  <c r="I678" i="14"/>
  <c r="K678" i="14" s="1"/>
  <c r="J678" i="14"/>
  <c r="I679" i="14"/>
  <c r="K679" i="14" s="1"/>
  <c r="J679" i="14"/>
  <c r="J680" i="14"/>
  <c r="I681" i="14"/>
  <c r="K681" i="14" s="1"/>
  <c r="J681" i="14"/>
  <c r="I682" i="14"/>
  <c r="K682" i="14" s="1"/>
  <c r="J682" i="14"/>
  <c r="L691" i="14"/>
  <c r="M691" i="14"/>
  <c r="N691" i="14"/>
  <c r="Q691" i="14"/>
  <c r="T691" i="14" s="1"/>
  <c r="R691" i="14"/>
  <c r="S691" i="14"/>
  <c r="L692" i="14"/>
  <c r="M692" i="14"/>
  <c r="N692" i="14"/>
  <c r="O692" i="14"/>
  <c r="P692" i="14"/>
  <c r="L693" i="14"/>
  <c r="O693" i="14" s="1"/>
  <c r="M693" i="14"/>
  <c r="P693" i="14" s="1"/>
  <c r="N693" i="14"/>
  <c r="O694" i="14"/>
  <c r="P694" i="14"/>
  <c r="T694" i="14"/>
  <c r="U694" i="14"/>
  <c r="O695" i="14"/>
  <c r="P695" i="14"/>
  <c r="Q695" i="14"/>
  <c r="Q693" i="14" s="1"/>
  <c r="R695" i="14"/>
  <c r="S695" i="14"/>
  <c r="S692" i="14" s="1"/>
  <c r="L696" i="14"/>
  <c r="M696" i="14"/>
  <c r="P696" i="14" s="1"/>
  <c r="N696" i="14"/>
  <c r="O696" i="14"/>
  <c r="Q696" i="14"/>
  <c r="R696" i="14"/>
  <c r="S696" i="14"/>
  <c r="T696" i="14"/>
  <c r="U696" i="14"/>
  <c r="O697" i="14"/>
  <c r="P697" i="14"/>
  <c r="T697" i="14"/>
  <c r="U697" i="14"/>
  <c r="O698" i="14"/>
  <c r="P698" i="14"/>
  <c r="T698" i="14"/>
  <c r="U698" i="14"/>
  <c r="I700" i="14"/>
  <c r="K700" i="14" s="1"/>
  <c r="K702" i="14"/>
  <c r="I703" i="14"/>
  <c r="J703" i="14"/>
  <c r="J704" i="14"/>
  <c r="K704" i="14"/>
  <c r="I705" i="14"/>
  <c r="J705" i="14"/>
  <c r="J706" i="14"/>
  <c r="K706" i="14"/>
  <c r="I707" i="14"/>
  <c r="I689" i="14" s="1"/>
  <c r="J707" i="14"/>
  <c r="J689" i="14" s="1"/>
  <c r="J708" i="14"/>
  <c r="K708" i="14"/>
  <c r="I709" i="14"/>
  <c r="J709" i="14"/>
  <c r="J710" i="14"/>
  <c r="K710" i="14"/>
  <c r="J712" i="14"/>
  <c r="K712" i="14"/>
  <c r="L715" i="14"/>
  <c r="L714" i="14" s="1"/>
  <c r="O714" i="14" s="1"/>
  <c r="M715" i="14"/>
  <c r="N715" i="14"/>
  <c r="N714" i="14" s="1"/>
  <c r="P715" i="14"/>
  <c r="Q715" i="14"/>
  <c r="R715" i="14"/>
  <c r="S715" i="14"/>
  <c r="L716" i="14"/>
  <c r="O716" i="14" s="1"/>
  <c r="M716" i="14"/>
  <c r="P716" i="14" s="1"/>
  <c r="N716" i="14"/>
  <c r="Q716" i="14"/>
  <c r="T716" i="14" s="1"/>
  <c r="R716" i="14"/>
  <c r="U716" i="14" s="1"/>
  <c r="S716" i="14"/>
  <c r="L717" i="14"/>
  <c r="O717" i="14" s="1"/>
  <c r="M717" i="14"/>
  <c r="N717" i="14"/>
  <c r="P717" i="14"/>
  <c r="Q717" i="14"/>
  <c r="R717" i="14"/>
  <c r="S717" i="14"/>
  <c r="T717" i="14"/>
  <c r="U717" i="14"/>
  <c r="O718" i="14"/>
  <c r="P718" i="14"/>
  <c r="T718" i="14"/>
  <c r="U718" i="14"/>
  <c r="O719" i="14"/>
  <c r="P719" i="14"/>
  <c r="T719" i="14"/>
  <c r="U719" i="14"/>
  <c r="L720" i="14"/>
  <c r="M720" i="14"/>
  <c r="N720" i="14"/>
  <c r="O720" i="14"/>
  <c r="P720" i="14"/>
  <c r="Q720" i="14"/>
  <c r="R720" i="14"/>
  <c r="S720" i="14"/>
  <c r="T720" i="14"/>
  <c r="U720" i="14"/>
  <c r="O721" i="14"/>
  <c r="P721" i="14"/>
  <c r="T721" i="14"/>
  <c r="U721" i="14"/>
  <c r="O722" i="14"/>
  <c r="P722" i="14"/>
  <c r="T722" i="14"/>
  <c r="U722" i="14"/>
  <c r="I726" i="14"/>
  <c r="K726" i="14" s="1"/>
  <c r="J726" i="14"/>
  <c r="I727" i="14"/>
  <c r="K727" i="14" s="1"/>
  <c r="J727" i="14"/>
  <c r="L729" i="14"/>
  <c r="M729" i="14"/>
  <c r="N729" i="14"/>
  <c r="N728" i="14" s="1"/>
  <c r="P729" i="14"/>
  <c r="Q729" i="14"/>
  <c r="R729" i="14"/>
  <c r="S729" i="14"/>
  <c r="L730" i="14"/>
  <c r="O730" i="14" s="1"/>
  <c r="M730" i="14"/>
  <c r="P730" i="14" s="1"/>
  <c r="N730" i="14"/>
  <c r="L731" i="14"/>
  <c r="M731" i="14"/>
  <c r="N731" i="14"/>
  <c r="O731" i="14"/>
  <c r="P731" i="14"/>
  <c r="O732" i="14"/>
  <c r="P732" i="14"/>
  <c r="T732" i="14"/>
  <c r="U732" i="14"/>
  <c r="O733" i="14"/>
  <c r="P733" i="14"/>
  <c r="Q733" i="14"/>
  <c r="R733" i="14"/>
  <c r="R731" i="14" s="1"/>
  <c r="S733" i="14"/>
  <c r="S731" i="14" s="1"/>
  <c r="L734" i="14"/>
  <c r="O734" i="14" s="1"/>
  <c r="M734" i="14"/>
  <c r="P734" i="14" s="1"/>
  <c r="N734" i="14"/>
  <c r="Q734" i="14"/>
  <c r="T734" i="14" s="1"/>
  <c r="R734" i="14"/>
  <c r="U734" i="14" s="1"/>
  <c r="S734" i="14"/>
  <c r="O735" i="14"/>
  <c r="P735" i="14"/>
  <c r="T735" i="14"/>
  <c r="U735" i="14"/>
  <c r="O736" i="14"/>
  <c r="P736" i="14"/>
  <c r="T736" i="14"/>
  <c r="U736" i="14"/>
  <c r="I740" i="14"/>
  <c r="K740" i="14" s="1"/>
  <c r="I742" i="14"/>
  <c r="K742" i="14" s="1"/>
  <c r="I744" i="14"/>
  <c r="K744" i="14" s="1"/>
  <c r="I746" i="14"/>
  <c r="K746" i="14" s="1"/>
  <c r="I749" i="14"/>
  <c r="K749" i="14" s="1"/>
  <c r="I752" i="14"/>
  <c r="K752" i="14" s="1"/>
  <c r="I755" i="14"/>
  <c r="K755" i="14" s="1"/>
  <c r="J758" i="14"/>
  <c r="J759" i="14"/>
  <c r="L761" i="14"/>
  <c r="O761" i="14" s="1"/>
  <c r="M761" i="14"/>
  <c r="N761" i="14"/>
  <c r="N760" i="14" s="1"/>
  <c r="Q761" i="14"/>
  <c r="R761" i="14"/>
  <c r="U761" i="14" s="1"/>
  <c r="S761" i="14"/>
  <c r="T761" i="14"/>
  <c r="L762" i="14"/>
  <c r="O762" i="14" s="1"/>
  <c r="M762" i="14"/>
  <c r="P762" i="14" s="1"/>
  <c r="N762" i="14"/>
  <c r="L763" i="14"/>
  <c r="O763" i="14" s="1"/>
  <c r="M763" i="14"/>
  <c r="P763" i="14" s="1"/>
  <c r="N763" i="14"/>
  <c r="O764" i="14"/>
  <c r="P764" i="14"/>
  <c r="T764" i="14"/>
  <c r="U764" i="14"/>
  <c r="O765" i="14"/>
  <c r="P765" i="14"/>
  <c r="Q765" i="14"/>
  <c r="Q763" i="14" s="1"/>
  <c r="R765" i="14"/>
  <c r="S765" i="14"/>
  <c r="S763" i="14" s="1"/>
  <c r="L766" i="14"/>
  <c r="O766" i="14" s="1"/>
  <c r="M766" i="14"/>
  <c r="P766" i="14" s="1"/>
  <c r="N766" i="14"/>
  <c r="Q766" i="14"/>
  <c r="T766" i="14" s="1"/>
  <c r="R766" i="14"/>
  <c r="U766" i="14" s="1"/>
  <c r="S766" i="14"/>
  <c r="O767" i="14"/>
  <c r="P767" i="14"/>
  <c r="T767" i="14"/>
  <c r="U767" i="14"/>
  <c r="O768" i="14"/>
  <c r="P768" i="14"/>
  <c r="T768" i="14"/>
  <c r="U768" i="14"/>
  <c r="I770" i="14"/>
  <c r="K770" i="14" s="1"/>
  <c r="I772" i="14"/>
  <c r="I758" i="14" s="1"/>
  <c r="K758" i="14" s="1"/>
  <c r="I774" i="14"/>
  <c r="I775" i="14"/>
  <c r="I776" i="14"/>
  <c r="H777" i="14"/>
  <c r="I778" i="14"/>
  <c r="J778" i="14"/>
  <c r="I779" i="14"/>
  <c r="J779" i="14"/>
  <c r="I780" i="14"/>
  <c r="J780" i="14"/>
  <c r="I781" i="14"/>
  <c r="J781" i="14"/>
  <c r="I782" i="14"/>
  <c r="K782" i="14" s="1"/>
  <c r="J782" i="14"/>
  <c r="I783" i="14"/>
  <c r="K783" i="14" s="1"/>
  <c r="J783" i="14"/>
  <c r="I784" i="14"/>
  <c r="J784" i="14"/>
  <c r="I785" i="14"/>
  <c r="J785" i="14"/>
  <c r="A788" i="14"/>
  <c r="A789" i="14"/>
  <c r="L22" i="13"/>
  <c r="M22" i="13"/>
  <c r="N22" i="13"/>
  <c r="O22" i="13"/>
  <c r="Q22" i="13"/>
  <c r="T22" i="13" s="1"/>
  <c r="R22" i="13"/>
  <c r="U22" i="13" s="1"/>
  <c r="S22" i="13"/>
  <c r="L25" i="13"/>
  <c r="O25" i="13" s="1"/>
  <c r="M25" i="13"/>
  <c r="N25" i="13"/>
  <c r="Q25" i="13"/>
  <c r="T25" i="13" s="1"/>
  <c r="R25" i="13"/>
  <c r="R24" i="13" s="1"/>
  <c r="U24" i="13" s="1"/>
  <c r="S25" i="13"/>
  <c r="Q26" i="13"/>
  <c r="T26" i="13" s="1"/>
  <c r="R26" i="13"/>
  <c r="S26" i="13"/>
  <c r="U26" i="13"/>
  <c r="L45" i="13"/>
  <c r="O45" i="13" s="1"/>
  <c r="M45" i="13"/>
  <c r="P45" i="13" s="1"/>
  <c r="N45" i="13"/>
  <c r="Q45" i="13"/>
  <c r="Q44" i="13" s="1"/>
  <c r="T44" i="13" s="1"/>
  <c r="R45" i="13"/>
  <c r="U45" i="13" s="1"/>
  <c r="S45" i="13"/>
  <c r="T45" i="13"/>
  <c r="Q46" i="13"/>
  <c r="R46" i="13"/>
  <c r="U46" i="13" s="1"/>
  <c r="S46" i="13"/>
  <c r="T46" i="13"/>
  <c r="Q47" i="13"/>
  <c r="T47" i="13" s="1"/>
  <c r="R47" i="13"/>
  <c r="U47" i="13" s="1"/>
  <c r="S47" i="13"/>
  <c r="O48" i="13"/>
  <c r="P48" i="13"/>
  <c r="T48" i="13"/>
  <c r="U48" i="13"/>
  <c r="L49" i="13"/>
  <c r="L47" i="13" s="1"/>
  <c r="M49" i="13"/>
  <c r="M47" i="13" s="1"/>
  <c r="N49" i="13"/>
  <c r="N47" i="13" s="1"/>
  <c r="T49" i="13"/>
  <c r="U49" i="13"/>
  <c r="Q50" i="13"/>
  <c r="T50" i="13" s="1"/>
  <c r="R50" i="13"/>
  <c r="S50" i="13"/>
  <c r="U50" i="13"/>
  <c r="O51" i="13"/>
  <c r="P51" i="13"/>
  <c r="T51" i="13"/>
  <c r="U51" i="13"/>
  <c r="L52" i="13"/>
  <c r="M52" i="13"/>
  <c r="N52" i="13"/>
  <c r="T52" i="13"/>
  <c r="U52" i="13"/>
  <c r="L60" i="13"/>
  <c r="O60" i="13" s="1"/>
  <c r="M60" i="13"/>
  <c r="N60" i="13"/>
  <c r="P60" i="13"/>
  <c r="Q60" i="13"/>
  <c r="R60" i="13"/>
  <c r="U60" i="13" s="1"/>
  <c r="S60" i="13"/>
  <c r="T60" i="13"/>
  <c r="Q61" i="13"/>
  <c r="T61" i="13" s="1"/>
  <c r="R61" i="13"/>
  <c r="U61" i="13" s="1"/>
  <c r="S61" i="13"/>
  <c r="Q62" i="13"/>
  <c r="R62" i="13"/>
  <c r="U62" i="13" s="1"/>
  <c r="S62" i="13"/>
  <c r="T62" i="13"/>
  <c r="O63" i="13"/>
  <c r="P63" i="13"/>
  <c r="T63" i="13"/>
  <c r="U63" i="13"/>
  <c r="L64" i="13"/>
  <c r="L62" i="13" s="1"/>
  <c r="M64" i="13"/>
  <c r="N64" i="13"/>
  <c r="N62" i="13" s="1"/>
  <c r="T64" i="13"/>
  <c r="U64" i="13"/>
  <c r="Q65" i="13"/>
  <c r="T65" i="13" s="1"/>
  <c r="R65" i="13"/>
  <c r="U65" i="13" s="1"/>
  <c r="S65" i="13"/>
  <c r="O66" i="13"/>
  <c r="P66" i="13"/>
  <c r="T66" i="13"/>
  <c r="U66" i="13"/>
  <c r="L67" i="13"/>
  <c r="L65" i="13" s="1"/>
  <c r="O65" i="13" s="1"/>
  <c r="M67" i="13"/>
  <c r="M65" i="13" s="1"/>
  <c r="P65" i="13" s="1"/>
  <c r="N67" i="13"/>
  <c r="N65" i="13" s="1"/>
  <c r="T67" i="13"/>
  <c r="U67" i="13"/>
  <c r="L73" i="13"/>
  <c r="O73" i="13" s="1"/>
  <c r="M73" i="13"/>
  <c r="N73" i="13"/>
  <c r="P73" i="13"/>
  <c r="Q73" i="13"/>
  <c r="R73" i="13"/>
  <c r="U73" i="13" s="1"/>
  <c r="S73" i="13"/>
  <c r="O76" i="13"/>
  <c r="P76" i="13"/>
  <c r="T76" i="13"/>
  <c r="U76" i="13"/>
  <c r="L77" i="13"/>
  <c r="M77" i="13"/>
  <c r="M75" i="13" s="1"/>
  <c r="P75" i="13" s="1"/>
  <c r="N77" i="13"/>
  <c r="Q77" i="13"/>
  <c r="Q74" i="13" s="1"/>
  <c r="T74" i="13" s="1"/>
  <c r="R77" i="13"/>
  <c r="R74" i="13" s="1"/>
  <c r="U74" i="13" s="1"/>
  <c r="S77" i="13"/>
  <c r="Q78" i="13"/>
  <c r="R78" i="13"/>
  <c r="U78" i="13" s="1"/>
  <c r="S78" i="13"/>
  <c r="T78" i="13"/>
  <c r="O79" i="13"/>
  <c r="P79" i="13"/>
  <c r="T79" i="13"/>
  <c r="U79" i="13"/>
  <c r="L80" i="13"/>
  <c r="O80" i="13" s="1"/>
  <c r="M80" i="13"/>
  <c r="M78" i="13" s="1"/>
  <c r="P78" i="13" s="1"/>
  <c r="N80" i="13"/>
  <c r="N78" i="13" s="1"/>
  <c r="T80" i="13"/>
  <c r="U80" i="13"/>
  <c r="J82" i="13"/>
  <c r="J70" i="13" s="1"/>
  <c r="J83" i="13"/>
  <c r="J71" i="13" s="1"/>
  <c r="I84" i="13"/>
  <c r="I85" i="13"/>
  <c r="K85" i="13" s="1"/>
  <c r="I86" i="13"/>
  <c r="K86" i="13" s="1"/>
  <c r="I87" i="13"/>
  <c r="I88" i="13"/>
  <c r="K88" i="13" s="1"/>
  <c r="I89" i="13"/>
  <c r="K89" i="13" s="1"/>
  <c r="I90" i="13"/>
  <c r="K90" i="13" s="1"/>
  <c r="J92" i="13"/>
  <c r="J93" i="13"/>
  <c r="L95" i="13"/>
  <c r="M95" i="13"/>
  <c r="P95" i="13" s="1"/>
  <c r="N95" i="13"/>
  <c r="O95" i="13"/>
  <c r="Q95" i="13"/>
  <c r="T95" i="13" s="1"/>
  <c r="R95" i="13"/>
  <c r="U95" i="13" s="1"/>
  <c r="S95" i="13"/>
  <c r="O98" i="13"/>
  <c r="P98" i="13"/>
  <c r="T98" i="13"/>
  <c r="U98" i="13"/>
  <c r="L99" i="13"/>
  <c r="M99" i="13"/>
  <c r="M97" i="13" s="1"/>
  <c r="P97" i="13" s="1"/>
  <c r="N99" i="13"/>
  <c r="N97" i="13" s="1"/>
  <c r="Q99" i="13"/>
  <c r="Q96" i="13" s="1"/>
  <c r="R99" i="13"/>
  <c r="R96" i="13" s="1"/>
  <c r="S99" i="13"/>
  <c r="S96" i="13" s="1"/>
  <c r="Q100" i="13"/>
  <c r="T100" i="13" s="1"/>
  <c r="R100" i="13"/>
  <c r="S100" i="13"/>
  <c r="U100" i="13"/>
  <c r="O101" i="13"/>
  <c r="P101" i="13"/>
  <c r="T101" i="13"/>
  <c r="U101" i="13"/>
  <c r="L102" i="13"/>
  <c r="L100" i="13" s="1"/>
  <c r="O100" i="13" s="1"/>
  <c r="M102" i="13"/>
  <c r="P102" i="13" s="1"/>
  <c r="N102" i="13"/>
  <c r="N100" i="13" s="1"/>
  <c r="T102" i="13"/>
  <c r="U102" i="13"/>
  <c r="I108" i="13"/>
  <c r="I92" i="13" s="1"/>
  <c r="I109" i="13"/>
  <c r="I113" i="13"/>
  <c r="K113" i="13" s="1"/>
  <c r="I114" i="13"/>
  <c r="K114" i="13" s="1"/>
  <c r="J116" i="13"/>
  <c r="L118" i="13"/>
  <c r="M118" i="13"/>
  <c r="N118" i="13"/>
  <c r="O118" i="13"/>
  <c r="Q118" i="13"/>
  <c r="T118" i="13" s="1"/>
  <c r="R118" i="13"/>
  <c r="S118" i="13"/>
  <c r="U118" i="13"/>
  <c r="O121" i="13"/>
  <c r="P121" i="13"/>
  <c r="T121" i="13"/>
  <c r="U121" i="13"/>
  <c r="L122" i="13"/>
  <c r="L120" i="13" s="1"/>
  <c r="O120" i="13" s="1"/>
  <c r="M122" i="13"/>
  <c r="N122" i="13"/>
  <c r="N120" i="13" s="1"/>
  <c r="Q122" i="13"/>
  <c r="R122" i="13"/>
  <c r="S122" i="13"/>
  <c r="S120" i="13" s="1"/>
  <c r="Q123" i="13"/>
  <c r="T123" i="13" s="1"/>
  <c r="R123" i="13"/>
  <c r="S123" i="13"/>
  <c r="U123" i="13"/>
  <c r="O124" i="13"/>
  <c r="P124" i="13"/>
  <c r="T124" i="13"/>
  <c r="U124" i="13"/>
  <c r="L125" i="13"/>
  <c r="L123" i="13" s="1"/>
  <c r="O123" i="13" s="1"/>
  <c r="M125" i="13"/>
  <c r="N125" i="13"/>
  <c r="N123" i="13" s="1"/>
  <c r="T125" i="13"/>
  <c r="U125" i="13"/>
  <c r="I127" i="13"/>
  <c r="K127" i="13" s="1"/>
  <c r="I128" i="13"/>
  <c r="K128" i="13" s="1"/>
  <c r="I129" i="13"/>
  <c r="K129" i="13" s="1"/>
  <c r="I130" i="13"/>
  <c r="K130" i="13" s="1"/>
  <c r="J136" i="13"/>
  <c r="J137" i="13"/>
  <c r="J138" i="13"/>
  <c r="L140" i="13"/>
  <c r="O140" i="13" s="1"/>
  <c r="M140" i="13"/>
  <c r="P140" i="13" s="1"/>
  <c r="N140" i="13"/>
  <c r="Q140" i="13"/>
  <c r="T140" i="13" s="1"/>
  <c r="R140" i="13"/>
  <c r="S140" i="13"/>
  <c r="U140" i="13"/>
  <c r="O143" i="13"/>
  <c r="P143" i="13"/>
  <c r="T143" i="13"/>
  <c r="U143" i="13"/>
  <c r="L144" i="13"/>
  <c r="O144" i="13" s="1"/>
  <c r="M144" i="13"/>
  <c r="M142" i="13" s="1"/>
  <c r="P142" i="13" s="1"/>
  <c r="N144" i="13"/>
  <c r="Q144" i="13"/>
  <c r="Q141" i="13" s="1"/>
  <c r="T141" i="13" s="1"/>
  <c r="R144" i="13"/>
  <c r="R141" i="13" s="1"/>
  <c r="U141" i="13" s="1"/>
  <c r="S144" i="13"/>
  <c r="S142" i="13" s="1"/>
  <c r="Q145" i="13"/>
  <c r="T145" i="13" s="1"/>
  <c r="R145" i="13"/>
  <c r="U145" i="13" s="1"/>
  <c r="S145" i="13"/>
  <c r="O146" i="13"/>
  <c r="P146" i="13"/>
  <c r="T146" i="13"/>
  <c r="U146" i="13"/>
  <c r="L147" i="13"/>
  <c r="L145" i="13" s="1"/>
  <c r="O145" i="13" s="1"/>
  <c r="M147" i="13"/>
  <c r="P147" i="13" s="1"/>
  <c r="N147" i="13"/>
  <c r="N145" i="13" s="1"/>
  <c r="T147" i="13"/>
  <c r="U147" i="13"/>
  <c r="I150" i="13"/>
  <c r="K150" i="13" s="1"/>
  <c r="I151" i="13"/>
  <c r="K151" i="13" s="1"/>
  <c r="I152" i="13"/>
  <c r="I153" i="13"/>
  <c r="K153" i="13" s="1"/>
  <c r="I154" i="13"/>
  <c r="I136" i="13" s="1"/>
  <c r="K136" i="13" s="1"/>
  <c r="J156" i="13"/>
  <c r="L158" i="13"/>
  <c r="O158" i="13" s="1"/>
  <c r="M158" i="13"/>
  <c r="P158" i="13" s="1"/>
  <c r="N158" i="13"/>
  <c r="Q158" i="13"/>
  <c r="T158" i="13" s="1"/>
  <c r="R158" i="13"/>
  <c r="S158" i="13"/>
  <c r="U158" i="13"/>
  <c r="O161" i="13"/>
  <c r="P161" i="13"/>
  <c r="T161" i="13"/>
  <c r="U161" i="13"/>
  <c r="L162" i="13"/>
  <c r="M162" i="13"/>
  <c r="N162" i="13"/>
  <c r="N160" i="13" s="1"/>
  <c r="Q162" i="13"/>
  <c r="T162" i="13" s="1"/>
  <c r="R162" i="13"/>
  <c r="S162" i="13"/>
  <c r="S159" i="13" s="1"/>
  <c r="Q163" i="13"/>
  <c r="T163" i="13" s="1"/>
  <c r="R163" i="13"/>
  <c r="S163" i="13"/>
  <c r="U163" i="13"/>
  <c r="O164" i="13"/>
  <c r="P164" i="13"/>
  <c r="T164" i="13"/>
  <c r="U164" i="13"/>
  <c r="L165" i="13"/>
  <c r="O165" i="13" s="1"/>
  <c r="M165" i="13"/>
  <c r="P165" i="13" s="1"/>
  <c r="N165" i="13"/>
  <c r="N163" i="13" s="1"/>
  <c r="T165" i="13"/>
  <c r="U165" i="13"/>
  <c r="I167" i="13"/>
  <c r="K167" i="13" s="1"/>
  <c r="J172" i="13"/>
  <c r="L174" i="13"/>
  <c r="M174" i="13"/>
  <c r="N174" i="13"/>
  <c r="O174" i="13"/>
  <c r="Q174" i="13"/>
  <c r="T174" i="13" s="1"/>
  <c r="R174" i="13"/>
  <c r="S174" i="13"/>
  <c r="U174" i="13"/>
  <c r="O177" i="13"/>
  <c r="P177" i="13"/>
  <c r="T177" i="13"/>
  <c r="U177" i="13"/>
  <c r="L178" i="13"/>
  <c r="L176" i="13" s="1"/>
  <c r="M178" i="13"/>
  <c r="N178" i="13"/>
  <c r="Q178" i="13"/>
  <c r="Q176" i="13" s="1"/>
  <c r="T176" i="13" s="1"/>
  <c r="R178" i="13"/>
  <c r="R176" i="13" s="1"/>
  <c r="U176" i="13" s="1"/>
  <c r="S178" i="13"/>
  <c r="S175" i="13" s="1"/>
  <c r="Q179" i="13"/>
  <c r="T179" i="13" s="1"/>
  <c r="R179" i="13"/>
  <c r="S179" i="13"/>
  <c r="U179" i="13"/>
  <c r="O180" i="13"/>
  <c r="P180" i="13"/>
  <c r="T180" i="13"/>
  <c r="U180" i="13"/>
  <c r="L181" i="13"/>
  <c r="L179" i="13" s="1"/>
  <c r="O179" i="13" s="1"/>
  <c r="M181" i="13"/>
  <c r="P181" i="13" s="1"/>
  <c r="N181" i="13"/>
  <c r="N179" i="13" s="1"/>
  <c r="T181" i="13"/>
  <c r="U181" i="13"/>
  <c r="I183" i="13"/>
  <c r="K183" i="13" s="1"/>
  <c r="K184" i="13"/>
  <c r="L187" i="13"/>
  <c r="O187" i="13" s="1"/>
  <c r="M187" i="13"/>
  <c r="N187" i="13"/>
  <c r="P187" i="13"/>
  <c r="Q187" i="13"/>
  <c r="R187" i="13"/>
  <c r="U187" i="13" s="1"/>
  <c r="S187" i="13"/>
  <c r="T187" i="13"/>
  <c r="O190" i="13"/>
  <c r="P190" i="13"/>
  <c r="T190" i="13"/>
  <c r="U190" i="13"/>
  <c r="L191" i="13"/>
  <c r="M191" i="13"/>
  <c r="N191" i="13"/>
  <c r="Q191" i="13"/>
  <c r="Q189" i="13" s="1"/>
  <c r="R191" i="13"/>
  <c r="R188" i="13" s="1"/>
  <c r="S191" i="13"/>
  <c r="S188" i="13" s="1"/>
  <c r="Q192" i="13"/>
  <c r="T192" i="13" s="1"/>
  <c r="R192" i="13"/>
  <c r="U192" i="13" s="1"/>
  <c r="S192" i="13"/>
  <c r="O193" i="13"/>
  <c r="P193" i="13"/>
  <c r="T193" i="13"/>
  <c r="U193" i="13"/>
  <c r="L194" i="13"/>
  <c r="M194" i="13"/>
  <c r="P194" i="13" s="1"/>
  <c r="N194" i="13"/>
  <c r="N192" i="13" s="1"/>
  <c r="T194" i="13"/>
  <c r="U194" i="13"/>
  <c r="J195" i="13"/>
  <c r="L196" i="13"/>
  <c r="O196" i="13" s="1"/>
  <c r="P196" i="13"/>
  <c r="I198" i="13"/>
  <c r="I195" i="13" s="1"/>
  <c r="J199" i="13"/>
  <c r="J202" i="13"/>
  <c r="N203" i="13"/>
  <c r="P203" i="13"/>
  <c r="S203" i="13"/>
  <c r="U203" i="13"/>
  <c r="L204" i="13"/>
  <c r="L205" i="13"/>
  <c r="L206" i="13"/>
  <c r="Q206" i="13"/>
  <c r="Q203" i="13" s="1"/>
  <c r="L207" i="13"/>
  <c r="I209" i="13"/>
  <c r="I211" i="13"/>
  <c r="K211" i="13" s="1"/>
  <c r="I212" i="13"/>
  <c r="K212" i="13" s="1"/>
  <c r="J213" i="13"/>
  <c r="N214" i="13"/>
  <c r="P214" i="13"/>
  <c r="S214" i="13"/>
  <c r="U214" i="13"/>
  <c r="L215" i="13"/>
  <c r="L216" i="13"/>
  <c r="L217" i="13"/>
  <c r="Q217" i="13"/>
  <c r="Q214" i="13" s="1"/>
  <c r="T214" i="13" s="1"/>
  <c r="I219" i="13"/>
  <c r="K219" i="13" s="1"/>
  <c r="I220" i="13"/>
  <c r="J221" i="13"/>
  <c r="N222" i="13"/>
  <c r="P222" i="13"/>
  <c r="L223" i="13"/>
  <c r="L224" i="13"/>
  <c r="L225" i="13"/>
  <c r="I228" i="13"/>
  <c r="K228" i="13" s="1"/>
  <c r="I229" i="13"/>
  <c r="I221" i="13" s="1"/>
  <c r="K221" i="13" s="1"/>
  <c r="I230" i="13"/>
  <c r="K230" i="13" s="1"/>
  <c r="N233" i="13"/>
  <c r="N234" i="13"/>
  <c r="N235" i="13"/>
  <c r="N236" i="13"/>
  <c r="J238" i="13"/>
  <c r="I240" i="13"/>
  <c r="K240" i="13" s="1"/>
  <c r="J240" i="13"/>
  <c r="I241" i="13"/>
  <c r="K241" i="13" s="1"/>
  <c r="J241" i="13"/>
  <c r="J242" i="13"/>
  <c r="N243" i="13"/>
  <c r="P243" i="13"/>
  <c r="L244" i="13"/>
  <c r="L245" i="13"/>
  <c r="L246" i="13"/>
  <c r="L247" i="13"/>
  <c r="I249" i="13"/>
  <c r="K251" i="13"/>
  <c r="K252" i="13"/>
  <c r="J253" i="13"/>
  <c r="N254" i="13"/>
  <c r="P254" i="13"/>
  <c r="L255" i="13"/>
  <c r="L256" i="13"/>
  <c r="L257" i="13"/>
  <c r="L258" i="13"/>
  <c r="I260" i="13"/>
  <c r="I253" i="13" s="1"/>
  <c r="K253" i="13" s="1"/>
  <c r="K262" i="13"/>
  <c r="K263" i="13"/>
  <c r="J265" i="13"/>
  <c r="L267" i="13"/>
  <c r="M267" i="13"/>
  <c r="N267" i="13"/>
  <c r="P267" i="13"/>
  <c r="Q267" i="13"/>
  <c r="R267" i="13"/>
  <c r="S267" i="13"/>
  <c r="O270" i="13"/>
  <c r="P270" i="13"/>
  <c r="T270" i="13"/>
  <c r="U270" i="13"/>
  <c r="L271" i="13"/>
  <c r="O271" i="13" s="1"/>
  <c r="M271" i="13"/>
  <c r="M269" i="13" s="1"/>
  <c r="N271" i="13"/>
  <c r="N269" i="13" s="1"/>
  <c r="Q271" i="13"/>
  <c r="Q269" i="13" s="1"/>
  <c r="R271" i="13"/>
  <c r="S271" i="13"/>
  <c r="S268" i="13" s="1"/>
  <c r="Q272" i="13"/>
  <c r="R272" i="13"/>
  <c r="U272" i="13" s="1"/>
  <c r="S272" i="13"/>
  <c r="T272" i="13"/>
  <c r="O273" i="13"/>
  <c r="P273" i="13"/>
  <c r="T273" i="13"/>
  <c r="U273" i="13"/>
  <c r="L274" i="13"/>
  <c r="O274" i="13" s="1"/>
  <c r="M274" i="13"/>
  <c r="P274" i="13" s="1"/>
  <c r="N274" i="13"/>
  <c r="N272" i="13" s="1"/>
  <c r="T274" i="13"/>
  <c r="U274" i="13"/>
  <c r="I276" i="13"/>
  <c r="I265" i="13" s="1"/>
  <c r="J281" i="13"/>
  <c r="L283" i="13"/>
  <c r="M283" i="13"/>
  <c r="N283" i="13"/>
  <c r="Q283" i="13"/>
  <c r="T283" i="13" s="1"/>
  <c r="R283" i="13"/>
  <c r="R282" i="13" s="1"/>
  <c r="U282" i="13" s="1"/>
  <c r="S283" i="13"/>
  <c r="Q284" i="13"/>
  <c r="T284" i="13" s="1"/>
  <c r="R284" i="13"/>
  <c r="S284" i="13"/>
  <c r="U284" i="13"/>
  <c r="Q285" i="13"/>
  <c r="T285" i="13" s="1"/>
  <c r="R285" i="13"/>
  <c r="U285" i="13" s="1"/>
  <c r="S285" i="13"/>
  <c r="O286" i="13"/>
  <c r="P286" i="13"/>
  <c r="T286" i="13"/>
  <c r="U286" i="13"/>
  <c r="L287" i="13"/>
  <c r="L285" i="13" s="1"/>
  <c r="M287" i="13"/>
  <c r="M285" i="13" s="1"/>
  <c r="N287" i="13"/>
  <c r="T287" i="13"/>
  <c r="U287" i="13"/>
  <c r="Q288" i="13"/>
  <c r="R288" i="13"/>
  <c r="U288" i="13" s="1"/>
  <c r="S288" i="13"/>
  <c r="T288" i="13"/>
  <c r="O289" i="13"/>
  <c r="P289" i="13"/>
  <c r="T289" i="13"/>
  <c r="U289" i="13"/>
  <c r="L290" i="13"/>
  <c r="M290" i="13"/>
  <c r="N290" i="13"/>
  <c r="N288" i="13" s="1"/>
  <c r="T290" i="13"/>
  <c r="U290" i="13"/>
  <c r="I292" i="13"/>
  <c r="I281" i="13" s="1"/>
  <c r="K281" i="13" s="1"/>
  <c r="I293" i="13"/>
  <c r="I280" i="13" s="1"/>
  <c r="J293" i="13"/>
  <c r="J280" i="13" s="1"/>
  <c r="I295" i="13"/>
  <c r="K295" i="13" s="1"/>
  <c r="I296" i="13"/>
  <c r="K296" i="13" s="1"/>
  <c r="J302" i="13"/>
  <c r="L304" i="13"/>
  <c r="M304" i="13"/>
  <c r="N304" i="13"/>
  <c r="Q304" i="13"/>
  <c r="T304" i="13" s="1"/>
  <c r="R304" i="13"/>
  <c r="S304" i="13"/>
  <c r="O307" i="13"/>
  <c r="P307" i="13"/>
  <c r="T307" i="13"/>
  <c r="U307" i="13"/>
  <c r="L308" i="13"/>
  <c r="L306" i="13" s="1"/>
  <c r="O306" i="13" s="1"/>
  <c r="M308" i="13"/>
  <c r="P308" i="13" s="1"/>
  <c r="N308" i="13"/>
  <c r="Q308" i="13"/>
  <c r="Q305" i="13" s="1"/>
  <c r="R308" i="13"/>
  <c r="R306" i="13" s="1"/>
  <c r="S308" i="13"/>
  <c r="S305" i="13" s="1"/>
  <c r="Q309" i="13"/>
  <c r="T309" i="13" s="1"/>
  <c r="R309" i="13"/>
  <c r="S309" i="13"/>
  <c r="U309" i="13"/>
  <c r="O310" i="13"/>
  <c r="P310" i="13"/>
  <c r="T310" i="13"/>
  <c r="U310" i="13"/>
  <c r="L311" i="13"/>
  <c r="M311" i="13"/>
  <c r="P311" i="13" s="1"/>
  <c r="N311" i="13"/>
  <c r="N309" i="13" s="1"/>
  <c r="T311" i="13"/>
  <c r="U311" i="13"/>
  <c r="I314" i="13"/>
  <c r="J319" i="13"/>
  <c r="L321" i="13"/>
  <c r="O321" i="13" s="1"/>
  <c r="M321" i="13"/>
  <c r="N321" i="13"/>
  <c r="P321" i="13"/>
  <c r="Q321" i="13"/>
  <c r="R321" i="13"/>
  <c r="S321" i="13"/>
  <c r="S320" i="13" s="1"/>
  <c r="Q322" i="13"/>
  <c r="T322" i="13" s="1"/>
  <c r="R322" i="13"/>
  <c r="U322" i="13" s="1"/>
  <c r="S322" i="13"/>
  <c r="Q323" i="13"/>
  <c r="R323" i="13"/>
  <c r="U323" i="13" s="1"/>
  <c r="S323" i="13"/>
  <c r="T323" i="13"/>
  <c r="O324" i="13"/>
  <c r="P324" i="13"/>
  <c r="T324" i="13"/>
  <c r="U324" i="13"/>
  <c r="L325" i="13"/>
  <c r="O325" i="13" s="1"/>
  <c r="M325" i="13"/>
  <c r="M323" i="13" s="1"/>
  <c r="P323" i="13" s="1"/>
  <c r="N325" i="13"/>
  <c r="T325" i="13"/>
  <c r="U325" i="13"/>
  <c r="Q326" i="13"/>
  <c r="T326" i="13" s="1"/>
  <c r="R326" i="13"/>
  <c r="U326" i="13" s="1"/>
  <c r="S326" i="13"/>
  <c r="O327" i="13"/>
  <c r="P327" i="13"/>
  <c r="T327" i="13"/>
  <c r="U327" i="13"/>
  <c r="L328" i="13"/>
  <c r="O328" i="13" s="1"/>
  <c r="M328" i="13"/>
  <c r="M326" i="13" s="1"/>
  <c r="P326" i="13" s="1"/>
  <c r="N328" i="13"/>
  <c r="N326" i="13" s="1"/>
  <c r="T328" i="13"/>
  <c r="U328" i="13"/>
  <c r="I330" i="13"/>
  <c r="K330" i="13" s="1"/>
  <c r="L334" i="13"/>
  <c r="O334" i="13" s="1"/>
  <c r="M334" i="13"/>
  <c r="N334" i="13"/>
  <c r="P334" i="13"/>
  <c r="Q334" i="13"/>
  <c r="Q333" i="13" s="1"/>
  <c r="T333" i="13" s="1"/>
  <c r="R334" i="13"/>
  <c r="R333" i="13" s="1"/>
  <c r="U333" i="13" s="1"/>
  <c r="S334" i="13"/>
  <c r="U334" i="13"/>
  <c r="Q335" i="13"/>
  <c r="T335" i="13" s="1"/>
  <c r="R335" i="13"/>
  <c r="U335" i="13" s="1"/>
  <c r="S335" i="13"/>
  <c r="S333" i="13" s="1"/>
  <c r="Q336" i="13"/>
  <c r="T336" i="13" s="1"/>
  <c r="R336" i="13"/>
  <c r="S336" i="13"/>
  <c r="U336" i="13"/>
  <c r="O337" i="13"/>
  <c r="P337" i="13"/>
  <c r="T337" i="13"/>
  <c r="U337" i="13"/>
  <c r="L338" i="13"/>
  <c r="L336" i="13" s="1"/>
  <c r="M338" i="13"/>
  <c r="N338" i="13"/>
  <c r="N336" i="13" s="1"/>
  <c r="T338" i="13"/>
  <c r="U338" i="13"/>
  <c r="Q339" i="13"/>
  <c r="T339" i="13" s="1"/>
  <c r="R339" i="13"/>
  <c r="U339" i="13" s="1"/>
  <c r="S339" i="13"/>
  <c r="O340" i="13"/>
  <c r="P340" i="13"/>
  <c r="T340" i="13"/>
  <c r="U340" i="13"/>
  <c r="L341" i="13"/>
  <c r="O341" i="13" s="1"/>
  <c r="M341" i="13"/>
  <c r="M339" i="13" s="1"/>
  <c r="P339" i="13" s="1"/>
  <c r="N341" i="13"/>
  <c r="N339" i="13" s="1"/>
  <c r="T341" i="13"/>
  <c r="U341" i="13"/>
  <c r="I344" i="13"/>
  <c r="I332" i="13" s="1"/>
  <c r="J344" i="13"/>
  <c r="I346" i="13"/>
  <c r="J346" i="13"/>
  <c r="J347" i="13"/>
  <c r="J348" i="13"/>
  <c r="J349" i="13"/>
  <c r="D350" i="13"/>
  <c r="J352" i="13"/>
  <c r="J353" i="13"/>
  <c r="D354" i="13"/>
  <c r="L357" i="13"/>
  <c r="M357" i="13"/>
  <c r="P357" i="13" s="1"/>
  <c r="N357" i="13"/>
  <c r="Q357" i="13"/>
  <c r="R357" i="13"/>
  <c r="R356" i="13" s="1"/>
  <c r="U356" i="13" s="1"/>
  <c r="S357" i="13"/>
  <c r="S356" i="13" s="1"/>
  <c r="T357" i="13"/>
  <c r="Q358" i="13"/>
  <c r="R358" i="13"/>
  <c r="U358" i="13" s="1"/>
  <c r="S358" i="13"/>
  <c r="T358" i="13"/>
  <c r="Q359" i="13"/>
  <c r="T359" i="13" s="1"/>
  <c r="R359" i="13"/>
  <c r="U359" i="13" s="1"/>
  <c r="S359" i="13"/>
  <c r="O360" i="13"/>
  <c r="P360" i="13"/>
  <c r="T360" i="13"/>
  <c r="U360" i="13"/>
  <c r="L361" i="13"/>
  <c r="M361" i="13"/>
  <c r="N361" i="13"/>
  <c r="T361" i="13"/>
  <c r="U361" i="13"/>
  <c r="Q362" i="13"/>
  <c r="R362" i="13"/>
  <c r="U362" i="13" s="1"/>
  <c r="S362" i="13"/>
  <c r="T362" i="13"/>
  <c r="O363" i="13"/>
  <c r="P363" i="13"/>
  <c r="T363" i="13"/>
  <c r="U363" i="13"/>
  <c r="L364" i="13"/>
  <c r="O364" i="13" s="1"/>
  <c r="M364" i="13"/>
  <c r="P364" i="13" s="1"/>
  <c r="N364" i="13"/>
  <c r="N362" i="13" s="1"/>
  <c r="T364" i="13"/>
  <c r="U364" i="13"/>
  <c r="J367" i="13"/>
  <c r="K367" i="13"/>
  <c r="I368" i="13"/>
  <c r="J368" i="13"/>
  <c r="I369" i="13"/>
  <c r="J369" i="13"/>
  <c r="J370" i="13"/>
  <c r="K370" i="13"/>
  <c r="I371" i="13"/>
  <c r="J371" i="13"/>
  <c r="J365" i="13" s="1"/>
  <c r="J372" i="13"/>
  <c r="K372" i="13"/>
  <c r="D373" i="13"/>
  <c r="J374" i="13"/>
  <c r="L376" i="13"/>
  <c r="O376" i="13" s="1"/>
  <c r="M376" i="13"/>
  <c r="N376" i="13"/>
  <c r="N375" i="13" s="1"/>
  <c r="P376" i="13"/>
  <c r="Q376" i="13"/>
  <c r="R376" i="13"/>
  <c r="U376" i="13" s="1"/>
  <c r="S376" i="13"/>
  <c r="T376" i="13"/>
  <c r="L377" i="13"/>
  <c r="O377" i="13" s="1"/>
  <c r="M377" i="13"/>
  <c r="N377" i="13"/>
  <c r="P377" i="13"/>
  <c r="L378" i="13"/>
  <c r="M378" i="13"/>
  <c r="P378" i="13" s="1"/>
  <c r="N378" i="13"/>
  <c r="O378" i="13"/>
  <c r="O379" i="13"/>
  <c r="P379" i="13"/>
  <c r="T379" i="13"/>
  <c r="U379" i="13"/>
  <c r="O380" i="13"/>
  <c r="P380" i="13"/>
  <c r="Q380" i="13"/>
  <c r="T380" i="13" s="1"/>
  <c r="R380" i="13"/>
  <c r="R378" i="13" s="1"/>
  <c r="U378" i="13" s="1"/>
  <c r="S380" i="13"/>
  <c r="S378" i="13" s="1"/>
  <c r="L381" i="13"/>
  <c r="O381" i="13" s="1"/>
  <c r="M381" i="13"/>
  <c r="N381" i="13"/>
  <c r="P381" i="13"/>
  <c r="Q381" i="13"/>
  <c r="R381" i="13"/>
  <c r="U381" i="13" s="1"/>
  <c r="S381" i="13"/>
  <c r="T381" i="13"/>
  <c r="O382" i="13"/>
  <c r="P382" i="13"/>
  <c r="T382" i="13"/>
  <c r="U382" i="13"/>
  <c r="O383" i="13"/>
  <c r="P383" i="13"/>
  <c r="T383" i="13"/>
  <c r="U383" i="13"/>
  <c r="I385" i="13"/>
  <c r="I386" i="13"/>
  <c r="K386" i="13" s="1"/>
  <c r="K387" i="13"/>
  <c r="K388" i="13"/>
  <c r="I391" i="13"/>
  <c r="K391" i="13" s="1"/>
  <c r="J391" i="13"/>
  <c r="L393" i="13"/>
  <c r="M393" i="13"/>
  <c r="N393" i="13"/>
  <c r="Q393" i="13"/>
  <c r="R393" i="13"/>
  <c r="R392" i="13" s="1"/>
  <c r="U392" i="13" s="1"/>
  <c r="S393" i="13"/>
  <c r="S392" i="13" s="1"/>
  <c r="U393" i="13"/>
  <c r="L394" i="13"/>
  <c r="O394" i="13" s="1"/>
  <c r="M394" i="13"/>
  <c r="P394" i="13" s="1"/>
  <c r="N394" i="13"/>
  <c r="N392" i="13" s="1"/>
  <c r="Q394" i="13"/>
  <c r="T394" i="13" s="1"/>
  <c r="R394" i="13"/>
  <c r="S394" i="13"/>
  <c r="U394" i="13"/>
  <c r="L395" i="13"/>
  <c r="O395" i="13" s="1"/>
  <c r="M395" i="13"/>
  <c r="P395" i="13" s="1"/>
  <c r="N395" i="13"/>
  <c r="Q395" i="13"/>
  <c r="T395" i="13" s="1"/>
  <c r="R395" i="13"/>
  <c r="U395" i="13" s="1"/>
  <c r="S395" i="13"/>
  <c r="O396" i="13"/>
  <c r="P396" i="13"/>
  <c r="T396" i="13"/>
  <c r="U396" i="13"/>
  <c r="O397" i="13"/>
  <c r="P397" i="13"/>
  <c r="T397" i="13"/>
  <c r="U397" i="13"/>
  <c r="L398" i="13"/>
  <c r="O398" i="13" s="1"/>
  <c r="M398" i="13"/>
  <c r="P398" i="13" s="1"/>
  <c r="N398" i="13"/>
  <c r="Q398" i="13"/>
  <c r="T398" i="13" s="1"/>
  <c r="R398" i="13"/>
  <c r="U398" i="13" s="1"/>
  <c r="S398" i="13"/>
  <c r="O399" i="13"/>
  <c r="P399" i="13"/>
  <c r="T399" i="13"/>
  <c r="U399" i="13"/>
  <c r="O400" i="13"/>
  <c r="P400" i="13"/>
  <c r="T400" i="13"/>
  <c r="U400" i="13"/>
  <c r="L414" i="13"/>
  <c r="O414" i="13" s="1"/>
  <c r="M414" i="13"/>
  <c r="N414" i="13"/>
  <c r="P414" i="13"/>
  <c r="Q414" i="13"/>
  <c r="T414" i="13" s="1"/>
  <c r="R414" i="13"/>
  <c r="U414" i="13" s="1"/>
  <c r="S414" i="13"/>
  <c r="L415" i="13"/>
  <c r="O415" i="13" s="1"/>
  <c r="M415" i="13"/>
  <c r="P415" i="13" s="1"/>
  <c r="N415" i="13"/>
  <c r="L416" i="13"/>
  <c r="O416" i="13" s="1"/>
  <c r="M416" i="13"/>
  <c r="N416" i="13"/>
  <c r="P416" i="13"/>
  <c r="O417" i="13"/>
  <c r="P417" i="13"/>
  <c r="T417" i="13"/>
  <c r="U417" i="13"/>
  <c r="O418" i="13"/>
  <c r="P418" i="13"/>
  <c r="Q418" i="13"/>
  <c r="R418" i="13"/>
  <c r="S418" i="13"/>
  <c r="S416" i="13" s="1"/>
  <c r="L419" i="13"/>
  <c r="O419" i="13" s="1"/>
  <c r="M419" i="13"/>
  <c r="P419" i="13" s="1"/>
  <c r="N419" i="13"/>
  <c r="Q419" i="13"/>
  <c r="T419" i="13" s="1"/>
  <c r="R419" i="13"/>
  <c r="S419" i="13"/>
  <c r="U419" i="13"/>
  <c r="O420" i="13"/>
  <c r="P420" i="13"/>
  <c r="T420" i="13"/>
  <c r="U420" i="13"/>
  <c r="O421" i="13"/>
  <c r="P421" i="13"/>
  <c r="T421" i="13"/>
  <c r="U421" i="13"/>
  <c r="I424" i="13"/>
  <c r="K424" i="13" s="1"/>
  <c r="J424" i="13"/>
  <c r="I425" i="13"/>
  <c r="K425" i="13" s="1"/>
  <c r="J425" i="13"/>
  <c r="I432" i="13"/>
  <c r="K432" i="13" s="1"/>
  <c r="J432" i="13"/>
  <c r="I433" i="13"/>
  <c r="K433" i="13" s="1"/>
  <c r="J433" i="13"/>
  <c r="I440" i="13"/>
  <c r="I423" i="13" s="1"/>
  <c r="K423" i="13" s="1"/>
  <c r="I441" i="13"/>
  <c r="K441" i="13" s="1"/>
  <c r="J446" i="13"/>
  <c r="J440" i="13" s="1"/>
  <c r="J423" i="13" s="1"/>
  <c r="J412" i="13" s="1"/>
  <c r="J447" i="13"/>
  <c r="J441" i="13" s="1"/>
  <c r="I457" i="13"/>
  <c r="K457" i="13" s="1"/>
  <c r="I458" i="13"/>
  <c r="K458" i="13" s="1"/>
  <c r="J458" i="13"/>
  <c r="J459" i="13"/>
  <c r="J460" i="13"/>
  <c r="J467" i="13"/>
  <c r="J468" i="13"/>
  <c r="J475" i="13"/>
  <c r="K475" i="13"/>
  <c r="J476" i="13"/>
  <c r="K476" i="13"/>
  <c r="J477" i="13"/>
  <c r="K477" i="13"/>
  <c r="J482" i="13"/>
  <c r="J483" i="13"/>
  <c r="I484" i="13"/>
  <c r="K484" i="13" s="1"/>
  <c r="J484" i="13"/>
  <c r="I485" i="13"/>
  <c r="K485" i="13" s="1"/>
  <c r="J485" i="13"/>
  <c r="M493" i="13"/>
  <c r="P493" i="13" s="1"/>
  <c r="L494" i="13"/>
  <c r="M494" i="13"/>
  <c r="P494" i="13" s="1"/>
  <c r="N494" i="13"/>
  <c r="O494" i="13"/>
  <c r="Q494" i="13"/>
  <c r="T494" i="13" s="1"/>
  <c r="R494" i="13"/>
  <c r="S494" i="13"/>
  <c r="U494" i="13"/>
  <c r="L495" i="13"/>
  <c r="O495" i="13" s="1"/>
  <c r="M495" i="13"/>
  <c r="N495" i="13"/>
  <c r="N493" i="13" s="1"/>
  <c r="P495" i="13"/>
  <c r="L496" i="13"/>
  <c r="O496" i="13" s="1"/>
  <c r="M496" i="13"/>
  <c r="P496" i="13" s="1"/>
  <c r="N496" i="13"/>
  <c r="O497" i="13"/>
  <c r="P497" i="13"/>
  <c r="T497" i="13"/>
  <c r="U497" i="13"/>
  <c r="O498" i="13"/>
  <c r="P498" i="13"/>
  <c r="Q498" i="13"/>
  <c r="R498" i="13"/>
  <c r="R495" i="13" s="1"/>
  <c r="U495" i="13" s="1"/>
  <c r="S498" i="13"/>
  <c r="S495" i="13" s="1"/>
  <c r="L499" i="13"/>
  <c r="M499" i="13"/>
  <c r="P499" i="13" s="1"/>
  <c r="N499" i="13"/>
  <c r="O499" i="13"/>
  <c r="Q499" i="13"/>
  <c r="T499" i="13" s="1"/>
  <c r="R499" i="13"/>
  <c r="S499" i="13"/>
  <c r="U499" i="13"/>
  <c r="O500" i="13"/>
  <c r="P500" i="13"/>
  <c r="T500" i="13"/>
  <c r="U500" i="13"/>
  <c r="O501" i="13"/>
  <c r="P501" i="13"/>
  <c r="T501" i="13"/>
  <c r="U501" i="13"/>
  <c r="I503" i="13"/>
  <c r="K503" i="13" s="1"/>
  <c r="I504" i="13"/>
  <c r="K504" i="13" s="1"/>
  <c r="I505" i="13"/>
  <c r="K505" i="13" s="1"/>
  <c r="I506" i="13"/>
  <c r="K506" i="13" s="1"/>
  <c r="I507" i="13"/>
  <c r="K507" i="13" s="1"/>
  <c r="K508" i="13"/>
  <c r="I509" i="13"/>
  <c r="K509" i="13" s="1"/>
  <c r="I512" i="13"/>
  <c r="J512" i="13"/>
  <c r="K512" i="13"/>
  <c r="L514" i="13"/>
  <c r="O514" i="13" s="1"/>
  <c r="M514" i="13"/>
  <c r="N514" i="13"/>
  <c r="Q514" i="13"/>
  <c r="T514" i="13" s="1"/>
  <c r="R514" i="13"/>
  <c r="U514" i="13" s="1"/>
  <c r="S514" i="13"/>
  <c r="S513" i="13" s="1"/>
  <c r="Q515" i="13"/>
  <c r="R515" i="13"/>
  <c r="S515" i="13"/>
  <c r="Q516" i="13"/>
  <c r="T516" i="13" s="1"/>
  <c r="R516" i="13"/>
  <c r="U516" i="13" s="1"/>
  <c r="S516" i="13"/>
  <c r="O517" i="13"/>
  <c r="P517" i="13"/>
  <c r="T517" i="13"/>
  <c r="U517" i="13"/>
  <c r="L518" i="13"/>
  <c r="M518" i="13"/>
  <c r="P518" i="13" s="1"/>
  <c r="N518" i="13"/>
  <c r="T518" i="13"/>
  <c r="U518" i="13"/>
  <c r="Q519" i="13"/>
  <c r="T519" i="13" s="1"/>
  <c r="R519" i="13"/>
  <c r="U519" i="13" s="1"/>
  <c r="S519" i="13"/>
  <c r="O520" i="13"/>
  <c r="P520" i="13"/>
  <c r="T520" i="13"/>
  <c r="U520" i="13"/>
  <c r="L521" i="13"/>
  <c r="L519" i="13" s="1"/>
  <c r="O519" i="13" s="1"/>
  <c r="M521" i="13"/>
  <c r="P521" i="13" s="1"/>
  <c r="N521" i="13"/>
  <c r="N519" i="13" s="1"/>
  <c r="T521" i="13"/>
  <c r="U521" i="13"/>
  <c r="K523" i="13"/>
  <c r="K524" i="13"/>
  <c r="I533" i="13"/>
  <c r="K533" i="13" s="1"/>
  <c r="J533" i="13"/>
  <c r="L535" i="13"/>
  <c r="M535" i="13"/>
  <c r="P535" i="13" s="1"/>
  <c r="N535" i="13"/>
  <c r="N534" i="13" s="1"/>
  <c r="Q535" i="13"/>
  <c r="Q534" i="13" s="1"/>
  <c r="T534" i="13" s="1"/>
  <c r="R535" i="13"/>
  <c r="R534" i="13" s="1"/>
  <c r="U534" i="13" s="1"/>
  <c r="S535" i="13"/>
  <c r="U535" i="13"/>
  <c r="L536" i="13"/>
  <c r="M536" i="13"/>
  <c r="P536" i="13" s="1"/>
  <c r="N536" i="13"/>
  <c r="O536" i="13"/>
  <c r="Q536" i="13"/>
  <c r="T536" i="13" s="1"/>
  <c r="R536" i="13"/>
  <c r="U536" i="13" s="1"/>
  <c r="S536" i="13"/>
  <c r="L537" i="13"/>
  <c r="O537" i="13" s="1"/>
  <c r="M537" i="13"/>
  <c r="P537" i="13" s="1"/>
  <c r="N537" i="13"/>
  <c r="Q537" i="13"/>
  <c r="T537" i="13" s="1"/>
  <c r="R537" i="13"/>
  <c r="S537" i="13"/>
  <c r="U537" i="13"/>
  <c r="O538" i="13"/>
  <c r="P538" i="13"/>
  <c r="T538" i="13"/>
  <c r="U538" i="13"/>
  <c r="O539" i="13"/>
  <c r="P539" i="13"/>
  <c r="T539" i="13"/>
  <c r="U539" i="13"/>
  <c r="L540" i="13"/>
  <c r="O540" i="13" s="1"/>
  <c r="M540" i="13"/>
  <c r="P540" i="13" s="1"/>
  <c r="N540" i="13"/>
  <c r="Q540" i="13"/>
  <c r="T540" i="13" s="1"/>
  <c r="R540" i="13"/>
  <c r="U540" i="13" s="1"/>
  <c r="S540" i="13"/>
  <c r="O541" i="13"/>
  <c r="P541" i="13"/>
  <c r="T541" i="13"/>
  <c r="U541" i="13"/>
  <c r="O542" i="13"/>
  <c r="P542" i="13"/>
  <c r="T542" i="13"/>
  <c r="U542" i="13"/>
  <c r="I554" i="13"/>
  <c r="K554" i="13" s="1"/>
  <c r="J554" i="13"/>
  <c r="L556" i="13"/>
  <c r="O556" i="13" s="1"/>
  <c r="M556" i="13"/>
  <c r="N556" i="13"/>
  <c r="N555" i="13" s="1"/>
  <c r="P556" i="13"/>
  <c r="Q556" i="13"/>
  <c r="R556" i="13"/>
  <c r="U556" i="13" s="1"/>
  <c r="S556" i="13"/>
  <c r="L557" i="13"/>
  <c r="O557" i="13" s="1"/>
  <c r="M557" i="13"/>
  <c r="P557" i="13" s="1"/>
  <c r="N557" i="13"/>
  <c r="Q557" i="13"/>
  <c r="R557" i="13"/>
  <c r="U557" i="13" s="1"/>
  <c r="S557" i="13"/>
  <c r="T557" i="13"/>
  <c r="L558" i="13"/>
  <c r="O558" i="13" s="1"/>
  <c r="M558" i="13"/>
  <c r="N558" i="13"/>
  <c r="P558" i="13"/>
  <c r="Q558" i="13"/>
  <c r="R558" i="13"/>
  <c r="U558" i="13" s="1"/>
  <c r="S558" i="13"/>
  <c r="T558" i="13"/>
  <c r="O559" i="13"/>
  <c r="P559" i="13"/>
  <c r="T559" i="13"/>
  <c r="U559" i="13"/>
  <c r="O560" i="13"/>
  <c r="P560" i="13"/>
  <c r="T560" i="13"/>
  <c r="U560" i="13"/>
  <c r="L561" i="13"/>
  <c r="O561" i="13" s="1"/>
  <c r="M561" i="13"/>
  <c r="P561" i="13" s="1"/>
  <c r="N561" i="13"/>
  <c r="Q561" i="13"/>
  <c r="R561" i="13"/>
  <c r="U561" i="13" s="1"/>
  <c r="S561" i="13"/>
  <c r="T561" i="13"/>
  <c r="O562" i="13"/>
  <c r="P562" i="13"/>
  <c r="T562" i="13"/>
  <c r="U562" i="13"/>
  <c r="O563" i="13"/>
  <c r="P563" i="13"/>
  <c r="T563" i="13"/>
  <c r="U563" i="13"/>
  <c r="I575" i="13"/>
  <c r="K575" i="13" s="1"/>
  <c r="J575" i="13"/>
  <c r="M576" i="13"/>
  <c r="P576" i="13" s="1"/>
  <c r="L577" i="13"/>
  <c r="L576" i="13" s="1"/>
  <c r="O576" i="13" s="1"/>
  <c r="M577" i="13"/>
  <c r="P577" i="13" s="1"/>
  <c r="N577" i="13"/>
  <c r="Q577" i="13"/>
  <c r="T577" i="13" s="1"/>
  <c r="R577" i="13"/>
  <c r="R576" i="13" s="1"/>
  <c r="U576" i="13" s="1"/>
  <c r="S577" i="13"/>
  <c r="L578" i="13"/>
  <c r="O578" i="13" s="1"/>
  <c r="M578" i="13"/>
  <c r="P578" i="13" s="1"/>
  <c r="N578" i="13"/>
  <c r="Q578" i="13"/>
  <c r="T578" i="13" s="1"/>
  <c r="R578" i="13"/>
  <c r="U578" i="13" s="1"/>
  <c r="S578" i="13"/>
  <c r="L579" i="13"/>
  <c r="O579" i="13" s="1"/>
  <c r="M579" i="13"/>
  <c r="P579" i="13" s="1"/>
  <c r="N579" i="13"/>
  <c r="Q579" i="13"/>
  <c r="T579" i="13" s="1"/>
  <c r="R579" i="13"/>
  <c r="U579" i="13" s="1"/>
  <c r="S579" i="13"/>
  <c r="O580" i="13"/>
  <c r="P580" i="13"/>
  <c r="T580" i="13"/>
  <c r="U580" i="13"/>
  <c r="O581" i="13"/>
  <c r="P581" i="13"/>
  <c r="T581" i="13"/>
  <c r="U581" i="13"/>
  <c r="L582" i="13"/>
  <c r="O582" i="13" s="1"/>
  <c r="M582" i="13"/>
  <c r="P582" i="13" s="1"/>
  <c r="N582" i="13"/>
  <c r="Q582" i="13"/>
  <c r="T582" i="13" s="1"/>
  <c r="R582" i="13"/>
  <c r="U582" i="13" s="1"/>
  <c r="S582" i="13"/>
  <c r="O583" i="13"/>
  <c r="P583" i="13"/>
  <c r="T583" i="13"/>
  <c r="U583" i="13"/>
  <c r="O584" i="13"/>
  <c r="P584" i="13"/>
  <c r="T584" i="13"/>
  <c r="U584" i="13"/>
  <c r="L600" i="13"/>
  <c r="M600" i="13"/>
  <c r="P600" i="13" s="1"/>
  <c r="N600" i="13"/>
  <c r="O600" i="13"/>
  <c r="Q600" i="13"/>
  <c r="R600" i="13"/>
  <c r="U600" i="13" s="1"/>
  <c r="S600" i="13"/>
  <c r="S599" i="13" s="1"/>
  <c r="T600" i="13"/>
  <c r="L601" i="13"/>
  <c r="O601" i="13" s="1"/>
  <c r="M601" i="13"/>
  <c r="N601" i="13"/>
  <c r="P601" i="13"/>
  <c r="Q601" i="13"/>
  <c r="T601" i="13" s="1"/>
  <c r="R601" i="13"/>
  <c r="S601" i="13"/>
  <c r="U601" i="13"/>
  <c r="L602" i="13"/>
  <c r="M602" i="13"/>
  <c r="P602" i="13" s="1"/>
  <c r="N602" i="13"/>
  <c r="O602" i="13"/>
  <c r="Q602" i="13"/>
  <c r="T602" i="13" s="1"/>
  <c r="R602" i="13"/>
  <c r="U602" i="13" s="1"/>
  <c r="S602" i="13"/>
  <c r="O603" i="13"/>
  <c r="P603" i="13"/>
  <c r="T603" i="13"/>
  <c r="U603" i="13"/>
  <c r="O604" i="13"/>
  <c r="P604" i="13"/>
  <c r="T604" i="13"/>
  <c r="U604" i="13"/>
  <c r="L605" i="13"/>
  <c r="O605" i="13" s="1"/>
  <c r="M605" i="13"/>
  <c r="P605" i="13" s="1"/>
  <c r="N605" i="13"/>
  <c r="Q605" i="13"/>
  <c r="T605" i="13" s="1"/>
  <c r="R605" i="13"/>
  <c r="U605" i="13" s="1"/>
  <c r="S605" i="13"/>
  <c r="O606" i="13"/>
  <c r="P606" i="13"/>
  <c r="T606" i="13"/>
  <c r="U606" i="13"/>
  <c r="O607" i="13"/>
  <c r="P607" i="13"/>
  <c r="T607" i="13"/>
  <c r="U607" i="13"/>
  <c r="L617" i="13"/>
  <c r="O617" i="13" s="1"/>
  <c r="M617" i="13"/>
  <c r="M616" i="13" s="1"/>
  <c r="P616" i="13" s="1"/>
  <c r="N617" i="13"/>
  <c r="Q617" i="13"/>
  <c r="R617" i="13"/>
  <c r="U617" i="13" s="1"/>
  <c r="S617" i="13"/>
  <c r="L618" i="13"/>
  <c r="O618" i="13" s="1"/>
  <c r="M618" i="13"/>
  <c r="P618" i="13" s="1"/>
  <c r="N618" i="13"/>
  <c r="L619" i="13"/>
  <c r="M619" i="13"/>
  <c r="P619" i="13" s="1"/>
  <c r="N619" i="13"/>
  <c r="O619" i="13"/>
  <c r="O620" i="13"/>
  <c r="P620" i="13"/>
  <c r="T620" i="13"/>
  <c r="U620" i="13"/>
  <c r="O621" i="13"/>
  <c r="P621" i="13"/>
  <c r="Q621" i="13"/>
  <c r="R621" i="13"/>
  <c r="R619" i="13" s="1"/>
  <c r="S621" i="13"/>
  <c r="S619" i="13" s="1"/>
  <c r="L622" i="13"/>
  <c r="M622" i="13"/>
  <c r="P622" i="13" s="1"/>
  <c r="N622" i="13"/>
  <c r="O622" i="13"/>
  <c r="Q622" i="13"/>
  <c r="T622" i="13" s="1"/>
  <c r="R622" i="13"/>
  <c r="S622" i="13"/>
  <c r="U622" i="13"/>
  <c r="O623" i="13"/>
  <c r="P623" i="13"/>
  <c r="T623" i="13"/>
  <c r="U623" i="13"/>
  <c r="O624" i="13"/>
  <c r="P624" i="13"/>
  <c r="T624" i="13"/>
  <c r="U624" i="13"/>
  <c r="I626" i="13"/>
  <c r="I615" i="13" s="1"/>
  <c r="J626" i="13"/>
  <c r="J615" i="13" s="1"/>
  <c r="I627" i="13"/>
  <c r="K627" i="13" s="1"/>
  <c r="I628" i="13"/>
  <c r="K628" i="13" s="1"/>
  <c r="J632" i="13"/>
  <c r="I635" i="13"/>
  <c r="K635" i="13" s="1"/>
  <c r="J636" i="13"/>
  <c r="J635" i="13" s="1"/>
  <c r="N642" i="13"/>
  <c r="L643" i="13"/>
  <c r="L642" i="13" s="1"/>
  <c r="O642" i="13" s="1"/>
  <c r="M643" i="13"/>
  <c r="N643" i="13"/>
  <c r="P643" i="13"/>
  <c r="Q643" i="13"/>
  <c r="T643" i="13" s="1"/>
  <c r="R643" i="13"/>
  <c r="S643" i="13"/>
  <c r="U643" i="13"/>
  <c r="L644" i="13"/>
  <c r="M644" i="13"/>
  <c r="P644" i="13" s="1"/>
  <c r="N644" i="13"/>
  <c r="O644" i="13"/>
  <c r="L645" i="13"/>
  <c r="M645" i="13"/>
  <c r="P645" i="13" s="1"/>
  <c r="N645" i="13"/>
  <c r="O645" i="13"/>
  <c r="O646" i="13"/>
  <c r="P646" i="13"/>
  <c r="T646" i="13"/>
  <c r="U646" i="13"/>
  <c r="O647" i="13"/>
  <c r="P647" i="13"/>
  <c r="Q647" i="13"/>
  <c r="R647" i="13"/>
  <c r="R645" i="13" s="1"/>
  <c r="U645" i="13" s="1"/>
  <c r="S647" i="13"/>
  <c r="S645" i="13" s="1"/>
  <c r="L648" i="13"/>
  <c r="O648" i="13" s="1"/>
  <c r="M648" i="13"/>
  <c r="N648" i="13"/>
  <c r="P648" i="13"/>
  <c r="Q648" i="13"/>
  <c r="T648" i="13" s="1"/>
  <c r="R648" i="13"/>
  <c r="U648" i="13" s="1"/>
  <c r="S648" i="13"/>
  <c r="O649" i="13"/>
  <c r="P649" i="13"/>
  <c r="T649" i="13"/>
  <c r="U649" i="13"/>
  <c r="O650" i="13"/>
  <c r="P650" i="13"/>
  <c r="T650" i="13"/>
  <c r="U650" i="13"/>
  <c r="I652" i="13"/>
  <c r="K652" i="13" s="1"/>
  <c r="J652" i="13"/>
  <c r="I653" i="13"/>
  <c r="K653" i="13" s="1"/>
  <c r="J653" i="13"/>
  <c r="I654" i="13"/>
  <c r="K654" i="13" s="1"/>
  <c r="J654" i="13"/>
  <c r="I657" i="13"/>
  <c r="I660" i="13"/>
  <c r="I661" i="13"/>
  <c r="K661" i="13" s="1"/>
  <c r="J661" i="13"/>
  <c r="J671" i="13"/>
  <c r="J672" i="13"/>
  <c r="I673" i="13"/>
  <c r="K673" i="13" s="1"/>
  <c r="J673" i="13"/>
  <c r="I674" i="13"/>
  <c r="K674" i="13" s="1"/>
  <c r="I675" i="13"/>
  <c r="K675" i="13" s="1"/>
  <c r="I676" i="13"/>
  <c r="K676" i="13" s="1"/>
  <c r="J676" i="13"/>
  <c r="J677" i="13"/>
  <c r="I678" i="13"/>
  <c r="K678" i="13" s="1"/>
  <c r="J678" i="13"/>
  <c r="I679" i="13"/>
  <c r="K679" i="13" s="1"/>
  <c r="J679" i="13"/>
  <c r="J680" i="13"/>
  <c r="I681" i="13"/>
  <c r="K681" i="13" s="1"/>
  <c r="J681" i="13"/>
  <c r="I682" i="13"/>
  <c r="K682" i="13" s="1"/>
  <c r="J682" i="13"/>
  <c r="M690" i="13"/>
  <c r="P690" i="13" s="1"/>
  <c r="L691" i="13"/>
  <c r="M691" i="13"/>
  <c r="P691" i="13" s="1"/>
  <c r="N691" i="13"/>
  <c r="O691" i="13"/>
  <c r="Q691" i="13"/>
  <c r="T691" i="13" s="1"/>
  <c r="R691" i="13"/>
  <c r="S691" i="13"/>
  <c r="U691" i="13"/>
  <c r="L692" i="13"/>
  <c r="O692" i="13" s="1"/>
  <c r="M692" i="13"/>
  <c r="P692" i="13" s="1"/>
  <c r="N692" i="13"/>
  <c r="L693" i="13"/>
  <c r="M693" i="13"/>
  <c r="P693" i="13" s="1"/>
  <c r="N693" i="13"/>
  <c r="O693" i="13"/>
  <c r="O694" i="13"/>
  <c r="P694" i="13"/>
  <c r="T694" i="13"/>
  <c r="U694" i="13"/>
  <c r="O695" i="13"/>
  <c r="P695" i="13"/>
  <c r="Q695" i="13"/>
  <c r="Q692" i="13" s="1"/>
  <c r="R695" i="13"/>
  <c r="R693" i="13" s="1"/>
  <c r="S695" i="13"/>
  <c r="L696" i="13"/>
  <c r="O696" i="13" s="1"/>
  <c r="M696" i="13"/>
  <c r="N696" i="13"/>
  <c r="P696" i="13"/>
  <c r="Q696" i="13"/>
  <c r="R696" i="13"/>
  <c r="U696" i="13" s="1"/>
  <c r="S696" i="13"/>
  <c r="T696" i="13"/>
  <c r="O697" i="13"/>
  <c r="P697" i="13"/>
  <c r="T697" i="13"/>
  <c r="U697" i="13"/>
  <c r="O698" i="13"/>
  <c r="P698" i="13"/>
  <c r="T698" i="13"/>
  <c r="U698" i="13"/>
  <c r="I700" i="13"/>
  <c r="K700" i="13" s="1"/>
  <c r="K702" i="13"/>
  <c r="I703" i="13"/>
  <c r="K703" i="13" s="1"/>
  <c r="J703" i="13"/>
  <c r="J704" i="13"/>
  <c r="K704" i="13"/>
  <c r="I705" i="13"/>
  <c r="J705" i="13"/>
  <c r="J706" i="13"/>
  <c r="K706" i="13"/>
  <c r="I707" i="13"/>
  <c r="J707" i="13"/>
  <c r="J689" i="13" s="1"/>
  <c r="J708" i="13"/>
  <c r="K708" i="13"/>
  <c r="I709" i="13"/>
  <c r="J709" i="13"/>
  <c r="J710" i="13"/>
  <c r="K710" i="13"/>
  <c r="J712" i="13"/>
  <c r="K712" i="13"/>
  <c r="L714" i="13"/>
  <c r="O714" i="13" s="1"/>
  <c r="L715" i="13"/>
  <c r="M715" i="13"/>
  <c r="P715" i="13" s="1"/>
  <c r="N715" i="13"/>
  <c r="O715" i="13"/>
  <c r="Q715" i="13"/>
  <c r="R715" i="13"/>
  <c r="U715" i="13" s="1"/>
  <c r="S715" i="13"/>
  <c r="T715" i="13"/>
  <c r="L716" i="13"/>
  <c r="O716" i="13" s="1"/>
  <c r="M716" i="13"/>
  <c r="P716" i="13" s="1"/>
  <c r="N716" i="13"/>
  <c r="Q716" i="13"/>
  <c r="T716" i="13" s="1"/>
  <c r="R716" i="13"/>
  <c r="U716" i="13" s="1"/>
  <c r="S716" i="13"/>
  <c r="L717" i="13"/>
  <c r="O717" i="13" s="1"/>
  <c r="M717" i="13"/>
  <c r="P717" i="13" s="1"/>
  <c r="N717" i="13"/>
  <c r="Q717" i="13"/>
  <c r="T717" i="13" s="1"/>
  <c r="R717" i="13"/>
  <c r="U717" i="13" s="1"/>
  <c r="S717" i="13"/>
  <c r="O718" i="13"/>
  <c r="P718" i="13"/>
  <c r="T718" i="13"/>
  <c r="U718" i="13"/>
  <c r="O719" i="13"/>
  <c r="P719" i="13"/>
  <c r="T719" i="13"/>
  <c r="U719" i="13"/>
  <c r="L720" i="13"/>
  <c r="O720" i="13" s="1"/>
  <c r="M720" i="13"/>
  <c r="P720" i="13" s="1"/>
  <c r="N720" i="13"/>
  <c r="Q720" i="13"/>
  <c r="T720" i="13" s="1"/>
  <c r="R720" i="13"/>
  <c r="S720" i="13"/>
  <c r="U720" i="13"/>
  <c r="O721" i="13"/>
  <c r="P721" i="13"/>
  <c r="T721" i="13"/>
  <c r="U721" i="13"/>
  <c r="O722" i="13"/>
  <c r="P722" i="13"/>
  <c r="T722" i="13"/>
  <c r="U722" i="13"/>
  <c r="I726" i="13"/>
  <c r="J726" i="13"/>
  <c r="I727" i="13"/>
  <c r="J727" i="13"/>
  <c r="L729" i="13"/>
  <c r="M729" i="13"/>
  <c r="M728" i="13" s="1"/>
  <c r="P728" i="13" s="1"/>
  <c r="N729" i="13"/>
  <c r="N728" i="13" s="1"/>
  <c r="O729" i="13"/>
  <c r="Q729" i="13"/>
  <c r="R729" i="13"/>
  <c r="S729" i="13"/>
  <c r="T729" i="13"/>
  <c r="U729" i="13"/>
  <c r="L730" i="13"/>
  <c r="O730" i="13" s="1"/>
  <c r="M730" i="13"/>
  <c r="P730" i="13" s="1"/>
  <c r="N730" i="13"/>
  <c r="L731" i="13"/>
  <c r="M731" i="13"/>
  <c r="P731" i="13" s="1"/>
  <c r="N731" i="13"/>
  <c r="O731" i="13"/>
  <c r="O732" i="13"/>
  <c r="P732" i="13"/>
  <c r="T732" i="13"/>
  <c r="U732" i="13"/>
  <c r="O733" i="13"/>
  <c r="P733" i="13"/>
  <c r="Q733" i="13"/>
  <c r="Q730" i="13" s="1"/>
  <c r="R733" i="13"/>
  <c r="R730" i="13" s="1"/>
  <c r="S733" i="13"/>
  <c r="S730" i="13" s="1"/>
  <c r="L734" i="13"/>
  <c r="O734" i="13" s="1"/>
  <c r="M734" i="13"/>
  <c r="N734" i="13"/>
  <c r="P734" i="13"/>
  <c r="Q734" i="13"/>
  <c r="T734" i="13" s="1"/>
  <c r="R734" i="13"/>
  <c r="S734" i="13"/>
  <c r="U734" i="13"/>
  <c r="O735" i="13"/>
  <c r="P735" i="13"/>
  <c r="T735" i="13"/>
  <c r="U735" i="13"/>
  <c r="O736" i="13"/>
  <c r="P736" i="13"/>
  <c r="T736" i="13"/>
  <c r="U736" i="13"/>
  <c r="I740" i="13"/>
  <c r="K740" i="13" s="1"/>
  <c r="I742" i="13"/>
  <c r="K742" i="13" s="1"/>
  <c r="I744" i="13"/>
  <c r="K744" i="13" s="1"/>
  <c r="I746" i="13"/>
  <c r="K746" i="13" s="1"/>
  <c r="I749" i="13"/>
  <c r="K749" i="13" s="1"/>
  <c r="I752" i="13"/>
  <c r="K752" i="13" s="1"/>
  <c r="I755" i="13"/>
  <c r="K755" i="13" s="1"/>
  <c r="J758" i="13"/>
  <c r="J759" i="13"/>
  <c r="L761" i="13"/>
  <c r="L760" i="13" s="1"/>
  <c r="O760" i="13" s="1"/>
  <c r="M761" i="13"/>
  <c r="P761" i="13" s="1"/>
  <c r="N761" i="13"/>
  <c r="O761" i="13"/>
  <c r="Q761" i="13"/>
  <c r="R761" i="13"/>
  <c r="S761" i="13"/>
  <c r="U761" i="13"/>
  <c r="L762" i="13"/>
  <c r="M762" i="13"/>
  <c r="P762" i="13" s="1"/>
  <c r="N762" i="13"/>
  <c r="N760" i="13" s="1"/>
  <c r="O762" i="13"/>
  <c r="L763" i="13"/>
  <c r="M763" i="13"/>
  <c r="P763" i="13" s="1"/>
  <c r="N763" i="13"/>
  <c r="O763" i="13"/>
  <c r="O764" i="13"/>
  <c r="P764" i="13"/>
  <c r="T764" i="13"/>
  <c r="U764" i="13"/>
  <c r="O765" i="13"/>
  <c r="P765" i="13"/>
  <c r="Q765" i="13"/>
  <c r="Q763" i="13" s="1"/>
  <c r="R765" i="13"/>
  <c r="R762" i="13" s="1"/>
  <c r="S765" i="13"/>
  <c r="S763" i="13" s="1"/>
  <c r="L766" i="13"/>
  <c r="O766" i="13" s="1"/>
  <c r="M766" i="13"/>
  <c r="P766" i="13" s="1"/>
  <c r="N766" i="13"/>
  <c r="Q766" i="13"/>
  <c r="T766" i="13" s="1"/>
  <c r="R766" i="13"/>
  <c r="U766" i="13" s="1"/>
  <c r="S766" i="13"/>
  <c r="O767" i="13"/>
  <c r="P767" i="13"/>
  <c r="T767" i="13"/>
  <c r="U767" i="13"/>
  <c r="O768" i="13"/>
  <c r="P768" i="13"/>
  <c r="T768" i="13"/>
  <c r="U768" i="13"/>
  <c r="I770" i="13"/>
  <c r="K770" i="13" s="1"/>
  <c r="I772" i="13"/>
  <c r="I758" i="13" s="1"/>
  <c r="K758" i="13" s="1"/>
  <c r="I774" i="13"/>
  <c r="K774" i="13" s="1"/>
  <c r="I775" i="13"/>
  <c r="I776" i="13"/>
  <c r="H777" i="13"/>
  <c r="I778" i="13"/>
  <c r="J778" i="13"/>
  <c r="I779" i="13"/>
  <c r="J779" i="13"/>
  <c r="I780" i="13"/>
  <c r="J780" i="13"/>
  <c r="I781" i="13"/>
  <c r="J781" i="13"/>
  <c r="I782" i="13"/>
  <c r="K782" i="13" s="1"/>
  <c r="J782" i="13"/>
  <c r="I783" i="13"/>
  <c r="K783" i="13" s="1"/>
  <c r="J783" i="13"/>
  <c r="I784" i="13"/>
  <c r="J784" i="13"/>
  <c r="I785" i="13"/>
  <c r="J785" i="13"/>
  <c r="A788" i="13"/>
  <c r="A789" i="13"/>
  <c r="L22" i="12"/>
  <c r="M22" i="12"/>
  <c r="N22" i="12"/>
  <c r="N19" i="12" s="1"/>
  <c r="Q22" i="12"/>
  <c r="R22" i="12"/>
  <c r="S22" i="12"/>
  <c r="T22" i="12"/>
  <c r="L25" i="12"/>
  <c r="M25" i="12"/>
  <c r="N25" i="12"/>
  <c r="Q25" i="12"/>
  <c r="T25" i="12" s="1"/>
  <c r="R25" i="12"/>
  <c r="S25" i="12"/>
  <c r="Q26" i="12"/>
  <c r="R26" i="12"/>
  <c r="S26" i="12"/>
  <c r="U26" i="12"/>
  <c r="L45" i="12"/>
  <c r="M45" i="12"/>
  <c r="N45" i="12"/>
  <c r="O45" i="12"/>
  <c r="Q45" i="12"/>
  <c r="Q44" i="12" s="1"/>
  <c r="T44" i="12" s="1"/>
  <c r="R45" i="12"/>
  <c r="U45" i="12" s="1"/>
  <c r="S45" i="12"/>
  <c r="T45" i="12"/>
  <c r="Q46" i="12"/>
  <c r="T46" i="12" s="1"/>
  <c r="R46" i="12"/>
  <c r="U46" i="12" s="1"/>
  <c r="S46" i="12"/>
  <c r="Q47" i="12"/>
  <c r="T47" i="12" s="1"/>
  <c r="R47" i="12"/>
  <c r="U47" i="12" s="1"/>
  <c r="S47" i="12"/>
  <c r="O48" i="12"/>
  <c r="P48" i="12"/>
  <c r="T48" i="12"/>
  <c r="U48" i="12"/>
  <c r="L49" i="12"/>
  <c r="L47" i="12" s="1"/>
  <c r="M49" i="12"/>
  <c r="M47" i="12" s="1"/>
  <c r="N49" i="12"/>
  <c r="N47" i="12" s="1"/>
  <c r="T49" i="12"/>
  <c r="U49" i="12"/>
  <c r="Q50" i="12"/>
  <c r="R50" i="12"/>
  <c r="U50" i="12" s="1"/>
  <c r="S50" i="12"/>
  <c r="T50" i="12"/>
  <c r="O51" i="12"/>
  <c r="P51" i="12"/>
  <c r="T51" i="12"/>
  <c r="U51" i="12"/>
  <c r="L52" i="12"/>
  <c r="M52" i="12"/>
  <c r="P52" i="12" s="1"/>
  <c r="N52" i="12"/>
  <c r="N50" i="12" s="1"/>
  <c r="T52" i="12"/>
  <c r="U52" i="12"/>
  <c r="L60" i="12"/>
  <c r="O60" i="12" s="1"/>
  <c r="M60" i="12"/>
  <c r="N60" i="12"/>
  <c r="Q60" i="12"/>
  <c r="Q59" i="12" s="1"/>
  <c r="T59" i="12" s="1"/>
  <c r="R60" i="12"/>
  <c r="S60" i="12"/>
  <c r="S59" i="12" s="1"/>
  <c r="U60" i="12"/>
  <c r="Q61" i="12"/>
  <c r="T61" i="12" s="1"/>
  <c r="R61" i="12"/>
  <c r="R59" i="12" s="1"/>
  <c r="U59" i="12" s="1"/>
  <c r="S61" i="12"/>
  <c r="Q62" i="12"/>
  <c r="T62" i="12" s="1"/>
  <c r="R62" i="12"/>
  <c r="U62" i="12" s="1"/>
  <c r="S62" i="12"/>
  <c r="O63" i="12"/>
  <c r="P63" i="12"/>
  <c r="T63" i="12"/>
  <c r="U63" i="12"/>
  <c r="L64" i="12"/>
  <c r="L62" i="12" s="1"/>
  <c r="M64" i="12"/>
  <c r="M62" i="12" s="1"/>
  <c r="N64" i="12"/>
  <c r="T64" i="12"/>
  <c r="U64" i="12"/>
  <c r="Q65" i="12"/>
  <c r="T65" i="12" s="1"/>
  <c r="R65" i="12"/>
  <c r="S65" i="12"/>
  <c r="U65" i="12"/>
  <c r="O66" i="12"/>
  <c r="P66" i="12"/>
  <c r="T66" i="12"/>
  <c r="U66" i="12"/>
  <c r="L67" i="12"/>
  <c r="M67" i="12"/>
  <c r="P67" i="12" s="1"/>
  <c r="N67" i="12"/>
  <c r="N65" i="12" s="1"/>
  <c r="T67" i="12"/>
  <c r="U67" i="12"/>
  <c r="J70" i="12"/>
  <c r="L73" i="12"/>
  <c r="M73" i="12"/>
  <c r="N73" i="12"/>
  <c r="O73" i="12"/>
  <c r="Q73" i="12"/>
  <c r="R73" i="12"/>
  <c r="U73" i="12" s="1"/>
  <c r="S73" i="12"/>
  <c r="T73" i="12"/>
  <c r="O76" i="12"/>
  <c r="P76" i="12"/>
  <c r="T76" i="12"/>
  <c r="U76" i="12"/>
  <c r="L77" i="12"/>
  <c r="L75" i="12" s="1"/>
  <c r="M77" i="12"/>
  <c r="M75" i="12" s="1"/>
  <c r="N77" i="12"/>
  <c r="Q77" i="12"/>
  <c r="Q74" i="12" s="1"/>
  <c r="R77" i="12"/>
  <c r="R75" i="12" s="1"/>
  <c r="S77" i="12"/>
  <c r="S74" i="12" s="1"/>
  <c r="Q78" i="12"/>
  <c r="T78" i="12" s="1"/>
  <c r="R78" i="12"/>
  <c r="U78" i="12" s="1"/>
  <c r="S78" i="12"/>
  <c r="O79" i="12"/>
  <c r="P79" i="12"/>
  <c r="T79" i="12"/>
  <c r="U79" i="12"/>
  <c r="L80" i="12"/>
  <c r="L78" i="12" s="1"/>
  <c r="O78" i="12" s="1"/>
  <c r="M80" i="12"/>
  <c r="M78" i="12" s="1"/>
  <c r="P78" i="12" s="1"/>
  <c r="N80" i="12"/>
  <c r="N78" i="12" s="1"/>
  <c r="T80" i="12"/>
  <c r="U80" i="12"/>
  <c r="J82" i="12"/>
  <c r="J83" i="12"/>
  <c r="J71" i="12" s="1"/>
  <c r="I84" i="12"/>
  <c r="K84" i="12" s="1"/>
  <c r="I85" i="12"/>
  <c r="I86" i="12"/>
  <c r="K86" i="12" s="1"/>
  <c r="I87" i="12"/>
  <c r="K87" i="12" s="1"/>
  <c r="I88" i="12"/>
  <c r="K88" i="12" s="1"/>
  <c r="I89" i="12"/>
  <c r="K89" i="12" s="1"/>
  <c r="I90" i="12"/>
  <c r="K90" i="12" s="1"/>
  <c r="J92" i="12"/>
  <c r="J93" i="12"/>
  <c r="L95" i="12"/>
  <c r="O95" i="12" s="1"/>
  <c r="M95" i="12"/>
  <c r="N95" i="12"/>
  <c r="P95" i="12"/>
  <c r="Q95" i="12"/>
  <c r="R95" i="12"/>
  <c r="U95" i="12" s="1"/>
  <c r="S95" i="12"/>
  <c r="T95" i="12"/>
  <c r="O98" i="12"/>
  <c r="P98" i="12"/>
  <c r="T98" i="12"/>
  <c r="U98" i="12"/>
  <c r="L99" i="12"/>
  <c r="M99" i="12"/>
  <c r="M97" i="12" s="1"/>
  <c r="P97" i="12" s="1"/>
  <c r="N99" i="12"/>
  <c r="N97" i="12" s="1"/>
  <c r="Q99" i="12"/>
  <c r="Q96" i="12" s="1"/>
  <c r="T96" i="12" s="1"/>
  <c r="R99" i="12"/>
  <c r="R96" i="12" s="1"/>
  <c r="U96" i="12" s="1"/>
  <c r="S99" i="12"/>
  <c r="S97" i="12" s="1"/>
  <c r="Q100" i="12"/>
  <c r="T100" i="12" s="1"/>
  <c r="R100" i="12"/>
  <c r="U100" i="12" s="1"/>
  <c r="S100" i="12"/>
  <c r="O101" i="12"/>
  <c r="P101" i="12"/>
  <c r="T101" i="12"/>
  <c r="U101" i="12"/>
  <c r="L102" i="12"/>
  <c r="O102" i="12" s="1"/>
  <c r="M102" i="12"/>
  <c r="M100" i="12" s="1"/>
  <c r="P100" i="12" s="1"/>
  <c r="N102" i="12"/>
  <c r="N100" i="12" s="1"/>
  <c r="T102" i="12"/>
  <c r="U102" i="12"/>
  <c r="I108" i="12"/>
  <c r="K108" i="12" s="1"/>
  <c r="I109" i="12"/>
  <c r="I93" i="12" s="1"/>
  <c r="K93" i="12" s="1"/>
  <c r="I114" i="12"/>
  <c r="K114" i="12" s="1"/>
  <c r="J116" i="12"/>
  <c r="L118" i="12"/>
  <c r="O118" i="12" s="1"/>
  <c r="M118" i="12"/>
  <c r="N118" i="12"/>
  <c r="P118" i="12"/>
  <c r="Q118" i="12"/>
  <c r="R118" i="12"/>
  <c r="U118" i="12" s="1"/>
  <c r="S118" i="12"/>
  <c r="T118" i="12"/>
  <c r="O121" i="12"/>
  <c r="P121" i="12"/>
  <c r="T121" i="12"/>
  <c r="U121" i="12"/>
  <c r="L122" i="12"/>
  <c r="L120" i="12" s="1"/>
  <c r="O120" i="12" s="1"/>
  <c r="M122" i="12"/>
  <c r="M120" i="12" s="1"/>
  <c r="P120" i="12" s="1"/>
  <c r="N122" i="12"/>
  <c r="Q122" i="12"/>
  <c r="Q119" i="12" s="1"/>
  <c r="R122" i="12"/>
  <c r="R119" i="12" s="1"/>
  <c r="S122" i="12"/>
  <c r="S120" i="12" s="1"/>
  <c r="Q123" i="12"/>
  <c r="T123" i="12" s="1"/>
  <c r="R123" i="12"/>
  <c r="U123" i="12" s="1"/>
  <c r="S123" i="12"/>
  <c r="O124" i="12"/>
  <c r="P124" i="12"/>
  <c r="T124" i="12"/>
  <c r="U124" i="12"/>
  <c r="L125" i="12"/>
  <c r="O125" i="12" s="1"/>
  <c r="M125" i="12"/>
  <c r="M123" i="12" s="1"/>
  <c r="P123" i="12" s="1"/>
  <c r="N125" i="12"/>
  <c r="N123" i="12" s="1"/>
  <c r="T125" i="12"/>
  <c r="U125" i="12"/>
  <c r="I127" i="12"/>
  <c r="I116" i="12" s="1"/>
  <c r="K116" i="12" s="1"/>
  <c r="I128" i="12"/>
  <c r="K128" i="12" s="1"/>
  <c r="I129" i="12"/>
  <c r="K129" i="12" s="1"/>
  <c r="I130" i="12"/>
  <c r="K130" i="12" s="1"/>
  <c r="J136" i="12"/>
  <c r="J137" i="12"/>
  <c r="J138" i="12"/>
  <c r="L140" i="12"/>
  <c r="M140" i="12"/>
  <c r="P140" i="12" s="1"/>
  <c r="N140" i="12"/>
  <c r="Q140" i="12"/>
  <c r="T140" i="12" s="1"/>
  <c r="R140" i="12"/>
  <c r="S140" i="12"/>
  <c r="O143" i="12"/>
  <c r="P143" i="12"/>
  <c r="T143" i="12"/>
  <c r="U143" i="12"/>
  <c r="L144" i="12"/>
  <c r="M144" i="12"/>
  <c r="M142" i="12" s="1"/>
  <c r="N144" i="12"/>
  <c r="Q144" i="12"/>
  <c r="Q142" i="12" s="1"/>
  <c r="T142" i="12" s="1"/>
  <c r="R144" i="12"/>
  <c r="R141" i="12" s="1"/>
  <c r="U141" i="12" s="1"/>
  <c r="S144" i="12"/>
  <c r="S141" i="12" s="1"/>
  <c r="Q145" i="12"/>
  <c r="T145" i="12" s="1"/>
  <c r="R145" i="12"/>
  <c r="U145" i="12" s="1"/>
  <c r="S145" i="12"/>
  <c r="O146" i="12"/>
  <c r="P146" i="12"/>
  <c r="T146" i="12"/>
  <c r="U146" i="12"/>
  <c r="L147" i="12"/>
  <c r="L145" i="12" s="1"/>
  <c r="O145" i="12" s="1"/>
  <c r="M147" i="12"/>
  <c r="M145" i="12" s="1"/>
  <c r="P145" i="12" s="1"/>
  <c r="N147" i="12"/>
  <c r="N145" i="12" s="1"/>
  <c r="T147" i="12"/>
  <c r="U147" i="12"/>
  <c r="I150" i="12"/>
  <c r="K150" i="12" s="1"/>
  <c r="I151" i="12"/>
  <c r="K151" i="12" s="1"/>
  <c r="I152" i="12"/>
  <c r="I137" i="12" s="1"/>
  <c r="I153" i="12"/>
  <c r="I138" i="12" s="1"/>
  <c r="K138" i="12" s="1"/>
  <c r="I154" i="12"/>
  <c r="I136" i="12" s="1"/>
  <c r="J156" i="12"/>
  <c r="L158" i="12"/>
  <c r="M158" i="12"/>
  <c r="P158" i="12" s="1"/>
  <c r="N158" i="12"/>
  <c r="O158" i="12"/>
  <c r="Q158" i="12"/>
  <c r="T158" i="12" s="1"/>
  <c r="R158" i="12"/>
  <c r="S158" i="12"/>
  <c r="U158" i="12"/>
  <c r="O161" i="12"/>
  <c r="P161" i="12"/>
  <c r="T161" i="12"/>
  <c r="U161" i="12"/>
  <c r="L162" i="12"/>
  <c r="O162" i="12" s="1"/>
  <c r="M162" i="12"/>
  <c r="N162" i="12"/>
  <c r="Q162" i="12"/>
  <c r="Q159" i="12" s="1"/>
  <c r="T159" i="12" s="1"/>
  <c r="R162" i="12"/>
  <c r="U162" i="12" s="1"/>
  <c r="S162" i="12"/>
  <c r="Q163" i="12"/>
  <c r="R163" i="12"/>
  <c r="U163" i="12" s="1"/>
  <c r="S163" i="12"/>
  <c r="T163" i="12"/>
  <c r="O164" i="12"/>
  <c r="P164" i="12"/>
  <c r="T164" i="12"/>
  <c r="U164" i="12"/>
  <c r="L165" i="12"/>
  <c r="O165" i="12" s="1"/>
  <c r="M165" i="12"/>
  <c r="P165" i="12" s="1"/>
  <c r="N165" i="12"/>
  <c r="N163" i="12" s="1"/>
  <c r="T165" i="12"/>
  <c r="U165" i="12"/>
  <c r="I167" i="12"/>
  <c r="K167" i="12" s="1"/>
  <c r="I168" i="12"/>
  <c r="K168" i="12" s="1"/>
  <c r="I169" i="12"/>
  <c r="I156" i="12" s="1"/>
  <c r="K156" i="12" s="1"/>
  <c r="J172" i="12"/>
  <c r="L174" i="12"/>
  <c r="M174" i="12"/>
  <c r="P174" i="12" s="1"/>
  <c r="N174" i="12"/>
  <c r="O174" i="12"/>
  <c r="Q174" i="12"/>
  <c r="T174" i="12" s="1"/>
  <c r="R174" i="12"/>
  <c r="S174" i="12"/>
  <c r="U174" i="12"/>
  <c r="O177" i="12"/>
  <c r="P177" i="12"/>
  <c r="T177" i="12"/>
  <c r="U177" i="12"/>
  <c r="L178" i="12"/>
  <c r="M178" i="12"/>
  <c r="N178" i="12"/>
  <c r="N176" i="12" s="1"/>
  <c r="Q178" i="12"/>
  <c r="Q175" i="12" s="1"/>
  <c r="T175" i="12" s="1"/>
  <c r="R178" i="12"/>
  <c r="U178" i="12" s="1"/>
  <c r="S178" i="12"/>
  <c r="S175" i="12" s="1"/>
  <c r="S173" i="12" s="1"/>
  <c r="Q179" i="12"/>
  <c r="R179" i="12"/>
  <c r="U179" i="12" s="1"/>
  <c r="S179" i="12"/>
  <c r="T179" i="12"/>
  <c r="O180" i="12"/>
  <c r="P180" i="12"/>
  <c r="T180" i="12"/>
  <c r="U180" i="12"/>
  <c r="L181" i="12"/>
  <c r="O181" i="12" s="1"/>
  <c r="M181" i="12"/>
  <c r="N181" i="12"/>
  <c r="N179" i="12" s="1"/>
  <c r="T181" i="12"/>
  <c r="U181" i="12"/>
  <c r="I183" i="12"/>
  <c r="K183" i="12" s="1"/>
  <c r="K184" i="12"/>
  <c r="L187" i="12"/>
  <c r="O187" i="12" s="1"/>
  <c r="M187" i="12"/>
  <c r="N187" i="12"/>
  <c r="Q187" i="12"/>
  <c r="R187" i="12"/>
  <c r="U187" i="12" s="1"/>
  <c r="S187" i="12"/>
  <c r="O190" i="12"/>
  <c r="P190" i="12"/>
  <c r="T190" i="12"/>
  <c r="U190" i="12"/>
  <c r="L191" i="12"/>
  <c r="L189" i="12" s="1"/>
  <c r="M191" i="12"/>
  <c r="N191" i="12"/>
  <c r="N189" i="12" s="1"/>
  <c r="Q191" i="12"/>
  <c r="Q188" i="12" s="1"/>
  <c r="R191" i="12"/>
  <c r="R188" i="12" s="1"/>
  <c r="S191" i="12"/>
  <c r="Q192" i="12"/>
  <c r="T192" i="12" s="1"/>
  <c r="R192" i="12"/>
  <c r="U192" i="12" s="1"/>
  <c r="S192" i="12"/>
  <c r="O193" i="12"/>
  <c r="P193" i="12"/>
  <c r="T193" i="12"/>
  <c r="U193" i="12"/>
  <c r="L194" i="12"/>
  <c r="O194" i="12" s="1"/>
  <c r="M194" i="12"/>
  <c r="M192" i="12" s="1"/>
  <c r="P192" i="12" s="1"/>
  <c r="N194" i="12"/>
  <c r="N192" i="12" s="1"/>
  <c r="T194" i="12"/>
  <c r="U194" i="12"/>
  <c r="J195" i="12"/>
  <c r="L196" i="12"/>
  <c r="O196" i="12" s="1"/>
  <c r="P196" i="12"/>
  <c r="I198" i="12"/>
  <c r="I195" i="12" s="1"/>
  <c r="J199" i="12"/>
  <c r="J202" i="12"/>
  <c r="N203" i="12"/>
  <c r="P203" i="12"/>
  <c r="S203" i="12"/>
  <c r="U203" i="12"/>
  <c r="L204" i="12"/>
  <c r="L205" i="12"/>
  <c r="L206" i="12"/>
  <c r="Q206" i="12"/>
  <c r="Q203" i="12" s="1"/>
  <c r="T203" i="12" s="1"/>
  <c r="L207" i="12"/>
  <c r="I209" i="12"/>
  <c r="I202" i="12" s="1"/>
  <c r="I211" i="12"/>
  <c r="K211" i="12" s="1"/>
  <c r="I212" i="12"/>
  <c r="K212" i="12" s="1"/>
  <c r="J213" i="12"/>
  <c r="N214" i="12"/>
  <c r="P214" i="12"/>
  <c r="S214" i="12"/>
  <c r="U214" i="12"/>
  <c r="L215" i="12"/>
  <c r="L216" i="12"/>
  <c r="L217" i="12"/>
  <c r="Q217" i="12"/>
  <c r="Q214" i="12" s="1"/>
  <c r="T214" i="12" s="1"/>
  <c r="I219" i="12"/>
  <c r="K219" i="12" s="1"/>
  <c r="I220" i="12"/>
  <c r="I213" i="12" s="1"/>
  <c r="K213" i="12" s="1"/>
  <c r="J221" i="12"/>
  <c r="N222" i="12"/>
  <c r="P222" i="12"/>
  <c r="L223" i="12"/>
  <c r="L224" i="12"/>
  <c r="L225" i="12"/>
  <c r="I228" i="12"/>
  <c r="K228" i="12" s="1"/>
  <c r="I229" i="12"/>
  <c r="I230" i="12"/>
  <c r="N233" i="12"/>
  <c r="N234" i="12"/>
  <c r="N235" i="12"/>
  <c r="N236" i="12"/>
  <c r="J238" i="12"/>
  <c r="I240" i="12"/>
  <c r="K240" i="12" s="1"/>
  <c r="J240" i="12"/>
  <c r="I241" i="12"/>
  <c r="K241" i="12" s="1"/>
  <c r="J241" i="12"/>
  <c r="J242" i="12"/>
  <c r="N243" i="12"/>
  <c r="N232" i="12" s="1"/>
  <c r="P243" i="12"/>
  <c r="L244" i="12"/>
  <c r="L245" i="12"/>
  <c r="L246" i="12"/>
  <c r="L247" i="12"/>
  <c r="I249" i="12"/>
  <c r="K251" i="12"/>
  <c r="K252" i="12"/>
  <c r="J253" i="12"/>
  <c r="N254" i="12"/>
  <c r="P254" i="12"/>
  <c r="L255" i="12"/>
  <c r="L256" i="12"/>
  <c r="L257" i="12"/>
  <c r="L258" i="12"/>
  <c r="I260" i="12"/>
  <c r="I253" i="12" s="1"/>
  <c r="K253" i="12" s="1"/>
  <c r="K262" i="12"/>
  <c r="K263" i="12"/>
  <c r="J265" i="12"/>
  <c r="L267" i="12"/>
  <c r="M267" i="12"/>
  <c r="N267" i="12"/>
  <c r="O267" i="12"/>
  <c r="Q267" i="12"/>
  <c r="R267" i="12"/>
  <c r="S267" i="12"/>
  <c r="U267" i="12"/>
  <c r="O270" i="12"/>
  <c r="P270" i="12"/>
  <c r="T270" i="12"/>
  <c r="U270" i="12"/>
  <c r="L271" i="12"/>
  <c r="M271" i="12"/>
  <c r="M269" i="12" s="1"/>
  <c r="N271" i="12"/>
  <c r="N269" i="12" s="1"/>
  <c r="Q271" i="12"/>
  <c r="Q268" i="12" s="1"/>
  <c r="R271" i="12"/>
  <c r="R268" i="12" s="1"/>
  <c r="S271" i="12"/>
  <c r="S268" i="12" s="1"/>
  <c r="S266" i="12" s="1"/>
  <c r="Q272" i="12"/>
  <c r="R272" i="12"/>
  <c r="U272" i="12" s="1"/>
  <c r="S272" i="12"/>
  <c r="T272" i="12"/>
  <c r="O273" i="12"/>
  <c r="P273" i="12"/>
  <c r="T273" i="12"/>
  <c r="U273" i="12"/>
  <c r="L274" i="12"/>
  <c r="O274" i="12" s="1"/>
  <c r="M274" i="12"/>
  <c r="P274" i="12" s="1"/>
  <c r="N274" i="12"/>
  <c r="N272" i="12" s="1"/>
  <c r="T274" i="12"/>
  <c r="U274" i="12"/>
  <c r="I276" i="12"/>
  <c r="I265" i="12" s="1"/>
  <c r="J281" i="12"/>
  <c r="L283" i="12"/>
  <c r="M283" i="12"/>
  <c r="P283" i="12" s="1"/>
  <c r="N283" i="12"/>
  <c r="Q283" i="12"/>
  <c r="T283" i="12" s="1"/>
  <c r="R283" i="12"/>
  <c r="S283" i="12"/>
  <c r="Q284" i="12"/>
  <c r="T284" i="12" s="1"/>
  <c r="R284" i="12"/>
  <c r="U284" i="12" s="1"/>
  <c r="S284" i="12"/>
  <c r="Q285" i="12"/>
  <c r="R285" i="12"/>
  <c r="U285" i="12" s="1"/>
  <c r="S285" i="12"/>
  <c r="T285" i="12"/>
  <c r="O286" i="12"/>
  <c r="P286" i="12"/>
  <c r="T286" i="12"/>
  <c r="U286" i="12"/>
  <c r="L287" i="12"/>
  <c r="M287" i="12"/>
  <c r="N287" i="12"/>
  <c r="T287" i="12"/>
  <c r="U287" i="12"/>
  <c r="Q288" i="12"/>
  <c r="T288" i="12" s="1"/>
  <c r="R288" i="12"/>
  <c r="U288" i="12" s="1"/>
  <c r="S288" i="12"/>
  <c r="O289" i="12"/>
  <c r="P289" i="12"/>
  <c r="T289" i="12"/>
  <c r="U289" i="12"/>
  <c r="L290" i="12"/>
  <c r="L288" i="12" s="1"/>
  <c r="O288" i="12" s="1"/>
  <c r="M290" i="12"/>
  <c r="M288" i="12" s="1"/>
  <c r="P288" i="12" s="1"/>
  <c r="N290" i="12"/>
  <c r="N288" i="12" s="1"/>
  <c r="T290" i="12"/>
  <c r="U290" i="12"/>
  <c r="I292" i="12"/>
  <c r="K292" i="12" s="1"/>
  <c r="I293" i="12"/>
  <c r="J293" i="12"/>
  <c r="J280" i="12" s="1"/>
  <c r="I295" i="12"/>
  <c r="K295" i="12" s="1"/>
  <c r="I296" i="12"/>
  <c r="K296" i="12" s="1"/>
  <c r="J302" i="12"/>
  <c r="L304" i="12"/>
  <c r="M304" i="12"/>
  <c r="P304" i="12" s="1"/>
  <c r="N304" i="12"/>
  <c r="Q304" i="12"/>
  <c r="T304" i="12" s="1"/>
  <c r="R304" i="12"/>
  <c r="S304" i="12"/>
  <c r="O307" i="12"/>
  <c r="P307" i="12"/>
  <c r="T307" i="12"/>
  <c r="U307" i="12"/>
  <c r="L308" i="12"/>
  <c r="M308" i="12"/>
  <c r="N308" i="12"/>
  <c r="N306" i="12" s="1"/>
  <c r="Q308" i="12"/>
  <c r="Q305" i="12" s="1"/>
  <c r="R308" i="12"/>
  <c r="S308" i="12"/>
  <c r="S305" i="12" s="1"/>
  <c r="Q309" i="12"/>
  <c r="R309" i="12"/>
  <c r="U309" i="12" s="1"/>
  <c r="S309" i="12"/>
  <c r="T309" i="12"/>
  <c r="O310" i="12"/>
  <c r="P310" i="12"/>
  <c r="T310" i="12"/>
  <c r="U310" i="12"/>
  <c r="L311" i="12"/>
  <c r="M311" i="12"/>
  <c r="P311" i="12" s="1"/>
  <c r="N311" i="12"/>
  <c r="N309" i="12" s="1"/>
  <c r="T311" i="12"/>
  <c r="U311" i="12"/>
  <c r="I314" i="12"/>
  <c r="I302" i="12" s="1"/>
  <c r="K302" i="12" s="1"/>
  <c r="J319" i="12"/>
  <c r="L321" i="12"/>
  <c r="O321" i="12" s="1"/>
  <c r="M321" i="12"/>
  <c r="N321" i="12"/>
  <c r="P321" i="12"/>
  <c r="Q321" i="12"/>
  <c r="R321" i="12"/>
  <c r="U321" i="12" s="1"/>
  <c r="S321" i="12"/>
  <c r="T321" i="12"/>
  <c r="Q322" i="12"/>
  <c r="T322" i="12" s="1"/>
  <c r="R322" i="12"/>
  <c r="S322" i="12"/>
  <c r="S320" i="12" s="1"/>
  <c r="Q323" i="12"/>
  <c r="T323" i="12" s="1"/>
  <c r="R323" i="12"/>
  <c r="U323" i="12" s="1"/>
  <c r="S323" i="12"/>
  <c r="O324" i="12"/>
  <c r="P324" i="12"/>
  <c r="T324" i="12"/>
  <c r="U324" i="12"/>
  <c r="L325" i="12"/>
  <c r="M325" i="12"/>
  <c r="M323" i="12" s="1"/>
  <c r="P323" i="12" s="1"/>
  <c r="N325" i="12"/>
  <c r="N323" i="12" s="1"/>
  <c r="T325" i="12"/>
  <c r="U325" i="12"/>
  <c r="Q326" i="12"/>
  <c r="T326" i="12" s="1"/>
  <c r="R326" i="12"/>
  <c r="S326" i="12"/>
  <c r="U326" i="12"/>
  <c r="O327" i="12"/>
  <c r="P327" i="12"/>
  <c r="T327" i="12"/>
  <c r="U327" i="12"/>
  <c r="L328" i="12"/>
  <c r="L326" i="12" s="1"/>
  <c r="O326" i="12" s="1"/>
  <c r="M328" i="12"/>
  <c r="N328" i="12"/>
  <c r="N326" i="12" s="1"/>
  <c r="T328" i="12"/>
  <c r="U328" i="12"/>
  <c r="I330" i="12"/>
  <c r="L334" i="12"/>
  <c r="M334" i="12"/>
  <c r="N334" i="12"/>
  <c r="P334" i="12"/>
  <c r="Q334" i="12"/>
  <c r="R334" i="12"/>
  <c r="R333" i="12" s="1"/>
  <c r="U333" i="12" s="1"/>
  <c r="S334" i="12"/>
  <c r="S333" i="12" s="1"/>
  <c r="Q335" i="12"/>
  <c r="T335" i="12" s="1"/>
  <c r="R335" i="12"/>
  <c r="U335" i="12" s="1"/>
  <c r="S335" i="12"/>
  <c r="Q336" i="12"/>
  <c r="R336" i="12"/>
  <c r="U336" i="12" s="1"/>
  <c r="S336" i="12"/>
  <c r="T336" i="12"/>
  <c r="O337" i="12"/>
  <c r="P337" i="12"/>
  <c r="T337" i="12"/>
  <c r="U337" i="12"/>
  <c r="L338" i="12"/>
  <c r="M338" i="12"/>
  <c r="N338" i="12"/>
  <c r="N336" i="12" s="1"/>
  <c r="T338" i="12"/>
  <c r="U338" i="12"/>
  <c r="Q339" i="12"/>
  <c r="T339" i="12" s="1"/>
  <c r="R339" i="12"/>
  <c r="U339" i="12" s="1"/>
  <c r="S339" i="12"/>
  <c r="O340" i="12"/>
  <c r="P340" i="12"/>
  <c r="T340" i="12"/>
  <c r="U340" i="12"/>
  <c r="L341" i="12"/>
  <c r="L339" i="12" s="1"/>
  <c r="O339" i="12" s="1"/>
  <c r="M341" i="12"/>
  <c r="M339" i="12" s="1"/>
  <c r="P339" i="12" s="1"/>
  <c r="N341" i="12"/>
  <c r="N339" i="12" s="1"/>
  <c r="T341" i="12"/>
  <c r="U341" i="12"/>
  <c r="I344" i="12"/>
  <c r="I332" i="12" s="1"/>
  <c r="J344" i="12"/>
  <c r="I346" i="12"/>
  <c r="J346" i="12"/>
  <c r="J347" i="12"/>
  <c r="J348" i="12"/>
  <c r="J349" i="12"/>
  <c r="D350" i="12"/>
  <c r="J352" i="12"/>
  <c r="J353" i="12"/>
  <c r="D354" i="12"/>
  <c r="L357" i="12"/>
  <c r="M357" i="12"/>
  <c r="P357" i="12" s="1"/>
  <c r="N357" i="12"/>
  <c r="O357" i="12"/>
  <c r="Q357" i="12"/>
  <c r="Q356" i="12" s="1"/>
  <c r="T356" i="12" s="1"/>
  <c r="R357" i="12"/>
  <c r="U357" i="12" s="1"/>
  <c r="S357" i="12"/>
  <c r="Q358" i="12"/>
  <c r="T358" i="12" s="1"/>
  <c r="R358" i="12"/>
  <c r="U358" i="12" s="1"/>
  <c r="S358" i="12"/>
  <c r="S356" i="12" s="1"/>
  <c r="Q359" i="12"/>
  <c r="T359" i="12" s="1"/>
  <c r="R359" i="12"/>
  <c r="U359" i="12" s="1"/>
  <c r="S359" i="12"/>
  <c r="O360" i="12"/>
  <c r="P360" i="12"/>
  <c r="T360" i="12"/>
  <c r="U360" i="12"/>
  <c r="L361" i="12"/>
  <c r="L359" i="12" s="1"/>
  <c r="M361" i="12"/>
  <c r="N361" i="12"/>
  <c r="N359" i="12" s="1"/>
  <c r="T361" i="12"/>
  <c r="U361" i="12"/>
  <c r="Q362" i="12"/>
  <c r="T362" i="12" s="1"/>
  <c r="R362" i="12"/>
  <c r="S362" i="12"/>
  <c r="U362" i="12"/>
  <c r="O363" i="12"/>
  <c r="P363" i="12"/>
  <c r="T363" i="12"/>
  <c r="U363" i="12"/>
  <c r="L364" i="12"/>
  <c r="M364" i="12"/>
  <c r="P364" i="12" s="1"/>
  <c r="N364" i="12"/>
  <c r="N362" i="12" s="1"/>
  <c r="T364" i="12"/>
  <c r="U364" i="12"/>
  <c r="J367" i="12"/>
  <c r="K367" i="12"/>
  <c r="I368" i="12"/>
  <c r="J368" i="12"/>
  <c r="I369" i="12"/>
  <c r="J369" i="12"/>
  <c r="J370" i="12"/>
  <c r="K370" i="12"/>
  <c r="I371" i="12"/>
  <c r="J371" i="12"/>
  <c r="J365" i="12" s="1"/>
  <c r="J372" i="12"/>
  <c r="K372" i="12"/>
  <c r="D373" i="12"/>
  <c r="L376" i="12"/>
  <c r="M376" i="12"/>
  <c r="N376" i="12"/>
  <c r="N375" i="12" s="1"/>
  <c r="O376" i="12"/>
  <c r="P376" i="12"/>
  <c r="Q376" i="12"/>
  <c r="T376" i="12" s="1"/>
  <c r="R376" i="12"/>
  <c r="S376" i="12"/>
  <c r="U376" i="12"/>
  <c r="L377" i="12"/>
  <c r="O377" i="12" s="1"/>
  <c r="M377" i="12"/>
  <c r="M375" i="12" s="1"/>
  <c r="P375" i="12" s="1"/>
  <c r="N377" i="12"/>
  <c r="L378" i="12"/>
  <c r="O378" i="12" s="1"/>
  <c r="M378" i="12"/>
  <c r="P378" i="12" s="1"/>
  <c r="N378" i="12"/>
  <c r="O379" i="12"/>
  <c r="P379" i="12"/>
  <c r="T379" i="12"/>
  <c r="U379" i="12"/>
  <c r="O380" i="12"/>
  <c r="P380" i="12"/>
  <c r="Q380" i="12"/>
  <c r="Q378" i="12" s="1"/>
  <c r="R380" i="12"/>
  <c r="R377" i="12" s="1"/>
  <c r="S380" i="12"/>
  <c r="S378" i="12" s="1"/>
  <c r="L381" i="12"/>
  <c r="O381" i="12" s="1"/>
  <c r="M381" i="12"/>
  <c r="P381" i="12" s="1"/>
  <c r="N381" i="12"/>
  <c r="Q381" i="12"/>
  <c r="T381" i="12" s="1"/>
  <c r="R381" i="12"/>
  <c r="U381" i="12" s="1"/>
  <c r="S381" i="12"/>
  <c r="O382" i="12"/>
  <c r="P382" i="12"/>
  <c r="T382" i="12"/>
  <c r="U382" i="12"/>
  <c r="O383" i="12"/>
  <c r="P383" i="12"/>
  <c r="T383" i="12"/>
  <c r="U383" i="12"/>
  <c r="J385" i="12"/>
  <c r="K385" i="12"/>
  <c r="I386" i="12"/>
  <c r="J386" i="12"/>
  <c r="J387" i="12"/>
  <c r="K387" i="12"/>
  <c r="I388" i="12"/>
  <c r="K388" i="12" s="1"/>
  <c r="J388" i="12"/>
  <c r="I391" i="12"/>
  <c r="K391" i="12" s="1"/>
  <c r="J391" i="12"/>
  <c r="M392" i="12"/>
  <c r="P392" i="12" s="1"/>
  <c r="L393" i="12"/>
  <c r="L392" i="12" s="1"/>
  <c r="O392" i="12" s="1"/>
  <c r="M393" i="12"/>
  <c r="N393" i="12"/>
  <c r="O393" i="12"/>
  <c r="P393" i="12"/>
  <c r="Q393" i="12"/>
  <c r="T393" i="12" s="1"/>
  <c r="R393" i="12"/>
  <c r="R392" i="12" s="1"/>
  <c r="U392" i="12" s="1"/>
  <c r="S393" i="12"/>
  <c r="U393" i="12"/>
  <c r="L394" i="12"/>
  <c r="O394" i="12" s="1"/>
  <c r="M394" i="12"/>
  <c r="P394" i="12" s="1"/>
  <c r="N394" i="12"/>
  <c r="Q394" i="12"/>
  <c r="T394" i="12" s="1"/>
  <c r="R394" i="12"/>
  <c r="U394" i="12" s="1"/>
  <c r="S394" i="12"/>
  <c r="S392" i="12" s="1"/>
  <c r="L395" i="12"/>
  <c r="O395" i="12" s="1"/>
  <c r="M395" i="12"/>
  <c r="P395" i="12" s="1"/>
  <c r="N395" i="12"/>
  <c r="Q395" i="12"/>
  <c r="R395" i="12"/>
  <c r="U395" i="12" s="1"/>
  <c r="S395" i="12"/>
  <c r="T395" i="12"/>
  <c r="O396" i="12"/>
  <c r="P396" i="12"/>
  <c r="T396" i="12"/>
  <c r="U396" i="12"/>
  <c r="O397" i="12"/>
  <c r="P397" i="12"/>
  <c r="T397" i="12"/>
  <c r="U397" i="12"/>
  <c r="L398" i="12"/>
  <c r="O398" i="12" s="1"/>
  <c r="M398" i="12"/>
  <c r="P398" i="12" s="1"/>
  <c r="N398" i="12"/>
  <c r="Q398" i="12"/>
  <c r="R398" i="12"/>
  <c r="U398" i="12" s="1"/>
  <c r="S398" i="12"/>
  <c r="T398" i="12"/>
  <c r="O399" i="12"/>
  <c r="P399" i="12"/>
  <c r="T399" i="12"/>
  <c r="U399" i="12"/>
  <c r="O400" i="12"/>
  <c r="P400" i="12"/>
  <c r="T400" i="12"/>
  <c r="U400" i="12"/>
  <c r="L414" i="12"/>
  <c r="M414" i="12"/>
  <c r="N414" i="12"/>
  <c r="Q414" i="12"/>
  <c r="R414" i="12"/>
  <c r="S414" i="12"/>
  <c r="L415" i="12"/>
  <c r="M415" i="12"/>
  <c r="P415" i="12" s="1"/>
  <c r="N415" i="12"/>
  <c r="O415" i="12"/>
  <c r="L416" i="12"/>
  <c r="M416" i="12"/>
  <c r="N416" i="12"/>
  <c r="O416" i="12"/>
  <c r="P416" i="12"/>
  <c r="O417" i="12"/>
  <c r="P417" i="12"/>
  <c r="T417" i="12"/>
  <c r="U417" i="12"/>
  <c r="O418" i="12"/>
  <c r="P418" i="12"/>
  <c r="Q418" i="12"/>
  <c r="R418" i="12"/>
  <c r="R416" i="12" s="1"/>
  <c r="U416" i="12" s="1"/>
  <c r="S418" i="12"/>
  <c r="S416" i="12" s="1"/>
  <c r="L419" i="12"/>
  <c r="O419" i="12" s="1"/>
  <c r="M419" i="12"/>
  <c r="P419" i="12" s="1"/>
  <c r="N419" i="12"/>
  <c r="Q419" i="12"/>
  <c r="R419" i="12"/>
  <c r="U419" i="12" s="1"/>
  <c r="S419" i="12"/>
  <c r="T419" i="12"/>
  <c r="O420" i="12"/>
  <c r="P420" i="12"/>
  <c r="T420" i="12"/>
  <c r="U420" i="12"/>
  <c r="O421" i="12"/>
  <c r="P421" i="12"/>
  <c r="T421" i="12"/>
  <c r="U421" i="12"/>
  <c r="I424" i="12"/>
  <c r="K424" i="12" s="1"/>
  <c r="J424" i="12"/>
  <c r="I425" i="12"/>
  <c r="K425" i="12" s="1"/>
  <c r="J425" i="12"/>
  <c r="I432" i="12"/>
  <c r="K432" i="12" s="1"/>
  <c r="J432" i="12"/>
  <c r="I433" i="12"/>
  <c r="K433" i="12" s="1"/>
  <c r="J433" i="12"/>
  <c r="I440" i="12"/>
  <c r="K440" i="12" s="1"/>
  <c r="I441" i="12"/>
  <c r="K441" i="12" s="1"/>
  <c r="J441" i="12"/>
  <c r="J446" i="12"/>
  <c r="J440" i="12" s="1"/>
  <c r="J423" i="12" s="1"/>
  <c r="J412" i="12" s="1"/>
  <c r="J447" i="12"/>
  <c r="I457" i="12"/>
  <c r="K457" i="12" s="1"/>
  <c r="I458" i="12"/>
  <c r="K458" i="12" s="1"/>
  <c r="J459" i="12"/>
  <c r="J457" i="12" s="1"/>
  <c r="J456" i="12" s="1"/>
  <c r="J460" i="12"/>
  <c r="J458" i="12" s="1"/>
  <c r="J467" i="12"/>
  <c r="J468" i="12"/>
  <c r="J475" i="12"/>
  <c r="K475" i="12"/>
  <c r="J476" i="12"/>
  <c r="K476" i="12"/>
  <c r="J477" i="12"/>
  <c r="K477" i="12"/>
  <c r="J482" i="12"/>
  <c r="J483" i="12"/>
  <c r="I484" i="12"/>
  <c r="K484" i="12" s="1"/>
  <c r="J484" i="12"/>
  <c r="I485" i="12"/>
  <c r="K485" i="12" s="1"/>
  <c r="J485" i="12"/>
  <c r="M493" i="12"/>
  <c r="P493" i="12" s="1"/>
  <c r="N493" i="12"/>
  <c r="L494" i="12"/>
  <c r="M494" i="12"/>
  <c r="N494" i="12"/>
  <c r="O494" i="12"/>
  <c r="P494" i="12"/>
  <c r="Q494" i="12"/>
  <c r="R494" i="12"/>
  <c r="S494" i="12"/>
  <c r="U494" i="12"/>
  <c r="L495" i="12"/>
  <c r="O495" i="12" s="1"/>
  <c r="M495" i="12"/>
  <c r="P495" i="12" s="1"/>
  <c r="N495" i="12"/>
  <c r="L496" i="12"/>
  <c r="O496" i="12" s="1"/>
  <c r="M496" i="12"/>
  <c r="P496" i="12" s="1"/>
  <c r="N496" i="12"/>
  <c r="O497" i="12"/>
  <c r="P497" i="12"/>
  <c r="T497" i="12"/>
  <c r="U497" i="12"/>
  <c r="O498" i="12"/>
  <c r="P498" i="12"/>
  <c r="Q498" i="12"/>
  <c r="Q496" i="12" s="1"/>
  <c r="T496" i="12" s="1"/>
  <c r="R498" i="12"/>
  <c r="R495" i="12" s="1"/>
  <c r="U495" i="12" s="1"/>
  <c r="S498" i="12"/>
  <c r="S495" i="12" s="1"/>
  <c r="L499" i="12"/>
  <c r="O499" i="12" s="1"/>
  <c r="M499" i="12"/>
  <c r="N499" i="12"/>
  <c r="P499" i="12"/>
  <c r="Q499" i="12"/>
  <c r="T499" i="12" s="1"/>
  <c r="R499" i="12"/>
  <c r="U499" i="12" s="1"/>
  <c r="S499" i="12"/>
  <c r="O500" i="12"/>
  <c r="P500" i="12"/>
  <c r="T500" i="12"/>
  <c r="U500" i="12"/>
  <c r="O501" i="12"/>
  <c r="P501" i="12"/>
  <c r="T501" i="12"/>
  <c r="U501" i="12"/>
  <c r="I503" i="12"/>
  <c r="I492" i="12" s="1"/>
  <c r="K492" i="12" s="1"/>
  <c r="I504" i="12"/>
  <c r="K504" i="12" s="1"/>
  <c r="I505" i="12"/>
  <c r="I506" i="12"/>
  <c r="K506" i="12" s="1"/>
  <c r="I507" i="12"/>
  <c r="K507" i="12" s="1"/>
  <c r="K508" i="12"/>
  <c r="I509" i="12"/>
  <c r="K509" i="12" s="1"/>
  <c r="I512" i="12"/>
  <c r="J512" i="12"/>
  <c r="K512" i="12"/>
  <c r="L514" i="12"/>
  <c r="O514" i="12" s="1"/>
  <c r="M514" i="12"/>
  <c r="N514" i="12"/>
  <c r="Q514" i="12"/>
  <c r="T514" i="12" s="1"/>
  <c r="R514" i="12"/>
  <c r="R513" i="12" s="1"/>
  <c r="U513" i="12" s="1"/>
  <c r="S514" i="12"/>
  <c r="S513" i="12" s="1"/>
  <c r="U514" i="12"/>
  <c r="Q515" i="12"/>
  <c r="T515" i="12" s="1"/>
  <c r="R515" i="12"/>
  <c r="S515" i="12"/>
  <c r="U515" i="12"/>
  <c r="Q516" i="12"/>
  <c r="T516" i="12" s="1"/>
  <c r="R516" i="12"/>
  <c r="U516" i="12" s="1"/>
  <c r="S516" i="12"/>
  <c r="O517" i="12"/>
  <c r="P517" i="12"/>
  <c r="T517" i="12"/>
  <c r="U517" i="12"/>
  <c r="L518" i="12"/>
  <c r="L516" i="12" s="1"/>
  <c r="O516" i="12" s="1"/>
  <c r="M518" i="12"/>
  <c r="M516" i="12" s="1"/>
  <c r="P516" i="12" s="1"/>
  <c r="N518" i="12"/>
  <c r="N516" i="12" s="1"/>
  <c r="T518" i="12"/>
  <c r="U518" i="12"/>
  <c r="Q519" i="12"/>
  <c r="T519" i="12" s="1"/>
  <c r="R519" i="12"/>
  <c r="S519" i="12"/>
  <c r="U519" i="12"/>
  <c r="O520" i="12"/>
  <c r="P520" i="12"/>
  <c r="T520" i="12"/>
  <c r="U520" i="12"/>
  <c r="L521" i="12"/>
  <c r="M521" i="12"/>
  <c r="N521" i="12"/>
  <c r="N519" i="12" s="1"/>
  <c r="T521" i="12"/>
  <c r="U521" i="12"/>
  <c r="K523" i="12"/>
  <c r="K524" i="12"/>
  <c r="I533" i="12"/>
  <c r="K533" i="12" s="1"/>
  <c r="J533" i="12"/>
  <c r="L535" i="12"/>
  <c r="M535" i="12"/>
  <c r="M534" i="12" s="1"/>
  <c r="P534" i="12" s="1"/>
  <c r="N535" i="12"/>
  <c r="O535" i="12"/>
  <c r="P535" i="12"/>
  <c r="Q535" i="12"/>
  <c r="R535" i="12"/>
  <c r="S535" i="12"/>
  <c r="S534" i="12" s="1"/>
  <c r="T535" i="12"/>
  <c r="U535" i="12"/>
  <c r="L536" i="12"/>
  <c r="O536" i="12" s="1"/>
  <c r="M536" i="12"/>
  <c r="P536" i="12" s="1"/>
  <c r="N536" i="12"/>
  <c r="Q536" i="12"/>
  <c r="T536" i="12" s="1"/>
  <c r="R536" i="12"/>
  <c r="U536" i="12" s="1"/>
  <c r="S536" i="12"/>
  <c r="L537" i="12"/>
  <c r="O537" i="12" s="1"/>
  <c r="M537" i="12"/>
  <c r="P537" i="12" s="1"/>
  <c r="N537" i="12"/>
  <c r="Q537" i="12"/>
  <c r="R537" i="12"/>
  <c r="U537" i="12" s="1"/>
  <c r="S537" i="12"/>
  <c r="T537" i="12"/>
  <c r="O538" i="12"/>
  <c r="P538" i="12"/>
  <c r="T538" i="12"/>
  <c r="U538" i="12"/>
  <c r="O539" i="12"/>
  <c r="P539" i="12"/>
  <c r="T539" i="12"/>
  <c r="U539" i="12"/>
  <c r="L540" i="12"/>
  <c r="O540" i="12" s="1"/>
  <c r="M540" i="12"/>
  <c r="P540" i="12" s="1"/>
  <c r="N540" i="12"/>
  <c r="Q540" i="12"/>
  <c r="R540" i="12"/>
  <c r="U540" i="12" s="1"/>
  <c r="S540" i="12"/>
  <c r="T540" i="12"/>
  <c r="O541" i="12"/>
  <c r="P541" i="12"/>
  <c r="T541" i="12"/>
  <c r="U541" i="12"/>
  <c r="O542" i="12"/>
  <c r="P542" i="12"/>
  <c r="T542" i="12"/>
  <c r="U542" i="12"/>
  <c r="I554" i="12"/>
  <c r="K554" i="12" s="1"/>
  <c r="J554" i="12"/>
  <c r="L556" i="12"/>
  <c r="M556" i="12"/>
  <c r="N556" i="12"/>
  <c r="Q556" i="12"/>
  <c r="T556" i="12" s="1"/>
  <c r="R556" i="12"/>
  <c r="S556" i="12"/>
  <c r="L557" i="12"/>
  <c r="M557" i="12"/>
  <c r="P557" i="12" s="1"/>
  <c r="N557" i="12"/>
  <c r="O557" i="12"/>
  <c r="Q557" i="12"/>
  <c r="R557" i="12"/>
  <c r="S557" i="12"/>
  <c r="T557" i="12"/>
  <c r="U557" i="12"/>
  <c r="L558" i="12"/>
  <c r="O558" i="12" s="1"/>
  <c r="M558" i="12"/>
  <c r="N558" i="12"/>
  <c r="P558" i="12"/>
  <c r="Q558" i="12"/>
  <c r="T558" i="12" s="1"/>
  <c r="R558" i="12"/>
  <c r="U558" i="12" s="1"/>
  <c r="S558" i="12"/>
  <c r="O559" i="12"/>
  <c r="P559" i="12"/>
  <c r="T559" i="12"/>
  <c r="U559" i="12"/>
  <c r="O560" i="12"/>
  <c r="P560" i="12"/>
  <c r="T560" i="12"/>
  <c r="U560" i="12"/>
  <c r="L561" i="12"/>
  <c r="O561" i="12" s="1"/>
  <c r="M561" i="12"/>
  <c r="P561" i="12" s="1"/>
  <c r="N561" i="12"/>
  <c r="Q561" i="12"/>
  <c r="T561" i="12" s="1"/>
  <c r="R561" i="12"/>
  <c r="U561" i="12" s="1"/>
  <c r="S561" i="12"/>
  <c r="O562" i="12"/>
  <c r="P562" i="12"/>
  <c r="T562" i="12"/>
  <c r="U562" i="12"/>
  <c r="O563" i="12"/>
  <c r="P563" i="12"/>
  <c r="T563" i="12"/>
  <c r="U563" i="12"/>
  <c r="I575" i="12"/>
  <c r="K575" i="12" s="1"/>
  <c r="J575" i="12"/>
  <c r="L577" i="12"/>
  <c r="M577" i="12"/>
  <c r="M576" i="12" s="1"/>
  <c r="P576" i="12" s="1"/>
  <c r="N577" i="12"/>
  <c r="N576" i="12" s="1"/>
  <c r="O577" i="12"/>
  <c r="Q577" i="12"/>
  <c r="R577" i="12"/>
  <c r="S577" i="12"/>
  <c r="S576" i="12" s="1"/>
  <c r="T577" i="12"/>
  <c r="U577" i="12"/>
  <c r="L578" i="12"/>
  <c r="O578" i="12" s="1"/>
  <c r="M578" i="12"/>
  <c r="N578" i="12"/>
  <c r="P578" i="12"/>
  <c r="Q578" i="12"/>
  <c r="R578" i="12"/>
  <c r="U578" i="12" s="1"/>
  <c r="S578" i="12"/>
  <c r="L579" i="12"/>
  <c r="O579" i="12" s="1"/>
  <c r="M579" i="12"/>
  <c r="P579" i="12" s="1"/>
  <c r="N579" i="12"/>
  <c r="Q579" i="12"/>
  <c r="T579" i="12" s="1"/>
  <c r="R579" i="12"/>
  <c r="U579" i="12" s="1"/>
  <c r="S579" i="12"/>
  <c r="O580" i="12"/>
  <c r="P580" i="12"/>
  <c r="T580" i="12"/>
  <c r="U580" i="12"/>
  <c r="O581" i="12"/>
  <c r="P581" i="12"/>
  <c r="T581" i="12"/>
  <c r="U581" i="12"/>
  <c r="L582" i="12"/>
  <c r="O582" i="12" s="1"/>
  <c r="M582" i="12"/>
  <c r="P582" i="12" s="1"/>
  <c r="N582" i="12"/>
  <c r="Q582" i="12"/>
  <c r="R582" i="12"/>
  <c r="U582" i="12" s="1"/>
  <c r="S582" i="12"/>
  <c r="T582" i="12"/>
  <c r="O583" i="12"/>
  <c r="P583" i="12"/>
  <c r="T583" i="12"/>
  <c r="U583" i="12"/>
  <c r="O584" i="12"/>
  <c r="P584" i="12"/>
  <c r="T584" i="12"/>
  <c r="U584" i="12"/>
  <c r="L600" i="12"/>
  <c r="M600" i="12"/>
  <c r="M599" i="12" s="1"/>
  <c r="P599" i="12" s="1"/>
  <c r="N600" i="12"/>
  <c r="O600" i="12"/>
  <c r="Q600" i="12"/>
  <c r="R600" i="12"/>
  <c r="U600" i="12" s="1"/>
  <c r="S600" i="12"/>
  <c r="S599" i="12" s="1"/>
  <c r="T600" i="12"/>
  <c r="L601" i="12"/>
  <c r="O601" i="12" s="1"/>
  <c r="M601" i="12"/>
  <c r="N601" i="12"/>
  <c r="P601" i="12"/>
  <c r="Q601" i="12"/>
  <c r="R601" i="12"/>
  <c r="U601" i="12" s="1"/>
  <c r="S601" i="12"/>
  <c r="L602" i="12"/>
  <c r="O602" i="12" s="1"/>
  <c r="M602" i="12"/>
  <c r="P602" i="12" s="1"/>
  <c r="N602" i="12"/>
  <c r="Q602" i="12"/>
  <c r="R602" i="12"/>
  <c r="U602" i="12" s="1"/>
  <c r="S602" i="12"/>
  <c r="T602" i="12"/>
  <c r="O603" i="12"/>
  <c r="P603" i="12"/>
  <c r="T603" i="12"/>
  <c r="U603" i="12"/>
  <c r="O604" i="12"/>
  <c r="P604" i="12"/>
  <c r="T604" i="12"/>
  <c r="U604" i="12"/>
  <c r="L605" i="12"/>
  <c r="O605" i="12" s="1"/>
  <c r="M605" i="12"/>
  <c r="P605" i="12" s="1"/>
  <c r="N605" i="12"/>
  <c r="Q605" i="12"/>
  <c r="T605" i="12" s="1"/>
  <c r="R605" i="12"/>
  <c r="U605" i="12" s="1"/>
  <c r="S605" i="12"/>
  <c r="O606" i="12"/>
  <c r="P606" i="12"/>
  <c r="T606" i="12"/>
  <c r="U606" i="12"/>
  <c r="O607" i="12"/>
  <c r="P607" i="12"/>
  <c r="T607" i="12"/>
  <c r="U607" i="12"/>
  <c r="L617" i="12"/>
  <c r="M617" i="12"/>
  <c r="P617" i="12" s="1"/>
  <c r="N617" i="12"/>
  <c r="N616" i="12" s="1"/>
  <c r="Q617" i="12"/>
  <c r="T617" i="12" s="1"/>
  <c r="R617" i="12"/>
  <c r="S617" i="12"/>
  <c r="L618" i="12"/>
  <c r="O618" i="12" s="1"/>
  <c r="M618" i="12"/>
  <c r="P618" i="12" s="1"/>
  <c r="N618" i="12"/>
  <c r="L619" i="12"/>
  <c r="M619" i="12"/>
  <c r="P619" i="12" s="1"/>
  <c r="N619" i="12"/>
  <c r="O619" i="12"/>
  <c r="O620" i="12"/>
  <c r="P620" i="12"/>
  <c r="T620" i="12"/>
  <c r="U620" i="12"/>
  <c r="O621" i="12"/>
  <c r="P621" i="12"/>
  <c r="Q621" i="12"/>
  <c r="R621" i="12"/>
  <c r="R619" i="12" s="1"/>
  <c r="S621" i="12"/>
  <c r="S619" i="12" s="1"/>
  <c r="L622" i="12"/>
  <c r="O622" i="12" s="1"/>
  <c r="M622" i="12"/>
  <c r="P622" i="12" s="1"/>
  <c r="N622" i="12"/>
  <c r="Q622" i="12"/>
  <c r="T622" i="12" s="1"/>
  <c r="R622" i="12"/>
  <c r="U622" i="12" s="1"/>
  <c r="S622" i="12"/>
  <c r="O623" i="12"/>
  <c r="P623" i="12"/>
  <c r="T623" i="12"/>
  <c r="U623" i="12"/>
  <c r="O624" i="12"/>
  <c r="P624" i="12"/>
  <c r="T624" i="12"/>
  <c r="U624" i="12"/>
  <c r="I626" i="12"/>
  <c r="K631" i="12" s="1"/>
  <c r="I627" i="12"/>
  <c r="K627" i="12" s="1"/>
  <c r="I628" i="12"/>
  <c r="K628" i="12" s="1"/>
  <c r="J632" i="12"/>
  <c r="J626" i="12" s="1"/>
  <c r="I635" i="12"/>
  <c r="K635" i="12" s="1"/>
  <c r="J636" i="12"/>
  <c r="J635" i="12" s="1"/>
  <c r="L643" i="12"/>
  <c r="O643" i="12" s="1"/>
  <c r="M643" i="12"/>
  <c r="M642" i="12" s="1"/>
  <c r="P642" i="12" s="1"/>
  <c r="N643" i="12"/>
  <c r="P643" i="12"/>
  <c r="Q643" i="12"/>
  <c r="R643" i="12"/>
  <c r="U643" i="12" s="1"/>
  <c r="S643" i="12"/>
  <c r="L644" i="12"/>
  <c r="O644" i="12" s="1"/>
  <c r="M644" i="12"/>
  <c r="P644" i="12" s="1"/>
  <c r="N644" i="12"/>
  <c r="N642" i="12" s="1"/>
  <c r="L645" i="12"/>
  <c r="M645" i="12"/>
  <c r="N645" i="12"/>
  <c r="O645" i="12"/>
  <c r="P645" i="12"/>
  <c r="O646" i="12"/>
  <c r="P646" i="12"/>
  <c r="T646" i="12"/>
  <c r="U646" i="12"/>
  <c r="O647" i="12"/>
  <c r="P647" i="12"/>
  <c r="Q647" i="12"/>
  <c r="Q645" i="12" s="1"/>
  <c r="T645" i="12" s="1"/>
  <c r="R647" i="12"/>
  <c r="R645" i="12" s="1"/>
  <c r="U645" i="12" s="1"/>
  <c r="S647" i="12"/>
  <c r="S644" i="12" s="1"/>
  <c r="S642" i="12" s="1"/>
  <c r="L648" i="12"/>
  <c r="O648" i="12" s="1"/>
  <c r="M648" i="12"/>
  <c r="N648" i="12"/>
  <c r="P648" i="12"/>
  <c r="Q648" i="12"/>
  <c r="T648" i="12" s="1"/>
  <c r="R648" i="12"/>
  <c r="U648" i="12" s="1"/>
  <c r="S648" i="12"/>
  <c r="O649" i="12"/>
  <c r="P649" i="12"/>
  <c r="T649" i="12"/>
  <c r="U649" i="12"/>
  <c r="O650" i="12"/>
  <c r="P650" i="12"/>
  <c r="T650" i="12"/>
  <c r="U650" i="12"/>
  <c r="I652" i="12"/>
  <c r="K652" i="12" s="1"/>
  <c r="J652" i="12"/>
  <c r="I653" i="12"/>
  <c r="K653" i="12" s="1"/>
  <c r="J653" i="12"/>
  <c r="I654" i="12"/>
  <c r="K654" i="12" s="1"/>
  <c r="J654" i="12"/>
  <c r="I657" i="12"/>
  <c r="I660" i="12"/>
  <c r="I661" i="12"/>
  <c r="K661" i="12" s="1"/>
  <c r="J661" i="12"/>
  <c r="J671" i="12"/>
  <c r="J672" i="12"/>
  <c r="I673" i="12"/>
  <c r="K673" i="12" s="1"/>
  <c r="J673" i="12"/>
  <c r="I674" i="12"/>
  <c r="K674" i="12" s="1"/>
  <c r="I675" i="12"/>
  <c r="K675" i="12" s="1"/>
  <c r="I676" i="12"/>
  <c r="K676" i="12" s="1"/>
  <c r="J676" i="12"/>
  <c r="J677" i="12"/>
  <c r="I678" i="12"/>
  <c r="K678" i="12" s="1"/>
  <c r="J678" i="12"/>
  <c r="I679" i="12"/>
  <c r="K679" i="12" s="1"/>
  <c r="J679" i="12"/>
  <c r="J680" i="12"/>
  <c r="I681" i="12"/>
  <c r="K681" i="12" s="1"/>
  <c r="J681" i="12"/>
  <c r="I682" i="12"/>
  <c r="K682" i="12" s="1"/>
  <c r="J682" i="12"/>
  <c r="L691" i="12"/>
  <c r="M691" i="12"/>
  <c r="M690" i="12" s="1"/>
  <c r="P690" i="12" s="1"/>
  <c r="N691" i="12"/>
  <c r="N690" i="12" s="1"/>
  <c r="O691" i="12"/>
  <c r="Q691" i="12"/>
  <c r="R691" i="12"/>
  <c r="U691" i="12" s="1"/>
  <c r="S691" i="12"/>
  <c r="L692" i="12"/>
  <c r="O692" i="12" s="1"/>
  <c r="M692" i="12"/>
  <c r="P692" i="12" s="1"/>
  <c r="N692" i="12"/>
  <c r="L693" i="12"/>
  <c r="M693" i="12"/>
  <c r="N693" i="12"/>
  <c r="O693" i="12"/>
  <c r="P693" i="12"/>
  <c r="O694" i="12"/>
  <c r="P694" i="12"/>
  <c r="T694" i="12"/>
  <c r="U694" i="12"/>
  <c r="O695" i="12"/>
  <c r="P695" i="12"/>
  <c r="Q695" i="12"/>
  <c r="Q692" i="12" s="1"/>
  <c r="R695" i="12"/>
  <c r="R693" i="12" s="1"/>
  <c r="S695" i="12"/>
  <c r="S693" i="12" s="1"/>
  <c r="L696" i="12"/>
  <c r="O696" i="12" s="1"/>
  <c r="M696" i="12"/>
  <c r="N696" i="12"/>
  <c r="P696" i="12"/>
  <c r="Q696" i="12"/>
  <c r="T696" i="12" s="1"/>
  <c r="R696" i="12"/>
  <c r="U696" i="12" s="1"/>
  <c r="S696" i="12"/>
  <c r="O697" i="12"/>
  <c r="P697" i="12"/>
  <c r="T697" i="12"/>
  <c r="U697" i="12"/>
  <c r="O698" i="12"/>
  <c r="P698" i="12"/>
  <c r="T698" i="12"/>
  <c r="U698" i="12"/>
  <c r="I700" i="12"/>
  <c r="K700" i="12" s="1"/>
  <c r="K702" i="12"/>
  <c r="I703" i="12"/>
  <c r="J703" i="12"/>
  <c r="J704" i="12"/>
  <c r="K704" i="12"/>
  <c r="I705" i="12"/>
  <c r="J705" i="12"/>
  <c r="J706" i="12"/>
  <c r="K706" i="12"/>
  <c r="I707" i="12"/>
  <c r="I689" i="12" s="1"/>
  <c r="J707" i="12"/>
  <c r="J689" i="12" s="1"/>
  <c r="J708" i="12"/>
  <c r="K708" i="12"/>
  <c r="I709" i="12"/>
  <c r="J709" i="12"/>
  <c r="J710" i="12"/>
  <c r="K710" i="12"/>
  <c r="J712" i="12"/>
  <c r="K712" i="12"/>
  <c r="L715" i="12"/>
  <c r="M715" i="12"/>
  <c r="M714" i="12" s="1"/>
  <c r="P714" i="12" s="1"/>
  <c r="N715" i="12"/>
  <c r="N714" i="12" s="1"/>
  <c r="O715" i="12"/>
  <c r="P715" i="12"/>
  <c r="Q715" i="12"/>
  <c r="T715" i="12" s="1"/>
  <c r="R715" i="12"/>
  <c r="S715" i="12"/>
  <c r="U715" i="12"/>
  <c r="L716" i="12"/>
  <c r="O716" i="12" s="1"/>
  <c r="M716" i="12"/>
  <c r="P716" i="12" s="1"/>
  <c r="N716" i="12"/>
  <c r="Q716" i="12"/>
  <c r="T716" i="12" s="1"/>
  <c r="R716" i="12"/>
  <c r="U716" i="12" s="1"/>
  <c r="S716" i="12"/>
  <c r="L717" i="12"/>
  <c r="M717" i="12"/>
  <c r="P717" i="12" s="1"/>
  <c r="N717" i="12"/>
  <c r="O717" i="12"/>
  <c r="Q717" i="12"/>
  <c r="T717" i="12" s="1"/>
  <c r="R717" i="12"/>
  <c r="U717" i="12" s="1"/>
  <c r="S717" i="12"/>
  <c r="O718" i="12"/>
  <c r="P718" i="12"/>
  <c r="T718" i="12"/>
  <c r="U718" i="12"/>
  <c r="O719" i="12"/>
  <c r="P719" i="12"/>
  <c r="T719" i="12"/>
  <c r="U719" i="12"/>
  <c r="L720" i="12"/>
  <c r="O720" i="12" s="1"/>
  <c r="M720" i="12"/>
  <c r="P720" i="12" s="1"/>
  <c r="N720" i="12"/>
  <c r="Q720" i="12"/>
  <c r="T720" i="12" s="1"/>
  <c r="R720" i="12"/>
  <c r="U720" i="12" s="1"/>
  <c r="S720" i="12"/>
  <c r="O721" i="12"/>
  <c r="P721" i="12"/>
  <c r="T721" i="12"/>
  <c r="U721" i="12"/>
  <c r="O722" i="12"/>
  <c r="P722" i="12"/>
  <c r="T722" i="12"/>
  <c r="U722" i="12"/>
  <c r="I726" i="12"/>
  <c r="J726" i="12"/>
  <c r="I727" i="12"/>
  <c r="K727" i="12" s="1"/>
  <c r="J727" i="12"/>
  <c r="L729" i="12"/>
  <c r="M729" i="12"/>
  <c r="N729" i="12"/>
  <c r="O729" i="12"/>
  <c r="P729" i="12"/>
  <c r="Q729" i="12"/>
  <c r="R729" i="12"/>
  <c r="S729" i="12"/>
  <c r="T729" i="12"/>
  <c r="U729" i="12"/>
  <c r="L730" i="12"/>
  <c r="L728" i="12" s="1"/>
  <c r="O728" i="12" s="1"/>
  <c r="M730" i="12"/>
  <c r="M728" i="12" s="1"/>
  <c r="P728" i="12" s="1"/>
  <c r="N730" i="12"/>
  <c r="L731" i="12"/>
  <c r="O731" i="12" s="1"/>
  <c r="M731" i="12"/>
  <c r="P731" i="12" s="1"/>
  <c r="N731" i="12"/>
  <c r="O732" i="12"/>
  <c r="P732" i="12"/>
  <c r="T732" i="12"/>
  <c r="U732" i="12"/>
  <c r="O733" i="12"/>
  <c r="P733" i="12"/>
  <c r="Q733" i="12"/>
  <c r="Q730" i="12" s="1"/>
  <c r="R733" i="12"/>
  <c r="R730" i="12" s="1"/>
  <c r="S733" i="12"/>
  <c r="S731" i="12" s="1"/>
  <c r="L734" i="12"/>
  <c r="O734" i="12" s="1"/>
  <c r="M734" i="12"/>
  <c r="N734" i="12"/>
  <c r="P734" i="12"/>
  <c r="Q734" i="12"/>
  <c r="T734" i="12" s="1"/>
  <c r="R734" i="12"/>
  <c r="U734" i="12" s="1"/>
  <c r="S734" i="12"/>
  <c r="O735" i="12"/>
  <c r="P735" i="12"/>
  <c r="T735" i="12"/>
  <c r="U735" i="12"/>
  <c r="O736" i="12"/>
  <c r="P736" i="12"/>
  <c r="T736" i="12"/>
  <c r="U736" i="12"/>
  <c r="I740" i="12"/>
  <c r="K740" i="12" s="1"/>
  <c r="I742" i="12"/>
  <c r="K742" i="12" s="1"/>
  <c r="I744" i="12"/>
  <c r="K744" i="12" s="1"/>
  <c r="I746" i="12"/>
  <c r="K746" i="12" s="1"/>
  <c r="I749" i="12"/>
  <c r="K749" i="12" s="1"/>
  <c r="I752" i="12"/>
  <c r="K752" i="12" s="1"/>
  <c r="I755" i="12"/>
  <c r="K755" i="12" s="1"/>
  <c r="J758" i="12"/>
  <c r="J759" i="12"/>
  <c r="L761" i="12"/>
  <c r="O761" i="12" s="1"/>
  <c r="M761" i="12"/>
  <c r="N761" i="12"/>
  <c r="N760" i="12" s="1"/>
  <c r="Q761" i="12"/>
  <c r="R761" i="12"/>
  <c r="U761" i="12" s="1"/>
  <c r="S761" i="12"/>
  <c r="L762" i="12"/>
  <c r="M762" i="12"/>
  <c r="P762" i="12" s="1"/>
  <c r="N762" i="12"/>
  <c r="O762" i="12"/>
  <c r="L763" i="12"/>
  <c r="M763" i="12"/>
  <c r="N763" i="12"/>
  <c r="O763" i="12"/>
  <c r="P763" i="12"/>
  <c r="O764" i="12"/>
  <c r="P764" i="12"/>
  <c r="T764" i="12"/>
  <c r="U764" i="12"/>
  <c r="O765" i="12"/>
  <c r="P765" i="12"/>
  <c r="Q765" i="12"/>
  <c r="Q762" i="12" s="1"/>
  <c r="R765" i="12"/>
  <c r="R762" i="12" s="1"/>
  <c r="S765" i="12"/>
  <c r="S763" i="12" s="1"/>
  <c r="L766" i="12"/>
  <c r="O766" i="12" s="1"/>
  <c r="M766" i="12"/>
  <c r="P766" i="12" s="1"/>
  <c r="N766" i="12"/>
  <c r="Q766" i="12"/>
  <c r="R766" i="12"/>
  <c r="U766" i="12" s="1"/>
  <c r="S766" i="12"/>
  <c r="T766" i="12"/>
  <c r="O767" i="12"/>
  <c r="P767" i="12"/>
  <c r="T767" i="12"/>
  <c r="U767" i="12"/>
  <c r="O768" i="12"/>
  <c r="P768" i="12"/>
  <c r="T768" i="12"/>
  <c r="U768" i="12"/>
  <c r="I770" i="12"/>
  <c r="K770" i="12" s="1"/>
  <c r="I772" i="12"/>
  <c r="I758" i="12" s="1"/>
  <c r="K758" i="12" s="1"/>
  <c r="I774" i="12"/>
  <c r="K774" i="12" s="1"/>
  <c r="I775" i="12"/>
  <c r="I776" i="12"/>
  <c r="H777" i="12"/>
  <c r="I778" i="12"/>
  <c r="J778" i="12"/>
  <c r="I779" i="12"/>
  <c r="J779" i="12"/>
  <c r="I780" i="12"/>
  <c r="J780" i="12"/>
  <c r="I781" i="12"/>
  <c r="J781" i="12"/>
  <c r="I782" i="12"/>
  <c r="K782" i="12" s="1"/>
  <c r="J782" i="12"/>
  <c r="I783" i="12"/>
  <c r="K783" i="12" s="1"/>
  <c r="J783" i="12"/>
  <c r="I784" i="12"/>
  <c r="J784" i="12"/>
  <c r="I785" i="12"/>
  <c r="J785" i="12"/>
  <c r="A788" i="12"/>
  <c r="A789" i="12"/>
  <c r="L22" i="11"/>
  <c r="O22" i="11" s="1"/>
  <c r="M22" i="11"/>
  <c r="N22" i="11"/>
  <c r="Q22" i="11"/>
  <c r="Q19" i="11" s="1"/>
  <c r="T19" i="11" s="1"/>
  <c r="R22" i="11"/>
  <c r="S22" i="11"/>
  <c r="L25" i="11"/>
  <c r="O25" i="11" s="1"/>
  <c r="M25" i="11"/>
  <c r="N25" i="11"/>
  <c r="Q25" i="11"/>
  <c r="Q24" i="11" s="1"/>
  <c r="T24" i="11" s="1"/>
  <c r="R25" i="11"/>
  <c r="S25" i="11"/>
  <c r="S24" i="11" s="1"/>
  <c r="T25" i="11"/>
  <c r="U25" i="11"/>
  <c r="Q26" i="11"/>
  <c r="T26" i="11" s="1"/>
  <c r="R26" i="11"/>
  <c r="R24" i="11" s="1"/>
  <c r="U24" i="11" s="1"/>
  <c r="S26" i="11"/>
  <c r="U26" i="11"/>
  <c r="L45" i="11"/>
  <c r="O45" i="11" s="1"/>
  <c r="M45" i="11"/>
  <c r="P45" i="11" s="1"/>
  <c r="N45" i="11"/>
  <c r="Q45" i="11"/>
  <c r="Q44" i="11" s="1"/>
  <c r="T44" i="11" s="1"/>
  <c r="R45" i="11"/>
  <c r="U45" i="11" s="1"/>
  <c r="S45" i="11"/>
  <c r="Q46" i="11"/>
  <c r="R46" i="11"/>
  <c r="U46" i="11" s="1"/>
  <c r="S46" i="11"/>
  <c r="S44" i="11" s="1"/>
  <c r="T46" i="11"/>
  <c r="Q47" i="11"/>
  <c r="R47" i="11"/>
  <c r="U47" i="11" s="1"/>
  <c r="S47" i="11"/>
  <c r="T47" i="11"/>
  <c r="O48" i="11"/>
  <c r="P48" i="11"/>
  <c r="T48" i="11"/>
  <c r="U48" i="11"/>
  <c r="L49" i="11"/>
  <c r="M49" i="11"/>
  <c r="M47" i="11" s="1"/>
  <c r="N49" i="11"/>
  <c r="N47" i="11" s="1"/>
  <c r="T49" i="11"/>
  <c r="U49" i="11"/>
  <c r="Q50" i="11"/>
  <c r="T50" i="11" s="1"/>
  <c r="R50" i="11"/>
  <c r="S50" i="11"/>
  <c r="U50" i="11"/>
  <c r="O51" i="11"/>
  <c r="P51" i="11"/>
  <c r="T51" i="11"/>
  <c r="U51" i="11"/>
  <c r="L52" i="11"/>
  <c r="L50" i="11" s="1"/>
  <c r="O50" i="11" s="1"/>
  <c r="M52" i="11"/>
  <c r="N52" i="11"/>
  <c r="T52" i="11"/>
  <c r="U52" i="11"/>
  <c r="L60" i="11"/>
  <c r="O60" i="11" s="1"/>
  <c r="M60" i="11"/>
  <c r="N60" i="11"/>
  <c r="P60" i="11"/>
  <c r="Q60" i="11"/>
  <c r="R60" i="11"/>
  <c r="U60" i="11" s="1"/>
  <c r="S60" i="11"/>
  <c r="T60" i="11"/>
  <c r="Q61" i="11"/>
  <c r="T61" i="11" s="1"/>
  <c r="R61" i="11"/>
  <c r="U61" i="11" s="1"/>
  <c r="S61" i="11"/>
  <c r="Q62" i="11"/>
  <c r="T62" i="11" s="1"/>
  <c r="R62" i="11"/>
  <c r="U62" i="11" s="1"/>
  <c r="S62" i="11"/>
  <c r="O63" i="11"/>
  <c r="P63" i="11"/>
  <c r="T63" i="11"/>
  <c r="U63" i="11"/>
  <c r="L64" i="11"/>
  <c r="M64" i="11"/>
  <c r="M62" i="11" s="1"/>
  <c r="N64" i="11"/>
  <c r="N62" i="11" s="1"/>
  <c r="T64" i="11"/>
  <c r="U64" i="11"/>
  <c r="Q65" i="11"/>
  <c r="T65" i="11" s="1"/>
  <c r="R65" i="11"/>
  <c r="U65" i="11" s="1"/>
  <c r="S65" i="11"/>
  <c r="O66" i="11"/>
  <c r="P66" i="11"/>
  <c r="T66" i="11"/>
  <c r="U66" i="11"/>
  <c r="L67" i="11"/>
  <c r="O67" i="11" s="1"/>
  <c r="M67" i="11"/>
  <c r="N67" i="11"/>
  <c r="N65" i="11" s="1"/>
  <c r="T67" i="11"/>
  <c r="U67" i="11"/>
  <c r="L73" i="11"/>
  <c r="O73" i="11" s="1"/>
  <c r="M73" i="11"/>
  <c r="P73" i="11" s="1"/>
  <c r="N73" i="11"/>
  <c r="Q73" i="11"/>
  <c r="R73" i="11"/>
  <c r="U73" i="11" s="1"/>
  <c r="S73" i="11"/>
  <c r="T73" i="11"/>
  <c r="O76" i="11"/>
  <c r="P76" i="11"/>
  <c r="T76" i="11"/>
  <c r="U76" i="11"/>
  <c r="L77" i="11"/>
  <c r="M77" i="11"/>
  <c r="M75" i="11" s="1"/>
  <c r="N77" i="11"/>
  <c r="N75" i="11" s="1"/>
  <c r="Q77" i="11"/>
  <c r="Q74" i="11" s="1"/>
  <c r="R77" i="11"/>
  <c r="S77" i="11"/>
  <c r="S75" i="11" s="1"/>
  <c r="Q78" i="11"/>
  <c r="R78" i="11"/>
  <c r="U78" i="11" s="1"/>
  <c r="S78" i="11"/>
  <c r="T78" i="11"/>
  <c r="O79" i="11"/>
  <c r="P79" i="11"/>
  <c r="T79" i="11"/>
  <c r="U79" i="11"/>
  <c r="L80" i="11"/>
  <c r="O80" i="11" s="1"/>
  <c r="M80" i="11"/>
  <c r="N80" i="11"/>
  <c r="N78" i="11" s="1"/>
  <c r="T80" i="11"/>
  <c r="U80" i="11"/>
  <c r="J82" i="11"/>
  <c r="J70" i="11" s="1"/>
  <c r="J83" i="11"/>
  <c r="J71" i="11" s="1"/>
  <c r="I84" i="11"/>
  <c r="I85" i="11"/>
  <c r="K85" i="11" s="1"/>
  <c r="I86" i="11"/>
  <c r="K86" i="11" s="1"/>
  <c r="I87" i="11"/>
  <c r="K87" i="11" s="1"/>
  <c r="I88" i="11"/>
  <c r="K88" i="11" s="1"/>
  <c r="I89" i="11"/>
  <c r="K89" i="11" s="1"/>
  <c r="I90" i="11"/>
  <c r="K90" i="11" s="1"/>
  <c r="J92" i="11"/>
  <c r="J93" i="11"/>
  <c r="L95" i="11"/>
  <c r="M95" i="11"/>
  <c r="P95" i="11" s="1"/>
  <c r="N95" i="11"/>
  <c r="O95" i="11"/>
  <c r="Q95" i="11"/>
  <c r="R95" i="11"/>
  <c r="S95" i="11"/>
  <c r="U95" i="11"/>
  <c r="O98" i="11"/>
  <c r="P98" i="11"/>
  <c r="T98" i="11"/>
  <c r="U98" i="11"/>
  <c r="L99" i="11"/>
  <c r="M99" i="11"/>
  <c r="M97" i="11" s="1"/>
  <c r="N99" i="11"/>
  <c r="N97" i="11" s="1"/>
  <c r="Q99" i="11"/>
  <c r="Q96" i="11" s="1"/>
  <c r="R99" i="11"/>
  <c r="R96" i="11" s="1"/>
  <c r="S99" i="11"/>
  <c r="Q100" i="11"/>
  <c r="T100" i="11" s="1"/>
  <c r="R100" i="11"/>
  <c r="U100" i="11" s="1"/>
  <c r="S100" i="11"/>
  <c r="O101" i="11"/>
  <c r="P101" i="11"/>
  <c r="T101" i="11"/>
  <c r="U101" i="11"/>
  <c r="L102" i="11"/>
  <c r="L100" i="11" s="1"/>
  <c r="O100" i="11" s="1"/>
  <c r="M102" i="11"/>
  <c r="P102" i="11" s="1"/>
  <c r="N102" i="11"/>
  <c r="N100" i="11" s="1"/>
  <c r="T102" i="11"/>
  <c r="U102" i="11"/>
  <c r="I108" i="11"/>
  <c r="K108" i="11" s="1"/>
  <c r="I109" i="11"/>
  <c r="I93" i="11" s="1"/>
  <c r="K93" i="11" s="1"/>
  <c r="I113" i="11"/>
  <c r="K113" i="11" s="1"/>
  <c r="I114" i="11"/>
  <c r="K114" i="11" s="1"/>
  <c r="J116" i="11"/>
  <c r="L118" i="11"/>
  <c r="O118" i="11" s="1"/>
  <c r="M118" i="11"/>
  <c r="N118" i="11"/>
  <c r="Q118" i="11"/>
  <c r="T118" i="11" s="1"/>
  <c r="R118" i="11"/>
  <c r="S118" i="11"/>
  <c r="U118" i="11"/>
  <c r="O121" i="11"/>
  <c r="P121" i="11"/>
  <c r="T121" i="11"/>
  <c r="U121" i="11"/>
  <c r="L122" i="11"/>
  <c r="L120" i="11" s="1"/>
  <c r="O120" i="11" s="1"/>
  <c r="M122" i="11"/>
  <c r="P122" i="11" s="1"/>
  <c r="N122" i="11"/>
  <c r="Q122" i="11"/>
  <c r="R122" i="11"/>
  <c r="R120" i="11" s="1"/>
  <c r="S122" i="11"/>
  <c r="S119" i="11" s="1"/>
  <c r="Q123" i="11"/>
  <c r="T123" i="11" s="1"/>
  <c r="R123" i="11"/>
  <c r="U123" i="11" s="1"/>
  <c r="S123" i="11"/>
  <c r="O124" i="11"/>
  <c r="P124" i="11"/>
  <c r="T124" i="11"/>
  <c r="U124" i="11"/>
  <c r="L125" i="11"/>
  <c r="L123" i="11" s="1"/>
  <c r="O123" i="11" s="1"/>
  <c r="M125" i="11"/>
  <c r="P125" i="11" s="1"/>
  <c r="N125" i="11"/>
  <c r="N123" i="11" s="1"/>
  <c r="T125" i="11"/>
  <c r="U125" i="11"/>
  <c r="I127" i="11"/>
  <c r="I116" i="11" s="1"/>
  <c r="K116" i="11" s="1"/>
  <c r="I128" i="11"/>
  <c r="K128" i="11" s="1"/>
  <c r="I129" i="11"/>
  <c r="K129" i="11" s="1"/>
  <c r="I130" i="11"/>
  <c r="K130" i="11" s="1"/>
  <c r="J136" i="11"/>
  <c r="J137" i="11"/>
  <c r="J138" i="11"/>
  <c r="L140" i="11"/>
  <c r="M140" i="11"/>
  <c r="N140" i="11"/>
  <c r="O140" i="11"/>
  <c r="Q140" i="11"/>
  <c r="R140" i="11"/>
  <c r="S140" i="11"/>
  <c r="U140" i="11"/>
  <c r="O143" i="11"/>
  <c r="P143" i="11"/>
  <c r="T143" i="11"/>
  <c r="U143" i="11"/>
  <c r="L144" i="11"/>
  <c r="M144" i="11"/>
  <c r="N144" i="11"/>
  <c r="Q144" i="11"/>
  <c r="T144" i="11" s="1"/>
  <c r="R144" i="11"/>
  <c r="R141" i="11" s="1"/>
  <c r="S144" i="11"/>
  <c r="S142" i="11" s="1"/>
  <c r="Q145" i="11"/>
  <c r="T145" i="11" s="1"/>
  <c r="R145" i="11"/>
  <c r="S145" i="11"/>
  <c r="U145" i="11"/>
  <c r="O146" i="11"/>
  <c r="P146" i="11"/>
  <c r="T146" i="11"/>
  <c r="U146" i="11"/>
  <c r="L147" i="11"/>
  <c r="L145" i="11" s="1"/>
  <c r="O145" i="11" s="1"/>
  <c r="M147" i="11"/>
  <c r="N147" i="11"/>
  <c r="N145" i="11" s="1"/>
  <c r="T147" i="11"/>
  <c r="U147" i="11"/>
  <c r="I150" i="11"/>
  <c r="K150" i="11" s="1"/>
  <c r="I151" i="11"/>
  <c r="K151" i="11" s="1"/>
  <c r="I152" i="11"/>
  <c r="I137" i="11" s="1"/>
  <c r="K137" i="11" s="1"/>
  <c r="I153" i="11"/>
  <c r="I154" i="11"/>
  <c r="K154" i="11" s="1"/>
  <c r="J156" i="11"/>
  <c r="L158" i="11"/>
  <c r="O158" i="11" s="1"/>
  <c r="M158" i="11"/>
  <c r="N158" i="11"/>
  <c r="Q158" i="11"/>
  <c r="T158" i="11" s="1"/>
  <c r="R158" i="11"/>
  <c r="S158" i="11"/>
  <c r="U158" i="11"/>
  <c r="O161" i="11"/>
  <c r="P161" i="11"/>
  <c r="T161" i="11"/>
  <c r="U161" i="11"/>
  <c r="L162" i="11"/>
  <c r="L160" i="11" s="1"/>
  <c r="M162" i="11"/>
  <c r="N162" i="11"/>
  <c r="Q162" i="11"/>
  <c r="Q159" i="11" s="1"/>
  <c r="T159" i="11" s="1"/>
  <c r="R162" i="11"/>
  <c r="R160" i="11" s="1"/>
  <c r="U160" i="11" s="1"/>
  <c r="S162" i="11"/>
  <c r="S159" i="11" s="1"/>
  <c r="Q163" i="11"/>
  <c r="T163" i="11" s="1"/>
  <c r="R163" i="11"/>
  <c r="S163" i="11"/>
  <c r="U163" i="11"/>
  <c r="O164" i="11"/>
  <c r="P164" i="11"/>
  <c r="T164" i="11"/>
  <c r="U164" i="11"/>
  <c r="L165" i="11"/>
  <c r="L163" i="11" s="1"/>
  <c r="O163" i="11" s="1"/>
  <c r="M165" i="11"/>
  <c r="P165" i="11" s="1"/>
  <c r="N165" i="11"/>
  <c r="N163" i="11" s="1"/>
  <c r="T165" i="11"/>
  <c r="U165" i="11"/>
  <c r="I167" i="11"/>
  <c r="I156" i="11" s="1"/>
  <c r="K156" i="11" s="1"/>
  <c r="J172" i="11"/>
  <c r="L174" i="11"/>
  <c r="M174" i="11"/>
  <c r="N174" i="11"/>
  <c r="O174" i="11"/>
  <c r="Q174" i="11"/>
  <c r="T174" i="11" s="1"/>
  <c r="R174" i="11"/>
  <c r="S174" i="11"/>
  <c r="U174" i="11"/>
  <c r="O177" i="11"/>
  <c r="P177" i="11"/>
  <c r="T177" i="11"/>
  <c r="U177" i="11"/>
  <c r="L178" i="11"/>
  <c r="L176" i="11" s="1"/>
  <c r="M178" i="11"/>
  <c r="N178" i="11"/>
  <c r="N176" i="11" s="1"/>
  <c r="Q178" i="11"/>
  <c r="Q175" i="11" s="1"/>
  <c r="T175" i="11" s="1"/>
  <c r="R178" i="11"/>
  <c r="R176" i="11" s="1"/>
  <c r="U176" i="11" s="1"/>
  <c r="S178" i="11"/>
  <c r="S176" i="11" s="1"/>
  <c r="Q179" i="11"/>
  <c r="T179" i="11" s="1"/>
  <c r="R179" i="11"/>
  <c r="S179" i="11"/>
  <c r="U179" i="11"/>
  <c r="O180" i="11"/>
  <c r="P180" i="11"/>
  <c r="T180" i="11"/>
  <c r="U180" i="11"/>
  <c r="L181" i="11"/>
  <c r="L179" i="11" s="1"/>
  <c r="O179" i="11" s="1"/>
  <c r="M181" i="11"/>
  <c r="P181" i="11" s="1"/>
  <c r="N181" i="11"/>
  <c r="N179" i="11" s="1"/>
  <c r="T181" i="11"/>
  <c r="U181" i="11"/>
  <c r="I183" i="11"/>
  <c r="I172" i="11" s="1"/>
  <c r="K172" i="11" s="1"/>
  <c r="K184" i="11"/>
  <c r="L187" i="11"/>
  <c r="M187" i="11"/>
  <c r="N187" i="11"/>
  <c r="Q187" i="11"/>
  <c r="R187" i="11"/>
  <c r="S187" i="11"/>
  <c r="T187" i="11"/>
  <c r="O190" i="11"/>
  <c r="P190" i="11"/>
  <c r="T190" i="11"/>
  <c r="U190" i="11"/>
  <c r="L191" i="11"/>
  <c r="L189" i="11" s="1"/>
  <c r="M191" i="11"/>
  <c r="N191" i="11"/>
  <c r="Q191" i="11"/>
  <c r="R191" i="11"/>
  <c r="R188" i="11" s="1"/>
  <c r="S191" i="11"/>
  <c r="S189" i="11" s="1"/>
  <c r="Q192" i="11"/>
  <c r="T192" i="11" s="1"/>
  <c r="R192" i="11"/>
  <c r="U192" i="11" s="1"/>
  <c r="S192" i="11"/>
  <c r="O193" i="11"/>
  <c r="P193" i="11"/>
  <c r="T193" i="11"/>
  <c r="U193" i="11"/>
  <c r="L194" i="11"/>
  <c r="L192" i="11" s="1"/>
  <c r="O192" i="11" s="1"/>
  <c r="M194" i="11"/>
  <c r="P194" i="11" s="1"/>
  <c r="N194" i="11"/>
  <c r="N192" i="11" s="1"/>
  <c r="T194" i="11"/>
  <c r="U194" i="11"/>
  <c r="J195" i="11"/>
  <c r="L196" i="11"/>
  <c r="O196" i="11" s="1"/>
  <c r="P196" i="11"/>
  <c r="I198" i="11"/>
  <c r="I195" i="11" s="1"/>
  <c r="K195" i="11" s="1"/>
  <c r="J199" i="11"/>
  <c r="J202" i="11"/>
  <c r="N203" i="11"/>
  <c r="P203" i="11"/>
  <c r="S203" i="11"/>
  <c r="U203" i="11"/>
  <c r="L204" i="11"/>
  <c r="L205" i="11"/>
  <c r="L206" i="11"/>
  <c r="Q206" i="11"/>
  <c r="Q203" i="11" s="1"/>
  <c r="T203" i="11" s="1"/>
  <c r="L207" i="11"/>
  <c r="I209" i="11"/>
  <c r="I202" i="11" s="1"/>
  <c r="K202" i="11" s="1"/>
  <c r="I211" i="11"/>
  <c r="K211" i="11" s="1"/>
  <c r="I212" i="11"/>
  <c r="K212" i="11" s="1"/>
  <c r="J213" i="11"/>
  <c r="N214" i="11"/>
  <c r="P214" i="11"/>
  <c r="S214" i="11"/>
  <c r="U214" i="11"/>
  <c r="L215" i="11"/>
  <c r="L216" i="11"/>
  <c r="L217" i="11"/>
  <c r="Q217" i="11"/>
  <c r="Q214" i="11" s="1"/>
  <c r="T214" i="11" s="1"/>
  <c r="I219" i="11"/>
  <c r="K219" i="11" s="1"/>
  <c r="I220" i="11"/>
  <c r="I213" i="11" s="1"/>
  <c r="J221" i="11"/>
  <c r="N222" i="11"/>
  <c r="P222" i="11"/>
  <c r="L223" i="11"/>
  <c r="L224" i="11"/>
  <c r="L225" i="11"/>
  <c r="I228" i="11"/>
  <c r="K228" i="11" s="1"/>
  <c r="I229" i="11"/>
  <c r="K229" i="11" s="1"/>
  <c r="I230" i="11"/>
  <c r="K230" i="11" s="1"/>
  <c r="N233" i="11"/>
  <c r="N234" i="11"/>
  <c r="N235" i="11"/>
  <c r="N236" i="11"/>
  <c r="J238" i="11"/>
  <c r="I240" i="11"/>
  <c r="K240" i="11" s="1"/>
  <c r="J240" i="11"/>
  <c r="I241" i="11"/>
  <c r="K241" i="11" s="1"/>
  <c r="J241" i="11"/>
  <c r="J242" i="11"/>
  <c r="N243" i="11"/>
  <c r="P243" i="11"/>
  <c r="L244" i="11"/>
  <c r="L245" i="11"/>
  <c r="L246" i="11"/>
  <c r="L247" i="11"/>
  <c r="I249" i="11"/>
  <c r="K249" i="11" s="1"/>
  <c r="K251" i="11"/>
  <c r="K252" i="11"/>
  <c r="J253" i="11"/>
  <c r="N254" i="11"/>
  <c r="P254" i="11"/>
  <c r="L255" i="11"/>
  <c r="L256" i="11"/>
  <c r="L257" i="11"/>
  <c r="L258" i="11"/>
  <c r="I260" i="11"/>
  <c r="K260" i="11" s="1"/>
  <c r="K262" i="11"/>
  <c r="K263" i="11"/>
  <c r="J265" i="11"/>
  <c r="L267" i="11"/>
  <c r="M267" i="11"/>
  <c r="P267" i="11" s="1"/>
  <c r="N267" i="11"/>
  <c r="O267" i="11"/>
  <c r="Q267" i="11"/>
  <c r="T267" i="11" s="1"/>
  <c r="R267" i="11"/>
  <c r="S267" i="11"/>
  <c r="O270" i="11"/>
  <c r="P270" i="11"/>
  <c r="T270" i="11"/>
  <c r="U270" i="11"/>
  <c r="L271" i="11"/>
  <c r="L269" i="11" s="1"/>
  <c r="O269" i="11" s="1"/>
  <c r="M271" i="11"/>
  <c r="N271" i="11"/>
  <c r="Q271" i="11"/>
  <c r="Q268" i="11" s="1"/>
  <c r="R271" i="11"/>
  <c r="R268" i="11" s="1"/>
  <c r="S271" i="11"/>
  <c r="S268" i="11" s="1"/>
  <c r="S266" i="11" s="1"/>
  <c r="Q272" i="11"/>
  <c r="T272" i="11" s="1"/>
  <c r="R272" i="11"/>
  <c r="U272" i="11" s="1"/>
  <c r="S272" i="11"/>
  <c r="O273" i="11"/>
  <c r="P273" i="11"/>
  <c r="T273" i="11"/>
  <c r="U273" i="11"/>
  <c r="L274" i="11"/>
  <c r="L272" i="11" s="1"/>
  <c r="O272" i="11" s="1"/>
  <c r="M274" i="11"/>
  <c r="N274" i="11"/>
  <c r="N272" i="11" s="1"/>
  <c r="T274" i="11"/>
  <c r="U274" i="11"/>
  <c r="I276" i="11"/>
  <c r="I265" i="11" s="1"/>
  <c r="K265" i="11" s="1"/>
  <c r="J281" i="11"/>
  <c r="L283" i="11"/>
  <c r="O283" i="11" s="1"/>
  <c r="M283" i="11"/>
  <c r="N283" i="11"/>
  <c r="Q283" i="11"/>
  <c r="R283" i="11"/>
  <c r="U283" i="11" s="1"/>
  <c r="S283" i="11"/>
  <c r="S282" i="11" s="1"/>
  <c r="T283" i="11"/>
  <c r="Q284" i="11"/>
  <c r="T284" i="11" s="1"/>
  <c r="R284" i="11"/>
  <c r="S284" i="11"/>
  <c r="Q285" i="11"/>
  <c r="R285" i="11"/>
  <c r="U285" i="11" s="1"/>
  <c r="S285" i="11"/>
  <c r="T285" i="11"/>
  <c r="O286" i="11"/>
  <c r="P286" i="11"/>
  <c r="T286" i="11"/>
  <c r="U286" i="11"/>
  <c r="L287" i="11"/>
  <c r="M287" i="11"/>
  <c r="M285" i="11" s="1"/>
  <c r="N287" i="11"/>
  <c r="T287" i="11"/>
  <c r="U287" i="11"/>
  <c r="Q288" i="11"/>
  <c r="T288" i="11" s="1"/>
  <c r="R288" i="11"/>
  <c r="U288" i="11" s="1"/>
  <c r="S288" i="11"/>
  <c r="O289" i="11"/>
  <c r="P289" i="11"/>
  <c r="T289" i="11"/>
  <c r="U289" i="11"/>
  <c r="L290" i="11"/>
  <c r="L288" i="11" s="1"/>
  <c r="O288" i="11" s="1"/>
  <c r="M290" i="11"/>
  <c r="P290" i="11" s="1"/>
  <c r="N290" i="11"/>
  <c r="N288" i="11" s="1"/>
  <c r="T290" i="11"/>
  <c r="U290" i="11"/>
  <c r="I292" i="11"/>
  <c r="I281" i="11" s="1"/>
  <c r="K281" i="11" s="1"/>
  <c r="I293" i="11"/>
  <c r="J293" i="11"/>
  <c r="J280" i="11" s="1"/>
  <c r="I295" i="11"/>
  <c r="K295" i="11" s="1"/>
  <c r="I296" i="11"/>
  <c r="K296" i="11" s="1"/>
  <c r="J302" i="11"/>
  <c r="L304" i="11"/>
  <c r="O304" i="11" s="1"/>
  <c r="M304" i="11"/>
  <c r="N304" i="11"/>
  <c r="P304" i="11"/>
  <c r="Q304" i="11"/>
  <c r="R304" i="11"/>
  <c r="U304" i="11" s="1"/>
  <c r="S304" i="11"/>
  <c r="T304" i="11"/>
  <c r="O307" i="11"/>
  <c r="P307" i="11"/>
  <c r="T307" i="11"/>
  <c r="U307" i="11"/>
  <c r="L308" i="11"/>
  <c r="M308" i="11"/>
  <c r="N308" i="11"/>
  <c r="N306" i="11" s="1"/>
  <c r="Q308" i="11"/>
  <c r="Q305" i="11" s="1"/>
  <c r="R308" i="11"/>
  <c r="R305" i="11" s="1"/>
  <c r="S308" i="11"/>
  <c r="Q309" i="11"/>
  <c r="R309" i="11"/>
  <c r="U309" i="11" s="1"/>
  <c r="S309" i="11"/>
  <c r="T309" i="11"/>
  <c r="O310" i="11"/>
  <c r="P310" i="11"/>
  <c r="T310" i="11"/>
  <c r="U310" i="11"/>
  <c r="L311" i="11"/>
  <c r="M311" i="11"/>
  <c r="N311" i="11"/>
  <c r="N309" i="11" s="1"/>
  <c r="T311" i="11"/>
  <c r="U311" i="11"/>
  <c r="I314" i="11"/>
  <c r="I302" i="11" s="1"/>
  <c r="K302" i="11" s="1"/>
  <c r="J319" i="11"/>
  <c r="L321" i="11"/>
  <c r="O321" i="11" s="1"/>
  <c r="M321" i="11"/>
  <c r="N321" i="11"/>
  <c r="Q321" i="11"/>
  <c r="Q320" i="11" s="1"/>
  <c r="T320" i="11" s="1"/>
  <c r="R321" i="11"/>
  <c r="U321" i="11" s="1"/>
  <c r="S321" i="11"/>
  <c r="T321" i="11"/>
  <c r="Q322" i="11"/>
  <c r="T322" i="11" s="1"/>
  <c r="R322" i="11"/>
  <c r="U322" i="11" s="1"/>
  <c r="S322" i="11"/>
  <c r="Q323" i="11"/>
  <c r="T323" i="11" s="1"/>
  <c r="R323" i="11"/>
  <c r="U323" i="11" s="1"/>
  <c r="S323" i="11"/>
  <c r="O324" i="11"/>
  <c r="P324" i="11"/>
  <c r="T324" i="11"/>
  <c r="U324" i="11"/>
  <c r="L325" i="11"/>
  <c r="L323" i="11" s="1"/>
  <c r="O323" i="11" s="1"/>
  <c r="M325" i="11"/>
  <c r="P325" i="11" s="1"/>
  <c r="N325" i="11"/>
  <c r="N323" i="11" s="1"/>
  <c r="T325" i="11"/>
  <c r="U325" i="11"/>
  <c r="Q326" i="11"/>
  <c r="T326" i="11" s="1"/>
  <c r="R326" i="11"/>
  <c r="U326" i="11" s="1"/>
  <c r="S326" i="11"/>
  <c r="O327" i="11"/>
  <c r="P327" i="11"/>
  <c r="T327" i="11"/>
  <c r="U327" i="11"/>
  <c r="L328" i="11"/>
  <c r="M328" i="11"/>
  <c r="N328" i="11"/>
  <c r="N326" i="11" s="1"/>
  <c r="T328" i="11"/>
  <c r="U328" i="11"/>
  <c r="I330" i="11"/>
  <c r="L334" i="11"/>
  <c r="M334" i="11"/>
  <c r="P334" i="11" s="1"/>
  <c r="N334" i="11"/>
  <c r="O334" i="11"/>
  <c r="Q334" i="11"/>
  <c r="R334" i="11"/>
  <c r="R333" i="11" s="1"/>
  <c r="U333" i="11" s="1"/>
  <c r="S334" i="11"/>
  <c r="S333" i="11" s="1"/>
  <c r="T334" i="11"/>
  <c r="U334" i="11"/>
  <c r="Q335" i="11"/>
  <c r="R335" i="11"/>
  <c r="U335" i="11" s="1"/>
  <c r="S335" i="11"/>
  <c r="Q336" i="11"/>
  <c r="T336" i="11" s="1"/>
  <c r="R336" i="11"/>
  <c r="U336" i="11" s="1"/>
  <c r="S336" i="11"/>
  <c r="O337" i="11"/>
  <c r="P337" i="11"/>
  <c r="T337" i="11"/>
  <c r="U337" i="11"/>
  <c r="L338" i="11"/>
  <c r="L336" i="11" s="1"/>
  <c r="M338" i="11"/>
  <c r="M336" i="11" s="1"/>
  <c r="N338" i="11"/>
  <c r="N336" i="11" s="1"/>
  <c r="T338" i="11"/>
  <c r="U338" i="11"/>
  <c r="Q339" i="11"/>
  <c r="T339" i="11" s="1"/>
  <c r="R339" i="11"/>
  <c r="U339" i="11" s="1"/>
  <c r="S339" i="11"/>
  <c r="O340" i="11"/>
  <c r="P340" i="11"/>
  <c r="T340" i="11"/>
  <c r="U340" i="11"/>
  <c r="L341" i="11"/>
  <c r="O341" i="11" s="1"/>
  <c r="M341" i="11"/>
  <c r="N341" i="11"/>
  <c r="N339" i="11" s="1"/>
  <c r="T341" i="11"/>
  <c r="U341" i="11"/>
  <c r="I344" i="11"/>
  <c r="J344" i="11"/>
  <c r="I346" i="11"/>
  <c r="J346" i="11"/>
  <c r="J347" i="11"/>
  <c r="J348" i="11"/>
  <c r="J349" i="11"/>
  <c r="D350" i="11"/>
  <c r="J352" i="11"/>
  <c r="J353" i="11"/>
  <c r="D354" i="11"/>
  <c r="L357" i="11"/>
  <c r="M357" i="11"/>
  <c r="N357" i="11"/>
  <c r="P357" i="11"/>
  <c r="Q357" i="11"/>
  <c r="R357" i="11"/>
  <c r="S357" i="11"/>
  <c r="Q358" i="11"/>
  <c r="R358" i="11"/>
  <c r="U358" i="11" s="1"/>
  <c r="S358" i="11"/>
  <c r="T358" i="11"/>
  <c r="Q359" i="11"/>
  <c r="T359" i="11" s="1"/>
  <c r="R359" i="11"/>
  <c r="U359" i="11" s="1"/>
  <c r="S359" i="11"/>
  <c r="O360" i="11"/>
  <c r="P360" i="11"/>
  <c r="T360" i="11"/>
  <c r="U360" i="11"/>
  <c r="L361" i="11"/>
  <c r="M361" i="11"/>
  <c r="N361" i="11"/>
  <c r="N359" i="11" s="1"/>
  <c r="T361" i="11"/>
  <c r="U361" i="11"/>
  <c r="Q362" i="11"/>
  <c r="T362" i="11" s="1"/>
  <c r="R362" i="11"/>
  <c r="U362" i="11" s="1"/>
  <c r="S362" i="11"/>
  <c r="O363" i="11"/>
  <c r="P363" i="11"/>
  <c r="T363" i="11"/>
  <c r="U363" i="11"/>
  <c r="L364" i="11"/>
  <c r="L362" i="11" s="1"/>
  <c r="O362" i="11" s="1"/>
  <c r="M364" i="11"/>
  <c r="N364" i="11"/>
  <c r="N362" i="11" s="1"/>
  <c r="T364" i="11"/>
  <c r="U364" i="11"/>
  <c r="J367" i="11"/>
  <c r="K367" i="11"/>
  <c r="I368" i="11"/>
  <c r="J368" i="11"/>
  <c r="I369" i="11"/>
  <c r="J369" i="11"/>
  <c r="J370" i="11"/>
  <c r="K370" i="11"/>
  <c r="I371" i="11"/>
  <c r="J371" i="11"/>
  <c r="J365" i="11" s="1"/>
  <c r="J372" i="11"/>
  <c r="K372" i="11"/>
  <c r="D373" i="11"/>
  <c r="J374" i="11"/>
  <c r="L376" i="11"/>
  <c r="O376" i="11" s="1"/>
  <c r="M376" i="11"/>
  <c r="M375" i="11" s="1"/>
  <c r="P375" i="11" s="1"/>
  <c r="N376" i="11"/>
  <c r="Q376" i="11"/>
  <c r="R376" i="11"/>
  <c r="U376" i="11" s="1"/>
  <c r="S376" i="11"/>
  <c r="T376" i="11"/>
  <c r="L377" i="11"/>
  <c r="M377" i="11"/>
  <c r="N377" i="11"/>
  <c r="P377" i="11"/>
  <c r="L378" i="11"/>
  <c r="O378" i="11" s="1"/>
  <c r="M378" i="11"/>
  <c r="P378" i="11" s="1"/>
  <c r="N378" i="11"/>
  <c r="O379" i="11"/>
  <c r="P379" i="11"/>
  <c r="T379" i="11"/>
  <c r="U379" i="11"/>
  <c r="O380" i="11"/>
  <c r="P380" i="11"/>
  <c r="Q380" i="11"/>
  <c r="Q378" i="11" s="1"/>
  <c r="T378" i="11" s="1"/>
  <c r="R380" i="11"/>
  <c r="S380" i="11"/>
  <c r="L381" i="11"/>
  <c r="M381" i="11"/>
  <c r="P381" i="11" s="1"/>
  <c r="N381" i="11"/>
  <c r="O381" i="11"/>
  <c r="Q381" i="11"/>
  <c r="T381" i="11" s="1"/>
  <c r="R381" i="11"/>
  <c r="U381" i="11" s="1"/>
  <c r="S381" i="11"/>
  <c r="O382" i="11"/>
  <c r="P382" i="11"/>
  <c r="T382" i="11"/>
  <c r="U382" i="11"/>
  <c r="O383" i="11"/>
  <c r="P383" i="11"/>
  <c r="T383" i="11"/>
  <c r="U383" i="11"/>
  <c r="I385" i="11"/>
  <c r="I386" i="11"/>
  <c r="K386" i="11" s="1"/>
  <c r="K387" i="11"/>
  <c r="K388" i="11"/>
  <c r="I391" i="11"/>
  <c r="K391" i="11" s="1"/>
  <c r="J391" i="11"/>
  <c r="L393" i="11"/>
  <c r="M393" i="11"/>
  <c r="N393" i="11"/>
  <c r="N392" i="11" s="1"/>
  <c r="O393" i="11"/>
  <c r="Q393" i="11"/>
  <c r="R393" i="11"/>
  <c r="S393" i="11"/>
  <c r="S392" i="11" s="1"/>
  <c r="T393" i="11"/>
  <c r="U393" i="11"/>
  <c r="L394" i="11"/>
  <c r="O394" i="11" s="1"/>
  <c r="M394" i="11"/>
  <c r="N394" i="11"/>
  <c r="P394" i="11"/>
  <c r="Q394" i="11"/>
  <c r="Q392" i="11" s="1"/>
  <c r="T392" i="11" s="1"/>
  <c r="R394" i="11"/>
  <c r="S394" i="11"/>
  <c r="L395" i="11"/>
  <c r="O395" i="11" s="1"/>
  <c r="M395" i="11"/>
  <c r="P395" i="11" s="1"/>
  <c r="N395" i="11"/>
  <c r="Q395" i="11"/>
  <c r="T395" i="11" s="1"/>
  <c r="R395" i="11"/>
  <c r="U395" i="11" s="1"/>
  <c r="S395" i="11"/>
  <c r="O396" i="11"/>
  <c r="P396" i="11"/>
  <c r="T396" i="11"/>
  <c r="U396" i="11"/>
  <c r="O397" i="11"/>
  <c r="P397" i="11"/>
  <c r="T397" i="11"/>
  <c r="U397" i="11"/>
  <c r="L398" i="11"/>
  <c r="O398" i="11" s="1"/>
  <c r="M398" i="11"/>
  <c r="P398" i="11" s="1"/>
  <c r="N398" i="11"/>
  <c r="Q398" i="11"/>
  <c r="R398" i="11"/>
  <c r="U398" i="11" s="1"/>
  <c r="S398" i="11"/>
  <c r="T398" i="11"/>
  <c r="O399" i="11"/>
  <c r="P399" i="11"/>
  <c r="T399" i="11"/>
  <c r="U399" i="11"/>
  <c r="O400" i="11"/>
  <c r="P400" i="11"/>
  <c r="T400" i="11"/>
  <c r="U400" i="11"/>
  <c r="L414" i="11"/>
  <c r="M414" i="11"/>
  <c r="P414" i="11" s="1"/>
  <c r="N414" i="11"/>
  <c r="Q414" i="11"/>
  <c r="T414" i="11" s="1"/>
  <c r="R414" i="11"/>
  <c r="U414" i="11" s="1"/>
  <c r="S414" i="11"/>
  <c r="L415" i="11"/>
  <c r="M415" i="11"/>
  <c r="P415" i="11" s="1"/>
  <c r="N415" i="11"/>
  <c r="O415" i="11"/>
  <c r="L416" i="11"/>
  <c r="O416" i="11" s="1"/>
  <c r="M416" i="11"/>
  <c r="P416" i="11" s="1"/>
  <c r="N416" i="11"/>
  <c r="O417" i="11"/>
  <c r="P417" i="11"/>
  <c r="T417" i="11"/>
  <c r="U417" i="11"/>
  <c r="O418" i="11"/>
  <c r="P418" i="11"/>
  <c r="Q418" i="11"/>
  <c r="Q416" i="11" s="1"/>
  <c r="T416" i="11" s="1"/>
  <c r="R418" i="11"/>
  <c r="S418" i="11"/>
  <c r="S416" i="11" s="1"/>
  <c r="L419" i="11"/>
  <c r="O419" i="11" s="1"/>
  <c r="M419" i="11"/>
  <c r="N419" i="11"/>
  <c r="P419" i="11"/>
  <c r="Q419" i="11"/>
  <c r="R419" i="11"/>
  <c r="U419" i="11" s="1"/>
  <c r="S419" i="11"/>
  <c r="T419" i="11"/>
  <c r="O420" i="11"/>
  <c r="P420" i="11"/>
  <c r="T420" i="11"/>
  <c r="U420" i="11"/>
  <c r="O421" i="11"/>
  <c r="P421" i="11"/>
  <c r="T421" i="11"/>
  <c r="U421" i="11"/>
  <c r="I424" i="11"/>
  <c r="K424" i="11" s="1"/>
  <c r="J424" i="11"/>
  <c r="I425" i="11"/>
  <c r="K425" i="11" s="1"/>
  <c r="J425" i="11"/>
  <c r="I432" i="11"/>
  <c r="K432" i="11" s="1"/>
  <c r="J432" i="11"/>
  <c r="I433" i="11"/>
  <c r="K433" i="11" s="1"/>
  <c r="J433" i="11"/>
  <c r="I440" i="11"/>
  <c r="K440" i="11" s="1"/>
  <c r="I441" i="11"/>
  <c r="K441" i="11" s="1"/>
  <c r="J446" i="11"/>
  <c r="J440" i="11" s="1"/>
  <c r="J423" i="11" s="1"/>
  <c r="J412" i="11" s="1"/>
  <c r="J447" i="11"/>
  <c r="J441" i="11" s="1"/>
  <c r="I457" i="11"/>
  <c r="I458" i="11"/>
  <c r="K458" i="11" s="1"/>
  <c r="J459" i="11"/>
  <c r="J457" i="11" s="1"/>
  <c r="J456" i="11" s="1"/>
  <c r="J460" i="11"/>
  <c r="J458" i="11" s="1"/>
  <c r="J467" i="11"/>
  <c r="J468" i="11"/>
  <c r="J475" i="11"/>
  <c r="K475" i="11"/>
  <c r="J476" i="11"/>
  <c r="K476" i="11"/>
  <c r="J477" i="11"/>
  <c r="K477" i="11"/>
  <c r="J482" i="11"/>
  <c r="J483" i="11"/>
  <c r="I484" i="11"/>
  <c r="K484" i="11" s="1"/>
  <c r="J484" i="11"/>
  <c r="I485" i="11"/>
  <c r="J485" i="11"/>
  <c r="K485" i="11"/>
  <c r="L494" i="11"/>
  <c r="M494" i="11"/>
  <c r="P494" i="11" s="1"/>
  <c r="N494" i="11"/>
  <c r="Q494" i="11"/>
  <c r="T494" i="11" s="1"/>
  <c r="R494" i="11"/>
  <c r="U494" i="11" s="1"/>
  <c r="S494" i="11"/>
  <c r="L495" i="11"/>
  <c r="M495" i="11"/>
  <c r="P495" i="11" s="1"/>
  <c r="N495" i="11"/>
  <c r="N493" i="11" s="1"/>
  <c r="O495" i="11"/>
  <c r="L496" i="11"/>
  <c r="O496" i="11" s="1"/>
  <c r="M496" i="11"/>
  <c r="N496" i="11"/>
  <c r="P496" i="11"/>
  <c r="O497" i="11"/>
  <c r="P497" i="11"/>
  <c r="T497" i="11"/>
  <c r="U497" i="11"/>
  <c r="O498" i="11"/>
  <c r="P498" i="11"/>
  <c r="Q498" i="11"/>
  <c r="Q495" i="11" s="1"/>
  <c r="T495" i="11" s="1"/>
  <c r="R498" i="11"/>
  <c r="S498" i="11"/>
  <c r="S495" i="11" s="1"/>
  <c r="L499" i="11"/>
  <c r="O499" i="11" s="1"/>
  <c r="M499" i="11"/>
  <c r="P499" i="11" s="1"/>
  <c r="N499" i="11"/>
  <c r="Q499" i="11"/>
  <c r="R499" i="11"/>
  <c r="U499" i="11" s="1"/>
  <c r="S499" i="11"/>
  <c r="T499" i="11"/>
  <c r="O500" i="11"/>
  <c r="P500" i="11"/>
  <c r="T500" i="11"/>
  <c r="U500" i="11"/>
  <c r="O501" i="11"/>
  <c r="P501" i="11"/>
  <c r="T501" i="11"/>
  <c r="U501" i="11"/>
  <c r="I503" i="11"/>
  <c r="I492" i="11" s="1"/>
  <c r="K492" i="11" s="1"/>
  <c r="I504" i="11"/>
  <c r="K504" i="11" s="1"/>
  <c r="I505" i="11"/>
  <c r="K505" i="11" s="1"/>
  <c r="I506" i="11"/>
  <c r="K506" i="11" s="1"/>
  <c r="I507" i="11"/>
  <c r="K507" i="11" s="1"/>
  <c r="K508" i="11"/>
  <c r="I509" i="11"/>
  <c r="K509" i="11" s="1"/>
  <c r="I512" i="11"/>
  <c r="K512" i="11" s="1"/>
  <c r="J512" i="11"/>
  <c r="L514" i="11"/>
  <c r="O514" i="11" s="1"/>
  <c r="M514" i="11"/>
  <c r="N514" i="11"/>
  <c r="P514" i="11"/>
  <c r="Q514" i="11"/>
  <c r="R514" i="11"/>
  <c r="U514" i="11" s="1"/>
  <c r="S514" i="11"/>
  <c r="Q515" i="11"/>
  <c r="T515" i="11" s="1"/>
  <c r="R515" i="11"/>
  <c r="S515" i="11"/>
  <c r="S513" i="11" s="1"/>
  <c r="U515" i="11"/>
  <c r="Q516" i="11"/>
  <c r="R516" i="11"/>
  <c r="S516" i="11"/>
  <c r="T516" i="11"/>
  <c r="U516" i="11"/>
  <c r="O517" i="11"/>
  <c r="P517" i="11"/>
  <c r="T517" i="11"/>
  <c r="U517" i="11"/>
  <c r="L518" i="11"/>
  <c r="L516" i="11" s="1"/>
  <c r="O516" i="11" s="1"/>
  <c r="M518" i="11"/>
  <c r="P518" i="11" s="1"/>
  <c r="N518" i="11"/>
  <c r="N516" i="11" s="1"/>
  <c r="T518" i="11"/>
  <c r="U518" i="11"/>
  <c r="Q519" i="11"/>
  <c r="T519" i="11" s="1"/>
  <c r="R519" i="11"/>
  <c r="U519" i="11" s="1"/>
  <c r="S519" i="11"/>
  <c r="O520" i="11"/>
  <c r="P520" i="11"/>
  <c r="T520" i="11"/>
  <c r="U520" i="11"/>
  <c r="L521" i="11"/>
  <c r="L519" i="11" s="1"/>
  <c r="O519" i="11" s="1"/>
  <c r="M521" i="11"/>
  <c r="M519" i="11" s="1"/>
  <c r="P519" i="11" s="1"/>
  <c r="N521" i="11"/>
  <c r="N519" i="11" s="1"/>
  <c r="T521" i="11"/>
  <c r="U521" i="11"/>
  <c r="K523" i="11"/>
  <c r="K524" i="11"/>
  <c r="I533" i="11"/>
  <c r="K533" i="11" s="1"/>
  <c r="J533" i="11"/>
  <c r="L534" i="11"/>
  <c r="O534" i="11" s="1"/>
  <c r="L535" i="11"/>
  <c r="O535" i="11" s="1"/>
  <c r="M535" i="11"/>
  <c r="N535" i="11"/>
  <c r="P535" i="11"/>
  <c r="Q535" i="11"/>
  <c r="R535" i="11"/>
  <c r="U535" i="11" s="1"/>
  <c r="S535" i="11"/>
  <c r="L536" i="11"/>
  <c r="O536" i="11" s="1"/>
  <c r="M536" i="11"/>
  <c r="N536" i="11"/>
  <c r="Q536" i="11"/>
  <c r="R536" i="11"/>
  <c r="U536" i="11" s="1"/>
  <c r="S536" i="11"/>
  <c r="S534" i="11" s="1"/>
  <c r="T536" i="11"/>
  <c r="L537" i="11"/>
  <c r="O537" i="11" s="1"/>
  <c r="M537" i="11"/>
  <c r="N537" i="11"/>
  <c r="P537" i="11"/>
  <c r="Q537" i="11"/>
  <c r="T537" i="11" s="1"/>
  <c r="R537" i="11"/>
  <c r="U537" i="11" s="1"/>
  <c r="S537" i="11"/>
  <c r="O538" i="11"/>
  <c r="P538" i="11"/>
  <c r="T538" i="11"/>
  <c r="U538" i="11"/>
  <c r="O539" i="11"/>
  <c r="P539" i="11"/>
  <c r="T539" i="11"/>
  <c r="U539" i="11"/>
  <c r="L540" i="11"/>
  <c r="O540" i="11" s="1"/>
  <c r="M540" i="11"/>
  <c r="N540" i="11"/>
  <c r="P540" i="11"/>
  <c r="Q540" i="11"/>
  <c r="T540" i="11" s="1"/>
  <c r="R540" i="11"/>
  <c r="U540" i="11" s="1"/>
  <c r="S540" i="11"/>
  <c r="O541" i="11"/>
  <c r="P541" i="11"/>
  <c r="T541" i="11"/>
  <c r="U541" i="11"/>
  <c r="O542" i="11"/>
  <c r="P542" i="11"/>
  <c r="T542" i="11"/>
  <c r="U542" i="11"/>
  <c r="I554" i="11"/>
  <c r="K554" i="11" s="1"/>
  <c r="J554" i="11"/>
  <c r="R555" i="11"/>
  <c r="U555" i="11" s="1"/>
  <c r="L556" i="11"/>
  <c r="M556" i="11"/>
  <c r="P556" i="11" s="1"/>
  <c r="N556" i="11"/>
  <c r="Q556" i="11"/>
  <c r="Q555" i="11" s="1"/>
  <c r="T555" i="11" s="1"/>
  <c r="R556" i="11"/>
  <c r="U556" i="11" s="1"/>
  <c r="S556" i="11"/>
  <c r="S555" i="11" s="1"/>
  <c r="L557" i="11"/>
  <c r="M557" i="11"/>
  <c r="P557" i="11" s="1"/>
  <c r="N557" i="11"/>
  <c r="O557" i="11"/>
  <c r="Q557" i="11"/>
  <c r="T557" i="11" s="1"/>
  <c r="R557" i="11"/>
  <c r="S557" i="11"/>
  <c r="U557" i="11"/>
  <c r="L558" i="11"/>
  <c r="O558" i="11" s="1"/>
  <c r="M558" i="11"/>
  <c r="P558" i="11" s="1"/>
  <c r="N558" i="11"/>
  <c r="Q558" i="11"/>
  <c r="T558" i="11" s="1"/>
  <c r="R558" i="11"/>
  <c r="U558" i="11" s="1"/>
  <c r="S558" i="11"/>
  <c r="O559" i="11"/>
  <c r="P559" i="11"/>
  <c r="T559" i="11"/>
  <c r="U559" i="11"/>
  <c r="O560" i="11"/>
  <c r="P560" i="11"/>
  <c r="T560" i="11"/>
  <c r="U560" i="11"/>
  <c r="L561" i="11"/>
  <c r="M561" i="11"/>
  <c r="P561" i="11" s="1"/>
  <c r="N561" i="11"/>
  <c r="O561" i="11"/>
  <c r="Q561" i="11"/>
  <c r="T561" i="11" s="1"/>
  <c r="R561" i="11"/>
  <c r="U561" i="11" s="1"/>
  <c r="S561" i="11"/>
  <c r="O562" i="11"/>
  <c r="P562" i="11"/>
  <c r="T562" i="11"/>
  <c r="U562" i="11"/>
  <c r="O563" i="11"/>
  <c r="P563" i="11"/>
  <c r="T563" i="11"/>
  <c r="U563" i="11"/>
  <c r="I575" i="11"/>
  <c r="K575" i="11" s="1"/>
  <c r="J575" i="11"/>
  <c r="L577" i="11"/>
  <c r="O577" i="11" s="1"/>
  <c r="M577" i="11"/>
  <c r="N577" i="11"/>
  <c r="P577" i="11"/>
  <c r="Q577" i="11"/>
  <c r="R577" i="11"/>
  <c r="U577" i="11" s="1"/>
  <c r="S577" i="11"/>
  <c r="L578" i="11"/>
  <c r="O578" i="11" s="1"/>
  <c r="M578" i="11"/>
  <c r="N578" i="11"/>
  <c r="Q578" i="11"/>
  <c r="R578" i="11"/>
  <c r="U578" i="11" s="1"/>
  <c r="S578" i="11"/>
  <c r="S576" i="11" s="1"/>
  <c r="T578" i="11"/>
  <c r="L579" i="11"/>
  <c r="O579" i="11" s="1"/>
  <c r="M579" i="11"/>
  <c r="N579" i="11"/>
  <c r="P579" i="11"/>
  <c r="Q579" i="11"/>
  <c r="T579" i="11" s="1"/>
  <c r="R579" i="11"/>
  <c r="U579" i="11" s="1"/>
  <c r="S579" i="11"/>
  <c r="O580" i="11"/>
  <c r="P580" i="11"/>
  <c r="T580" i="11"/>
  <c r="U580" i="11"/>
  <c r="O581" i="11"/>
  <c r="P581" i="11"/>
  <c r="T581" i="11"/>
  <c r="U581" i="11"/>
  <c r="L582" i="11"/>
  <c r="O582" i="11" s="1"/>
  <c r="M582" i="11"/>
  <c r="P582" i="11" s="1"/>
  <c r="N582" i="11"/>
  <c r="Q582" i="11"/>
  <c r="R582" i="11"/>
  <c r="U582" i="11" s="1"/>
  <c r="S582" i="11"/>
  <c r="T582" i="11"/>
  <c r="O583" i="11"/>
  <c r="P583" i="11"/>
  <c r="T583" i="11"/>
  <c r="U583" i="11"/>
  <c r="O584" i="11"/>
  <c r="P584" i="11"/>
  <c r="T584" i="11"/>
  <c r="U584" i="11"/>
  <c r="L600" i="11"/>
  <c r="O600" i="11" s="1"/>
  <c r="M600" i="11"/>
  <c r="P600" i="11" s="1"/>
  <c r="N600" i="11"/>
  <c r="N599" i="11" s="1"/>
  <c r="Q600" i="11"/>
  <c r="R600" i="11"/>
  <c r="U600" i="11" s="1"/>
  <c r="S600" i="11"/>
  <c r="T600" i="11"/>
  <c r="L601" i="11"/>
  <c r="O601" i="11" s="1"/>
  <c r="M601" i="11"/>
  <c r="N601" i="11"/>
  <c r="P601" i="11"/>
  <c r="Q601" i="11"/>
  <c r="T601" i="11" s="1"/>
  <c r="R601" i="11"/>
  <c r="U601" i="11" s="1"/>
  <c r="S601" i="11"/>
  <c r="S599" i="11" s="1"/>
  <c r="L602" i="11"/>
  <c r="M602" i="11"/>
  <c r="P602" i="11" s="1"/>
  <c r="N602" i="11"/>
  <c r="O602" i="11"/>
  <c r="Q602" i="11"/>
  <c r="T602" i="11" s="1"/>
  <c r="R602" i="11"/>
  <c r="S602" i="11"/>
  <c r="U602" i="11"/>
  <c r="O603" i="11"/>
  <c r="P603" i="11"/>
  <c r="T603" i="11"/>
  <c r="U603" i="11"/>
  <c r="O604" i="11"/>
  <c r="P604" i="11"/>
  <c r="T604" i="11"/>
  <c r="U604" i="11"/>
  <c r="L605" i="11"/>
  <c r="M605" i="11"/>
  <c r="P605" i="11" s="1"/>
  <c r="N605" i="11"/>
  <c r="O605" i="11"/>
  <c r="Q605" i="11"/>
  <c r="T605" i="11" s="1"/>
  <c r="R605" i="11"/>
  <c r="U605" i="11" s="1"/>
  <c r="S605" i="11"/>
  <c r="O606" i="11"/>
  <c r="P606" i="11"/>
  <c r="T606" i="11"/>
  <c r="U606" i="11"/>
  <c r="O607" i="11"/>
  <c r="P607" i="11"/>
  <c r="T607" i="11"/>
  <c r="U607" i="11"/>
  <c r="L616" i="11"/>
  <c r="O616" i="11" s="1"/>
  <c r="L617" i="11"/>
  <c r="O617" i="11" s="1"/>
  <c r="M617" i="11"/>
  <c r="P617" i="11" s="1"/>
  <c r="N617" i="11"/>
  <c r="Q617" i="11"/>
  <c r="T617" i="11" s="1"/>
  <c r="R617" i="11"/>
  <c r="U617" i="11" s="1"/>
  <c r="S617" i="11"/>
  <c r="L618" i="11"/>
  <c r="M618" i="11"/>
  <c r="P618" i="11" s="1"/>
  <c r="N618" i="11"/>
  <c r="O618" i="11"/>
  <c r="L619" i="11"/>
  <c r="O619" i="11" s="1"/>
  <c r="M619" i="11"/>
  <c r="N619" i="11"/>
  <c r="P619" i="11"/>
  <c r="O620" i="11"/>
  <c r="P620" i="11"/>
  <c r="T620" i="11"/>
  <c r="U620" i="11"/>
  <c r="O621" i="11"/>
  <c r="P621" i="11"/>
  <c r="Q621" i="11"/>
  <c r="Q618" i="11" s="1"/>
  <c r="R621" i="11"/>
  <c r="R619" i="11" s="1"/>
  <c r="S621" i="11"/>
  <c r="S618" i="11" s="1"/>
  <c r="S616" i="11" s="1"/>
  <c r="L622" i="11"/>
  <c r="M622" i="11"/>
  <c r="P622" i="11" s="1"/>
  <c r="N622" i="11"/>
  <c r="O622" i="11"/>
  <c r="Q622" i="11"/>
  <c r="R622" i="11"/>
  <c r="S622" i="11"/>
  <c r="T622" i="11"/>
  <c r="U622" i="11"/>
  <c r="O623" i="11"/>
  <c r="P623" i="11"/>
  <c r="T623" i="11"/>
  <c r="U623" i="11"/>
  <c r="O624" i="11"/>
  <c r="P624" i="11"/>
  <c r="T624" i="11"/>
  <c r="U624" i="11"/>
  <c r="I626" i="11"/>
  <c r="K632" i="11" s="1"/>
  <c r="I627" i="11"/>
  <c r="K627" i="11" s="1"/>
  <c r="I628" i="11"/>
  <c r="K628" i="11" s="1"/>
  <c r="J632" i="11"/>
  <c r="J626" i="11" s="1"/>
  <c r="J615" i="11" s="1"/>
  <c r="I635" i="11"/>
  <c r="K635" i="11" s="1"/>
  <c r="J636" i="11"/>
  <c r="J635" i="11" s="1"/>
  <c r="L643" i="11"/>
  <c r="O643" i="11" s="1"/>
  <c r="M643" i="11"/>
  <c r="P643" i="11" s="1"/>
  <c r="N643" i="11"/>
  <c r="N642" i="11" s="1"/>
  <c r="Q643" i="11"/>
  <c r="T643" i="11" s="1"/>
  <c r="R643" i="11"/>
  <c r="U643" i="11" s="1"/>
  <c r="S643" i="11"/>
  <c r="L644" i="11"/>
  <c r="L642" i="11" s="1"/>
  <c r="O642" i="11" s="1"/>
  <c r="M644" i="11"/>
  <c r="N644" i="11"/>
  <c r="P644" i="11"/>
  <c r="L645" i="11"/>
  <c r="O645" i="11" s="1"/>
  <c r="M645" i="11"/>
  <c r="P645" i="11" s="1"/>
  <c r="N645" i="11"/>
  <c r="O646" i="11"/>
  <c r="P646" i="11"/>
  <c r="T646" i="11"/>
  <c r="U646" i="11"/>
  <c r="O647" i="11"/>
  <c r="P647" i="11"/>
  <c r="Q647" i="11"/>
  <c r="R647" i="11"/>
  <c r="S647" i="11"/>
  <c r="S645" i="11" s="1"/>
  <c r="L648" i="11"/>
  <c r="O648" i="11" s="1"/>
  <c r="M648" i="11"/>
  <c r="P648" i="11" s="1"/>
  <c r="N648" i="11"/>
  <c r="Q648" i="11"/>
  <c r="T648" i="11" s="1"/>
  <c r="R648" i="11"/>
  <c r="S648" i="11"/>
  <c r="U648" i="11"/>
  <c r="O649" i="11"/>
  <c r="P649" i="11"/>
  <c r="T649" i="11"/>
  <c r="U649" i="11"/>
  <c r="O650" i="11"/>
  <c r="P650" i="11"/>
  <c r="T650" i="11"/>
  <c r="U650" i="11"/>
  <c r="I652" i="11"/>
  <c r="K652" i="11" s="1"/>
  <c r="J652" i="11"/>
  <c r="I653" i="11"/>
  <c r="K653" i="11" s="1"/>
  <c r="J653" i="11"/>
  <c r="I654" i="11"/>
  <c r="K654" i="11" s="1"/>
  <c r="J654" i="11"/>
  <c r="I657" i="11"/>
  <c r="I660" i="11"/>
  <c r="I661" i="11"/>
  <c r="J661" i="11"/>
  <c r="J671" i="11"/>
  <c r="J672" i="11"/>
  <c r="I673" i="11"/>
  <c r="K673" i="11" s="1"/>
  <c r="J673" i="11"/>
  <c r="I674" i="11"/>
  <c r="I675" i="11"/>
  <c r="I676" i="11"/>
  <c r="J676" i="11"/>
  <c r="J677" i="11"/>
  <c r="I678" i="11"/>
  <c r="J678" i="11"/>
  <c r="I679" i="11"/>
  <c r="K679" i="11" s="1"/>
  <c r="J679" i="11"/>
  <c r="J680" i="11"/>
  <c r="I681" i="11"/>
  <c r="K681" i="11" s="1"/>
  <c r="J681" i="11"/>
  <c r="I682" i="11"/>
  <c r="K682" i="11" s="1"/>
  <c r="J682" i="11"/>
  <c r="L691" i="11"/>
  <c r="O691" i="11" s="1"/>
  <c r="M691" i="11"/>
  <c r="N691" i="11"/>
  <c r="Q691" i="11"/>
  <c r="T691" i="11" s="1"/>
  <c r="R691" i="11"/>
  <c r="U691" i="11" s="1"/>
  <c r="S691" i="11"/>
  <c r="L692" i="11"/>
  <c r="M692" i="11"/>
  <c r="P692" i="11" s="1"/>
  <c r="N692" i="11"/>
  <c r="O692" i="11"/>
  <c r="L693" i="11"/>
  <c r="O693" i="11" s="1"/>
  <c r="M693" i="11"/>
  <c r="P693" i="11" s="1"/>
  <c r="N693" i="11"/>
  <c r="O694" i="11"/>
  <c r="P694" i="11"/>
  <c r="T694" i="11"/>
  <c r="U694" i="11"/>
  <c r="O695" i="11"/>
  <c r="P695" i="11"/>
  <c r="Q695" i="11"/>
  <c r="Q693" i="11" s="1"/>
  <c r="R695" i="11"/>
  <c r="R692" i="11" s="1"/>
  <c r="S695" i="11"/>
  <c r="L696" i="11"/>
  <c r="M696" i="11"/>
  <c r="P696" i="11" s="1"/>
  <c r="N696" i="11"/>
  <c r="O696" i="11"/>
  <c r="Q696" i="11"/>
  <c r="T696" i="11" s="1"/>
  <c r="R696" i="11"/>
  <c r="U696" i="11" s="1"/>
  <c r="S696" i="11"/>
  <c r="O697" i="11"/>
  <c r="P697" i="11"/>
  <c r="T697" i="11"/>
  <c r="U697" i="11"/>
  <c r="O698" i="11"/>
  <c r="P698" i="11"/>
  <c r="T698" i="11"/>
  <c r="U698" i="11"/>
  <c r="I700" i="11"/>
  <c r="K700" i="11" s="1"/>
  <c r="K702" i="11"/>
  <c r="I703" i="11"/>
  <c r="J703" i="11"/>
  <c r="J704" i="11"/>
  <c r="K704" i="11"/>
  <c r="I705" i="11"/>
  <c r="J705" i="11"/>
  <c r="J706" i="11"/>
  <c r="K706" i="11"/>
  <c r="I707" i="11"/>
  <c r="I689" i="11" s="1"/>
  <c r="J707" i="11"/>
  <c r="J689" i="11" s="1"/>
  <c r="J708" i="11"/>
  <c r="K708" i="11"/>
  <c r="I709" i="11"/>
  <c r="J709" i="11"/>
  <c r="J710" i="11"/>
  <c r="K710" i="11"/>
  <c r="J712" i="11"/>
  <c r="K712" i="11"/>
  <c r="L714" i="11"/>
  <c r="O714" i="11" s="1"/>
  <c r="R714" i="11"/>
  <c r="U714" i="11" s="1"/>
  <c r="L715" i="11"/>
  <c r="O715" i="11" s="1"/>
  <c r="M715" i="11"/>
  <c r="P715" i="11" s="1"/>
  <c r="N715" i="11"/>
  <c r="Q715" i="11"/>
  <c r="R715" i="11"/>
  <c r="U715" i="11" s="1"/>
  <c r="S715" i="11"/>
  <c r="L716" i="11"/>
  <c r="O716" i="11" s="1"/>
  <c r="M716" i="11"/>
  <c r="M714" i="11" s="1"/>
  <c r="P714" i="11" s="1"/>
  <c r="N716" i="11"/>
  <c r="P716" i="11"/>
  <c r="Q716" i="11"/>
  <c r="T716" i="11" s="1"/>
  <c r="R716" i="11"/>
  <c r="U716" i="11" s="1"/>
  <c r="S716" i="11"/>
  <c r="S714" i="11" s="1"/>
  <c r="L717" i="11"/>
  <c r="O717" i="11" s="1"/>
  <c r="M717" i="11"/>
  <c r="P717" i="11" s="1"/>
  <c r="N717" i="11"/>
  <c r="Q717" i="11"/>
  <c r="R717" i="11"/>
  <c r="U717" i="11" s="1"/>
  <c r="S717" i="11"/>
  <c r="T717" i="11"/>
  <c r="O718" i="11"/>
  <c r="P718" i="11"/>
  <c r="T718" i="11"/>
  <c r="U718" i="11"/>
  <c r="O719" i="11"/>
  <c r="P719" i="11"/>
  <c r="T719" i="11"/>
  <c r="U719" i="11"/>
  <c r="L720" i="11"/>
  <c r="O720" i="11" s="1"/>
  <c r="M720" i="11"/>
  <c r="N720" i="11"/>
  <c r="P720" i="11"/>
  <c r="Q720" i="11"/>
  <c r="R720" i="11"/>
  <c r="U720" i="11" s="1"/>
  <c r="S720" i="11"/>
  <c r="T720" i="11"/>
  <c r="O721" i="11"/>
  <c r="P721" i="11"/>
  <c r="T721" i="11"/>
  <c r="U721" i="11"/>
  <c r="O722" i="11"/>
  <c r="P722" i="11"/>
  <c r="T722" i="11"/>
  <c r="U722" i="11"/>
  <c r="I726" i="11"/>
  <c r="K726" i="11" s="1"/>
  <c r="J726" i="11"/>
  <c r="I727" i="11"/>
  <c r="K727" i="11" s="1"/>
  <c r="J727" i="11"/>
  <c r="L728" i="11"/>
  <c r="O728" i="11" s="1"/>
  <c r="L729" i="11"/>
  <c r="O729" i="11" s="1"/>
  <c r="M729" i="11"/>
  <c r="N729" i="11"/>
  <c r="P729" i="11"/>
  <c r="Q729" i="11"/>
  <c r="R729" i="11"/>
  <c r="U729" i="11" s="1"/>
  <c r="S729" i="11"/>
  <c r="L730" i="11"/>
  <c r="O730" i="11" s="1"/>
  <c r="M730" i="11"/>
  <c r="M728" i="11" s="1"/>
  <c r="P728" i="11" s="1"/>
  <c r="N730" i="11"/>
  <c r="P730" i="11"/>
  <c r="L731" i="11"/>
  <c r="O731" i="11" s="1"/>
  <c r="M731" i="11"/>
  <c r="N731" i="11"/>
  <c r="P731" i="11"/>
  <c r="O732" i="11"/>
  <c r="P732" i="11"/>
  <c r="T732" i="11"/>
  <c r="U732" i="11"/>
  <c r="O733" i="11"/>
  <c r="P733" i="11"/>
  <c r="Q733" i="11"/>
  <c r="Q730" i="11" s="1"/>
  <c r="R733" i="11"/>
  <c r="R730" i="11" s="1"/>
  <c r="S733" i="11"/>
  <c r="S731" i="11" s="1"/>
  <c r="L734" i="11"/>
  <c r="M734" i="11"/>
  <c r="P734" i="11" s="1"/>
  <c r="N734" i="11"/>
  <c r="O734" i="11"/>
  <c r="Q734" i="11"/>
  <c r="T734" i="11" s="1"/>
  <c r="R734" i="11"/>
  <c r="S734" i="11"/>
  <c r="U734" i="11"/>
  <c r="O735" i="11"/>
  <c r="P735" i="11"/>
  <c r="T735" i="11"/>
  <c r="U735" i="11"/>
  <c r="O736" i="11"/>
  <c r="P736" i="11"/>
  <c r="T736" i="11"/>
  <c r="U736" i="11"/>
  <c r="I740" i="11"/>
  <c r="K740" i="11" s="1"/>
  <c r="I742" i="11"/>
  <c r="K742" i="11" s="1"/>
  <c r="I744" i="11"/>
  <c r="K744" i="11" s="1"/>
  <c r="I746" i="11"/>
  <c r="K746" i="11" s="1"/>
  <c r="I749" i="11"/>
  <c r="K749" i="11" s="1"/>
  <c r="I752" i="11"/>
  <c r="K752" i="11" s="1"/>
  <c r="I755" i="11"/>
  <c r="K755" i="11" s="1"/>
  <c r="J758" i="11"/>
  <c r="J759" i="11"/>
  <c r="L761" i="11"/>
  <c r="M761" i="11"/>
  <c r="M760" i="11" s="1"/>
  <c r="P760" i="11" s="1"/>
  <c r="N761" i="11"/>
  <c r="Q761" i="11"/>
  <c r="R761" i="11"/>
  <c r="S761" i="11"/>
  <c r="L762" i="11"/>
  <c r="O762" i="11" s="1"/>
  <c r="M762" i="11"/>
  <c r="P762" i="11" s="1"/>
  <c r="N762" i="11"/>
  <c r="L763" i="11"/>
  <c r="M763" i="11"/>
  <c r="P763" i="11" s="1"/>
  <c r="N763" i="11"/>
  <c r="O763" i="11"/>
  <c r="O764" i="11"/>
  <c r="P764" i="11"/>
  <c r="T764" i="11"/>
  <c r="U764" i="11"/>
  <c r="O765" i="11"/>
  <c r="P765" i="11"/>
  <c r="Q765" i="11"/>
  <c r="Q763" i="11" s="1"/>
  <c r="R765" i="11"/>
  <c r="R763" i="11" s="1"/>
  <c r="S765" i="11"/>
  <c r="S763" i="11" s="1"/>
  <c r="L766" i="11"/>
  <c r="O766" i="11" s="1"/>
  <c r="M766" i="11"/>
  <c r="P766" i="11" s="1"/>
  <c r="N766" i="11"/>
  <c r="Q766" i="11"/>
  <c r="T766" i="11" s="1"/>
  <c r="R766" i="11"/>
  <c r="U766" i="11" s="1"/>
  <c r="S766" i="11"/>
  <c r="O767" i="11"/>
  <c r="P767" i="11"/>
  <c r="T767" i="11"/>
  <c r="U767" i="11"/>
  <c r="O768" i="11"/>
  <c r="P768" i="11"/>
  <c r="T768" i="11"/>
  <c r="U768" i="11"/>
  <c r="I770" i="11"/>
  <c r="K770" i="11" s="1"/>
  <c r="I772" i="11"/>
  <c r="I758" i="11" s="1"/>
  <c r="K758" i="11" s="1"/>
  <c r="I774" i="11"/>
  <c r="K774" i="11" s="1"/>
  <c r="I775" i="11"/>
  <c r="I776" i="11"/>
  <c r="H777" i="11"/>
  <c r="I778" i="11"/>
  <c r="J778" i="11"/>
  <c r="I779" i="11"/>
  <c r="J779" i="11"/>
  <c r="I780" i="11"/>
  <c r="J780" i="11"/>
  <c r="I781" i="11"/>
  <c r="J781" i="11"/>
  <c r="I782" i="11"/>
  <c r="J782" i="11"/>
  <c r="I783" i="11"/>
  <c r="J783" i="11"/>
  <c r="I784" i="11"/>
  <c r="J784" i="11"/>
  <c r="I785" i="11"/>
  <c r="J785" i="11"/>
  <c r="A788" i="11"/>
  <c r="A789" i="11"/>
  <c r="L22" i="10"/>
  <c r="M22" i="10"/>
  <c r="N22" i="10"/>
  <c r="O22" i="10"/>
  <c r="P22" i="10"/>
  <c r="Q22" i="10"/>
  <c r="T22" i="10" s="1"/>
  <c r="R22" i="10"/>
  <c r="U22" i="10" s="1"/>
  <c r="S22" i="10"/>
  <c r="S19" i="10" s="1"/>
  <c r="L25" i="10"/>
  <c r="O25" i="10" s="1"/>
  <c r="M25" i="10"/>
  <c r="P25" i="10" s="1"/>
  <c r="N25" i="10"/>
  <c r="Q25" i="10"/>
  <c r="T25" i="10" s="1"/>
  <c r="R25" i="10"/>
  <c r="U25" i="10" s="1"/>
  <c r="S25" i="10"/>
  <c r="Q26" i="10"/>
  <c r="T26" i="10" s="1"/>
  <c r="R26" i="10"/>
  <c r="U26" i="10" s="1"/>
  <c r="S26" i="10"/>
  <c r="L45" i="10"/>
  <c r="O45" i="10" s="1"/>
  <c r="M45" i="10"/>
  <c r="N45" i="10"/>
  <c r="P45" i="10"/>
  <c r="Q45" i="10"/>
  <c r="R45" i="10"/>
  <c r="U45" i="10" s="1"/>
  <c r="S45" i="10"/>
  <c r="Q46" i="10"/>
  <c r="R46" i="10"/>
  <c r="U46" i="10" s="1"/>
  <c r="S46" i="10"/>
  <c r="T46" i="10"/>
  <c r="Q47" i="10"/>
  <c r="R47" i="10"/>
  <c r="U47" i="10" s="1"/>
  <c r="S47" i="10"/>
  <c r="T47" i="10"/>
  <c r="O48" i="10"/>
  <c r="P48" i="10"/>
  <c r="T48" i="10"/>
  <c r="U48" i="10"/>
  <c r="L49" i="10"/>
  <c r="L47" i="10" s="1"/>
  <c r="M49" i="10"/>
  <c r="N49" i="10"/>
  <c r="N47" i="10" s="1"/>
  <c r="T49" i="10"/>
  <c r="U49" i="10"/>
  <c r="Q50" i="10"/>
  <c r="T50" i="10" s="1"/>
  <c r="R50" i="10"/>
  <c r="U50" i="10" s="1"/>
  <c r="S50" i="10"/>
  <c r="O51" i="10"/>
  <c r="P51" i="10"/>
  <c r="T51" i="10"/>
  <c r="U51" i="10"/>
  <c r="L52" i="10"/>
  <c r="M52" i="10"/>
  <c r="N52" i="10"/>
  <c r="T52" i="10"/>
  <c r="U52" i="10"/>
  <c r="L60" i="10"/>
  <c r="O60" i="10" s="1"/>
  <c r="M60" i="10"/>
  <c r="N60" i="10"/>
  <c r="P60" i="10"/>
  <c r="Q60" i="10"/>
  <c r="R60" i="10"/>
  <c r="U60" i="10" s="1"/>
  <c r="S60" i="10"/>
  <c r="Q61" i="10"/>
  <c r="T61" i="10" s="1"/>
  <c r="R61" i="10"/>
  <c r="U61" i="10" s="1"/>
  <c r="S61" i="10"/>
  <c r="Q62" i="10"/>
  <c r="R62" i="10"/>
  <c r="U62" i="10" s="1"/>
  <c r="S62" i="10"/>
  <c r="T62" i="10"/>
  <c r="O63" i="10"/>
  <c r="P63" i="10"/>
  <c r="T63" i="10"/>
  <c r="U63" i="10"/>
  <c r="L64" i="10"/>
  <c r="L62" i="10" s="1"/>
  <c r="M64" i="10"/>
  <c r="N64" i="10"/>
  <c r="N62" i="10" s="1"/>
  <c r="T64" i="10"/>
  <c r="U64" i="10"/>
  <c r="Q65" i="10"/>
  <c r="T65" i="10" s="1"/>
  <c r="R65" i="10"/>
  <c r="U65" i="10" s="1"/>
  <c r="S65" i="10"/>
  <c r="O66" i="10"/>
  <c r="P66" i="10"/>
  <c r="T66" i="10"/>
  <c r="U66" i="10"/>
  <c r="L67" i="10"/>
  <c r="M67" i="10"/>
  <c r="M65" i="10" s="1"/>
  <c r="P65" i="10" s="1"/>
  <c r="N67" i="10"/>
  <c r="N65" i="10" s="1"/>
  <c r="T67" i="10"/>
  <c r="U67" i="10"/>
  <c r="J71" i="10"/>
  <c r="L73" i="10"/>
  <c r="O73" i="10" s="1"/>
  <c r="M73" i="10"/>
  <c r="P73" i="10" s="1"/>
  <c r="N73" i="10"/>
  <c r="Q73" i="10"/>
  <c r="T73" i="10" s="1"/>
  <c r="R73" i="10"/>
  <c r="S73" i="10"/>
  <c r="O76" i="10"/>
  <c r="P76" i="10"/>
  <c r="T76" i="10"/>
  <c r="U76" i="10"/>
  <c r="L77" i="10"/>
  <c r="M77" i="10"/>
  <c r="N77" i="10"/>
  <c r="N75" i="10" s="1"/>
  <c r="Q77" i="10"/>
  <c r="Q74" i="10" s="1"/>
  <c r="R77" i="10"/>
  <c r="R74" i="10" s="1"/>
  <c r="S77" i="10"/>
  <c r="S74" i="10" s="1"/>
  <c r="Q78" i="10"/>
  <c r="T78" i="10" s="1"/>
  <c r="R78" i="10"/>
  <c r="U78" i="10" s="1"/>
  <c r="S78" i="10"/>
  <c r="O79" i="10"/>
  <c r="P79" i="10"/>
  <c r="T79" i="10"/>
  <c r="U79" i="10"/>
  <c r="L80" i="10"/>
  <c r="O80" i="10" s="1"/>
  <c r="M80" i="10"/>
  <c r="M78" i="10" s="1"/>
  <c r="P78" i="10" s="1"/>
  <c r="N80" i="10"/>
  <c r="N78" i="10" s="1"/>
  <c r="T80" i="10"/>
  <c r="U80" i="10"/>
  <c r="J82" i="10"/>
  <c r="J70" i="10" s="1"/>
  <c r="J83" i="10"/>
  <c r="I84" i="10"/>
  <c r="K84" i="10" s="1"/>
  <c r="I85" i="10"/>
  <c r="I86" i="10"/>
  <c r="K86" i="10" s="1"/>
  <c r="I87" i="10"/>
  <c r="K87" i="10" s="1"/>
  <c r="I88" i="10"/>
  <c r="K88" i="10" s="1"/>
  <c r="I89" i="10"/>
  <c r="K89" i="10" s="1"/>
  <c r="I90" i="10"/>
  <c r="K90" i="10" s="1"/>
  <c r="J92" i="10"/>
  <c r="J93" i="10"/>
  <c r="L95" i="10"/>
  <c r="M95" i="10"/>
  <c r="N95" i="10"/>
  <c r="Q95" i="10"/>
  <c r="T95" i="10" s="1"/>
  <c r="R95" i="10"/>
  <c r="S95" i="10"/>
  <c r="O98" i="10"/>
  <c r="P98" i="10"/>
  <c r="T98" i="10"/>
  <c r="U98" i="10"/>
  <c r="L99" i="10"/>
  <c r="O99" i="10" s="1"/>
  <c r="M99" i="10"/>
  <c r="N99" i="10"/>
  <c r="N97" i="10" s="1"/>
  <c r="Q99" i="10"/>
  <c r="Q97" i="10" s="1"/>
  <c r="R99" i="10"/>
  <c r="R96" i="10" s="1"/>
  <c r="S99" i="10"/>
  <c r="S96" i="10" s="1"/>
  <c r="Q100" i="10"/>
  <c r="T100" i="10" s="1"/>
  <c r="R100" i="10"/>
  <c r="S100" i="10"/>
  <c r="U100" i="10"/>
  <c r="O101" i="10"/>
  <c r="P101" i="10"/>
  <c r="T101" i="10"/>
  <c r="U101" i="10"/>
  <c r="L102" i="10"/>
  <c r="L100" i="10" s="1"/>
  <c r="O100" i="10" s="1"/>
  <c r="M102" i="10"/>
  <c r="N102" i="10"/>
  <c r="N100" i="10" s="1"/>
  <c r="T102" i="10"/>
  <c r="U102" i="10"/>
  <c r="I108" i="10"/>
  <c r="I92" i="10" s="1"/>
  <c r="I109" i="10"/>
  <c r="I113" i="10"/>
  <c r="K113" i="10" s="1"/>
  <c r="I114" i="10"/>
  <c r="K114" i="10" s="1"/>
  <c r="J116" i="10"/>
  <c r="L118" i="10"/>
  <c r="M118" i="10"/>
  <c r="N118" i="10"/>
  <c r="O118" i="10"/>
  <c r="P118" i="10"/>
  <c r="Q118" i="10"/>
  <c r="T118" i="10" s="1"/>
  <c r="R118" i="10"/>
  <c r="S118" i="10"/>
  <c r="U118" i="10"/>
  <c r="O121" i="10"/>
  <c r="P121" i="10"/>
  <c r="T121" i="10"/>
  <c r="U121" i="10"/>
  <c r="L122" i="10"/>
  <c r="M122" i="10"/>
  <c r="N122" i="10"/>
  <c r="N120" i="10" s="1"/>
  <c r="Q122" i="10"/>
  <c r="R122" i="10"/>
  <c r="R120" i="10" s="1"/>
  <c r="S122" i="10"/>
  <c r="S120" i="10" s="1"/>
  <c r="Q123" i="10"/>
  <c r="T123" i="10" s="1"/>
  <c r="R123" i="10"/>
  <c r="S123" i="10"/>
  <c r="U123" i="10"/>
  <c r="O124" i="10"/>
  <c r="P124" i="10"/>
  <c r="T124" i="10"/>
  <c r="U124" i="10"/>
  <c r="L125" i="10"/>
  <c r="L123" i="10" s="1"/>
  <c r="O123" i="10" s="1"/>
  <c r="M125" i="10"/>
  <c r="N125" i="10"/>
  <c r="N123" i="10" s="1"/>
  <c r="T125" i="10"/>
  <c r="U125" i="10"/>
  <c r="I127" i="10"/>
  <c r="K127" i="10" s="1"/>
  <c r="I128" i="10"/>
  <c r="K128" i="10" s="1"/>
  <c r="I129" i="10"/>
  <c r="K129" i="10" s="1"/>
  <c r="I130" i="10"/>
  <c r="K130" i="10" s="1"/>
  <c r="J136" i="10"/>
  <c r="J137" i="10"/>
  <c r="J138" i="10"/>
  <c r="L140" i="10"/>
  <c r="M140" i="10"/>
  <c r="P140" i="10" s="1"/>
  <c r="N140" i="10"/>
  <c r="Q140" i="10"/>
  <c r="T140" i="10" s="1"/>
  <c r="R140" i="10"/>
  <c r="U140" i="10" s="1"/>
  <c r="S140" i="10"/>
  <c r="O143" i="10"/>
  <c r="P143" i="10"/>
  <c r="T143" i="10"/>
  <c r="U143" i="10"/>
  <c r="L144" i="10"/>
  <c r="M144" i="10"/>
  <c r="N144" i="10"/>
  <c r="Q144" i="10"/>
  <c r="R144" i="10"/>
  <c r="R141" i="10" s="1"/>
  <c r="U141" i="10" s="1"/>
  <c r="S144" i="10"/>
  <c r="S142" i="10" s="1"/>
  <c r="Q145" i="10"/>
  <c r="T145" i="10" s="1"/>
  <c r="R145" i="10"/>
  <c r="U145" i="10" s="1"/>
  <c r="S145" i="10"/>
  <c r="O146" i="10"/>
  <c r="P146" i="10"/>
  <c r="T146" i="10"/>
  <c r="U146" i="10"/>
  <c r="L147" i="10"/>
  <c r="O147" i="10" s="1"/>
  <c r="M147" i="10"/>
  <c r="M145" i="10" s="1"/>
  <c r="P145" i="10" s="1"/>
  <c r="N147" i="10"/>
  <c r="N145" i="10" s="1"/>
  <c r="T147" i="10"/>
  <c r="U147" i="10"/>
  <c r="I150" i="10"/>
  <c r="K150" i="10" s="1"/>
  <c r="I151" i="10"/>
  <c r="K151" i="10" s="1"/>
  <c r="I152" i="10"/>
  <c r="K152" i="10" s="1"/>
  <c r="I153" i="10"/>
  <c r="K153" i="10" s="1"/>
  <c r="I154" i="10"/>
  <c r="I136" i="10" s="1"/>
  <c r="K136" i="10" s="1"/>
  <c r="J156" i="10"/>
  <c r="L158" i="10"/>
  <c r="M158" i="10"/>
  <c r="N158" i="10"/>
  <c r="O158" i="10"/>
  <c r="Q158" i="10"/>
  <c r="R158" i="10"/>
  <c r="S158" i="10"/>
  <c r="U158" i="10"/>
  <c r="O161" i="10"/>
  <c r="P161" i="10"/>
  <c r="T161" i="10"/>
  <c r="U161" i="10"/>
  <c r="L162" i="10"/>
  <c r="L160" i="10" s="1"/>
  <c r="O160" i="10" s="1"/>
  <c r="M162" i="10"/>
  <c r="N162" i="10"/>
  <c r="N160" i="10" s="1"/>
  <c r="Q162" i="10"/>
  <c r="Q159" i="10" s="1"/>
  <c r="T159" i="10" s="1"/>
  <c r="R162" i="10"/>
  <c r="U162" i="10" s="1"/>
  <c r="S162" i="10"/>
  <c r="S160" i="10" s="1"/>
  <c r="Q163" i="10"/>
  <c r="T163" i="10" s="1"/>
  <c r="R163" i="10"/>
  <c r="S163" i="10"/>
  <c r="U163" i="10"/>
  <c r="O164" i="10"/>
  <c r="P164" i="10"/>
  <c r="T164" i="10"/>
  <c r="U164" i="10"/>
  <c r="L165" i="10"/>
  <c r="O165" i="10" s="1"/>
  <c r="M165" i="10"/>
  <c r="P165" i="10" s="1"/>
  <c r="N165" i="10"/>
  <c r="N163" i="10" s="1"/>
  <c r="T165" i="10"/>
  <c r="U165" i="10"/>
  <c r="I167" i="10"/>
  <c r="K167" i="10" s="1"/>
  <c r="I168" i="10"/>
  <c r="K168" i="10" s="1"/>
  <c r="I169" i="10"/>
  <c r="J172" i="10"/>
  <c r="L174" i="10"/>
  <c r="O174" i="10" s="1"/>
  <c r="M174" i="10"/>
  <c r="N174" i="10"/>
  <c r="Q174" i="10"/>
  <c r="T174" i="10" s="1"/>
  <c r="R174" i="10"/>
  <c r="U174" i="10" s="1"/>
  <c r="S174" i="10"/>
  <c r="O177" i="10"/>
  <c r="P177" i="10"/>
  <c r="T177" i="10"/>
  <c r="U177" i="10"/>
  <c r="L178" i="10"/>
  <c r="M178" i="10"/>
  <c r="N178" i="10"/>
  <c r="Q178" i="10"/>
  <c r="R178" i="10"/>
  <c r="R176" i="10" s="1"/>
  <c r="U176" i="10" s="1"/>
  <c r="S178" i="10"/>
  <c r="S176" i="10" s="1"/>
  <c r="Q179" i="10"/>
  <c r="T179" i="10" s="1"/>
  <c r="R179" i="10"/>
  <c r="S179" i="10"/>
  <c r="U179" i="10"/>
  <c r="O180" i="10"/>
  <c r="P180" i="10"/>
  <c r="T180" i="10"/>
  <c r="U180" i="10"/>
  <c r="L181" i="10"/>
  <c r="L179" i="10" s="1"/>
  <c r="O179" i="10" s="1"/>
  <c r="M181" i="10"/>
  <c r="P181" i="10" s="1"/>
  <c r="N181" i="10"/>
  <c r="N179" i="10" s="1"/>
  <c r="T181" i="10"/>
  <c r="U181" i="10"/>
  <c r="I183" i="10"/>
  <c r="I172" i="10" s="1"/>
  <c r="K172" i="10" s="1"/>
  <c r="K184" i="10"/>
  <c r="L187" i="10"/>
  <c r="M187" i="10"/>
  <c r="N187" i="10"/>
  <c r="Q187" i="10"/>
  <c r="T187" i="10" s="1"/>
  <c r="R187" i="10"/>
  <c r="U187" i="10" s="1"/>
  <c r="S187" i="10"/>
  <c r="O190" i="10"/>
  <c r="P190" i="10"/>
  <c r="T190" i="10"/>
  <c r="U190" i="10"/>
  <c r="L191" i="10"/>
  <c r="M191" i="10"/>
  <c r="N191" i="10"/>
  <c r="N189" i="10" s="1"/>
  <c r="Q191" i="10"/>
  <c r="R191" i="10"/>
  <c r="R188" i="10" s="1"/>
  <c r="R186" i="10" s="1"/>
  <c r="S191" i="10"/>
  <c r="S188" i="10" s="1"/>
  <c r="Q192" i="10"/>
  <c r="T192" i="10" s="1"/>
  <c r="R192" i="10"/>
  <c r="U192" i="10" s="1"/>
  <c r="S192" i="10"/>
  <c r="O193" i="10"/>
  <c r="P193" i="10"/>
  <c r="T193" i="10"/>
  <c r="U193" i="10"/>
  <c r="L194" i="10"/>
  <c r="O194" i="10" s="1"/>
  <c r="M194" i="10"/>
  <c r="M192" i="10" s="1"/>
  <c r="P192" i="10" s="1"/>
  <c r="N194" i="10"/>
  <c r="N192" i="10" s="1"/>
  <c r="T194" i="10"/>
  <c r="U194" i="10"/>
  <c r="J195" i="10"/>
  <c r="L196" i="10"/>
  <c r="O196" i="10" s="1"/>
  <c r="P196" i="10"/>
  <c r="I198" i="10"/>
  <c r="I195" i="10" s="1"/>
  <c r="K195" i="10" s="1"/>
  <c r="J199" i="10"/>
  <c r="J202" i="10"/>
  <c r="N203" i="10"/>
  <c r="P203" i="10"/>
  <c r="S203" i="10"/>
  <c r="U203" i="10"/>
  <c r="L204" i="10"/>
  <c r="L205" i="10"/>
  <c r="L206" i="10"/>
  <c r="Q206" i="10"/>
  <c r="Q203" i="10" s="1"/>
  <c r="T203" i="10" s="1"/>
  <c r="L207" i="10"/>
  <c r="I209" i="10"/>
  <c r="I211" i="10"/>
  <c r="K211" i="10" s="1"/>
  <c r="I212" i="10"/>
  <c r="K212" i="10" s="1"/>
  <c r="J213" i="10"/>
  <c r="N214" i="10"/>
  <c r="P214" i="10"/>
  <c r="S214" i="10"/>
  <c r="U214" i="10"/>
  <c r="L215" i="10"/>
  <c r="L216" i="10"/>
  <c r="L217" i="10"/>
  <c r="Q217" i="10"/>
  <c r="Q214" i="10" s="1"/>
  <c r="T214" i="10" s="1"/>
  <c r="I219" i="10"/>
  <c r="K219" i="10" s="1"/>
  <c r="I220" i="10"/>
  <c r="I213" i="10" s="1"/>
  <c r="K213" i="10" s="1"/>
  <c r="J221" i="10"/>
  <c r="N222" i="10"/>
  <c r="P222" i="10"/>
  <c r="L223" i="10"/>
  <c r="L224" i="10"/>
  <c r="L225" i="10"/>
  <c r="I228" i="10"/>
  <c r="K228" i="10" s="1"/>
  <c r="I229" i="10"/>
  <c r="I221" i="10" s="1"/>
  <c r="I230" i="10"/>
  <c r="N233" i="10"/>
  <c r="N234" i="10"/>
  <c r="N235" i="10"/>
  <c r="N236" i="10"/>
  <c r="J238" i="10"/>
  <c r="I240" i="10"/>
  <c r="K240" i="10" s="1"/>
  <c r="J240" i="10"/>
  <c r="I241" i="10"/>
  <c r="J241" i="10"/>
  <c r="K241" i="10"/>
  <c r="J242" i="10"/>
  <c r="J231" i="10" s="1"/>
  <c r="J185" i="10" s="1"/>
  <c r="N243" i="10"/>
  <c r="P243" i="10"/>
  <c r="L244" i="10"/>
  <c r="L245" i="10"/>
  <c r="L246" i="10"/>
  <c r="L247" i="10"/>
  <c r="I249" i="10"/>
  <c r="K251" i="10"/>
  <c r="K252" i="10"/>
  <c r="J253" i="10"/>
  <c r="N254" i="10"/>
  <c r="P254" i="10"/>
  <c r="L255" i="10"/>
  <c r="L256" i="10"/>
  <c r="L257" i="10"/>
  <c r="L258" i="10"/>
  <c r="I260" i="10"/>
  <c r="K260" i="10" s="1"/>
  <c r="K262" i="10"/>
  <c r="K263" i="10"/>
  <c r="J265" i="10"/>
  <c r="L267" i="10"/>
  <c r="O267" i="10" s="1"/>
  <c r="M267" i="10"/>
  <c r="N267" i="10"/>
  <c r="P267" i="10"/>
  <c r="Q267" i="10"/>
  <c r="T267" i="10" s="1"/>
  <c r="R267" i="10"/>
  <c r="U267" i="10" s="1"/>
  <c r="S267" i="10"/>
  <c r="O270" i="10"/>
  <c r="P270" i="10"/>
  <c r="T270" i="10"/>
  <c r="U270" i="10"/>
  <c r="L271" i="10"/>
  <c r="M271" i="10"/>
  <c r="N271" i="10"/>
  <c r="N269" i="10" s="1"/>
  <c r="Q271" i="10"/>
  <c r="Q268" i="10" s="1"/>
  <c r="R271" i="10"/>
  <c r="S271" i="10"/>
  <c r="S268" i="10" s="1"/>
  <c r="S266" i="10" s="1"/>
  <c r="Q272" i="10"/>
  <c r="R272" i="10"/>
  <c r="U272" i="10" s="1"/>
  <c r="S272" i="10"/>
  <c r="T272" i="10"/>
  <c r="O273" i="10"/>
  <c r="P273" i="10"/>
  <c r="T273" i="10"/>
  <c r="U273" i="10"/>
  <c r="L274" i="10"/>
  <c r="M274" i="10"/>
  <c r="N274" i="10"/>
  <c r="N272" i="10" s="1"/>
  <c r="T274" i="10"/>
  <c r="U274" i="10"/>
  <c r="I276" i="10"/>
  <c r="K276" i="10" s="1"/>
  <c r="J281" i="10"/>
  <c r="L283" i="10"/>
  <c r="M283" i="10"/>
  <c r="N283" i="10"/>
  <c r="P283" i="10"/>
  <c r="Q283" i="10"/>
  <c r="T283" i="10" s="1"/>
  <c r="R283" i="10"/>
  <c r="U283" i="10" s="1"/>
  <c r="S283" i="10"/>
  <c r="Q284" i="10"/>
  <c r="T284" i="10" s="1"/>
  <c r="R284" i="10"/>
  <c r="U284" i="10" s="1"/>
  <c r="S284" i="10"/>
  <c r="S282" i="10" s="1"/>
  <c r="Q285" i="10"/>
  <c r="R285" i="10"/>
  <c r="U285" i="10" s="1"/>
  <c r="S285" i="10"/>
  <c r="T285" i="10"/>
  <c r="O286" i="10"/>
  <c r="P286" i="10"/>
  <c r="T286" i="10"/>
  <c r="U286" i="10"/>
  <c r="L287" i="10"/>
  <c r="M287" i="10"/>
  <c r="N287" i="10"/>
  <c r="N285" i="10" s="1"/>
  <c r="T287" i="10"/>
  <c r="U287" i="10"/>
  <c r="Q288" i="10"/>
  <c r="T288" i="10" s="1"/>
  <c r="R288" i="10"/>
  <c r="U288" i="10" s="1"/>
  <c r="S288" i="10"/>
  <c r="O289" i="10"/>
  <c r="P289" i="10"/>
  <c r="T289" i="10"/>
  <c r="U289" i="10"/>
  <c r="L290" i="10"/>
  <c r="O290" i="10" s="1"/>
  <c r="M290" i="10"/>
  <c r="M288" i="10" s="1"/>
  <c r="P288" i="10" s="1"/>
  <c r="N290" i="10"/>
  <c r="N288" i="10" s="1"/>
  <c r="T290" i="10"/>
  <c r="U290" i="10"/>
  <c r="I292" i="10"/>
  <c r="I281" i="10" s="1"/>
  <c r="I293" i="10"/>
  <c r="I280" i="10" s="1"/>
  <c r="J293" i="10"/>
  <c r="J280" i="10" s="1"/>
  <c r="I295" i="10"/>
  <c r="K295" i="10" s="1"/>
  <c r="I296" i="10"/>
  <c r="K296" i="10" s="1"/>
  <c r="J302" i="10"/>
  <c r="L304" i="10"/>
  <c r="O304" i="10" s="1"/>
  <c r="M304" i="10"/>
  <c r="P304" i="10" s="1"/>
  <c r="N304" i="10"/>
  <c r="Q304" i="10"/>
  <c r="R304" i="10"/>
  <c r="U304" i="10" s="1"/>
  <c r="S304" i="10"/>
  <c r="O307" i="10"/>
  <c r="P307" i="10"/>
  <c r="T307" i="10"/>
  <c r="U307" i="10"/>
  <c r="L308" i="10"/>
  <c r="M308" i="10"/>
  <c r="P308" i="10" s="1"/>
  <c r="N308" i="10"/>
  <c r="N306" i="10" s="1"/>
  <c r="Q308" i="10"/>
  <c r="R308" i="10"/>
  <c r="S308" i="10"/>
  <c r="S305" i="10" s="1"/>
  <c r="S303" i="10" s="1"/>
  <c r="Q309" i="10"/>
  <c r="R309" i="10"/>
  <c r="S309" i="10"/>
  <c r="T309" i="10"/>
  <c r="U309" i="10"/>
  <c r="O310" i="10"/>
  <c r="P310" i="10"/>
  <c r="T310" i="10"/>
  <c r="U310" i="10"/>
  <c r="L311" i="10"/>
  <c r="O311" i="10" s="1"/>
  <c r="M311" i="10"/>
  <c r="N311" i="10"/>
  <c r="N309" i="10" s="1"/>
  <c r="T311" i="10"/>
  <c r="U311" i="10"/>
  <c r="I314" i="10"/>
  <c r="I302" i="10" s="1"/>
  <c r="K302" i="10" s="1"/>
  <c r="J319" i="10"/>
  <c r="Q320" i="10"/>
  <c r="T320" i="10" s="1"/>
  <c r="L321" i="10"/>
  <c r="M321" i="10"/>
  <c r="N321" i="10"/>
  <c r="P321" i="10"/>
  <c r="Q321" i="10"/>
  <c r="T321" i="10" s="1"/>
  <c r="R321" i="10"/>
  <c r="S321" i="10"/>
  <c r="Q322" i="10"/>
  <c r="T322" i="10" s="1"/>
  <c r="R322" i="10"/>
  <c r="S322" i="10"/>
  <c r="U322" i="10"/>
  <c r="Q323" i="10"/>
  <c r="R323" i="10"/>
  <c r="U323" i="10" s="1"/>
  <c r="S323" i="10"/>
  <c r="T323" i="10"/>
  <c r="O324" i="10"/>
  <c r="P324" i="10"/>
  <c r="T324" i="10"/>
  <c r="U324" i="10"/>
  <c r="L325" i="10"/>
  <c r="M325" i="10"/>
  <c r="N325" i="10"/>
  <c r="N323" i="10" s="1"/>
  <c r="T325" i="10"/>
  <c r="U325" i="10"/>
  <c r="Q326" i="10"/>
  <c r="T326" i="10" s="1"/>
  <c r="R326" i="10"/>
  <c r="U326" i="10" s="1"/>
  <c r="S326" i="10"/>
  <c r="O327" i="10"/>
  <c r="P327" i="10"/>
  <c r="T327" i="10"/>
  <c r="U327" i="10"/>
  <c r="L328" i="10"/>
  <c r="L326" i="10" s="1"/>
  <c r="O326" i="10" s="1"/>
  <c r="M328" i="10"/>
  <c r="P328" i="10" s="1"/>
  <c r="N328" i="10"/>
  <c r="T328" i="10"/>
  <c r="U328" i="10"/>
  <c r="I330" i="10"/>
  <c r="I319" i="10" s="1"/>
  <c r="K319" i="10" s="1"/>
  <c r="T333" i="10"/>
  <c r="L334" i="10"/>
  <c r="O334" i="10" s="1"/>
  <c r="M334" i="10"/>
  <c r="P334" i="10" s="1"/>
  <c r="N334" i="10"/>
  <c r="Q334" i="10"/>
  <c r="R334" i="10"/>
  <c r="R333" i="10" s="1"/>
  <c r="U333" i="10" s="1"/>
  <c r="S334" i="10"/>
  <c r="S333" i="10" s="1"/>
  <c r="T334" i="10"/>
  <c r="Q335" i="10"/>
  <c r="Q333" i="10" s="1"/>
  <c r="R335" i="10"/>
  <c r="U335" i="10" s="1"/>
  <c r="S335" i="10"/>
  <c r="T335" i="10"/>
  <c r="Q336" i="10"/>
  <c r="R336" i="10"/>
  <c r="U336" i="10" s="1"/>
  <c r="S336" i="10"/>
  <c r="T336" i="10"/>
  <c r="O337" i="10"/>
  <c r="P337" i="10"/>
  <c r="T337" i="10"/>
  <c r="U337" i="10"/>
  <c r="L338" i="10"/>
  <c r="M338" i="10"/>
  <c r="M336" i="10" s="1"/>
  <c r="N338" i="10"/>
  <c r="N336" i="10" s="1"/>
  <c r="T338" i="10"/>
  <c r="U338" i="10"/>
  <c r="Q339" i="10"/>
  <c r="T339" i="10" s="1"/>
  <c r="R339" i="10"/>
  <c r="U339" i="10" s="1"/>
  <c r="S339" i="10"/>
  <c r="O340" i="10"/>
  <c r="P340" i="10"/>
  <c r="T340" i="10"/>
  <c r="U340" i="10"/>
  <c r="L341" i="10"/>
  <c r="M341" i="10"/>
  <c r="P341" i="10" s="1"/>
  <c r="N341" i="10"/>
  <c r="N339" i="10" s="1"/>
  <c r="T341" i="10"/>
  <c r="U341" i="10"/>
  <c r="I344" i="10"/>
  <c r="J344" i="10"/>
  <c r="I346" i="10"/>
  <c r="J346" i="10"/>
  <c r="J347" i="10"/>
  <c r="J348" i="10"/>
  <c r="J349" i="10"/>
  <c r="D350" i="10"/>
  <c r="J352" i="10"/>
  <c r="J353" i="10"/>
  <c r="D354" i="10"/>
  <c r="Q356" i="10"/>
  <c r="T356" i="10" s="1"/>
  <c r="L357" i="10"/>
  <c r="M357" i="10"/>
  <c r="P357" i="10" s="1"/>
  <c r="N357" i="10"/>
  <c r="O357" i="10"/>
  <c r="Q357" i="10"/>
  <c r="T357" i="10" s="1"/>
  <c r="R357" i="10"/>
  <c r="R356" i="10" s="1"/>
  <c r="U356" i="10" s="1"/>
  <c r="S357" i="10"/>
  <c r="Q358" i="10"/>
  <c r="T358" i="10" s="1"/>
  <c r="R358" i="10"/>
  <c r="S358" i="10"/>
  <c r="U358" i="10"/>
  <c r="Q359" i="10"/>
  <c r="T359" i="10" s="1"/>
  <c r="R359" i="10"/>
  <c r="U359" i="10" s="1"/>
  <c r="S359" i="10"/>
  <c r="O360" i="10"/>
  <c r="P360" i="10"/>
  <c r="T360" i="10"/>
  <c r="U360" i="10"/>
  <c r="L361" i="10"/>
  <c r="M361" i="10"/>
  <c r="N361" i="10"/>
  <c r="T361" i="10"/>
  <c r="U361" i="10"/>
  <c r="Q362" i="10"/>
  <c r="T362" i="10" s="1"/>
  <c r="R362" i="10"/>
  <c r="U362" i="10" s="1"/>
  <c r="S362" i="10"/>
  <c r="O363" i="10"/>
  <c r="P363" i="10"/>
  <c r="T363" i="10"/>
  <c r="U363" i="10"/>
  <c r="L364" i="10"/>
  <c r="O364" i="10" s="1"/>
  <c r="M364" i="10"/>
  <c r="N364" i="10"/>
  <c r="N362" i="10" s="1"/>
  <c r="T364" i="10"/>
  <c r="U364" i="10"/>
  <c r="J367" i="10"/>
  <c r="K367" i="10"/>
  <c r="I368" i="10"/>
  <c r="J368" i="10"/>
  <c r="I369" i="10"/>
  <c r="J369" i="10"/>
  <c r="J370" i="10"/>
  <c r="K370" i="10"/>
  <c r="I371" i="10"/>
  <c r="I365" i="10" s="1"/>
  <c r="J371" i="10"/>
  <c r="J372" i="10"/>
  <c r="K372" i="10"/>
  <c r="D373" i="10"/>
  <c r="L376" i="10"/>
  <c r="M376" i="10"/>
  <c r="P376" i="10" s="1"/>
  <c r="N376" i="10"/>
  <c r="Q376" i="10"/>
  <c r="T376" i="10" s="1"/>
  <c r="R376" i="10"/>
  <c r="S376" i="10"/>
  <c r="U376" i="10"/>
  <c r="L377" i="10"/>
  <c r="O377" i="10" s="1"/>
  <c r="M377" i="10"/>
  <c r="N377" i="10"/>
  <c r="L378" i="10"/>
  <c r="O378" i="10" s="1"/>
  <c r="M378" i="10"/>
  <c r="P378" i="10" s="1"/>
  <c r="N378" i="10"/>
  <c r="O379" i="10"/>
  <c r="P379" i="10"/>
  <c r="T379" i="10"/>
  <c r="U379" i="10"/>
  <c r="O380" i="10"/>
  <c r="P380" i="10"/>
  <c r="Q380" i="10"/>
  <c r="R380" i="10"/>
  <c r="R378" i="10" s="1"/>
  <c r="U378" i="10" s="1"/>
  <c r="S380" i="10"/>
  <c r="S377" i="10" s="1"/>
  <c r="S375" i="10" s="1"/>
  <c r="L381" i="10"/>
  <c r="M381" i="10"/>
  <c r="P381" i="10" s="1"/>
  <c r="N381" i="10"/>
  <c r="O381" i="10"/>
  <c r="Q381" i="10"/>
  <c r="T381" i="10" s="1"/>
  <c r="R381" i="10"/>
  <c r="S381" i="10"/>
  <c r="U381" i="10"/>
  <c r="O382" i="10"/>
  <c r="P382" i="10"/>
  <c r="T382" i="10"/>
  <c r="U382" i="10"/>
  <c r="O383" i="10"/>
  <c r="P383" i="10"/>
  <c r="T383" i="10"/>
  <c r="U383" i="10"/>
  <c r="J385" i="10"/>
  <c r="K385" i="10"/>
  <c r="I386" i="10"/>
  <c r="J386" i="10"/>
  <c r="J387" i="10"/>
  <c r="K387" i="10"/>
  <c r="I388" i="10"/>
  <c r="K388" i="10" s="1"/>
  <c r="J388" i="10"/>
  <c r="I391" i="10"/>
  <c r="K391" i="10" s="1"/>
  <c r="J391" i="10"/>
  <c r="L392" i="10"/>
  <c r="O392" i="10" s="1"/>
  <c r="N392" i="10"/>
  <c r="L393" i="10"/>
  <c r="M393" i="10"/>
  <c r="N393" i="10"/>
  <c r="O393" i="10"/>
  <c r="Q393" i="10"/>
  <c r="R393" i="10"/>
  <c r="S393" i="10"/>
  <c r="S392" i="10" s="1"/>
  <c r="U393" i="10"/>
  <c r="L394" i="10"/>
  <c r="O394" i="10" s="1"/>
  <c r="M394" i="10"/>
  <c r="P394" i="10" s="1"/>
  <c r="N394" i="10"/>
  <c r="Q394" i="10"/>
  <c r="T394" i="10" s="1"/>
  <c r="R394" i="10"/>
  <c r="R392" i="10" s="1"/>
  <c r="U392" i="10" s="1"/>
  <c r="S394" i="10"/>
  <c r="U394" i="10"/>
  <c r="L395" i="10"/>
  <c r="O395" i="10" s="1"/>
  <c r="M395" i="10"/>
  <c r="P395" i="10" s="1"/>
  <c r="N395" i="10"/>
  <c r="Q395" i="10"/>
  <c r="T395" i="10" s="1"/>
  <c r="R395" i="10"/>
  <c r="S395" i="10"/>
  <c r="U395" i="10"/>
  <c r="O396" i="10"/>
  <c r="P396" i="10"/>
  <c r="T396" i="10"/>
  <c r="U396" i="10"/>
  <c r="O397" i="10"/>
  <c r="P397" i="10"/>
  <c r="T397" i="10"/>
  <c r="U397" i="10"/>
  <c r="L398" i="10"/>
  <c r="M398" i="10"/>
  <c r="P398" i="10" s="1"/>
  <c r="N398" i="10"/>
  <c r="O398" i="10"/>
  <c r="Q398" i="10"/>
  <c r="R398" i="10"/>
  <c r="U398" i="10" s="1"/>
  <c r="S398" i="10"/>
  <c r="T398" i="10"/>
  <c r="O399" i="10"/>
  <c r="P399" i="10"/>
  <c r="T399" i="10"/>
  <c r="U399" i="10"/>
  <c r="O400" i="10"/>
  <c r="P400" i="10"/>
  <c r="T400" i="10"/>
  <c r="U400" i="10"/>
  <c r="L414" i="10"/>
  <c r="O414" i="10" s="1"/>
  <c r="M414" i="10"/>
  <c r="N414" i="10"/>
  <c r="Q414" i="10"/>
  <c r="T414" i="10" s="1"/>
  <c r="R414" i="10"/>
  <c r="S414" i="10"/>
  <c r="L415" i="10"/>
  <c r="M415" i="10"/>
  <c r="P415" i="10" s="1"/>
  <c r="N415" i="10"/>
  <c r="O415" i="10"/>
  <c r="L416" i="10"/>
  <c r="O416" i="10" s="1"/>
  <c r="M416" i="10"/>
  <c r="N416" i="10"/>
  <c r="P416" i="10"/>
  <c r="O417" i="10"/>
  <c r="P417" i="10"/>
  <c r="T417" i="10"/>
  <c r="U417" i="10"/>
  <c r="O418" i="10"/>
  <c r="P418" i="10"/>
  <c r="Q418" i="10"/>
  <c r="Q416" i="10" s="1"/>
  <c r="T416" i="10" s="1"/>
  <c r="R418" i="10"/>
  <c r="R415" i="10" s="1"/>
  <c r="U415" i="10" s="1"/>
  <c r="S418" i="10"/>
  <c r="S416" i="10" s="1"/>
  <c r="L419" i="10"/>
  <c r="O419" i="10" s="1"/>
  <c r="M419" i="10"/>
  <c r="P419" i="10" s="1"/>
  <c r="N419" i="10"/>
  <c r="Q419" i="10"/>
  <c r="T419" i="10" s="1"/>
  <c r="R419" i="10"/>
  <c r="U419" i="10" s="1"/>
  <c r="S419" i="10"/>
  <c r="O420" i="10"/>
  <c r="P420" i="10"/>
  <c r="T420" i="10"/>
  <c r="U420" i="10"/>
  <c r="O421" i="10"/>
  <c r="P421" i="10"/>
  <c r="T421" i="10"/>
  <c r="U421" i="10"/>
  <c r="I424" i="10"/>
  <c r="K424" i="10" s="1"/>
  <c r="J424" i="10"/>
  <c r="I425" i="10"/>
  <c r="K425" i="10" s="1"/>
  <c r="J425" i="10"/>
  <c r="I432" i="10"/>
  <c r="K432" i="10" s="1"/>
  <c r="J432" i="10"/>
  <c r="I433" i="10"/>
  <c r="K433" i="10" s="1"/>
  <c r="J433" i="10"/>
  <c r="I440" i="10"/>
  <c r="K440" i="10" s="1"/>
  <c r="I441" i="10"/>
  <c r="K441" i="10" s="1"/>
  <c r="J446" i="10"/>
  <c r="J440" i="10" s="1"/>
  <c r="J423" i="10" s="1"/>
  <c r="J412" i="10" s="1"/>
  <c r="J447" i="10"/>
  <c r="J441" i="10" s="1"/>
  <c r="I457" i="10"/>
  <c r="K457" i="10" s="1"/>
  <c r="I458" i="10"/>
  <c r="K458" i="10" s="1"/>
  <c r="J459" i="10"/>
  <c r="J457" i="10" s="1"/>
  <c r="J456" i="10" s="1"/>
  <c r="J460" i="10"/>
  <c r="J467" i="10"/>
  <c r="J468" i="10"/>
  <c r="J475" i="10"/>
  <c r="K475" i="10"/>
  <c r="J476" i="10"/>
  <c r="K476" i="10"/>
  <c r="J477" i="10"/>
  <c r="K477" i="10"/>
  <c r="J482" i="10"/>
  <c r="J483" i="10"/>
  <c r="I484" i="10"/>
  <c r="K484" i="10" s="1"/>
  <c r="J484" i="10"/>
  <c r="I485" i="10"/>
  <c r="K485" i="10" s="1"/>
  <c r="J485" i="10"/>
  <c r="L494" i="10"/>
  <c r="L493" i="10" s="1"/>
  <c r="O493" i="10" s="1"/>
  <c r="M494" i="10"/>
  <c r="N494" i="10"/>
  <c r="Q494" i="10"/>
  <c r="R494" i="10"/>
  <c r="U494" i="10" s="1"/>
  <c r="S494" i="10"/>
  <c r="T494" i="10"/>
  <c r="L495" i="10"/>
  <c r="O495" i="10" s="1"/>
  <c r="M495" i="10"/>
  <c r="P495" i="10" s="1"/>
  <c r="N495" i="10"/>
  <c r="L496" i="10"/>
  <c r="O496" i="10" s="1"/>
  <c r="M496" i="10"/>
  <c r="P496" i="10" s="1"/>
  <c r="N496" i="10"/>
  <c r="O497" i="10"/>
  <c r="P497" i="10"/>
  <c r="T497" i="10"/>
  <c r="U497" i="10"/>
  <c r="O498" i="10"/>
  <c r="P498" i="10"/>
  <c r="Q498" i="10"/>
  <c r="Q496" i="10" s="1"/>
  <c r="T496" i="10" s="1"/>
  <c r="R498" i="10"/>
  <c r="U498" i="10" s="1"/>
  <c r="S498" i="10"/>
  <c r="S496" i="10" s="1"/>
  <c r="L499" i="10"/>
  <c r="O499" i="10" s="1"/>
  <c r="M499" i="10"/>
  <c r="P499" i="10" s="1"/>
  <c r="N499" i="10"/>
  <c r="Q499" i="10"/>
  <c r="T499" i="10" s="1"/>
  <c r="R499" i="10"/>
  <c r="U499" i="10" s="1"/>
  <c r="S499" i="10"/>
  <c r="O500" i="10"/>
  <c r="P500" i="10"/>
  <c r="T500" i="10"/>
  <c r="U500" i="10"/>
  <c r="O501" i="10"/>
  <c r="P501" i="10"/>
  <c r="T501" i="10"/>
  <c r="U501" i="10"/>
  <c r="I503" i="10"/>
  <c r="I492" i="10" s="1"/>
  <c r="K492" i="10" s="1"/>
  <c r="I504" i="10"/>
  <c r="K504" i="10" s="1"/>
  <c r="I505" i="10"/>
  <c r="K505" i="10" s="1"/>
  <c r="I506" i="10"/>
  <c r="K506" i="10" s="1"/>
  <c r="I507" i="10"/>
  <c r="K507" i="10" s="1"/>
  <c r="K508" i="10"/>
  <c r="I509" i="10"/>
  <c r="K509" i="10" s="1"/>
  <c r="I512" i="10"/>
  <c r="K512" i="10" s="1"/>
  <c r="J512" i="10"/>
  <c r="L514" i="10"/>
  <c r="M514" i="10"/>
  <c r="P514" i="10" s="1"/>
  <c r="N514" i="10"/>
  <c r="Q514" i="10"/>
  <c r="Q513" i="10" s="1"/>
  <c r="T513" i="10" s="1"/>
  <c r="R514" i="10"/>
  <c r="S514" i="10"/>
  <c r="S513" i="10" s="1"/>
  <c r="T514" i="10"/>
  <c r="Q515" i="10"/>
  <c r="T515" i="10" s="1"/>
  <c r="R515" i="10"/>
  <c r="U515" i="10" s="1"/>
  <c r="S515" i="10"/>
  <c r="Q516" i="10"/>
  <c r="T516" i="10" s="1"/>
  <c r="R516" i="10"/>
  <c r="U516" i="10" s="1"/>
  <c r="S516" i="10"/>
  <c r="O517" i="10"/>
  <c r="P517" i="10"/>
  <c r="T517" i="10"/>
  <c r="U517" i="10"/>
  <c r="L518" i="10"/>
  <c r="M518" i="10"/>
  <c r="P518" i="10" s="1"/>
  <c r="N518" i="10"/>
  <c r="N516" i="10" s="1"/>
  <c r="T518" i="10"/>
  <c r="U518" i="10"/>
  <c r="Q519" i="10"/>
  <c r="T519" i="10" s="1"/>
  <c r="R519" i="10"/>
  <c r="U519" i="10" s="1"/>
  <c r="S519" i="10"/>
  <c r="O520" i="10"/>
  <c r="P520" i="10"/>
  <c r="T520" i="10"/>
  <c r="U520" i="10"/>
  <c r="L521" i="10"/>
  <c r="M521" i="10"/>
  <c r="P521" i="10" s="1"/>
  <c r="N521" i="10"/>
  <c r="N519" i="10" s="1"/>
  <c r="T521" i="10"/>
  <c r="U521" i="10"/>
  <c r="K523" i="10"/>
  <c r="K524" i="10"/>
  <c r="I533" i="10"/>
  <c r="K533" i="10" s="1"/>
  <c r="J533" i="10"/>
  <c r="R534" i="10"/>
  <c r="U534" i="10" s="1"/>
  <c r="L535" i="10"/>
  <c r="L534" i="10" s="1"/>
  <c r="O534" i="10" s="1"/>
  <c r="M535" i="10"/>
  <c r="N535" i="10"/>
  <c r="O535" i="10"/>
  <c r="Q535" i="10"/>
  <c r="R535" i="10"/>
  <c r="S535" i="10"/>
  <c r="S534" i="10" s="1"/>
  <c r="U535" i="10"/>
  <c r="L536" i="10"/>
  <c r="O536" i="10" s="1"/>
  <c r="M536" i="10"/>
  <c r="P536" i="10" s="1"/>
  <c r="N536" i="10"/>
  <c r="Q536" i="10"/>
  <c r="T536" i="10" s="1"/>
  <c r="R536" i="10"/>
  <c r="S536" i="10"/>
  <c r="U536" i="10"/>
  <c r="L537" i="10"/>
  <c r="O537" i="10" s="1"/>
  <c r="M537" i="10"/>
  <c r="P537" i="10" s="1"/>
  <c r="N537" i="10"/>
  <c r="Q537" i="10"/>
  <c r="T537" i="10" s="1"/>
  <c r="R537" i="10"/>
  <c r="U537" i="10" s="1"/>
  <c r="S537" i="10"/>
  <c r="O538" i="10"/>
  <c r="P538" i="10"/>
  <c r="T538" i="10"/>
  <c r="U538" i="10"/>
  <c r="O539" i="10"/>
  <c r="P539" i="10"/>
  <c r="T539" i="10"/>
  <c r="U539" i="10"/>
  <c r="L540" i="10"/>
  <c r="M540" i="10"/>
  <c r="P540" i="10" s="1"/>
  <c r="N540" i="10"/>
  <c r="O540" i="10"/>
  <c r="Q540" i="10"/>
  <c r="T540" i="10" s="1"/>
  <c r="R540" i="10"/>
  <c r="S540" i="10"/>
  <c r="U540" i="10"/>
  <c r="O541" i="10"/>
  <c r="P541" i="10"/>
  <c r="T541" i="10"/>
  <c r="U541" i="10"/>
  <c r="O542" i="10"/>
  <c r="P542" i="10"/>
  <c r="T542" i="10"/>
  <c r="U542" i="10"/>
  <c r="I554" i="10"/>
  <c r="K554" i="10" s="1"/>
  <c r="J554" i="10"/>
  <c r="L556" i="10"/>
  <c r="M556" i="10"/>
  <c r="P556" i="10" s="1"/>
  <c r="N556" i="10"/>
  <c r="Q556" i="10"/>
  <c r="R556" i="10"/>
  <c r="U556" i="10" s="1"/>
  <c r="S556" i="10"/>
  <c r="T556" i="10"/>
  <c r="L557" i="10"/>
  <c r="O557" i="10" s="1"/>
  <c r="M557" i="10"/>
  <c r="M555" i="10" s="1"/>
  <c r="P555" i="10" s="1"/>
  <c r="N557" i="10"/>
  <c r="P557" i="10"/>
  <c r="Q557" i="10"/>
  <c r="T557" i="10" s="1"/>
  <c r="R557" i="10"/>
  <c r="U557" i="10" s="1"/>
  <c r="S557" i="10"/>
  <c r="L558" i="10"/>
  <c r="O558" i="10" s="1"/>
  <c r="M558" i="10"/>
  <c r="P558" i="10" s="1"/>
  <c r="N558" i="10"/>
  <c r="Q558" i="10"/>
  <c r="R558" i="10"/>
  <c r="U558" i="10" s="1"/>
  <c r="S558" i="10"/>
  <c r="T558" i="10"/>
  <c r="O559" i="10"/>
  <c r="P559" i="10"/>
  <c r="T559" i="10"/>
  <c r="U559" i="10"/>
  <c r="O560" i="10"/>
  <c r="P560" i="10"/>
  <c r="T560" i="10"/>
  <c r="U560" i="10"/>
  <c r="L561" i="10"/>
  <c r="O561" i="10" s="1"/>
  <c r="M561" i="10"/>
  <c r="N561" i="10"/>
  <c r="P561" i="10"/>
  <c r="Q561" i="10"/>
  <c r="T561" i="10" s="1"/>
  <c r="R561" i="10"/>
  <c r="U561" i="10" s="1"/>
  <c r="S561" i="10"/>
  <c r="O562" i="10"/>
  <c r="P562" i="10"/>
  <c r="T562" i="10"/>
  <c r="U562" i="10"/>
  <c r="O563" i="10"/>
  <c r="P563" i="10"/>
  <c r="T563" i="10"/>
  <c r="U563" i="10"/>
  <c r="I575" i="10"/>
  <c r="K575" i="10" s="1"/>
  <c r="J575" i="10"/>
  <c r="L577" i="10"/>
  <c r="M577" i="10"/>
  <c r="N577" i="10"/>
  <c r="Q577" i="10"/>
  <c r="R577" i="10"/>
  <c r="S577" i="10"/>
  <c r="L578" i="10"/>
  <c r="M578" i="10"/>
  <c r="P578" i="10" s="1"/>
  <c r="N578" i="10"/>
  <c r="O578" i="10"/>
  <c r="Q578" i="10"/>
  <c r="T578" i="10" s="1"/>
  <c r="R578" i="10"/>
  <c r="S578" i="10"/>
  <c r="U578" i="10"/>
  <c r="L579" i="10"/>
  <c r="O579" i="10" s="1"/>
  <c r="M579" i="10"/>
  <c r="P579" i="10" s="1"/>
  <c r="N579" i="10"/>
  <c r="Q579" i="10"/>
  <c r="T579" i="10" s="1"/>
  <c r="R579" i="10"/>
  <c r="S579" i="10"/>
  <c r="U579" i="10"/>
  <c r="O580" i="10"/>
  <c r="P580" i="10"/>
  <c r="T580" i="10"/>
  <c r="U580" i="10"/>
  <c r="O581" i="10"/>
  <c r="P581" i="10"/>
  <c r="T581" i="10"/>
  <c r="U581" i="10"/>
  <c r="L582" i="10"/>
  <c r="M582" i="10"/>
  <c r="P582" i="10" s="1"/>
  <c r="N582" i="10"/>
  <c r="O582" i="10"/>
  <c r="Q582" i="10"/>
  <c r="T582" i="10" s="1"/>
  <c r="R582" i="10"/>
  <c r="S582" i="10"/>
  <c r="U582" i="10"/>
  <c r="O583" i="10"/>
  <c r="P583" i="10"/>
  <c r="T583" i="10"/>
  <c r="U583" i="10"/>
  <c r="O584" i="10"/>
  <c r="P584" i="10"/>
  <c r="T584" i="10"/>
  <c r="U584" i="10"/>
  <c r="L599" i="10"/>
  <c r="O599" i="10" s="1"/>
  <c r="L600" i="10"/>
  <c r="O600" i="10" s="1"/>
  <c r="M600" i="10"/>
  <c r="M599" i="10" s="1"/>
  <c r="P599" i="10" s="1"/>
  <c r="N600" i="10"/>
  <c r="N599" i="10" s="1"/>
  <c r="Q600" i="10"/>
  <c r="R600" i="10"/>
  <c r="S600" i="10"/>
  <c r="U600" i="10"/>
  <c r="L601" i="10"/>
  <c r="O601" i="10" s="1"/>
  <c r="M601" i="10"/>
  <c r="P601" i="10" s="1"/>
  <c r="N601" i="10"/>
  <c r="Q601" i="10"/>
  <c r="T601" i="10" s="1"/>
  <c r="R601" i="10"/>
  <c r="U601" i="10" s="1"/>
  <c r="S601" i="10"/>
  <c r="L602" i="10"/>
  <c r="M602" i="10"/>
  <c r="P602" i="10" s="1"/>
  <c r="N602" i="10"/>
  <c r="O602" i="10"/>
  <c r="Q602" i="10"/>
  <c r="T602" i="10" s="1"/>
  <c r="R602" i="10"/>
  <c r="S602" i="10"/>
  <c r="U602" i="10"/>
  <c r="O603" i="10"/>
  <c r="P603" i="10"/>
  <c r="T603" i="10"/>
  <c r="U603" i="10"/>
  <c r="O604" i="10"/>
  <c r="P604" i="10"/>
  <c r="T604" i="10"/>
  <c r="U604" i="10"/>
  <c r="L605" i="10"/>
  <c r="O605" i="10" s="1"/>
  <c r="M605" i="10"/>
  <c r="P605" i="10" s="1"/>
  <c r="N605" i="10"/>
  <c r="Q605" i="10"/>
  <c r="T605" i="10" s="1"/>
  <c r="R605" i="10"/>
  <c r="U605" i="10" s="1"/>
  <c r="S605" i="10"/>
  <c r="O606" i="10"/>
  <c r="P606" i="10"/>
  <c r="T606" i="10"/>
  <c r="U606" i="10"/>
  <c r="O607" i="10"/>
  <c r="P607" i="10"/>
  <c r="T607" i="10"/>
  <c r="U607" i="10"/>
  <c r="L617" i="10"/>
  <c r="M617" i="10"/>
  <c r="P617" i="10" s="1"/>
  <c r="N617" i="10"/>
  <c r="Q617" i="10"/>
  <c r="R617" i="10"/>
  <c r="U617" i="10" s="1"/>
  <c r="S617" i="10"/>
  <c r="T617" i="10"/>
  <c r="L618" i="10"/>
  <c r="O618" i="10" s="1"/>
  <c r="M618" i="10"/>
  <c r="M616" i="10" s="1"/>
  <c r="P616" i="10" s="1"/>
  <c r="N618" i="10"/>
  <c r="P618" i="10"/>
  <c r="L619" i="10"/>
  <c r="O619" i="10" s="1"/>
  <c r="M619" i="10"/>
  <c r="N619" i="10"/>
  <c r="P619" i="10"/>
  <c r="O620" i="10"/>
  <c r="P620" i="10"/>
  <c r="T620" i="10"/>
  <c r="U620" i="10"/>
  <c r="O621" i="10"/>
  <c r="P621" i="10"/>
  <c r="Q621" i="10"/>
  <c r="Q618" i="10" s="1"/>
  <c r="R621" i="10"/>
  <c r="S621" i="10"/>
  <c r="L622" i="10"/>
  <c r="M622" i="10"/>
  <c r="P622" i="10" s="1"/>
  <c r="N622" i="10"/>
  <c r="O622" i="10"/>
  <c r="Q622" i="10"/>
  <c r="T622" i="10" s="1"/>
  <c r="R622" i="10"/>
  <c r="S622" i="10"/>
  <c r="U622" i="10"/>
  <c r="O623" i="10"/>
  <c r="P623" i="10"/>
  <c r="T623" i="10"/>
  <c r="U623" i="10"/>
  <c r="O624" i="10"/>
  <c r="P624" i="10"/>
  <c r="T624" i="10"/>
  <c r="U624" i="10"/>
  <c r="I626" i="10"/>
  <c r="I627" i="10"/>
  <c r="K627" i="10" s="1"/>
  <c r="I628" i="10"/>
  <c r="K628" i="10" s="1"/>
  <c r="J632" i="10"/>
  <c r="J626" i="10" s="1"/>
  <c r="J615" i="10" s="1"/>
  <c r="I635" i="10"/>
  <c r="K635" i="10" s="1"/>
  <c r="J636" i="10"/>
  <c r="J635" i="10" s="1"/>
  <c r="N642" i="10"/>
  <c r="L643" i="10"/>
  <c r="M643" i="10"/>
  <c r="N643" i="10"/>
  <c r="O643" i="10"/>
  <c r="Q643" i="10"/>
  <c r="T643" i="10" s="1"/>
  <c r="R643" i="10"/>
  <c r="U643" i="10" s="1"/>
  <c r="S643" i="10"/>
  <c r="L644" i="10"/>
  <c r="L642" i="10" s="1"/>
  <c r="O642" i="10" s="1"/>
  <c r="M644" i="10"/>
  <c r="P644" i="10" s="1"/>
  <c r="N644" i="10"/>
  <c r="O644" i="10"/>
  <c r="L645" i="10"/>
  <c r="M645" i="10"/>
  <c r="P645" i="10" s="1"/>
  <c r="N645" i="10"/>
  <c r="O645" i="10"/>
  <c r="O646" i="10"/>
  <c r="P646" i="10"/>
  <c r="T646" i="10"/>
  <c r="U646" i="10"/>
  <c r="O647" i="10"/>
  <c r="P647" i="10"/>
  <c r="Q647" i="10"/>
  <c r="R647" i="10"/>
  <c r="S647" i="10"/>
  <c r="L648" i="10"/>
  <c r="O648" i="10" s="1"/>
  <c r="M648" i="10"/>
  <c r="N648" i="10"/>
  <c r="P648" i="10"/>
  <c r="Q648" i="10"/>
  <c r="T648" i="10" s="1"/>
  <c r="R648" i="10"/>
  <c r="U648" i="10" s="1"/>
  <c r="S648" i="10"/>
  <c r="O649" i="10"/>
  <c r="P649" i="10"/>
  <c r="T649" i="10"/>
  <c r="U649" i="10"/>
  <c r="O650" i="10"/>
  <c r="P650" i="10"/>
  <c r="T650" i="10"/>
  <c r="U650" i="10"/>
  <c r="I652" i="10"/>
  <c r="K652" i="10" s="1"/>
  <c r="J652" i="10"/>
  <c r="I653" i="10"/>
  <c r="K653" i="10" s="1"/>
  <c r="J653" i="10"/>
  <c r="I654" i="10"/>
  <c r="K654" i="10" s="1"/>
  <c r="J654" i="10"/>
  <c r="I657" i="10"/>
  <c r="I660" i="10"/>
  <c r="I661" i="10"/>
  <c r="K661" i="10" s="1"/>
  <c r="J661" i="10"/>
  <c r="J671" i="10"/>
  <c r="J672" i="10"/>
  <c r="I673" i="10"/>
  <c r="K673" i="10" s="1"/>
  <c r="J673" i="10"/>
  <c r="I674" i="10"/>
  <c r="K674" i="10" s="1"/>
  <c r="I675" i="10"/>
  <c r="K675" i="10" s="1"/>
  <c r="I676" i="10"/>
  <c r="K676" i="10" s="1"/>
  <c r="J676" i="10"/>
  <c r="J677" i="10"/>
  <c r="I678" i="10"/>
  <c r="K678" i="10" s="1"/>
  <c r="J678" i="10"/>
  <c r="I679" i="10"/>
  <c r="K679" i="10" s="1"/>
  <c r="J679" i="10"/>
  <c r="J680" i="10"/>
  <c r="I681" i="10"/>
  <c r="K681" i="10" s="1"/>
  <c r="J681" i="10"/>
  <c r="I682" i="10"/>
  <c r="K682" i="10" s="1"/>
  <c r="J682" i="10"/>
  <c r="N690" i="10"/>
  <c r="L691" i="10"/>
  <c r="M691" i="10"/>
  <c r="N691" i="10"/>
  <c r="O691" i="10"/>
  <c r="Q691" i="10"/>
  <c r="T691" i="10" s="1"/>
  <c r="R691" i="10"/>
  <c r="U691" i="10" s="1"/>
  <c r="S691" i="10"/>
  <c r="L692" i="10"/>
  <c r="M692" i="10"/>
  <c r="P692" i="10" s="1"/>
  <c r="N692" i="10"/>
  <c r="O692" i="10"/>
  <c r="L693" i="10"/>
  <c r="M693" i="10"/>
  <c r="P693" i="10" s="1"/>
  <c r="N693" i="10"/>
  <c r="O693" i="10"/>
  <c r="O694" i="10"/>
  <c r="P694" i="10"/>
  <c r="T694" i="10"/>
  <c r="U694" i="10"/>
  <c r="O695" i="10"/>
  <c r="P695" i="10"/>
  <c r="Q695" i="10"/>
  <c r="Q692" i="10" s="1"/>
  <c r="R695" i="10"/>
  <c r="S695" i="10"/>
  <c r="L696" i="10"/>
  <c r="O696" i="10" s="1"/>
  <c r="M696" i="10"/>
  <c r="P696" i="10" s="1"/>
  <c r="N696" i="10"/>
  <c r="Q696" i="10"/>
  <c r="T696" i="10" s="1"/>
  <c r="R696" i="10"/>
  <c r="U696" i="10" s="1"/>
  <c r="S696" i="10"/>
  <c r="O697" i="10"/>
  <c r="P697" i="10"/>
  <c r="T697" i="10"/>
  <c r="U697" i="10"/>
  <c r="O698" i="10"/>
  <c r="P698" i="10"/>
  <c r="T698" i="10"/>
  <c r="U698" i="10"/>
  <c r="I700" i="10"/>
  <c r="K700" i="10" s="1"/>
  <c r="K702" i="10"/>
  <c r="I703" i="10"/>
  <c r="J703" i="10"/>
  <c r="J704" i="10"/>
  <c r="K704" i="10"/>
  <c r="I705" i="10"/>
  <c r="J705" i="10"/>
  <c r="J706" i="10"/>
  <c r="K706" i="10"/>
  <c r="I707" i="10"/>
  <c r="I689" i="10" s="1"/>
  <c r="J707" i="10"/>
  <c r="J689" i="10" s="1"/>
  <c r="J708" i="10"/>
  <c r="K708" i="10"/>
  <c r="I709" i="10"/>
  <c r="J709" i="10"/>
  <c r="J710" i="10"/>
  <c r="K710" i="10"/>
  <c r="J712" i="10"/>
  <c r="K712" i="10"/>
  <c r="L715" i="10"/>
  <c r="M715" i="10"/>
  <c r="M714" i="10" s="1"/>
  <c r="P714" i="10" s="1"/>
  <c r="N715" i="10"/>
  <c r="O715" i="10"/>
  <c r="Q715" i="10"/>
  <c r="R715" i="10"/>
  <c r="R714" i="10" s="1"/>
  <c r="U714" i="10" s="1"/>
  <c r="S715" i="10"/>
  <c r="U715" i="10"/>
  <c r="L716" i="10"/>
  <c r="L714" i="10" s="1"/>
  <c r="O714" i="10" s="1"/>
  <c r="M716" i="10"/>
  <c r="P716" i="10" s="1"/>
  <c r="N716" i="10"/>
  <c r="O716" i="10"/>
  <c r="Q716" i="10"/>
  <c r="T716" i="10" s="1"/>
  <c r="R716" i="10"/>
  <c r="U716" i="10" s="1"/>
  <c r="S716" i="10"/>
  <c r="L717" i="10"/>
  <c r="M717" i="10"/>
  <c r="P717" i="10" s="1"/>
  <c r="N717" i="10"/>
  <c r="O717" i="10"/>
  <c r="Q717" i="10"/>
  <c r="T717" i="10" s="1"/>
  <c r="R717" i="10"/>
  <c r="S717" i="10"/>
  <c r="U717" i="10"/>
  <c r="O718" i="10"/>
  <c r="P718" i="10"/>
  <c r="T718" i="10"/>
  <c r="U718" i="10"/>
  <c r="O719" i="10"/>
  <c r="P719" i="10"/>
  <c r="T719" i="10"/>
  <c r="U719" i="10"/>
  <c r="L720" i="10"/>
  <c r="M720" i="10"/>
  <c r="P720" i="10" s="1"/>
  <c r="N720" i="10"/>
  <c r="O720" i="10"/>
  <c r="Q720" i="10"/>
  <c r="T720" i="10" s="1"/>
  <c r="R720" i="10"/>
  <c r="U720" i="10" s="1"/>
  <c r="S720" i="10"/>
  <c r="O721" i="10"/>
  <c r="P721" i="10"/>
  <c r="T721" i="10"/>
  <c r="U721" i="10"/>
  <c r="O722" i="10"/>
  <c r="P722" i="10"/>
  <c r="T722" i="10"/>
  <c r="U722" i="10"/>
  <c r="I726" i="10"/>
  <c r="J726" i="10"/>
  <c r="I727" i="10"/>
  <c r="K727" i="10" s="1"/>
  <c r="J727" i="10"/>
  <c r="L729" i="10"/>
  <c r="O729" i="10" s="1"/>
  <c r="M729" i="10"/>
  <c r="N729" i="10"/>
  <c r="Q729" i="10"/>
  <c r="R729" i="10"/>
  <c r="U729" i="10" s="1"/>
  <c r="S729" i="10"/>
  <c r="L730" i="10"/>
  <c r="L728" i="10" s="1"/>
  <c r="O728" i="10" s="1"/>
  <c r="M730" i="10"/>
  <c r="P730" i="10" s="1"/>
  <c r="N730" i="10"/>
  <c r="L731" i="10"/>
  <c r="O731" i="10" s="1"/>
  <c r="M731" i="10"/>
  <c r="P731" i="10" s="1"/>
  <c r="N731" i="10"/>
  <c r="O732" i="10"/>
  <c r="P732" i="10"/>
  <c r="T732" i="10"/>
  <c r="U732" i="10"/>
  <c r="O733" i="10"/>
  <c r="P733" i="10"/>
  <c r="Q733" i="10"/>
  <c r="Q731" i="10" s="1"/>
  <c r="R733" i="10"/>
  <c r="R731" i="10" s="1"/>
  <c r="S733" i="10"/>
  <c r="S731" i="10" s="1"/>
  <c r="L734" i="10"/>
  <c r="O734" i="10" s="1"/>
  <c r="M734" i="10"/>
  <c r="P734" i="10" s="1"/>
  <c r="N734" i="10"/>
  <c r="Q734" i="10"/>
  <c r="T734" i="10" s="1"/>
  <c r="R734" i="10"/>
  <c r="U734" i="10" s="1"/>
  <c r="S734" i="10"/>
  <c r="O735" i="10"/>
  <c r="P735" i="10"/>
  <c r="T735" i="10"/>
  <c r="U735" i="10"/>
  <c r="O736" i="10"/>
  <c r="P736" i="10"/>
  <c r="T736" i="10"/>
  <c r="U736" i="10"/>
  <c r="I740" i="10"/>
  <c r="K740" i="10" s="1"/>
  <c r="I742" i="10"/>
  <c r="K742" i="10" s="1"/>
  <c r="I744" i="10"/>
  <c r="K744" i="10" s="1"/>
  <c r="I746" i="10"/>
  <c r="K746" i="10" s="1"/>
  <c r="I749" i="10"/>
  <c r="K749" i="10" s="1"/>
  <c r="I752" i="10"/>
  <c r="K752" i="10" s="1"/>
  <c r="I755" i="10"/>
  <c r="K755" i="10" s="1"/>
  <c r="J758" i="10"/>
  <c r="J759" i="10"/>
  <c r="L761" i="10"/>
  <c r="O761" i="10" s="1"/>
  <c r="M761" i="10"/>
  <c r="P761" i="10" s="1"/>
  <c r="N761" i="10"/>
  <c r="Q761" i="10"/>
  <c r="R761" i="10"/>
  <c r="U761" i="10" s="1"/>
  <c r="S761" i="10"/>
  <c r="T761" i="10"/>
  <c r="L762" i="10"/>
  <c r="O762" i="10" s="1"/>
  <c r="M762" i="10"/>
  <c r="N762" i="10"/>
  <c r="P762" i="10"/>
  <c r="L763" i="10"/>
  <c r="O763" i="10" s="1"/>
  <c r="M763" i="10"/>
  <c r="P763" i="10" s="1"/>
  <c r="N763" i="10"/>
  <c r="O764" i="10"/>
  <c r="P764" i="10"/>
  <c r="T764" i="10"/>
  <c r="U764" i="10"/>
  <c r="O765" i="10"/>
  <c r="P765" i="10"/>
  <c r="Q765" i="10"/>
  <c r="Q763" i="10" s="1"/>
  <c r="T763" i="10" s="1"/>
  <c r="R765" i="10"/>
  <c r="U765" i="10" s="1"/>
  <c r="S765" i="10"/>
  <c r="S762" i="10" s="1"/>
  <c r="S760" i="10" s="1"/>
  <c r="L766" i="10"/>
  <c r="M766" i="10"/>
  <c r="P766" i="10" s="1"/>
  <c r="N766" i="10"/>
  <c r="O766" i="10"/>
  <c r="Q766" i="10"/>
  <c r="T766" i="10" s="1"/>
  <c r="R766" i="10"/>
  <c r="U766" i="10" s="1"/>
  <c r="S766" i="10"/>
  <c r="O767" i="10"/>
  <c r="P767" i="10"/>
  <c r="T767" i="10"/>
  <c r="U767" i="10"/>
  <c r="O768" i="10"/>
  <c r="P768" i="10"/>
  <c r="T768" i="10"/>
  <c r="U768" i="10"/>
  <c r="I770" i="10"/>
  <c r="K770" i="10" s="1"/>
  <c r="I772" i="10"/>
  <c r="K772" i="10" s="1"/>
  <c r="I774" i="10"/>
  <c r="I775" i="10"/>
  <c r="I776" i="10"/>
  <c r="H777" i="10"/>
  <c r="I778" i="10"/>
  <c r="J778" i="10"/>
  <c r="I779" i="10"/>
  <c r="J779" i="10"/>
  <c r="I780" i="10"/>
  <c r="J780" i="10"/>
  <c r="I781" i="10"/>
  <c r="J781" i="10"/>
  <c r="I782" i="10"/>
  <c r="K782" i="10" s="1"/>
  <c r="J782" i="10"/>
  <c r="I783" i="10"/>
  <c r="K783" i="10" s="1"/>
  <c r="J783" i="10"/>
  <c r="I784" i="10"/>
  <c r="J784" i="10"/>
  <c r="I785" i="10"/>
  <c r="J785" i="10"/>
  <c r="A788" i="10"/>
  <c r="A789" i="10"/>
  <c r="L22" i="9"/>
  <c r="M22" i="9"/>
  <c r="N22" i="9"/>
  <c r="N19" i="9" s="1"/>
  <c r="Q22" i="9"/>
  <c r="R22" i="9"/>
  <c r="S22" i="9"/>
  <c r="L25" i="9"/>
  <c r="M25" i="9"/>
  <c r="N25" i="9"/>
  <c r="Q25" i="9"/>
  <c r="T25" i="9" s="1"/>
  <c r="R25" i="9"/>
  <c r="S25" i="9"/>
  <c r="Q26" i="9"/>
  <c r="R26" i="9"/>
  <c r="U26" i="9" s="1"/>
  <c r="S26" i="9"/>
  <c r="T26" i="9"/>
  <c r="L45" i="9"/>
  <c r="O45" i="9" s="1"/>
  <c r="M45" i="9"/>
  <c r="N45" i="9"/>
  <c r="Q45" i="9"/>
  <c r="Q44" i="9" s="1"/>
  <c r="T44" i="9" s="1"/>
  <c r="R45" i="9"/>
  <c r="U45" i="9" s="1"/>
  <c r="S45" i="9"/>
  <c r="S44" i="9" s="1"/>
  <c r="T45" i="9"/>
  <c r="Q46" i="9"/>
  <c r="T46" i="9" s="1"/>
  <c r="R46" i="9"/>
  <c r="R44" i="9" s="1"/>
  <c r="U44" i="9" s="1"/>
  <c r="S46" i="9"/>
  <c r="Q47" i="9"/>
  <c r="T47" i="9" s="1"/>
  <c r="R47" i="9"/>
  <c r="U47" i="9" s="1"/>
  <c r="S47" i="9"/>
  <c r="O48" i="9"/>
  <c r="P48" i="9"/>
  <c r="T48" i="9"/>
  <c r="U48" i="9"/>
  <c r="L49" i="9"/>
  <c r="L47" i="9" s="1"/>
  <c r="M49" i="9"/>
  <c r="M47" i="9" s="1"/>
  <c r="N49" i="9"/>
  <c r="T49" i="9"/>
  <c r="U49" i="9"/>
  <c r="Q50" i="9"/>
  <c r="R50" i="9"/>
  <c r="U50" i="9" s="1"/>
  <c r="S50" i="9"/>
  <c r="T50" i="9"/>
  <c r="O51" i="9"/>
  <c r="P51" i="9"/>
  <c r="T51" i="9"/>
  <c r="U51" i="9"/>
  <c r="L52" i="9"/>
  <c r="M52" i="9"/>
  <c r="N52" i="9"/>
  <c r="N50" i="9" s="1"/>
  <c r="T52" i="9"/>
  <c r="U52" i="9"/>
  <c r="R59" i="9"/>
  <c r="U59" i="9" s="1"/>
  <c r="L60" i="9"/>
  <c r="O60" i="9" s="1"/>
  <c r="M60" i="9"/>
  <c r="N60" i="9"/>
  <c r="Q60" i="9"/>
  <c r="T60" i="9" s="1"/>
  <c r="R60" i="9"/>
  <c r="U60" i="9" s="1"/>
  <c r="S60" i="9"/>
  <c r="S59" i="9" s="1"/>
  <c r="Q61" i="9"/>
  <c r="T61" i="9" s="1"/>
  <c r="R61" i="9"/>
  <c r="S61" i="9"/>
  <c r="U61" i="9"/>
  <c r="Q62" i="9"/>
  <c r="T62" i="9" s="1"/>
  <c r="R62" i="9"/>
  <c r="U62" i="9" s="1"/>
  <c r="S62" i="9"/>
  <c r="O63" i="9"/>
  <c r="P63" i="9"/>
  <c r="T63" i="9"/>
  <c r="U63" i="9"/>
  <c r="L64" i="9"/>
  <c r="L62" i="9" s="1"/>
  <c r="M64" i="9"/>
  <c r="M62" i="9" s="1"/>
  <c r="N64" i="9"/>
  <c r="T64" i="9"/>
  <c r="U64" i="9"/>
  <c r="Q65" i="9"/>
  <c r="T65" i="9" s="1"/>
  <c r="R65" i="9"/>
  <c r="S65" i="9"/>
  <c r="U65" i="9"/>
  <c r="O66" i="9"/>
  <c r="P66" i="9"/>
  <c r="T66" i="9"/>
  <c r="U66" i="9"/>
  <c r="L67" i="9"/>
  <c r="M67" i="9"/>
  <c r="N67" i="9"/>
  <c r="N65" i="9" s="1"/>
  <c r="T67" i="9"/>
  <c r="U67" i="9"/>
  <c r="L73" i="9"/>
  <c r="O73" i="9" s="1"/>
  <c r="M73" i="9"/>
  <c r="N73" i="9"/>
  <c r="Q73" i="9"/>
  <c r="R73" i="9"/>
  <c r="U73" i="9" s="1"/>
  <c r="S73" i="9"/>
  <c r="T73" i="9"/>
  <c r="O76" i="9"/>
  <c r="P76" i="9"/>
  <c r="T76" i="9"/>
  <c r="U76" i="9"/>
  <c r="L77" i="9"/>
  <c r="O77" i="9" s="1"/>
  <c r="M77" i="9"/>
  <c r="M75" i="9" s="1"/>
  <c r="P75" i="9" s="1"/>
  <c r="N77" i="9"/>
  <c r="Q77" i="9"/>
  <c r="Q74" i="9" s="1"/>
  <c r="T74" i="9" s="1"/>
  <c r="R77" i="9"/>
  <c r="R74" i="9" s="1"/>
  <c r="R72" i="9" s="1"/>
  <c r="U72" i="9" s="1"/>
  <c r="S77" i="9"/>
  <c r="S75" i="9" s="1"/>
  <c r="Q78" i="9"/>
  <c r="T78" i="9" s="1"/>
  <c r="R78" i="9"/>
  <c r="U78" i="9" s="1"/>
  <c r="S78" i="9"/>
  <c r="O79" i="9"/>
  <c r="P79" i="9"/>
  <c r="T79" i="9"/>
  <c r="U79" i="9"/>
  <c r="L80" i="9"/>
  <c r="L78" i="9" s="1"/>
  <c r="O78" i="9" s="1"/>
  <c r="M80" i="9"/>
  <c r="M78" i="9" s="1"/>
  <c r="P78" i="9" s="1"/>
  <c r="N80" i="9"/>
  <c r="N78" i="9" s="1"/>
  <c r="T80" i="9"/>
  <c r="U80" i="9"/>
  <c r="J82" i="9"/>
  <c r="J70" i="9" s="1"/>
  <c r="J83" i="9"/>
  <c r="J71" i="9" s="1"/>
  <c r="I84" i="9"/>
  <c r="K84" i="9" s="1"/>
  <c r="I85" i="9"/>
  <c r="K85" i="9" s="1"/>
  <c r="I86" i="9"/>
  <c r="K86" i="9" s="1"/>
  <c r="I87" i="9"/>
  <c r="K87" i="9" s="1"/>
  <c r="I88" i="9"/>
  <c r="K88" i="9" s="1"/>
  <c r="I89" i="9"/>
  <c r="K89" i="9" s="1"/>
  <c r="I90" i="9"/>
  <c r="K90" i="9" s="1"/>
  <c r="J92" i="9"/>
  <c r="J93" i="9"/>
  <c r="L95" i="9"/>
  <c r="O95" i="9" s="1"/>
  <c r="M95" i="9"/>
  <c r="N95" i="9"/>
  <c r="P95" i="9"/>
  <c r="Q95" i="9"/>
  <c r="R95" i="9"/>
  <c r="U95" i="9" s="1"/>
  <c r="S95" i="9"/>
  <c r="T95" i="9"/>
  <c r="O98" i="9"/>
  <c r="P98" i="9"/>
  <c r="T98" i="9"/>
  <c r="U98" i="9"/>
  <c r="L99" i="9"/>
  <c r="L97" i="9" s="1"/>
  <c r="O97" i="9" s="1"/>
  <c r="M99" i="9"/>
  <c r="M97" i="9" s="1"/>
  <c r="P97" i="9" s="1"/>
  <c r="N99" i="9"/>
  <c r="N97" i="9" s="1"/>
  <c r="Q99" i="9"/>
  <c r="R99" i="9"/>
  <c r="R96" i="9" s="1"/>
  <c r="S99" i="9"/>
  <c r="S96" i="9" s="1"/>
  <c r="S94" i="9" s="1"/>
  <c r="Q100" i="9"/>
  <c r="T100" i="9" s="1"/>
  <c r="R100" i="9"/>
  <c r="U100" i="9" s="1"/>
  <c r="S100" i="9"/>
  <c r="O101" i="9"/>
  <c r="P101" i="9"/>
  <c r="T101" i="9"/>
  <c r="U101" i="9"/>
  <c r="L102" i="9"/>
  <c r="O102" i="9" s="1"/>
  <c r="M102" i="9"/>
  <c r="P102" i="9" s="1"/>
  <c r="N102" i="9"/>
  <c r="N100" i="9" s="1"/>
  <c r="T102" i="9"/>
  <c r="U102" i="9"/>
  <c r="I108" i="9"/>
  <c r="K108" i="9" s="1"/>
  <c r="I109" i="9"/>
  <c r="K109" i="9" s="1"/>
  <c r="I113" i="9"/>
  <c r="K113" i="9" s="1"/>
  <c r="I114" i="9"/>
  <c r="K114" i="9" s="1"/>
  <c r="J116" i="9"/>
  <c r="L118" i="9"/>
  <c r="M118" i="9"/>
  <c r="N118" i="9"/>
  <c r="Q118" i="9"/>
  <c r="T118" i="9" s="1"/>
  <c r="R118" i="9"/>
  <c r="S118" i="9"/>
  <c r="O121" i="9"/>
  <c r="P121" i="9"/>
  <c r="T121" i="9"/>
  <c r="U121" i="9"/>
  <c r="L122" i="9"/>
  <c r="L120" i="9" s="1"/>
  <c r="O120" i="9" s="1"/>
  <c r="M122" i="9"/>
  <c r="P122" i="9" s="1"/>
  <c r="N122" i="9"/>
  <c r="Q122" i="9"/>
  <c r="Q119" i="9" s="1"/>
  <c r="R122" i="9"/>
  <c r="R120" i="9" s="1"/>
  <c r="S122" i="9"/>
  <c r="S119" i="9" s="1"/>
  <c r="Q123" i="9"/>
  <c r="T123" i="9" s="1"/>
  <c r="R123" i="9"/>
  <c r="S123" i="9"/>
  <c r="U123" i="9"/>
  <c r="O124" i="9"/>
  <c r="P124" i="9"/>
  <c r="T124" i="9"/>
  <c r="U124" i="9"/>
  <c r="L125" i="9"/>
  <c r="L123" i="9" s="1"/>
  <c r="O123" i="9" s="1"/>
  <c r="M125" i="9"/>
  <c r="P125" i="9" s="1"/>
  <c r="N125" i="9"/>
  <c r="N123" i="9" s="1"/>
  <c r="T125" i="9"/>
  <c r="U125" i="9"/>
  <c r="I127" i="9"/>
  <c r="I116" i="9" s="1"/>
  <c r="K116" i="9" s="1"/>
  <c r="I128" i="9"/>
  <c r="K128" i="9" s="1"/>
  <c r="I129" i="9"/>
  <c r="K129" i="9" s="1"/>
  <c r="I130" i="9"/>
  <c r="K130" i="9" s="1"/>
  <c r="J136" i="9"/>
  <c r="J137" i="9"/>
  <c r="J138" i="9"/>
  <c r="L140" i="9"/>
  <c r="M140" i="9"/>
  <c r="P140" i="9" s="1"/>
  <c r="N140" i="9"/>
  <c r="O140" i="9"/>
  <c r="Q140" i="9"/>
  <c r="R140" i="9"/>
  <c r="S140" i="9"/>
  <c r="U140" i="9"/>
  <c r="O143" i="9"/>
  <c r="P143" i="9"/>
  <c r="T143" i="9"/>
  <c r="U143" i="9"/>
  <c r="L144" i="9"/>
  <c r="M144" i="9"/>
  <c r="N144" i="9"/>
  <c r="N142" i="9" s="1"/>
  <c r="Q144" i="9"/>
  <c r="T144" i="9" s="1"/>
  <c r="R144" i="9"/>
  <c r="S144" i="9"/>
  <c r="Q145" i="9"/>
  <c r="T145" i="9" s="1"/>
  <c r="R145" i="9"/>
  <c r="S145" i="9"/>
  <c r="U145" i="9"/>
  <c r="O146" i="9"/>
  <c r="P146" i="9"/>
  <c r="T146" i="9"/>
  <c r="U146" i="9"/>
  <c r="L147" i="9"/>
  <c r="M147" i="9"/>
  <c r="N147" i="9"/>
  <c r="N145" i="9" s="1"/>
  <c r="T147" i="9"/>
  <c r="U147" i="9"/>
  <c r="I150" i="9"/>
  <c r="K150" i="9" s="1"/>
  <c r="I151" i="9"/>
  <c r="K151" i="9" s="1"/>
  <c r="I152" i="9"/>
  <c r="I137" i="9" s="1"/>
  <c r="K137" i="9" s="1"/>
  <c r="I153" i="9"/>
  <c r="K153" i="9" s="1"/>
  <c r="I154" i="9"/>
  <c r="K154" i="9" s="1"/>
  <c r="J156" i="9"/>
  <c r="L158" i="9"/>
  <c r="M158" i="9"/>
  <c r="N158" i="9"/>
  <c r="Q158" i="9"/>
  <c r="T158" i="9" s="1"/>
  <c r="R158" i="9"/>
  <c r="S158" i="9"/>
  <c r="O161" i="9"/>
  <c r="P161" i="9"/>
  <c r="T161" i="9"/>
  <c r="U161" i="9"/>
  <c r="L162" i="9"/>
  <c r="L160" i="9" s="1"/>
  <c r="O160" i="9" s="1"/>
  <c r="M162" i="9"/>
  <c r="M160" i="9" s="1"/>
  <c r="N162" i="9"/>
  <c r="Q162" i="9"/>
  <c r="R162" i="9"/>
  <c r="R160" i="9" s="1"/>
  <c r="U160" i="9" s="1"/>
  <c r="S162" i="9"/>
  <c r="S159" i="9" s="1"/>
  <c r="Q163" i="9"/>
  <c r="T163" i="9" s="1"/>
  <c r="R163" i="9"/>
  <c r="S163" i="9"/>
  <c r="U163" i="9"/>
  <c r="O164" i="9"/>
  <c r="P164" i="9"/>
  <c r="T164" i="9"/>
  <c r="U164" i="9"/>
  <c r="L165" i="9"/>
  <c r="L163" i="9" s="1"/>
  <c r="O163" i="9" s="1"/>
  <c r="M165" i="9"/>
  <c r="P165" i="9" s="1"/>
  <c r="N165" i="9"/>
  <c r="N163" i="9" s="1"/>
  <c r="T165" i="9"/>
  <c r="U165" i="9"/>
  <c r="I167" i="9"/>
  <c r="K167" i="9" s="1"/>
  <c r="I168" i="9"/>
  <c r="K168" i="9" s="1"/>
  <c r="I169" i="9"/>
  <c r="J172" i="9"/>
  <c r="L174" i="9"/>
  <c r="M174" i="9"/>
  <c r="P174" i="9" s="1"/>
  <c r="N174" i="9"/>
  <c r="O174" i="9"/>
  <c r="Q174" i="9"/>
  <c r="T174" i="9" s="1"/>
  <c r="R174" i="9"/>
  <c r="S174" i="9"/>
  <c r="O177" i="9"/>
  <c r="P177" i="9"/>
  <c r="T177" i="9"/>
  <c r="U177" i="9"/>
  <c r="L178" i="9"/>
  <c r="M178" i="9"/>
  <c r="M176" i="9" s="1"/>
  <c r="N178" i="9"/>
  <c r="N176" i="9" s="1"/>
  <c r="Q178" i="9"/>
  <c r="Q176" i="9" s="1"/>
  <c r="T176" i="9" s="1"/>
  <c r="R178" i="9"/>
  <c r="S178" i="9"/>
  <c r="S175" i="9" s="1"/>
  <c r="S173" i="9" s="1"/>
  <c r="Q179" i="9"/>
  <c r="T179" i="9" s="1"/>
  <c r="R179" i="9"/>
  <c r="S179" i="9"/>
  <c r="U179" i="9"/>
  <c r="O180" i="9"/>
  <c r="P180" i="9"/>
  <c r="T180" i="9"/>
  <c r="U180" i="9"/>
  <c r="L181" i="9"/>
  <c r="M181" i="9"/>
  <c r="N181" i="9"/>
  <c r="N179" i="9" s="1"/>
  <c r="T181" i="9"/>
  <c r="U181" i="9"/>
  <c r="I183" i="9"/>
  <c r="K184" i="9"/>
  <c r="L187" i="9"/>
  <c r="O187" i="9" s="1"/>
  <c r="M187" i="9"/>
  <c r="N187" i="9"/>
  <c r="Q187" i="9"/>
  <c r="R187" i="9"/>
  <c r="U187" i="9" s="1"/>
  <c r="S187" i="9"/>
  <c r="T187" i="9"/>
  <c r="O190" i="9"/>
  <c r="P190" i="9"/>
  <c r="T190" i="9"/>
  <c r="U190" i="9"/>
  <c r="L191" i="9"/>
  <c r="M191" i="9"/>
  <c r="M189" i="9" s="1"/>
  <c r="N191" i="9"/>
  <c r="N189" i="9" s="1"/>
  <c r="Q191" i="9"/>
  <c r="Q188" i="9" s="1"/>
  <c r="R191" i="9"/>
  <c r="R188" i="9" s="1"/>
  <c r="S191" i="9"/>
  <c r="S188" i="9" s="1"/>
  <c r="Q192" i="9"/>
  <c r="T192" i="9" s="1"/>
  <c r="R192" i="9"/>
  <c r="U192" i="9" s="1"/>
  <c r="S192" i="9"/>
  <c r="O193" i="9"/>
  <c r="P193" i="9"/>
  <c r="T193" i="9"/>
  <c r="U193" i="9"/>
  <c r="L194" i="9"/>
  <c r="L192" i="9" s="1"/>
  <c r="O192" i="9" s="1"/>
  <c r="M194" i="9"/>
  <c r="P194" i="9" s="1"/>
  <c r="N194" i="9"/>
  <c r="N192" i="9" s="1"/>
  <c r="T194" i="9"/>
  <c r="U194" i="9"/>
  <c r="J195" i="9"/>
  <c r="L196" i="9"/>
  <c r="O196" i="9" s="1"/>
  <c r="P196" i="9"/>
  <c r="I198" i="9"/>
  <c r="I195" i="9" s="1"/>
  <c r="K195" i="9" s="1"/>
  <c r="J199" i="9"/>
  <c r="J202" i="9"/>
  <c r="N203" i="9"/>
  <c r="P203" i="9"/>
  <c r="S203" i="9"/>
  <c r="U203" i="9"/>
  <c r="L204" i="9"/>
  <c r="L205" i="9"/>
  <c r="L206" i="9"/>
  <c r="Q206" i="9"/>
  <c r="Q203" i="9" s="1"/>
  <c r="L207" i="9"/>
  <c r="I209" i="9"/>
  <c r="I202" i="9" s="1"/>
  <c r="K202" i="9" s="1"/>
  <c r="I211" i="9"/>
  <c r="K211" i="9" s="1"/>
  <c r="I212" i="9"/>
  <c r="K212" i="9" s="1"/>
  <c r="J213" i="9"/>
  <c r="N214" i="9"/>
  <c r="P214" i="9"/>
  <c r="S214" i="9"/>
  <c r="U214" i="9"/>
  <c r="L215" i="9"/>
  <c r="L216" i="9"/>
  <c r="L217" i="9"/>
  <c r="Q217" i="9"/>
  <c r="Q214" i="9" s="1"/>
  <c r="T214" i="9" s="1"/>
  <c r="I219" i="9"/>
  <c r="K219" i="9" s="1"/>
  <c r="I220" i="9"/>
  <c r="K220" i="9" s="1"/>
  <c r="J221" i="9"/>
  <c r="N222" i="9"/>
  <c r="P222" i="9"/>
  <c r="L223" i="9"/>
  <c r="L224" i="9"/>
  <c r="L225" i="9"/>
  <c r="I228" i="9"/>
  <c r="K228" i="9" s="1"/>
  <c r="I229" i="9"/>
  <c r="I221" i="9" s="1"/>
  <c r="K221" i="9" s="1"/>
  <c r="I230" i="9"/>
  <c r="K230" i="9" s="1"/>
  <c r="N233" i="9"/>
  <c r="N234" i="9"/>
  <c r="N235" i="9"/>
  <c r="N236" i="9"/>
  <c r="J238" i="9"/>
  <c r="I240" i="9"/>
  <c r="K240" i="9" s="1"/>
  <c r="J240" i="9"/>
  <c r="I241" i="9"/>
  <c r="K241" i="9" s="1"/>
  <c r="J241" i="9"/>
  <c r="J242" i="9"/>
  <c r="J231" i="9" s="1"/>
  <c r="J185" i="9" s="1"/>
  <c r="N243" i="9"/>
  <c r="P243" i="9"/>
  <c r="L244" i="9"/>
  <c r="L245" i="9"/>
  <c r="L246" i="9"/>
  <c r="L247" i="9"/>
  <c r="I249" i="9"/>
  <c r="K251" i="9"/>
  <c r="K252" i="9"/>
  <c r="J253" i="9"/>
  <c r="N254" i="9"/>
  <c r="P254" i="9"/>
  <c r="L255" i="9"/>
  <c r="L256" i="9"/>
  <c r="L257" i="9"/>
  <c r="L258" i="9"/>
  <c r="I260" i="9"/>
  <c r="K260" i="9" s="1"/>
  <c r="K262" i="9"/>
  <c r="K263" i="9"/>
  <c r="J265" i="9"/>
  <c r="L267" i="9"/>
  <c r="M267" i="9"/>
  <c r="N267" i="9"/>
  <c r="O267" i="9"/>
  <c r="P267" i="9"/>
  <c r="Q267" i="9"/>
  <c r="R267" i="9"/>
  <c r="S267" i="9"/>
  <c r="T267" i="9"/>
  <c r="U267" i="9"/>
  <c r="O270" i="9"/>
  <c r="P270" i="9"/>
  <c r="T270" i="9"/>
  <c r="U270" i="9"/>
  <c r="L271" i="9"/>
  <c r="M271" i="9"/>
  <c r="N271" i="9"/>
  <c r="Q271" i="9"/>
  <c r="Q268" i="9" s="1"/>
  <c r="R271" i="9"/>
  <c r="S271" i="9"/>
  <c r="S268" i="9" s="1"/>
  <c r="Q272" i="9"/>
  <c r="T272" i="9" s="1"/>
  <c r="R272" i="9"/>
  <c r="U272" i="9" s="1"/>
  <c r="S272" i="9"/>
  <c r="O273" i="9"/>
  <c r="P273" i="9"/>
  <c r="T273" i="9"/>
  <c r="U273" i="9"/>
  <c r="L274" i="9"/>
  <c r="M274" i="9"/>
  <c r="P274" i="9" s="1"/>
  <c r="N274" i="9"/>
  <c r="N272" i="9" s="1"/>
  <c r="T274" i="9"/>
  <c r="U274" i="9"/>
  <c r="I276" i="9"/>
  <c r="I265" i="9" s="1"/>
  <c r="K265" i="9" s="1"/>
  <c r="J281" i="9"/>
  <c r="L283" i="9"/>
  <c r="M283" i="9"/>
  <c r="N283" i="9"/>
  <c r="P283" i="9"/>
  <c r="Q283" i="9"/>
  <c r="R283" i="9"/>
  <c r="S283" i="9"/>
  <c r="Q284" i="9"/>
  <c r="T284" i="9" s="1"/>
  <c r="R284" i="9"/>
  <c r="U284" i="9" s="1"/>
  <c r="S284" i="9"/>
  <c r="Q285" i="9"/>
  <c r="R285" i="9"/>
  <c r="U285" i="9" s="1"/>
  <c r="S285" i="9"/>
  <c r="T285" i="9"/>
  <c r="O286" i="9"/>
  <c r="P286" i="9"/>
  <c r="T286" i="9"/>
  <c r="U286" i="9"/>
  <c r="L287" i="9"/>
  <c r="M287" i="9"/>
  <c r="N287" i="9"/>
  <c r="T287" i="9"/>
  <c r="U287" i="9"/>
  <c r="Q288" i="9"/>
  <c r="T288" i="9" s="1"/>
  <c r="R288" i="9"/>
  <c r="U288" i="9" s="1"/>
  <c r="S288" i="9"/>
  <c r="O289" i="9"/>
  <c r="P289" i="9"/>
  <c r="T289" i="9"/>
  <c r="U289" i="9"/>
  <c r="L290" i="9"/>
  <c r="L288" i="9" s="1"/>
  <c r="O288" i="9" s="1"/>
  <c r="M290" i="9"/>
  <c r="P290" i="9" s="1"/>
  <c r="N290" i="9"/>
  <c r="N288" i="9" s="1"/>
  <c r="T290" i="9"/>
  <c r="U290" i="9"/>
  <c r="I292" i="9"/>
  <c r="I281" i="9" s="1"/>
  <c r="K281" i="9" s="1"/>
  <c r="I293" i="9"/>
  <c r="J293" i="9"/>
  <c r="J280" i="9" s="1"/>
  <c r="I295" i="9"/>
  <c r="K295" i="9" s="1"/>
  <c r="I296" i="9"/>
  <c r="K296" i="9" s="1"/>
  <c r="J302" i="9"/>
  <c r="L304" i="9"/>
  <c r="M304" i="9"/>
  <c r="N304" i="9"/>
  <c r="P304" i="9"/>
  <c r="Q304" i="9"/>
  <c r="R304" i="9"/>
  <c r="S304" i="9"/>
  <c r="O307" i="9"/>
  <c r="P307" i="9"/>
  <c r="T307" i="9"/>
  <c r="U307" i="9"/>
  <c r="L308" i="9"/>
  <c r="M308" i="9"/>
  <c r="N308" i="9"/>
  <c r="Q308" i="9"/>
  <c r="Q306" i="9" s="1"/>
  <c r="R308" i="9"/>
  <c r="R305" i="9" s="1"/>
  <c r="S308" i="9"/>
  <c r="Q309" i="9"/>
  <c r="T309" i="9" s="1"/>
  <c r="R309" i="9"/>
  <c r="S309" i="9"/>
  <c r="U309" i="9"/>
  <c r="O310" i="9"/>
  <c r="P310" i="9"/>
  <c r="T310" i="9"/>
  <c r="U310" i="9"/>
  <c r="L311" i="9"/>
  <c r="M311" i="9"/>
  <c r="N311" i="9"/>
  <c r="N309" i="9" s="1"/>
  <c r="T311" i="9"/>
  <c r="U311" i="9"/>
  <c r="I314" i="9"/>
  <c r="K314" i="9" s="1"/>
  <c r="J319" i="9"/>
  <c r="R320" i="9"/>
  <c r="U320" i="9" s="1"/>
  <c r="L321" i="9"/>
  <c r="O321" i="9" s="1"/>
  <c r="M321" i="9"/>
  <c r="N321" i="9"/>
  <c r="P321" i="9"/>
  <c r="Q321" i="9"/>
  <c r="R321" i="9"/>
  <c r="U321" i="9" s="1"/>
  <c r="S321" i="9"/>
  <c r="S320" i="9" s="1"/>
  <c r="T321" i="9"/>
  <c r="Q322" i="9"/>
  <c r="T322" i="9" s="1"/>
  <c r="R322" i="9"/>
  <c r="U322" i="9" s="1"/>
  <c r="S322" i="9"/>
  <c r="Q323" i="9"/>
  <c r="T323" i="9" s="1"/>
  <c r="R323" i="9"/>
  <c r="U323" i="9" s="1"/>
  <c r="S323" i="9"/>
  <c r="O324" i="9"/>
  <c r="P324" i="9"/>
  <c r="T324" i="9"/>
  <c r="U324" i="9"/>
  <c r="L325" i="9"/>
  <c r="L323" i="9" s="1"/>
  <c r="O323" i="9" s="1"/>
  <c r="M325" i="9"/>
  <c r="M323" i="9" s="1"/>
  <c r="P323" i="9" s="1"/>
  <c r="N325" i="9"/>
  <c r="N323" i="9" s="1"/>
  <c r="T325" i="9"/>
  <c r="U325" i="9"/>
  <c r="Q326" i="9"/>
  <c r="T326" i="9" s="1"/>
  <c r="R326" i="9"/>
  <c r="S326" i="9"/>
  <c r="U326" i="9"/>
  <c r="O327" i="9"/>
  <c r="P327" i="9"/>
  <c r="T327" i="9"/>
  <c r="U327" i="9"/>
  <c r="L328" i="9"/>
  <c r="L326" i="9" s="1"/>
  <c r="O326" i="9" s="1"/>
  <c r="M328" i="9"/>
  <c r="N328" i="9"/>
  <c r="N326" i="9" s="1"/>
  <c r="T328" i="9"/>
  <c r="U328" i="9"/>
  <c r="I330" i="9"/>
  <c r="I319" i="9" s="1"/>
  <c r="K319" i="9" s="1"/>
  <c r="L334" i="9"/>
  <c r="M334" i="9"/>
  <c r="N334" i="9"/>
  <c r="O334" i="9"/>
  <c r="P334" i="9"/>
  <c r="Q334" i="9"/>
  <c r="R334" i="9"/>
  <c r="S334" i="9"/>
  <c r="S333" i="9" s="1"/>
  <c r="U334" i="9"/>
  <c r="Q335" i="9"/>
  <c r="T335" i="9" s="1"/>
  <c r="R335" i="9"/>
  <c r="U335" i="9" s="1"/>
  <c r="S335" i="9"/>
  <c r="Q336" i="9"/>
  <c r="T336" i="9" s="1"/>
  <c r="R336" i="9"/>
  <c r="U336" i="9" s="1"/>
  <c r="S336" i="9"/>
  <c r="O337" i="9"/>
  <c r="P337" i="9"/>
  <c r="T337" i="9"/>
  <c r="U337" i="9"/>
  <c r="L338" i="9"/>
  <c r="M338" i="9"/>
  <c r="N338" i="9"/>
  <c r="T338" i="9"/>
  <c r="U338" i="9"/>
  <c r="Q339" i="9"/>
  <c r="T339" i="9" s="1"/>
  <c r="R339" i="9"/>
  <c r="U339" i="9" s="1"/>
  <c r="S339" i="9"/>
  <c r="O340" i="9"/>
  <c r="P340" i="9"/>
  <c r="T340" i="9"/>
  <c r="U340" i="9"/>
  <c r="L341" i="9"/>
  <c r="O341" i="9" s="1"/>
  <c r="M341" i="9"/>
  <c r="M339" i="9" s="1"/>
  <c r="P339" i="9" s="1"/>
  <c r="N341" i="9"/>
  <c r="N339" i="9" s="1"/>
  <c r="T341" i="9"/>
  <c r="U341" i="9"/>
  <c r="I344" i="9"/>
  <c r="J344" i="9"/>
  <c r="I346" i="9"/>
  <c r="J346" i="9"/>
  <c r="J347" i="9"/>
  <c r="J348" i="9"/>
  <c r="J349" i="9"/>
  <c r="D350" i="9"/>
  <c r="J352" i="9"/>
  <c r="J353" i="9"/>
  <c r="D354" i="9"/>
  <c r="L357" i="9"/>
  <c r="M357" i="9"/>
  <c r="N357" i="9"/>
  <c r="Q357" i="9"/>
  <c r="Q356" i="9" s="1"/>
  <c r="T356" i="9" s="1"/>
  <c r="R357" i="9"/>
  <c r="S357" i="9"/>
  <c r="T357" i="9"/>
  <c r="Q358" i="9"/>
  <c r="T358" i="9" s="1"/>
  <c r="R358" i="9"/>
  <c r="S358" i="9"/>
  <c r="U358" i="9"/>
  <c r="Q359" i="9"/>
  <c r="T359" i="9" s="1"/>
  <c r="R359" i="9"/>
  <c r="U359" i="9" s="1"/>
  <c r="S359" i="9"/>
  <c r="O360" i="9"/>
  <c r="P360" i="9"/>
  <c r="T360" i="9"/>
  <c r="U360" i="9"/>
  <c r="L361" i="9"/>
  <c r="M361" i="9"/>
  <c r="N361" i="9"/>
  <c r="T361" i="9"/>
  <c r="U361" i="9"/>
  <c r="Q362" i="9"/>
  <c r="T362" i="9" s="1"/>
  <c r="R362" i="9"/>
  <c r="S362" i="9"/>
  <c r="U362" i="9"/>
  <c r="O363" i="9"/>
  <c r="P363" i="9"/>
  <c r="T363" i="9"/>
  <c r="U363" i="9"/>
  <c r="L364" i="9"/>
  <c r="M364" i="9"/>
  <c r="P364" i="9" s="1"/>
  <c r="N364" i="9"/>
  <c r="N362" i="9" s="1"/>
  <c r="T364" i="9"/>
  <c r="U364" i="9"/>
  <c r="J367" i="9"/>
  <c r="K367" i="9"/>
  <c r="I368" i="9"/>
  <c r="J368" i="9"/>
  <c r="I369" i="9"/>
  <c r="J369" i="9"/>
  <c r="J370" i="9"/>
  <c r="K370" i="9"/>
  <c r="I371" i="9"/>
  <c r="I365" i="9" s="1"/>
  <c r="J371" i="9"/>
  <c r="J365" i="9" s="1"/>
  <c r="J372" i="9"/>
  <c r="K372" i="9"/>
  <c r="D373" i="9"/>
  <c r="L375" i="9"/>
  <c r="O375" i="9" s="1"/>
  <c r="L376" i="9"/>
  <c r="M376" i="9"/>
  <c r="M375" i="9" s="1"/>
  <c r="P375" i="9" s="1"/>
  <c r="N376" i="9"/>
  <c r="N375" i="9" s="1"/>
  <c r="O376" i="9"/>
  <c r="Q376" i="9"/>
  <c r="R376" i="9"/>
  <c r="S376" i="9"/>
  <c r="T376" i="9"/>
  <c r="U376" i="9"/>
  <c r="L377" i="9"/>
  <c r="O377" i="9" s="1"/>
  <c r="M377" i="9"/>
  <c r="N377" i="9"/>
  <c r="P377" i="9"/>
  <c r="L378" i="9"/>
  <c r="O378" i="9" s="1"/>
  <c r="M378" i="9"/>
  <c r="P378" i="9" s="1"/>
  <c r="N378" i="9"/>
  <c r="O379" i="9"/>
  <c r="P379" i="9"/>
  <c r="T379" i="9"/>
  <c r="U379" i="9"/>
  <c r="O380" i="9"/>
  <c r="P380" i="9"/>
  <c r="Q380" i="9"/>
  <c r="Q377" i="9" s="1"/>
  <c r="R380" i="9"/>
  <c r="R378" i="9" s="1"/>
  <c r="S380" i="9"/>
  <c r="S378" i="9" s="1"/>
  <c r="L381" i="9"/>
  <c r="O381" i="9" s="1"/>
  <c r="M381" i="9"/>
  <c r="N381" i="9"/>
  <c r="P381" i="9"/>
  <c r="Q381" i="9"/>
  <c r="T381" i="9" s="1"/>
  <c r="R381" i="9"/>
  <c r="S381" i="9"/>
  <c r="U381" i="9"/>
  <c r="O382" i="9"/>
  <c r="P382" i="9"/>
  <c r="T382" i="9"/>
  <c r="U382" i="9"/>
  <c r="O383" i="9"/>
  <c r="P383" i="9"/>
  <c r="T383" i="9"/>
  <c r="U383" i="9"/>
  <c r="J385" i="9"/>
  <c r="K385" i="9"/>
  <c r="I386" i="9"/>
  <c r="J386" i="9"/>
  <c r="J387" i="9"/>
  <c r="K387" i="9"/>
  <c r="I388" i="9"/>
  <c r="K388" i="9" s="1"/>
  <c r="J388" i="9"/>
  <c r="I391" i="9"/>
  <c r="K391" i="9" s="1"/>
  <c r="J391" i="9"/>
  <c r="L393" i="9"/>
  <c r="M393" i="9"/>
  <c r="N393" i="9"/>
  <c r="P393" i="9"/>
  <c r="Q393" i="9"/>
  <c r="T393" i="9" s="1"/>
  <c r="R393" i="9"/>
  <c r="S393" i="9"/>
  <c r="L394" i="9"/>
  <c r="O394" i="9" s="1"/>
  <c r="M394" i="9"/>
  <c r="P394" i="9" s="1"/>
  <c r="N394" i="9"/>
  <c r="N392" i="9" s="1"/>
  <c r="Q394" i="9"/>
  <c r="R394" i="9"/>
  <c r="S394" i="9"/>
  <c r="T394" i="9"/>
  <c r="U394" i="9"/>
  <c r="L395" i="9"/>
  <c r="M395" i="9"/>
  <c r="N395" i="9"/>
  <c r="O395" i="9"/>
  <c r="P395" i="9"/>
  <c r="Q395" i="9"/>
  <c r="T395" i="9" s="1"/>
  <c r="R395" i="9"/>
  <c r="U395" i="9" s="1"/>
  <c r="S395" i="9"/>
  <c r="O396" i="9"/>
  <c r="P396" i="9"/>
  <c r="T396" i="9"/>
  <c r="U396" i="9"/>
  <c r="O397" i="9"/>
  <c r="P397" i="9"/>
  <c r="T397" i="9"/>
  <c r="U397" i="9"/>
  <c r="L398" i="9"/>
  <c r="O398" i="9" s="1"/>
  <c r="M398" i="9"/>
  <c r="N398" i="9"/>
  <c r="P398" i="9"/>
  <c r="Q398" i="9"/>
  <c r="T398" i="9" s="1"/>
  <c r="R398" i="9"/>
  <c r="U398" i="9" s="1"/>
  <c r="S398" i="9"/>
  <c r="O399" i="9"/>
  <c r="P399" i="9"/>
  <c r="T399" i="9"/>
  <c r="U399" i="9"/>
  <c r="O400" i="9"/>
  <c r="P400" i="9"/>
  <c r="T400" i="9"/>
  <c r="U400" i="9"/>
  <c r="L414" i="9"/>
  <c r="M414" i="9"/>
  <c r="N414" i="9"/>
  <c r="O414" i="9"/>
  <c r="P414" i="9"/>
  <c r="Q414" i="9"/>
  <c r="T414" i="9" s="1"/>
  <c r="R414" i="9"/>
  <c r="S414" i="9"/>
  <c r="U414" i="9"/>
  <c r="L415" i="9"/>
  <c r="M415" i="9"/>
  <c r="P415" i="9" s="1"/>
  <c r="N415" i="9"/>
  <c r="L416" i="9"/>
  <c r="O416" i="9" s="1"/>
  <c r="M416" i="9"/>
  <c r="P416" i="9" s="1"/>
  <c r="N416" i="9"/>
  <c r="O417" i="9"/>
  <c r="P417" i="9"/>
  <c r="T417" i="9"/>
  <c r="U417" i="9"/>
  <c r="O418" i="9"/>
  <c r="P418" i="9"/>
  <c r="Q418" i="9"/>
  <c r="Q415" i="9" s="1"/>
  <c r="R418" i="9"/>
  <c r="R415" i="9" s="1"/>
  <c r="U415" i="9" s="1"/>
  <c r="S418" i="9"/>
  <c r="S415" i="9" s="1"/>
  <c r="S413" i="9" s="1"/>
  <c r="L419" i="9"/>
  <c r="M419" i="9"/>
  <c r="P419" i="9" s="1"/>
  <c r="N419" i="9"/>
  <c r="O419" i="9"/>
  <c r="Q419" i="9"/>
  <c r="R419" i="9"/>
  <c r="U419" i="9" s="1"/>
  <c r="S419" i="9"/>
  <c r="T419" i="9"/>
  <c r="O420" i="9"/>
  <c r="P420" i="9"/>
  <c r="T420" i="9"/>
  <c r="U420" i="9"/>
  <c r="O421" i="9"/>
  <c r="P421" i="9"/>
  <c r="T421" i="9"/>
  <c r="U421" i="9"/>
  <c r="I424" i="9"/>
  <c r="K424" i="9" s="1"/>
  <c r="J424" i="9"/>
  <c r="I425" i="9"/>
  <c r="K425" i="9" s="1"/>
  <c r="J425" i="9"/>
  <c r="I432" i="9"/>
  <c r="K432" i="9" s="1"/>
  <c r="J432" i="9"/>
  <c r="I433" i="9"/>
  <c r="K433" i="9" s="1"/>
  <c r="J433" i="9"/>
  <c r="I440" i="9"/>
  <c r="I423" i="9" s="1"/>
  <c r="I412" i="9" s="1"/>
  <c r="K412" i="9" s="1"/>
  <c r="I441" i="9"/>
  <c r="K441" i="9" s="1"/>
  <c r="J446" i="9"/>
  <c r="J440" i="9" s="1"/>
  <c r="J423" i="9" s="1"/>
  <c r="J412" i="9" s="1"/>
  <c r="J447" i="9"/>
  <c r="J441" i="9" s="1"/>
  <c r="I457" i="9"/>
  <c r="I458" i="9"/>
  <c r="K458" i="9" s="1"/>
  <c r="J459" i="9"/>
  <c r="J460" i="9"/>
  <c r="J467" i="9"/>
  <c r="J468" i="9"/>
  <c r="J475" i="9"/>
  <c r="K475" i="9"/>
  <c r="J476" i="9"/>
  <c r="K476" i="9"/>
  <c r="J477" i="9"/>
  <c r="K477" i="9"/>
  <c r="J482" i="9"/>
  <c r="J483" i="9"/>
  <c r="I484" i="9"/>
  <c r="K484" i="9" s="1"/>
  <c r="J484" i="9"/>
  <c r="I485" i="9"/>
  <c r="K485" i="9" s="1"/>
  <c r="J485" i="9"/>
  <c r="L494" i="9"/>
  <c r="M494" i="9"/>
  <c r="N494" i="9"/>
  <c r="N493" i="9" s="1"/>
  <c r="P494" i="9"/>
  <c r="Q494" i="9"/>
  <c r="R494" i="9"/>
  <c r="S494" i="9"/>
  <c r="L495" i="9"/>
  <c r="O495" i="9" s="1"/>
  <c r="M495" i="9"/>
  <c r="P495" i="9" s="1"/>
  <c r="N495" i="9"/>
  <c r="L496" i="9"/>
  <c r="O496" i="9" s="1"/>
  <c r="M496" i="9"/>
  <c r="P496" i="9" s="1"/>
  <c r="N496" i="9"/>
  <c r="O497" i="9"/>
  <c r="P497" i="9"/>
  <c r="T497" i="9"/>
  <c r="U497" i="9"/>
  <c r="O498" i="9"/>
  <c r="P498" i="9"/>
  <c r="Q498" i="9"/>
  <c r="Q496" i="9" s="1"/>
  <c r="T496" i="9" s="1"/>
  <c r="R498" i="9"/>
  <c r="R496" i="9" s="1"/>
  <c r="U496" i="9" s="1"/>
  <c r="S498" i="9"/>
  <c r="S496" i="9" s="1"/>
  <c r="L499" i="9"/>
  <c r="O499" i="9" s="1"/>
  <c r="M499" i="9"/>
  <c r="P499" i="9" s="1"/>
  <c r="N499" i="9"/>
  <c r="Q499" i="9"/>
  <c r="T499" i="9" s="1"/>
  <c r="R499" i="9"/>
  <c r="U499" i="9" s="1"/>
  <c r="S499" i="9"/>
  <c r="O500" i="9"/>
  <c r="P500" i="9"/>
  <c r="T500" i="9"/>
  <c r="U500" i="9"/>
  <c r="O501" i="9"/>
  <c r="P501" i="9"/>
  <c r="T501" i="9"/>
  <c r="U501" i="9"/>
  <c r="I503" i="9"/>
  <c r="K503" i="9" s="1"/>
  <c r="I504" i="9"/>
  <c r="K504" i="9" s="1"/>
  <c r="I505" i="9"/>
  <c r="K505" i="9" s="1"/>
  <c r="I506" i="9"/>
  <c r="K506" i="9" s="1"/>
  <c r="I507" i="9"/>
  <c r="K507" i="9" s="1"/>
  <c r="K508" i="9"/>
  <c r="I509" i="9"/>
  <c r="K509" i="9" s="1"/>
  <c r="I512" i="9"/>
  <c r="K512" i="9" s="1"/>
  <c r="J512" i="9"/>
  <c r="R513" i="9"/>
  <c r="U513" i="9" s="1"/>
  <c r="L514" i="9"/>
  <c r="M514" i="9"/>
  <c r="N514" i="9"/>
  <c r="Q514" i="9"/>
  <c r="T514" i="9" s="1"/>
  <c r="R514" i="9"/>
  <c r="U514" i="9" s="1"/>
  <c r="S514" i="9"/>
  <c r="S513" i="9" s="1"/>
  <c r="Q515" i="9"/>
  <c r="T515" i="9" s="1"/>
  <c r="R515" i="9"/>
  <c r="U515" i="9" s="1"/>
  <c r="S515" i="9"/>
  <c r="Q516" i="9"/>
  <c r="T516" i="9" s="1"/>
  <c r="R516" i="9"/>
  <c r="U516" i="9" s="1"/>
  <c r="S516" i="9"/>
  <c r="O517" i="9"/>
  <c r="P517" i="9"/>
  <c r="T517" i="9"/>
  <c r="U517" i="9"/>
  <c r="L518" i="9"/>
  <c r="M518" i="9"/>
  <c r="M516" i="9" s="1"/>
  <c r="P516" i="9" s="1"/>
  <c r="N518" i="9"/>
  <c r="N516" i="9" s="1"/>
  <c r="T518" i="9"/>
  <c r="U518" i="9"/>
  <c r="Q519" i="9"/>
  <c r="T519" i="9" s="1"/>
  <c r="R519" i="9"/>
  <c r="U519" i="9" s="1"/>
  <c r="S519" i="9"/>
  <c r="O520" i="9"/>
  <c r="P520" i="9"/>
  <c r="T520" i="9"/>
  <c r="U520" i="9"/>
  <c r="L521" i="9"/>
  <c r="O521" i="9" s="1"/>
  <c r="M521" i="9"/>
  <c r="N521" i="9"/>
  <c r="N519" i="9" s="1"/>
  <c r="T521" i="9"/>
  <c r="U521" i="9"/>
  <c r="K523" i="9"/>
  <c r="K524" i="9"/>
  <c r="I533" i="9"/>
  <c r="K533" i="9" s="1"/>
  <c r="J533" i="9"/>
  <c r="N534" i="9"/>
  <c r="L535" i="9"/>
  <c r="O535" i="9" s="1"/>
  <c r="M535" i="9"/>
  <c r="M534" i="9" s="1"/>
  <c r="P534" i="9" s="1"/>
  <c r="N535" i="9"/>
  <c r="Q535" i="9"/>
  <c r="R535" i="9"/>
  <c r="S535" i="9"/>
  <c r="S534" i="9" s="1"/>
  <c r="U535" i="9"/>
  <c r="L536" i="9"/>
  <c r="O536" i="9" s="1"/>
  <c r="M536" i="9"/>
  <c r="P536" i="9" s="1"/>
  <c r="N536" i="9"/>
  <c r="Q536" i="9"/>
  <c r="T536" i="9" s="1"/>
  <c r="R536" i="9"/>
  <c r="U536" i="9" s="1"/>
  <c r="S536" i="9"/>
  <c r="L537" i="9"/>
  <c r="O537" i="9" s="1"/>
  <c r="M537" i="9"/>
  <c r="P537" i="9" s="1"/>
  <c r="N537" i="9"/>
  <c r="Q537" i="9"/>
  <c r="T537" i="9" s="1"/>
  <c r="R537" i="9"/>
  <c r="U537" i="9" s="1"/>
  <c r="S537" i="9"/>
  <c r="O538" i="9"/>
  <c r="P538" i="9"/>
  <c r="T538" i="9"/>
  <c r="U538" i="9"/>
  <c r="O539" i="9"/>
  <c r="P539" i="9"/>
  <c r="T539" i="9"/>
  <c r="U539" i="9"/>
  <c r="L540" i="9"/>
  <c r="O540" i="9" s="1"/>
  <c r="M540" i="9"/>
  <c r="P540" i="9" s="1"/>
  <c r="N540" i="9"/>
  <c r="Q540" i="9"/>
  <c r="R540" i="9"/>
  <c r="U540" i="9" s="1"/>
  <c r="S540" i="9"/>
  <c r="T540" i="9"/>
  <c r="O541" i="9"/>
  <c r="P541" i="9"/>
  <c r="T541" i="9"/>
  <c r="U541" i="9"/>
  <c r="O542" i="9"/>
  <c r="P542" i="9"/>
  <c r="T542" i="9"/>
  <c r="U542" i="9"/>
  <c r="I554" i="9"/>
  <c r="K554" i="9" s="1"/>
  <c r="J554" i="9"/>
  <c r="Q555" i="9"/>
  <c r="T555" i="9" s="1"/>
  <c r="L556" i="9"/>
  <c r="M556" i="9"/>
  <c r="N556" i="9"/>
  <c r="N555" i="9" s="1"/>
  <c r="Q556" i="9"/>
  <c r="R556" i="9"/>
  <c r="S556" i="9"/>
  <c r="T556" i="9"/>
  <c r="L557" i="9"/>
  <c r="M557" i="9"/>
  <c r="P557" i="9" s="1"/>
  <c r="N557" i="9"/>
  <c r="O557" i="9"/>
  <c r="Q557" i="9"/>
  <c r="R557" i="9"/>
  <c r="S557" i="9"/>
  <c r="T557" i="9"/>
  <c r="U557" i="9"/>
  <c r="L558" i="9"/>
  <c r="O558" i="9" s="1"/>
  <c r="M558" i="9"/>
  <c r="N558" i="9"/>
  <c r="P558" i="9"/>
  <c r="Q558" i="9"/>
  <c r="T558" i="9" s="1"/>
  <c r="R558" i="9"/>
  <c r="U558" i="9" s="1"/>
  <c r="S558" i="9"/>
  <c r="O559" i="9"/>
  <c r="P559" i="9"/>
  <c r="T559" i="9"/>
  <c r="U559" i="9"/>
  <c r="O560" i="9"/>
  <c r="P560" i="9"/>
  <c r="T560" i="9"/>
  <c r="U560" i="9"/>
  <c r="L561" i="9"/>
  <c r="O561" i="9" s="1"/>
  <c r="M561" i="9"/>
  <c r="N561" i="9"/>
  <c r="P561" i="9"/>
  <c r="Q561" i="9"/>
  <c r="T561" i="9" s="1"/>
  <c r="R561" i="9"/>
  <c r="U561" i="9" s="1"/>
  <c r="S561" i="9"/>
  <c r="O562" i="9"/>
  <c r="P562" i="9"/>
  <c r="T562" i="9"/>
  <c r="U562" i="9"/>
  <c r="O563" i="9"/>
  <c r="P563" i="9"/>
  <c r="T563" i="9"/>
  <c r="U563" i="9"/>
  <c r="I575" i="9"/>
  <c r="K575" i="9" s="1"/>
  <c r="J575" i="9"/>
  <c r="N576" i="9"/>
  <c r="L577" i="9"/>
  <c r="O577" i="9" s="1"/>
  <c r="M577" i="9"/>
  <c r="M576" i="9" s="1"/>
  <c r="P576" i="9" s="1"/>
  <c r="N577" i="9"/>
  <c r="P577" i="9"/>
  <c r="Q577" i="9"/>
  <c r="R577" i="9"/>
  <c r="U577" i="9" s="1"/>
  <c r="S577" i="9"/>
  <c r="S576" i="9" s="1"/>
  <c r="L578" i="9"/>
  <c r="O578" i="9" s="1"/>
  <c r="M578" i="9"/>
  <c r="P578" i="9" s="1"/>
  <c r="N578" i="9"/>
  <c r="Q578" i="9"/>
  <c r="T578" i="9" s="1"/>
  <c r="R578" i="9"/>
  <c r="U578" i="9" s="1"/>
  <c r="S578" i="9"/>
  <c r="L579" i="9"/>
  <c r="M579" i="9"/>
  <c r="P579" i="9" s="1"/>
  <c r="N579" i="9"/>
  <c r="O579" i="9"/>
  <c r="Q579" i="9"/>
  <c r="R579" i="9"/>
  <c r="S579" i="9"/>
  <c r="T579" i="9"/>
  <c r="U579" i="9"/>
  <c r="O580" i="9"/>
  <c r="P580" i="9"/>
  <c r="T580" i="9"/>
  <c r="U580" i="9"/>
  <c r="O581" i="9"/>
  <c r="P581" i="9"/>
  <c r="T581" i="9"/>
  <c r="U581" i="9"/>
  <c r="L582" i="9"/>
  <c r="M582" i="9"/>
  <c r="P582" i="9" s="1"/>
  <c r="N582" i="9"/>
  <c r="O582" i="9"/>
  <c r="Q582" i="9"/>
  <c r="T582" i="9" s="1"/>
  <c r="R582" i="9"/>
  <c r="S582" i="9"/>
  <c r="U582" i="9"/>
  <c r="O583" i="9"/>
  <c r="P583" i="9"/>
  <c r="T583" i="9"/>
  <c r="U583" i="9"/>
  <c r="O584" i="9"/>
  <c r="P584" i="9"/>
  <c r="T584" i="9"/>
  <c r="U584" i="9"/>
  <c r="L600" i="9"/>
  <c r="O600" i="9" s="1"/>
  <c r="M600" i="9"/>
  <c r="M599" i="9" s="1"/>
  <c r="P599" i="9" s="1"/>
  <c r="N600" i="9"/>
  <c r="N599" i="9" s="1"/>
  <c r="Q600" i="9"/>
  <c r="R600" i="9"/>
  <c r="R599" i="9" s="1"/>
  <c r="U599" i="9" s="1"/>
  <c r="S600" i="9"/>
  <c r="S599" i="9" s="1"/>
  <c r="L601" i="9"/>
  <c r="O601" i="9" s="1"/>
  <c r="M601" i="9"/>
  <c r="P601" i="9" s="1"/>
  <c r="N601" i="9"/>
  <c r="Q601" i="9"/>
  <c r="T601" i="9" s="1"/>
  <c r="R601" i="9"/>
  <c r="U601" i="9" s="1"/>
  <c r="S601" i="9"/>
  <c r="L602" i="9"/>
  <c r="M602" i="9"/>
  <c r="P602" i="9" s="1"/>
  <c r="N602" i="9"/>
  <c r="O602" i="9"/>
  <c r="Q602" i="9"/>
  <c r="T602" i="9" s="1"/>
  <c r="R602" i="9"/>
  <c r="U602" i="9" s="1"/>
  <c r="S602" i="9"/>
  <c r="O603" i="9"/>
  <c r="P603" i="9"/>
  <c r="T603" i="9"/>
  <c r="U603" i="9"/>
  <c r="O604" i="9"/>
  <c r="P604" i="9"/>
  <c r="T604" i="9"/>
  <c r="U604" i="9"/>
  <c r="L605" i="9"/>
  <c r="O605" i="9" s="1"/>
  <c r="M605" i="9"/>
  <c r="P605" i="9" s="1"/>
  <c r="N605" i="9"/>
  <c r="Q605" i="9"/>
  <c r="T605" i="9" s="1"/>
  <c r="R605" i="9"/>
  <c r="U605" i="9" s="1"/>
  <c r="S605" i="9"/>
  <c r="O606" i="9"/>
  <c r="P606" i="9"/>
  <c r="T606" i="9"/>
  <c r="U606" i="9"/>
  <c r="O607" i="9"/>
  <c r="P607" i="9"/>
  <c r="T607" i="9"/>
  <c r="U607" i="9"/>
  <c r="L617" i="9"/>
  <c r="M617" i="9"/>
  <c r="N617" i="9"/>
  <c r="Q617" i="9"/>
  <c r="R617" i="9"/>
  <c r="S617" i="9"/>
  <c r="T617" i="9"/>
  <c r="L618" i="9"/>
  <c r="O618" i="9" s="1"/>
  <c r="M618" i="9"/>
  <c r="N618" i="9"/>
  <c r="P618" i="9"/>
  <c r="L619" i="9"/>
  <c r="O619" i="9" s="1"/>
  <c r="M619" i="9"/>
  <c r="P619" i="9" s="1"/>
  <c r="N619" i="9"/>
  <c r="O620" i="9"/>
  <c r="P620" i="9"/>
  <c r="T620" i="9"/>
  <c r="U620" i="9"/>
  <c r="O621" i="9"/>
  <c r="P621" i="9"/>
  <c r="Q621" i="9"/>
  <c r="Q619" i="9" s="1"/>
  <c r="R621" i="9"/>
  <c r="S621" i="9"/>
  <c r="S619" i="9" s="1"/>
  <c r="L622" i="9"/>
  <c r="M622" i="9"/>
  <c r="P622" i="9" s="1"/>
  <c r="N622" i="9"/>
  <c r="O622" i="9"/>
  <c r="Q622" i="9"/>
  <c r="T622" i="9" s="1"/>
  <c r="R622" i="9"/>
  <c r="U622" i="9" s="1"/>
  <c r="S622" i="9"/>
  <c r="O623" i="9"/>
  <c r="P623" i="9"/>
  <c r="T623" i="9"/>
  <c r="U623" i="9"/>
  <c r="O624" i="9"/>
  <c r="P624" i="9"/>
  <c r="T624" i="9"/>
  <c r="U624" i="9"/>
  <c r="I626" i="9"/>
  <c r="I615" i="9" s="1"/>
  <c r="K615" i="9" s="1"/>
  <c r="I627" i="9"/>
  <c r="K627" i="9" s="1"/>
  <c r="I628" i="9"/>
  <c r="K628" i="9" s="1"/>
  <c r="J632" i="9"/>
  <c r="J626" i="9" s="1"/>
  <c r="J615" i="9" s="1"/>
  <c r="I635" i="9"/>
  <c r="K635" i="9" s="1"/>
  <c r="J635" i="9"/>
  <c r="J636" i="9"/>
  <c r="L643" i="9"/>
  <c r="M643" i="9"/>
  <c r="N643" i="9"/>
  <c r="Q643" i="9"/>
  <c r="R643" i="9"/>
  <c r="S643" i="9"/>
  <c r="L644" i="9"/>
  <c r="M644" i="9"/>
  <c r="P644" i="9" s="1"/>
  <c r="N644" i="9"/>
  <c r="O644" i="9"/>
  <c r="L645" i="9"/>
  <c r="M645" i="9"/>
  <c r="N645" i="9"/>
  <c r="O645" i="9"/>
  <c r="P645" i="9"/>
  <c r="O646" i="9"/>
  <c r="P646" i="9"/>
  <c r="T646" i="9"/>
  <c r="U646" i="9"/>
  <c r="O647" i="9"/>
  <c r="P647" i="9"/>
  <c r="Q647" i="9"/>
  <c r="R647" i="9"/>
  <c r="R645" i="9" s="1"/>
  <c r="S647" i="9"/>
  <c r="S645" i="9" s="1"/>
  <c r="L648" i="9"/>
  <c r="O648" i="9" s="1"/>
  <c r="M648" i="9"/>
  <c r="P648" i="9" s="1"/>
  <c r="N648" i="9"/>
  <c r="Q648" i="9"/>
  <c r="R648" i="9"/>
  <c r="U648" i="9" s="1"/>
  <c r="S648" i="9"/>
  <c r="T648" i="9"/>
  <c r="O649" i="9"/>
  <c r="P649" i="9"/>
  <c r="T649" i="9"/>
  <c r="U649" i="9"/>
  <c r="O650" i="9"/>
  <c r="P650" i="9"/>
  <c r="T650" i="9"/>
  <c r="U650" i="9"/>
  <c r="I652" i="9"/>
  <c r="K652" i="9" s="1"/>
  <c r="J652" i="9"/>
  <c r="I653" i="9"/>
  <c r="K653" i="9" s="1"/>
  <c r="J653" i="9"/>
  <c r="I654" i="9"/>
  <c r="J654" i="9"/>
  <c r="I657" i="9"/>
  <c r="I660" i="9"/>
  <c r="I661" i="9"/>
  <c r="J661" i="9"/>
  <c r="J671" i="9"/>
  <c r="J672" i="9"/>
  <c r="I673" i="9"/>
  <c r="J673" i="9"/>
  <c r="I674" i="9"/>
  <c r="I675" i="9"/>
  <c r="I676" i="9"/>
  <c r="J676" i="9"/>
  <c r="J677" i="9"/>
  <c r="I678" i="9"/>
  <c r="J678" i="9"/>
  <c r="I679" i="9"/>
  <c r="J679" i="9"/>
  <c r="J680" i="9"/>
  <c r="I681" i="9"/>
  <c r="J681" i="9"/>
  <c r="I682" i="9"/>
  <c r="K682" i="9" s="1"/>
  <c r="J682" i="9"/>
  <c r="L691" i="9"/>
  <c r="M691" i="9"/>
  <c r="N691" i="9"/>
  <c r="Q691" i="9"/>
  <c r="R691" i="9"/>
  <c r="S691" i="9"/>
  <c r="L692" i="9"/>
  <c r="M692" i="9"/>
  <c r="P692" i="9" s="1"/>
  <c r="N692" i="9"/>
  <c r="O692" i="9"/>
  <c r="L693" i="9"/>
  <c r="M693" i="9"/>
  <c r="N693" i="9"/>
  <c r="O693" i="9"/>
  <c r="P693" i="9"/>
  <c r="O694" i="9"/>
  <c r="P694" i="9"/>
  <c r="T694" i="9"/>
  <c r="U694" i="9"/>
  <c r="O695" i="9"/>
  <c r="P695" i="9"/>
  <c r="Q695" i="9"/>
  <c r="R695" i="9"/>
  <c r="R693" i="9" s="1"/>
  <c r="S695" i="9"/>
  <c r="S693" i="9" s="1"/>
  <c r="L696" i="9"/>
  <c r="O696" i="9" s="1"/>
  <c r="M696" i="9"/>
  <c r="P696" i="9" s="1"/>
  <c r="N696" i="9"/>
  <c r="Q696" i="9"/>
  <c r="R696" i="9"/>
  <c r="U696" i="9" s="1"/>
  <c r="S696" i="9"/>
  <c r="T696" i="9"/>
  <c r="O697" i="9"/>
  <c r="P697" i="9"/>
  <c r="T697" i="9"/>
  <c r="U697" i="9"/>
  <c r="O698" i="9"/>
  <c r="P698" i="9"/>
  <c r="T698" i="9"/>
  <c r="U698" i="9"/>
  <c r="I700" i="9"/>
  <c r="K700" i="9" s="1"/>
  <c r="K702" i="9"/>
  <c r="I703" i="9"/>
  <c r="J703" i="9"/>
  <c r="J704" i="9"/>
  <c r="K704" i="9"/>
  <c r="I705" i="9"/>
  <c r="J705" i="9"/>
  <c r="J706" i="9"/>
  <c r="K706" i="9"/>
  <c r="I707" i="9"/>
  <c r="I689" i="9" s="1"/>
  <c r="J707" i="9"/>
  <c r="J689" i="9" s="1"/>
  <c r="J708" i="9"/>
  <c r="K708" i="9"/>
  <c r="I709" i="9"/>
  <c r="J709" i="9"/>
  <c r="J710" i="9"/>
  <c r="K710" i="9"/>
  <c r="J712" i="9"/>
  <c r="K712" i="9"/>
  <c r="L715" i="9"/>
  <c r="M715" i="9"/>
  <c r="N715" i="9"/>
  <c r="O715" i="9"/>
  <c r="P715" i="9"/>
  <c r="Q715" i="9"/>
  <c r="R715" i="9"/>
  <c r="U715" i="9" s="1"/>
  <c r="S715" i="9"/>
  <c r="L716" i="9"/>
  <c r="O716" i="9" s="1"/>
  <c r="M716" i="9"/>
  <c r="P716" i="9" s="1"/>
  <c r="N716" i="9"/>
  <c r="N714" i="9" s="1"/>
  <c r="Q716" i="9"/>
  <c r="R716" i="9"/>
  <c r="U716" i="9" s="1"/>
  <c r="S716" i="9"/>
  <c r="S714" i="9" s="1"/>
  <c r="T716" i="9"/>
  <c r="L717" i="9"/>
  <c r="O717" i="9" s="1"/>
  <c r="M717" i="9"/>
  <c r="N717" i="9"/>
  <c r="P717" i="9"/>
  <c r="Q717" i="9"/>
  <c r="R717" i="9"/>
  <c r="U717" i="9" s="1"/>
  <c r="S717" i="9"/>
  <c r="T717" i="9"/>
  <c r="O718" i="9"/>
  <c r="P718" i="9"/>
  <c r="T718" i="9"/>
  <c r="U718" i="9"/>
  <c r="O719" i="9"/>
  <c r="P719" i="9"/>
  <c r="T719" i="9"/>
  <c r="U719" i="9"/>
  <c r="L720" i="9"/>
  <c r="O720" i="9" s="1"/>
  <c r="M720" i="9"/>
  <c r="N720" i="9"/>
  <c r="P720" i="9"/>
  <c r="Q720" i="9"/>
  <c r="R720" i="9"/>
  <c r="U720" i="9" s="1"/>
  <c r="S720" i="9"/>
  <c r="T720" i="9"/>
  <c r="O721" i="9"/>
  <c r="P721" i="9"/>
  <c r="T721" i="9"/>
  <c r="U721" i="9"/>
  <c r="O722" i="9"/>
  <c r="P722" i="9"/>
  <c r="T722" i="9"/>
  <c r="U722" i="9"/>
  <c r="I726" i="9"/>
  <c r="K726" i="9" s="1"/>
  <c r="J726" i="9"/>
  <c r="I727" i="9"/>
  <c r="J727" i="9"/>
  <c r="L729" i="9"/>
  <c r="O729" i="9" s="1"/>
  <c r="M729" i="9"/>
  <c r="N729" i="9"/>
  <c r="P729" i="9"/>
  <c r="Q729" i="9"/>
  <c r="R729" i="9"/>
  <c r="S729" i="9"/>
  <c r="L730" i="9"/>
  <c r="O730" i="9" s="1"/>
  <c r="M730" i="9"/>
  <c r="P730" i="9" s="1"/>
  <c r="N730" i="9"/>
  <c r="N728" i="9" s="1"/>
  <c r="L731" i="9"/>
  <c r="M731" i="9"/>
  <c r="P731" i="9" s="1"/>
  <c r="N731" i="9"/>
  <c r="O731" i="9"/>
  <c r="O732" i="9"/>
  <c r="P732" i="9"/>
  <c r="T732" i="9"/>
  <c r="U732" i="9"/>
  <c r="O733" i="9"/>
  <c r="P733" i="9"/>
  <c r="Q733" i="9"/>
  <c r="Q731" i="9" s="1"/>
  <c r="R733" i="9"/>
  <c r="R731" i="9" s="1"/>
  <c r="S733" i="9"/>
  <c r="S731" i="9" s="1"/>
  <c r="L734" i="9"/>
  <c r="O734" i="9" s="1"/>
  <c r="M734" i="9"/>
  <c r="P734" i="9" s="1"/>
  <c r="N734" i="9"/>
  <c r="Q734" i="9"/>
  <c r="T734" i="9" s="1"/>
  <c r="R734" i="9"/>
  <c r="U734" i="9" s="1"/>
  <c r="S734" i="9"/>
  <c r="O735" i="9"/>
  <c r="P735" i="9"/>
  <c r="T735" i="9"/>
  <c r="U735" i="9"/>
  <c r="O736" i="9"/>
  <c r="P736" i="9"/>
  <c r="T736" i="9"/>
  <c r="U736" i="9"/>
  <c r="I740" i="9"/>
  <c r="K740" i="9" s="1"/>
  <c r="I742" i="9"/>
  <c r="K742" i="9" s="1"/>
  <c r="I744" i="9"/>
  <c r="K744" i="9" s="1"/>
  <c r="I746" i="9"/>
  <c r="K746" i="9" s="1"/>
  <c r="I749" i="9"/>
  <c r="K749" i="9" s="1"/>
  <c r="I752" i="9"/>
  <c r="K752" i="9" s="1"/>
  <c r="I755" i="9"/>
  <c r="K755" i="9" s="1"/>
  <c r="J758" i="9"/>
  <c r="J759" i="9"/>
  <c r="L761" i="9"/>
  <c r="M761" i="9"/>
  <c r="P761" i="9" s="1"/>
  <c r="N761" i="9"/>
  <c r="Q761" i="9"/>
  <c r="T761" i="9" s="1"/>
  <c r="R761" i="9"/>
  <c r="S761" i="9"/>
  <c r="L762" i="9"/>
  <c r="M762" i="9"/>
  <c r="P762" i="9" s="1"/>
  <c r="N762" i="9"/>
  <c r="N760" i="9" s="1"/>
  <c r="O762" i="9"/>
  <c r="L763" i="9"/>
  <c r="O763" i="9" s="1"/>
  <c r="M763" i="9"/>
  <c r="P763" i="9" s="1"/>
  <c r="N763" i="9"/>
  <c r="O764" i="9"/>
  <c r="P764" i="9"/>
  <c r="T764" i="9"/>
  <c r="U764" i="9"/>
  <c r="O765" i="9"/>
  <c r="P765" i="9"/>
  <c r="Q765" i="9"/>
  <c r="Q763" i="9" s="1"/>
  <c r="R765" i="9"/>
  <c r="R763" i="9" s="1"/>
  <c r="S765" i="9"/>
  <c r="S763" i="9" s="1"/>
  <c r="L766" i="9"/>
  <c r="O766" i="9" s="1"/>
  <c r="M766" i="9"/>
  <c r="P766" i="9" s="1"/>
  <c r="N766" i="9"/>
  <c r="Q766" i="9"/>
  <c r="T766" i="9" s="1"/>
  <c r="R766" i="9"/>
  <c r="U766" i="9" s="1"/>
  <c r="S766" i="9"/>
  <c r="O767" i="9"/>
  <c r="P767" i="9"/>
  <c r="T767" i="9"/>
  <c r="U767" i="9"/>
  <c r="O768" i="9"/>
  <c r="P768" i="9"/>
  <c r="T768" i="9"/>
  <c r="U768" i="9"/>
  <c r="I770" i="9"/>
  <c r="K770" i="9" s="1"/>
  <c r="I772" i="9"/>
  <c r="I774" i="9"/>
  <c r="K774" i="9" s="1"/>
  <c r="I775" i="9"/>
  <c r="I776" i="9"/>
  <c r="H777" i="9"/>
  <c r="I778" i="9"/>
  <c r="J778" i="9"/>
  <c r="I779" i="9"/>
  <c r="J779" i="9"/>
  <c r="I780" i="9"/>
  <c r="J780" i="9"/>
  <c r="I781" i="9"/>
  <c r="J781" i="9"/>
  <c r="I782" i="9"/>
  <c r="J782" i="9"/>
  <c r="I783" i="9"/>
  <c r="J783" i="9"/>
  <c r="I784" i="9"/>
  <c r="J784" i="9"/>
  <c r="I785" i="9"/>
  <c r="J785" i="9"/>
  <c r="A788" i="9"/>
  <c r="A789" i="9"/>
  <c r="S19" i="8"/>
  <c r="L22" i="8"/>
  <c r="L19" i="8" s="1"/>
  <c r="M22" i="8"/>
  <c r="P22" i="8" s="1"/>
  <c r="N22" i="8"/>
  <c r="N19" i="8" s="1"/>
  <c r="Q22" i="8"/>
  <c r="R22" i="8"/>
  <c r="S22" i="8"/>
  <c r="T22" i="8"/>
  <c r="Q24" i="8"/>
  <c r="T24" i="8" s="1"/>
  <c r="L25" i="8"/>
  <c r="M25" i="8"/>
  <c r="P25" i="8" s="1"/>
  <c r="N25" i="8"/>
  <c r="Q25" i="8"/>
  <c r="T25" i="8" s="1"/>
  <c r="R25" i="8"/>
  <c r="S25" i="8"/>
  <c r="Q26" i="8"/>
  <c r="R26" i="8"/>
  <c r="U26" i="8" s="1"/>
  <c r="S26" i="8"/>
  <c r="T26" i="8"/>
  <c r="L45" i="8"/>
  <c r="M45" i="8"/>
  <c r="N45" i="8"/>
  <c r="O45" i="8"/>
  <c r="Q45" i="8"/>
  <c r="R45" i="8"/>
  <c r="S45" i="8"/>
  <c r="U45" i="8"/>
  <c r="Q46" i="8"/>
  <c r="T46" i="8" s="1"/>
  <c r="R46" i="8"/>
  <c r="U46" i="8" s="1"/>
  <c r="S46" i="8"/>
  <c r="Q47" i="8"/>
  <c r="T47" i="8" s="1"/>
  <c r="R47" i="8"/>
  <c r="U47" i="8" s="1"/>
  <c r="S47" i="8"/>
  <c r="O48" i="8"/>
  <c r="P48" i="8"/>
  <c r="T48" i="8"/>
  <c r="U48" i="8"/>
  <c r="L49" i="8"/>
  <c r="L47" i="8" s="1"/>
  <c r="M49" i="8"/>
  <c r="N49" i="8"/>
  <c r="N47" i="8" s="1"/>
  <c r="T49" i="8"/>
  <c r="U49" i="8"/>
  <c r="Q50" i="8"/>
  <c r="R50" i="8"/>
  <c r="S50" i="8"/>
  <c r="T50" i="8"/>
  <c r="U50" i="8"/>
  <c r="O51" i="8"/>
  <c r="P51" i="8"/>
  <c r="T51" i="8"/>
  <c r="U51" i="8"/>
  <c r="L52" i="8"/>
  <c r="L50" i="8" s="1"/>
  <c r="O50" i="8" s="1"/>
  <c r="M52" i="8"/>
  <c r="N52" i="8"/>
  <c r="N50" i="8" s="1"/>
  <c r="T52" i="8"/>
  <c r="U52" i="8"/>
  <c r="L60" i="8"/>
  <c r="O60" i="8" s="1"/>
  <c r="M60" i="8"/>
  <c r="N60" i="8"/>
  <c r="Q60" i="8"/>
  <c r="Q59" i="8" s="1"/>
  <c r="T59" i="8" s="1"/>
  <c r="R60" i="8"/>
  <c r="U60" i="8" s="1"/>
  <c r="S60" i="8"/>
  <c r="Q61" i="8"/>
  <c r="R61" i="8"/>
  <c r="S61" i="8"/>
  <c r="T61" i="8"/>
  <c r="U61" i="8"/>
  <c r="Q62" i="8"/>
  <c r="T62" i="8" s="1"/>
  <c r="R62" i="8"/>
  <c r="S62" i="8"/>
  <c r="U62" i="8"/>
  <c r="O63" i="8"/>
  <c r="P63" i="8"/>
  <c r="T63" i="8"/>
  <c r="U63" i="8"/>
  <c r="L64" i="8"/>
  <c r="M64" i="8"/>
  <c r="N64" i="8"/>
  <c r="N62" i="8" s="1"/>
  <c r="T64" i="8"/>
  <c r="U64" i="8"/>
  <c r="Q65" i="8"/>
  <c r="T65" i="8" s="1"/>
  <c r="R65" i="8"/>
  <c r="S65" i="8"/>
  <c r="U65" i="8"/>
  <c r="O66" i="8"/>
  <c r="P66" i="8"/>
  <c r="T66" i="8"/>
  <c r="U66" i="8"/>
  <c r="L67" i="8"/>
  <c r="O67" i="8" s="1"/>
  <c r="M67" i="8"/>
  <c r="M65" i="8" s="1"/>
  <c r="P65" i="8" s="1"/>
  <c r="N67" i="8"/>
  <c r="N65" i="8" s="1"/>
  <c r="T67" i="8"/>
  <c r="U67" i="8"/>
  <c r="L73" i="8"/>
  <c r="O73" i="8" s="1"/>
  <c r="M73" i="8"/>
  <c r="N73" i="8"/>
  <c r="Q73" i="8"/>
  <c r="T73" i="8" s="1"/>
  <c r="R73" i="8"/>
  <c r="S73" i="8"/>
  <c r="U73" i="8"/>
  <c r="O76" i="8"/>
  <c r="P76" i="8"/>
  <c r="T76" i="8"/>
  <c r="U76" i="8"/>
  <c r="L77" i="8"/>
  <c r="L75" i="8" s="1"/>
  <c r="M77" i="8"/>
  <c r="N77" i="8"/>
  <c r="Q77" i="8"/>
  <c r="Q74" i="8" s="1"/>
  <c r="R77" i="8"/>
  <c r="R74" i="8" s="1"/>
  <c r="S77" i="8"/>
  <c r="Q78" i="8"/>
  <c r="T78" i="8" s="1"/>
  <c r="R78" i="8"/>
  <c r="U78" i="8" s="1"/>
  <c r="S78" i="8"/>
  <c r="O79" i="8"/>
  <c r="P79" i="8"/>
  <c r="T79" i="8"/>
  <c r="U79" i="8"/>
  <c r="L80" i="8"/>
  <c r="O80" i="8" s="1"/>
  <c r="M80" i="8"/>
  <c r="M78" i="8" s="1"/>
  <c r="P78" i="8" s="1"/>
  <c r="N80" i="8"/>
  <c r="N78" i="8" s="1"/>
  <c r="T80" i="8"/>
  <c r="U80" i="8"/>
  <c r="J82" i="8"/>
  <c r="J70" i="8" s="1"/>
  <c r="J83" i="8"/>
  <c r="J71" i="8" s="1"/>
  <c r="I84" i="8"/>
  <c r="K84" i="8" s="1"/>
  <c r="I85" i="8"/>
  <c r="K85" i="8" s="1"/>
  <c r="I86" i="8"/>
  <c r="K86" i="8" s="1"/>
  <c r="I87" i="8"/>
  <c r="K87" i="8" s="1"/>
  <c r="I88" i="8"/>
  <c r="K88" i="8" s="1"/>
  <c r="I89" i="8"/>
  <c r="K89" i="8" s="1"/>
  <c r="I90" i="8"/>
  <c r="K90" i="8" s="1"/>
  <c r="J92" i="8"/>
  <c r="J93" i="8"/>
  <c r="L95" i="8"/>
  <c r="O95" i="8" s="1"/>
  <c r="M95" i="8"/>
  <c r="N95" i="8"/>
  <c r="Q95" i="8"/>
  <c r="R95" i="8"/>
  <c r="U95" i="8" s="1"/>
  <c r="S95" i="8"/>
  <c r="T95" i="8"/>
  <c r="O98" i="8"/>
  <c r="P98" i="8"/>
  <c r="T98" i="8"/>
  <c r="U98" i="8"/>
  <c r="L99" i="8"/>
  <c r="L97" i="8" s="1"/>
  <c r="O97" i="8" s="1"/>
  <c r="M99" i="8"/>
  <c r="P99" i="8" s="1"/>
  <c r="N99" i="8"/>
  <c r="Q99" i="8"/>
  <c r="R99" i="8"/>
  <c r="S99" i="8"/>
  <c r="S96" i="8" s="1"/>
  <c r="S94" i="8" s="1"/>
  <c r="Q100" i="8"/>
  <c r="T100" i="8" s="1"/>
  <c r="R100" i="8"/>
  <c r="U100" i="8" s="1"/>
  <c r="S100" i="8"/>
  <c r="O101" i="8"/>
  <c r="P101" i="8"/>
  <c r="T101" i="8"/>
  <c r="U101" i="8"/>
  <c r="L102" i="8"/>
  <c r="O102" i="8" s="1"/>
  <c r="M102" i="8"/>
  <c r="M100" i="8" s="1"/>
  <c r="P100" i="8" s="1"/>
  <c r="N102" i="8"/>
  <c r="N100" i="8" s="1"/>
  <c r="T102" i="8"/>
  <c r="U102" i="8"/>
  <c r="I108" i="8"/>
  <c r="K108" i="8" s="1"/>
  <c r="I109" i="8"/>
  <c r="I93" i="8" s="1"/>
  <c r="K93" i="8" s="1"/>
  <c r="I114" i="8"/>
  <c r="K114" i="8" s="1"/>
  <c r="J116" i="8"/>
  <c r="L118" i="8"/>
  <c r="M118" i="8"/>
  <c r="P118" i="8" s="1"/>
  <c r="N118" i="8"/>
  <c r="Q118" i="8"/>
  <c r="R118" i="8"/>
  <c r="S118" i="8"/>
  <c r="O121" i="8"/>
  <c r="P121" i="8"/>
  <c r="T121" i="8"/>
  <c r="U121" i="8"/>
  <c r="L122" i="8"/>
  <c r="L120" i="8" s="1"/>
  <c r="O120" i="8" s="1"/>
  <c r="M122" i="8"/>
  <c r="P122" i="8" s="1"/>
  <c r="N122" i="8"/>
  <c r="N120" i="8" s="1"/>
  <c r="Q122" i="8"/>
  <c r="R122" i="8"/>
  <c r="S122" i="8"/>
  <c r="S119" i="8" s="1"/>
  <c r="S117" i="8" s="1"/>
  <c r="Q123" i="8"/>
  <c r="T123" i="8" s="1"/>
  <c r="R123" i="8"/>
  <c r="U123" i="8" s="1"/>
  <c r="S123" i="8"/>
  <c r="O124" i="8"/>
  <c r="P124" i="8"/>
  <c r="T124" i="8"/>
  <c r="U124" i="8"/>
  <c r="L125" i="8"/>
  <c r="M125" i="8"/>
  <c r="N125" i="8"/>
  <c r="N123" i="8" s="1"/>
  <c r="T125" i="8"/>
  <c r="U125" i="8"/>
  <c r="I127" i="8"/>
  <c r="I116" i="8" s="1"/>
  <c r="I128" i="8"/>
  <c r="K128" i="8" s="1"/>
  <c r="I129" i="8"/>
  <c r="K129" i="8" s="1"/>
  <c r="I130" i="8"/>
  <c r="K130" i="8" s="1"/>
  <c r="J136" i="8"/>
  <c r="J137" i="8"/>
  <c r="J138" i="8"/>
  <c r="L140" i="8"/>
  <c r="M140" i="8"/>
  <c r="N140" i="8"/>
  <c r="Q140" i="8"/>
  <c r="R140" i="8"/>
  <c r="S140" i="8"/>
  <c r="T140" i="8"/>
  <c r="O143" i="8"/>
  <c r="P143" i="8"/>
  <c r="T143" i="8"/>
  <c r="U143" i="8"/>
  <c r="L144" i="8"/>
  <c r="L142" i="8" s="1"/>
  <c r="M144" i="8"/>
  <c r="M142" i="8" s="1"/>
  <c r="N144" i="8"/>
  <c r="Q144" i="8"/>
  <c r="R144" i="8"/>
  <c r="R142" i="8" s="1"/>
  <c r="U142" i="8" s="1"/>
  <c r="S144" i="8"/>
  <c r="S142" i="8" s="1"/>
  <c r="Q145" i="8"/>
  <c r="T145" i="8" s="1"/>
  <c r="R145" i="8"/>
  <c r="U145" i="8" s="1"/>
  <c r="S145" i="8"/>
  <c r="O146" i="8"/>
  <c r="P146" i="8"/>
  <c r="T146" i="8"/>
  <c r="U146" i="8"/>
  <c r="L147" i="8"/>
  <c r="L145" i="8" s="1"/>
  <c r="O145" i="8" s="1"/>
  <c r="M147" i="8"/>
  <c r="N147" i="8"/>
  <c r="N145" i="8" s="1"/>
  <c r="T147" i="8"/>
  <c r="U147" i="8"/>
  <c r="I150" i="8"/>
  <c r="K150" i="8" s="1"/>
  <c r="I151" i="8"/>
  <c r="K151" i="8" s="1"/>
  <c r="I152" i="8"/>
  <c r="I153" i="8"/>
  <c r="I138" i="8" s="1"/>
  <c r="I154" i="8"/>
  <c r="J156" i="8"/>
  <c r="L158" i="8"/>
  <c r="O158" i="8" s="1"/>
  <c r="M158" i="8"/>
  <c r="P158" i="8" s="1"/>
  <c r="N158" i="8"/>
  <c r="Q158" i="8"/>
  <c r="R158" i="8"/>
  <c r="U158" i="8" s="1"/>
  <c r="S158" i="8"/>
  <c r="T158" i="8"/>
  <c r="O161" i="8"/>
  <c r="P161" i="8"/>
  <c r="T161" i="8"/>
  <c r="U161" i="8"/>
  <c r="L162" i="8"/>
  <c r="M162" i="8"/>
  <c r="N162" i="8"/>
  <c r="N160" i="8" s="1"/>
  <c r="Q162" i="8"/>
  <c r="Q160" i="8" s="1"/>
  <c r="T160" i="8" s="1"/>
  <c r="R162" i="8"/>
  <c r="R159" i="8" s="1"/>
  <c r="U159" i="8" s="1"/>
  <c r="S162" i="8"/>
  <c r="S159" i="8" s="1"/>
  <c r="Q163" i="8"/>
  <c r="R163" i="8"/>
  <c r="U163" i="8" s="1"/>
  <c r="S163" i="8"/>
  <c r="T163" i="8"/>
  <c r="O164" i="8"/>
  <c r="P164" i="8"/>
  <c r="T164" i="8"/>
  <c r="U164" i="8"/>
  <c r="L165" i="8"/>
  <c r="O165" i="8" s="1"/>
  <c r="M165" i="8"/>
  <c r="N165" i="8"/>
  <c r="N163" i="8" s="1"/>
  <c r="T165" i="8"/>
  <c r="U165" i="8"/>
  <c r="I167" i="8"/>
  <c r="K167" i="8" s="1"/>
  <c r="J172" i="8"/>
  <c r="L174" i="8"/>
  <c r="M174" i="8"/>
  <c r="P174" i="8" s="1"/>
  <c r="N174" i="8"/>
  <c r="O174" i="8"/>
  <c r="Q174" i="8"/>
  <c r="R174" i="8"/>
  <c r="S174" i="8"/>
  <c r="T174" i="8"/>
  <c r="U174" i="8"/>
  <c r="O177" i="8"/>
  <c r="P177" i="8"/>
  <c r="T177" i="8"/>
  <c r="U177" i="8"/>
  <c r="L178" i="8"/>
  <c r="M178" i="8"/>
  <c r="M176" i="8" s="1"/>
  <c r="N178" i="8"/>
  <c r="Q178" i="8"/>
  <c r="Q176" i="8" s="1"/>
  <c r="T176" i="8" s="1"/>
  <c r="R178" i="8"/>
  <c r="R175" i="8" s="1"/>
  <c r="U175" i="8" s="1"/>
  <c r="S178" i="8"/>
  <c r="Q179" i="8"/>
  <c r="T179" i="8" s="1"/>
  <c r="R179" i="8"/>
  <c r="S179" i="8"/>
  <c r="U179" i="8"/>
  <c r="O180" i="8"/>
  <c r="P180" i="8"/>
  <c r="T180" i="8"/>
  <c r="U180" i="8"/>
  <c r="L181" i="8"/>
  <c r="O181" i="8" s="1"/>
  <c r="M181" i="8"/>
  <c r="P181" i="8" s="1"/>
  <c r="N181" i="8"/>
  <c r="N179" i="8" s="1"/>
  <c r="T181" i="8"/>
  <c r="U181" i="8"/>
  <c r="I183" i="8"/>
  <c r="I172" i="8" s="1"/>
  <c r="K172" i="8" s="1"/>
  <c r="K184" i="8"/>
  <c r="L187" i="8"/>
  <c r="O187" i="8" s="1"/>
  <c r="M187" i="8"/>
  <c r="P187" i="8" s="1"/>
  <c r="N187" i="8"/>
  <c r="Q187" i="8"/>
  <c r="R187" i="8"/>
  <c r="S187" i="8"/>
  <c r="O190" i="8"/>
  <c r="P190" i="8"/>
  <c r="T190" i="8"/>
  <c r="U190" i="8"/>
  <c r="L191" i="8"/>
  <c r="M191" i="8"/>
  <c r="N191" i="8"/>
  <c r="Q191" i="8"/>
  <c r="Q188" i="8" s="1"/>
  <c r="R191" i="8"/>
  <c r="S191" i="8"/>
  <c r="S188" i="8" s="1"/>
  <c r="S186" i="8" s="1"/>
  <c r="Q192" i="8"/>
  <c r="R192" i="8"/>
  <c r="S192" i="8"/>
  <c r="T192" i="8"/>
  <c r="U192" i="8"/>
  <c r="O193" i="8"/>
  <c r="P193" i="8"/>
  <c r="T193" i="8"/>
  <c r="U193" i="8"/>
  <c r="L194" i="8"/>
  <c r="M194" i="8"/>
  <c r="N194" i="8"/>
  <c r="N192" i="8" s="1"/>
  <c r="T194" i="8"/>
  <c r="U194" i="8"/>
  <c r="J195" i="8"/>
  <c r="L196" i="8"/>
  <c r="O196" i="8" s="1"/>
  <c r="P196" i="8"/>
  <c r="I198" i="8"/>
  <c r="K198" i="8" s="1"/>
  <c r="J199" i="8"/>
  <c r="J202" i="8"/>
  <c r="N203" i="8"/>
  <c r="P203" i="8"/>
  <c r="S203" i="8"/>
  <c r="U203" i="8"/>
  <c r="L204" i="8"/>
  <c r="L205" i="8"/>
  <c r="L206" i="8"/>
  <c r="Q206" i="8"/>
  <c r="Q203" i="8" s="1"/>
  <c r="T203" i="8" s="1"/>
  <c r="L207" i="8"/>
  <c r="I209" i="8"/>
  <c r="K209" i="8" s="1"/>
  <c r="I211" i="8"/>
  <c r="K211" i="8" s="1"/>
  <c r="I212" i="8"/>
  <c r="K212" i="8" s="1"/>
  <c r="J213" i="8"/>
  <c r="N214" i="8"/>
  <c r="P214" i="8"/>
  <c r="S214" i="8"/>
  <c r="U214" i="8"/>
  <c r="L215" i="8"/>
  <c r="L216" i="8"/>
  <c r="L217" i="8"/>
  <c r="Q217" i="8"/>
  <c r="Q214" i="8" s="1"/>
  <c r="T214" i="8" s="1"/>
  <c r="I219" i="8"/>
  <c r="K219" i="8" s="1"/>
  <c r="I220" i="8"/>
  <c r="J221" i="8"/>
  <c r="N222" i="8"/>
  <c r="P222" i="8"/>
  <c r="L223" i="8"/>
  <c r="L224" i="8"/>
  <c r="L225" i="8"/>
  <c r="I228" i="8"/>
  <c r="K228" i="8" s="1"/>
  <c r="I229" i="8"/>
  <c r="I221" i="8" s="1"/>
  <c r="I230" i="8"/>
  <c r="K230" i="8" s="1"/>
  <c r="S232" i="8"/>
  <c r="N233" i="8"/>
  <c r="Q233" i="8"/>
  <c r="S233" i="8"/>
  <c r="N234" i="8"/>
  <c r="Q234" i="8"/>
  <c r="S234" i="8"/>
  <c r="N235" i="8"/>
  <c r="S235" i="8"/>
  <c r="N236" i="8"/>
  <c r="Q236" i="8"/>
  <c r="S236" i="8"/>
  <c r="J238" i="8"/>
  <c r="J240" i="8"/>
  <c r="J241" i="8"/>
  <c r="J242" i="8"/>
  <c r="J231" i="8" s="1"/>
  <c r="J185" i="8" s="1"/>
  <c r="N243" i="8"/>
  <c r="N232" i="8" s="1"/>
  <c r="P243" i="8"/>
  <c r="S243" i="8"/>
  <c r="U243" i="8"/>
  <c r="L244" i="8"/>
  <c r="L245" i="8"/>
  <c r="L246" i="8"/>
  <c r="Q246" i="8"/>
  <c r="Q235" i="8" s="1"/>
  <c r="L247" i="8"/>
  <c r="I249" i="8"/>
  <c r="I251" i="8"/>
  <c r="I240" i="8" s="1"/>
  <c r="K240" i="8" s="1"/>
  <c r="I252" i="8"/>
  <c r="K252" i="8" s="1"/>
  <c r="J253" i="8"/>
  <c r="N254" i="8"/>
  <c r="P254" i="8"/>
  <c r="L255" i="8"/>
  <c r="L256" i="8"/>
  <c r="L257" i="8"/>
  <c r="L258" i="8"/>
  <c r="I260" i="8"/>
  <c r="I253" i="8" s="1"/>
  <c r="K253" i="8" s="1"/>
  <c r="K262" i="8"/>
  <c r="K263" i="8"/>
  <c r="J265" i="8"/>
  <c r="L267" i="8"/>
  <c r="O267" i="8" s="1"/>
  <c r="M267" i="8"/>
  <c r="N267" i="8"/>
  <c r="Q267" i="8"/>
  <c r="R267" i="8"/>
  <c r="S267" i="8"/>
  <c r="T267" i="8"/>
  <c r="U267" i="8"/>
  <c r="O270" i="8"/>
  <c r="P270" i="8"/>
  <c r="T270" i="8"/>
  <c r="U270" i="8"/>
  <c r="L271" i="8"/>
  <c r="M271" i="8"/>
  <c r="N271" i="8"/>
  <c r="N269" i="8" s="1"/>
  <c r="Q271" i="8"/>
  <c r="Q268" i="8" s="1"/>
  <c r="Q266" i="8" s="1"/>
  <c r="R271" i="8"/>
  <c r="S271" i="8"/>
  <c r="S268" i="8" s="1"/>
  <c r="Q272" i="8"/>
  <c r="T272" i="8" s="1"/>
  <c r="R272" i="8"/>
  <c r="U272" i="8" s="1"/>
  <c r="S272" i="8"/>
  <c r="O273" i="8"/>
  <c r="P273" i="8"/>
  <c r="T273" i="8"/>
  <c r="U273" i="8"/>
  <c r="L274" i="8"/>
  <c r="M274" i="8"/>
  <c r="P274" i="8" s="1"/>
  <c r="N274" i="8"/>
  <c r="N272" i="8" s="1"/>
  <c r="T274" i="8"/>
  <c r="U274" i="8"/>
  <c r="I276" i="8"/>
  <c r="I265" i="8" s="1"/>
  <c r="K265" i="8" s="1"/>
  <c r="J280" i="8"/>
  <c r="J281" i="8"/>
  <c r="L283" i="8"/>
  <c r="M283" i="8"/>
  <c r="N283" i="8"/>
  <c r="O283" i="8"/>
  <c r="P283" i="8"/>
  <c r="Q283" i="8"/>
  <c r="R283" i="8"/>
  <c r="R282" i="8" s="1"/>
  <c r="U282" i="8" s="1"/>
  <c r="S283" i="8"/>
  <c r="T283" i="8"/>
  <c r="U283" i="8"/>
  <c r="Q284" i="8"/>
  <c r="T284" i="8" s="1"/>
  <c r="R284" i="8"/>
  <c r="U284" i="8" s="1"/>
  <c r="S284" i="8"/>
  <c r="S282" i="8" s="1"/>
  <c r="Q285" i="8"/>
  <c r="T285" i="8" s="1"/>
  <c r="R285" i="8"/>
  <c r="U285" i="8" s="1"/>
  <c r="S285" i="8"/>
  <c r="O286" i="8"/>
  <c r="P286" i="8"/>
  <c r="T286" i="8"/>
  <c r="U286" i="8"/>
  <c r="L287" i="8"/>
  <c r="M287" i="8"/>
  <c r="M285" i="8" s="1"/>
  <c r="N287" i="8"/>
  <c r="T287" i="8"/>
  <c r="U287" i="8"/>
  <c r="Q288" i="8"/>
  <c r="T288" i="8" s="1"/>
  <c r="R288" i="8"/>
  <c r="U288" i="8" s="1"/>
  <c r="S288" i="8"/>
  <c r="O289" i="8"/>
  <c r="P289" i="8"/>
  <c r="T289" i="8"/>
  <c r="U289" i="8"/>
  <c r="L290" i="8"/>
  <c r="O290" i="8" s="1"/>
  <c r="M290" i="8"/>
  <c r="N290" i="8"/>
  <c r="N288" i="8" s="1"/>
  <c r="T290" i="8"/>
  <c r="U290" i="8"/>
  <c r="I292" i="8"/>
  <c r="I281" i="8" s="1"/>
  <c r="K281" i="8" s="1"/>
  <c r="I293" i="8"/>
  <c r="K293" i="8" s="1"/>
  <c r="J293" i="8"/>
  <c r="I295" i="8"/>
  <c r="K295" i="8" s="1"/>
  <c r="I296" i="8"/>
  <c r="K296" i="8" s="1"/>
  <c r="J302" i="8"/>
  <c r="L304" i="8"/>
  <c r="M304" i="8"/>
  <c r="N304" i="8"/>
  <c r="O304" i="8"/>
  <c r="Q304" i="8"/>
  <c r="R304" i="8"/>
  <c r="S304" i="8"/>
  <c r="T304" i="8"/>
  <c r="U304" i="8"/>
  <c r="O307" i="8"/>
  <c r="P307" i="8"/>
  <c r="T307" i="8"/>
  <c r="U307" i="8"/>
  <c r="L308" i="8"/>
  <c r="M308" i="8"/>
  <c r="M306" i="8" s="1"/>
  <c r="N308" i="8"/>
  <c r="N306" i="8" s="1"/>
  <c r="Q308" i="8"/>
  <c r="Q305" i="8" s="1"/>
  <c r="R308" i="8"/>
  <c r="R305" i="8" s="1"/>
  <c r="S308" i="8"/>
  <c r="Q309" i="8"/>
  <c r="R309" i="8"/>
  <c r="U309" i="8" s="1"/>
  <c r="S309" i="8"/>
  <c r="T309" i="8"/>
  <c r="O310" i="8"/>
  <c r="P310" i="8"/>
  <c r="T310" i="8"/>
  <c r="U310" i="8"/>
  <c r="L311" i="8"/>
  <c r="M311" i="8"/>
  <c r="M309" i="8" s="1"/>
  <c r="P309" i="8" s="1"/>
  <c r="N311" i="8"/>
  <c r="N309" i="8" s="1"/>
  <c r="T311" i="8"/>
  <c r="U311" i="8"/>
  <c r="I314" i="8"/>
  <c r="I302" i="8" s="1"/>
  <c r="K302" i="8" s="1"/>
  <c r="J319" i="8"/>
  <c r="L321" i="8"/>
  <c r="M321" i="8"/>
  <c r="N321" i="8"/>
  <c r="Q321" i="8"/>
  <c r="R321" i="8"/>
  <c r="S321" i="8"/>
  <c r="Q322" i="8"/>
  <c r="T322" i="8" s="1"/>
  <c r="R322" i="8"/>
  <c r="U322" i="8" s="1"/>
  <c r="S322" i="8"/>
  <c r="Q323" i="8"/>
  <c r="T323" i="8" s="1"/>
  <c r="R323" i="8"/>
  <c r="U323" i="8" s="1"/>
  <c r="S323" i="8"/>
  <c r="O324" i="8"/>
  <c r="P324" i="8"/>
  <c r="T324" i="8"/>
  <c r="U324" i="8"/>
  <c r="L325" i="8"/>
  <c r="M325" i="8"/>
  <c r="M323" i="8" s="1"/>
  <c r="P323" i="8" s="1"/>
  <c r="N325" i="8"/>
  <c r="N323" i="8" s="1"/>
  <c r="T325" i="8"/>
  <c r="U325" i="8"/>
  <c r="Q326" i="8"/>
  <c r="R326" i="8"/>
  <c r="S326" i="8"/>
  <c r="T326" i="8"/>
  <c r="U326" i="8"/>
  <c r="O327" i="8"/>
  <c r="P327" i="8"/>
  <c r="T327" i="8"/>
  <c r="U327" i="8"/>
  <c r="L328" i="8"/>
  <c r="M328" i="8"/>
  <c r="P328" i="8" s="1"/>
  <c r="N328" i="8"/>
  <c r="N326" i="8" s="1"/>
  <c r="T328" i="8"/>
  <c r="U328" i="8"/>
  <c r="I330" i="8"/>
  <c r="K330" i="8" s="1"/>
  <c r="L334" i="8"/>
  <c r="M334" i="8"/>
  <c r="N334" i="8"/>
  <c r="O334" i="8"/>
  <c r="Q334" i="8"/>
  <c r="T334" i="8" s="1"/>
  <c r="R334" i="8"/>
  <c r="S334" i="8"/>
  <c r="Q335" i="8"/>
  <c r="T335" i="8" s="1"/>
  <c r="R335" i="8"/>
  <c r="U335" i="8" s="1"/>
  <c r="S335" i="8"/>
  <c r="Q336" i="8"/>
  <c r="T336" i="8" s="1"/>
  <c r="R336" i="8"/>
  <c r="U336" i="8" s="1"/>
  <c r="S336" i="8"/>
  <c r="O337" i="8"/>
  <c r="P337" i="8"/>
  <c r="T337" i="8"/>
  <c r="U337" i="8"/>
  <c r="L338" i="8"/>
  <c r="M338" i="8"/>
  <c r="N338" i="8"/>
  <c r="N336" i="8" s="1"/>
  <c r="T338" i="8"/>
  <c r="U338" i="8"/>
  <c r="Q339" i="8"/>
  <c r="R339" i="8"/>
  <c r="S339" i="8"/>
  <c r="T339" i="8"/>
  <c r="U339" i="8"/>
  <c r="O340" i="8"/>
  <c r="P340" i="8"/>
  <c r="T340" i="8"/>
  <c r="U340" i="8"/>
  <c r="L341" i="8"/>
  <c r="M341" i="8"/>
  <c r="N341" i="8"/>
  <c r="N339" i="8" s="1"/>
  <c r="T341" i="8"/>
  <c r="U341" i="8"/>
  <c r="I344" i="8"/>
  <c r="J344" i="8"/>
  <c r="I346" i="8"/>
  <c r="J346" i="8"/>
  <c r="J347" i="8"/>
  <c r="J348" i="8"/>
  <c r="J349" i="8"/>
  <c r="D350" i="8"/>
  <c r="J352" i="8"/>
  <c r="J353" i="8"/>
  <c r="D354" i="8"/>
  <c r="L357" i="8"/>
  <c r="M357" i="8"/>
  <c r="P357" i="8" s="1"/>
  <c r="N357" i="8"/>
  <c r="O357" i="8"/>
  <c r="Q357" i="8"/>
  <c r="T357" i="8" s="1"/>
  <c r="R357" i="8"/>
  <c r="R356" i="8" s="1"/>
  <c r="U356" i="8" s="1"/>
  <c r="S357" i="8"/>
  <c r="S356" i="8" s="1"/>
  <c r="U357" i="8"/>
  <c r="Q358" i="8"/>
  <c r="R358" i="8"/>
  <c r="S358" i="8"/>
  <c r="U358" i="8"/>
  <c r="Q359" i="8"/>
  <c r="T359" i="8" s="1"/>
  <c r="R359" i="8"/>
  <c r="U359" i="8" s="1"/>
  <c r="S359" i="8"/>
  <c r="O360" i="8"/>
  <c r="P360" i="8"/>
  <c r="T360" i="8"/>
  <c r="U360" i="8"/>
  <c r="L361" i="8"/>
  <c r="L359" i="8" s="1"/>
  <c r="M361" i="8"/>
  <c r="M359" i="8" s="1"/>
  <c r="N361" i="8"/>
  <c r="N359" i="8" s="1"/>
  <c r="T361" i="8"/>
  <c r="U361" i="8"/>
  <c r="Q362" i="8"/>
  <c r="R362" i="8"/>
  <c r="S362" i="8"/>
  <c r="T362" i="8"/>
  <c r="U362" i="8"/>
  <c r="O363" i="8"/>
  <c r="P363" i="8"/>
  <c r="T363" i="8"/>
  <c r="U363" i="8"/>
  <c r="L364" i="8"/>
  <c r="O364" i="8" s="1"/>
  <c r="M364" i="8"/>
  <c r="N364" i="8"/>
  <c r="N362" i="8" s="1"/>
  <c r="T364" i="8"/>
  <c r="U364" i="8"/>
  <c r="J367" i="8"/>
  <c r="K367" i="8"/>
  <c r="I368" i="8"/>
  <c r="J368" i="8"/>
  <c r="I369" i="8"/>
  <c r="J369" i="8"/>
  <c r="J370" i="8"/>
  <c r="K370" i="8"/>
  <c r="I371" i="8"/>
  <c r="J371" i="8"/>
  <c r="J365" i="8" s="1"/>
  <c r="J372" i="8"/>
  <c r="K372" i="8"/>
  <c r="D373" i="8"/>
  <c r="L376" i="8"/>
  <c r="M376" i="8"/>
  <c r="N376" i="8"/>
  <c r="O376" i="8"/>
  <c r="P376" i="8"/>
  <c r="Q376" i="8"/>
  <c r="R376" i="8"/>
  <c r="U376" i="8" s="1"/>
  <c r="S376" i="8"/>
  <c r="L377" i="8"/>
  <c r="M377" i="8"/>
  <c r="N377" i="8"/>
  <c r="N375" i="8" s="1"/>
  <c r="L378" i="8"/>
  <c r="O378" i="8" s="1"/>
  <c r="M378" i="8"/>
  <c r="P378" i="8" s="1"/>
  <c r="N378" i="8"/>
  <c r="O379" i="8"/>
  <c r="P379" i="8"/>
  <c r="T379" i="8"/>
  <c r="U379" i="8"/>
  <c r="O380" i="8"/>
  <c r="P380" i="8"/>
  <c r="Q380" i="8"/>
  <c r="R380" i="8"/>
  <c r="R378" i="8" s="1"/>
  <c r="S380" i="8"/>
  <c r="S377" i="8" s="1"/>
  <c r="S375" i="8" s="1"/>
  <c r="L381" i="8"/>
  <c r="O381" i="8" s="1"/>
  <c r="M381" i="8"/>
  <c r="N381" i="8"/>
  <c r="P381" i="8"/>
  <c r="Q381" i="8"/>
  <c r="T381" i="8" s="1"/>
  <c r="R381" i="8"/>
  <c r="U381" i="8" s="1"/>
  <c r="S381" i="8"/>
  <c r="O382" i="8"/>
  <c r="P382" i="8"/>
  <c r="T382" i="8"/>
  <c r="U382" i="8"/>
  <c r="O383" i="8"/>
  <c r="P383" i="8"/>
  <c r="T383" i="8"/>
  <c r="U383" i="8"/>
  <c r="J385" i="8"/>
  <c r="K385" i="8"/>
  <c r="I386" i="8"/>
  <c r="J386" i="8"/>
  <c r="J387" i="8"/>
  <c r="K387" i="8"/>
  <c r="I388" i="8"/>
  <c r="J388" i="8"/>
  <c r="I391" i="8"/>
  <c r="K391" i="8" s="1"/>
  <c r="J391" i="8"/>
  <c r="Q392" i="8"/>
  <c r="T392" i="8" s="1"/>
  <c r="L393" i="8"/>
  <c r="M393" i="8"/>
  <c r="N393" i="8"/>
  <c r="Q393" i="8"/>
  <c r="T393" i="8" s="1"/>
  <c r="R393" i="8"/>
  <c r="S393" i="8"/>
  <c r="S392" i="8" s="1"/>
  <c r="L394" i="8"/>
  <c r="M394" i="8"/>
  <c r="P394" i="8" s="1"/>
  <c r="N394" i="8"/>
  <c r="N392" i="8" s="1"/>
  <c r="O394" i="8"/>
  <c r="Q394" i="8"/>
  <c r="R394" i="8"/>
  <c r="S394" i="8"/>
  <c r="T394" i="8"/>
  <c r="U394" i="8"/>
  <c r="L395" i="8"/>
  <c r="O395" i="8" s="1"/>
  <c r="M395" i="8"/>
  <c r="N395" i="8"/>
  <c r="P395" i="8"/>
  <c r="Q395" i="8"/>
  <c r="T395" i="8" s="1"/>
  <c r="R395" i="8"/>
  <c r="S395" i="8"/>
  <c r="U395" i="8"/>
  <c r="O396" i="8"/>
  <c r="P396" i="8"/>
  <c r="T396" i="8"/>
  <c r="U396" i="8"/>
  <c r="O397" i="8"/>
  <c r="P397" i="8"/>
  <c r="T397" i="8"/>
  <c r="U397" i="8"/>
  <c r="L398" i="8"/>
  <c r="O398" i="8" s="1"/>
  <c r="M398" i="8"/>
  <c r="P398" i="8" s="1"/>
  <c r="N398" i="8"/>
  <c r="Q398" i="8"/>
  <c r="T398" i="8" s="1"/>
  <c r="R398" i="8"/>
  <c r="U398" i="8" s="1"/>
  <c r="S398" i="8"/>
  <c r="O399" i="8"/>
  <c r="P399" i="8"/>
  <c r="T399" i="8"/>
  <c r="U399" i="8"/>
  <c r="O400" i="8"/>
  <c r="P400" i="8"/>
  <c r="T400" i="8"/>
  <c r="U400" i="8"/>
  <c r="N413" i="8"/>
  <c r="L414" i="8"/>
  <c r="M414" i="8"/>
  <c r="N414" i="8"/>
  <c r="O414" i="8"/>
  <c r="P414" i="8"/>
  <c r="Q414" i="8"/>
  <c r="T414" i="8" s="1"/>
  <c r="R414" i="8"/>
  <c r="S414" i="8"/>
  <c r="U414" i="8"/>
  <c r="L415" i="8"/>
  <c r="M415" i="8"/>
  <c r="P415" i="8" s="1"/>
  <c r="N415" i="8"/>
  <c r="L416" i="8"/>
  <c r="O416" i="8" s="1"/>
  <c r="M416" i="8"/>
  <c r="P416" i="8" s="1"/>
  <c r="N416" i="8"/>
  <c r="O417" i="8"/>
  <c r="P417" i="8"/>
  <c r="T417" i="8"/>
  <c r="U417" i="8"/>
  <c r="O418" i="8"/>
  <c r="P418" i="8"/>
  <c r="Q418" i="8"/>
  <c r="Q416" i="8" s="1"/>
  <c r="T416" i="8" s="1"/>
  <c r="R418" i="8"/>
  <c r="S418" i="8"/>
  <c r="L419" i="8"/>
  <c r="M419" i="8"/>
  <c r="P419" i="8" s="1"/>
  <c r="N419" i="8"/>
  <c r="O419" i="8"/>
  <c r="Q419" i="8"/>
  <c r="T419" i="8" s="1"/>
  <c r="R419" i="8"/>
  <c r="S419" i="8"/>
  <c r="U419" i="8"/>
  <c r="O420" i="8"/>
  <c r="P420" i="8"/>
  <c r="T420" i="8"/>
  <c r="U420" i="8"/>
  <c r="O421" i="8"/>
  <c r="P421" i="8"/>
  <c r="T421" i="8"/>
  <c r="U421" i="8"/>
  <c r="I424" i="8"/>
  <c r="K424" i="8" s="1"/>
  <c r="J424" i="8"/>
  <c r="I425" i="8"/>
  <c r="K425" i="8" s="1"/>
  <c r="J425" i="8"/>
  <c r="I432" i="8"/>
  <c r="K432" i="8" s="1"/>
  <c r="J432" i="8"/>
  <c r="I433" i="8"/>
  <c r="K433" i="8" s="1"/>
  <c r="J433" i="8"/>
  <c r="I440" i="8"/>
  <c r="I423" i="8" s="1"/>
  <c r="J440" i="8"/>
  <c r="J423" i="8" s="1"/>
  <c r="J412" i="8" s="1"/>
  <c r="I441" i="8"/>
  <c r="K441" i="8" s="1"/>
  <c r="J446" i="8"/>
  <c r="J447" i="8"/>
  <c r="J441" i="8" s="1"/>
  <c r="I457" i="8"/>
  <c r="I456" i="8" s="1"/>
  <c r="K456" i="8" s="1"/>
  <c r="I458" i="8"/>
  <c r="K458" i="8" s="1"/>
  <c r="J459" i="8"/>
  <c r="J460" i="8"/>
  <c r="J458" i="8" s="1"/>
  <c r="J467" i="8"/>
  <c r="J457" i="8" s="1"/>
  <c r="J456" i="8" s="1"/>
  <c r="J468" i="8"/>
  <c r="J475" i="8"/>
  <c r="K475" i="8"/>
  <c r="J476" i="8"/>
  <c r="K476" i="8"/>
  <c r="J477" i="8"/>
  <c r="K477" i="8"/>
  <c r="J482" i="8"/>
  <c r="J483" i="8"/>
  <c r="I484" i="8"/>
  <c r="J484" i="8"/>
  <c r="K484" i="8"/>
  <c r="I485" i="8"/>
  <c r="K485" i="8" s="1"/>
  <c r="J485" i="8"/>
  <c r="L494" i="8"/>
  <c r="O494" i="8" s="1"/>
  <c r="M494" i="8"/>
  <c r="N494" i="8"/>
  <c r="Q494" i="8"/>
  <c r="T494" i="8" s="1"/>
  <c r="R494" i="8"/>
  <c r="U494" i="8" s="1"/>
  <c r="S494" i="8"/>
  <c r="L495" i="8"/>
  <c r="O495" i="8" s="1"/>
  <c r="M495" i="8"/>
  <c r="P495" i="8" s="1"/>
  <c r="N495" i="8"/>
  <c r="L496" i="8"/>
  <c r="O496" i="8" s="1"/>
  <c r="M496" i="8"/>
  <c r="N496" i="8"/>
  <c r="P496" i="8"/>
  <c r="O497" i="8"/>
  <c r="P497" i="8"/>
  <c r="T497" i="8"/>
  <c r="U497" i="8"/>
  <c r="O498" i="8"/>
  <c r="P498" i="8"/>
  <c r="Q498" i="8"/>
  <c r="Q495" i="8" s="1"/>
  <c r="T495" i="8" s="1"/>
  <c r="R498" i="8"/>
  <c r="R496" i="8" s="1"/>
  <c r="U496" i="8" s="1"/>
  <c r="S498" i="8"/>
  <c r="L499" i="8"/>
  <c r="M499" i="8"/>
  <c r="P499" i="8" s="1"/>
  <c r="N499" i="8"/>
  <c r="O499" i="8"/>
  <c r="Q499" i="8"/>
  <c r="R499" i="8"/>
  <c r="U499" i="8" s="1"/>
  <c r="S499" i="8"/>
  <c r="T499" i="8"/>
  <c r="O500" i="8"/>
  <c r="P500" i="8"/>
  <c r="T500" i="8"/>
  <c r="U500" i="8"/>
  <c r="O501" i="8"/>
  <c r="P501" i="8"/>
  <c r="T501" i="8"/>
  <c r="U501" i="8"/>
  <c r="I503" i="8"/>
  <c r="I504" i="8"/>
  <c r="I505" i="8"/>
  <c r="K505" i="8" s="1"/>
  <c r="I506" i="8"/>
  <c r="K506" i="8" s="1"/>
  <c r="I507" i="8"/>
  <c r="K507" i="8" s="1"/>
  <c r="K508" i="8"/>
  <c r="I509" i="8"/>
  <c r="K509" i="8" s="1"/>
  <c r="I512" i="8"/>
  <c r="K512" i="8" s="1"/>
  <c r="J512" i="8"/>
  <c r="L514" i="8"/>
  <c r="M514" i="8"/>
  <c r="N514" i="8"/>
  <c r="P514" i="8"/>
  <c r="Q514" i="8"/>
  <c r="R514" i="8"/>
  <c r="S514" i="8"/>
  <c r="Q515" i="8"/>
  <c r="R515" i="8"/>
  <c r="U515" i="8" s="1"/>
  <c r="S515" i="8"/>
  <c r="S513" i="8" s="1"/>
  <c r="T515" i="8"/>
  <c r="Q516" i="8"/>
  <c r="R516" i="8"/>
  <c r="S516" i="8"/>
  <c r="T516" i="8"/>
  <c r="U516" i="8"/>
  <c r="O517" i="8"/>
  <c r="P517" i="8"/>
  <c r="T517" i="8"/>
  <c r="U517" i="8"/>
  <c r="L518" i="8"/>
  <c r="O518" i="8" s="1"/>
  <c r="M518" i="8"/>
  <c r="N518" i="8"/>
  <c r="N516" i="8" s="1"/>
  <c r="T518" i="8"/>
  <c r="U518" i="8"/>
  <c r="Q519" i="8"/>
  <c r="T519" i="8" s="1"/>
  <c r="R519" i="8"/>
  <c r="U519" i="8" s="1"/>
  <c r="S519" i="8"/>
  <c r="O520" i="8"/>
  <c r="P520" i="8"/>
  <c r="T520" i="8"/>
  <c r="U520" i="8"/>
  <c r="L521" i="8"/>
  <c r="L519" i="8" s="1"/>
  <c r="O519" i="8" s="1"/>
  <c r="M521" i="8"/>
  <c r="P521" i="8" s="1"/>
  <c r="N521" i="8"/>
  <c r="N519" i="8" s="1"/>
  <c r="T521" i="8"/>
  <c r="U521" i="8"/>
  <c r="K523" i="8"/>
  <c r="K524" i="8"/>
  <c r="I533" i="8"/>
  <c r="J533" i="8"/>
  <c r="K533" i="8"/>
  <c r="L535" i="8"/>
  <c r="M535" i="8"/>
  <c r="N535" i="8"/>
  <c r="Q535" i="8"/>
  <c r="R535" i="8"/>
  <c r="S535" i="8"/>
  <c r="L536" i="8"/>
  <c r="M536" i="8"/>
  <c r="P536" i="8" s="1"/>
  <c r="N536" i="8"/>
  <c r="N534" i="8" s="1"/>
  <c r="O536" i="8"/>
  <c r="Q536" i="8"/>
  <c r="R536" i="8"/>
  <c r="U536" i="8" s="1"/>
  <c r="S536" i="8"/>
  <c r="T536" i="8"/>
  <c r="L537" i="8"/>
  <c r="O537" i="8" s="1"/>
  <c r="M537" i="8"/>
  <c r="N537" i="8"/>
  <c r="P537" i="8"/>
  <c r="Q537" i="8"/>
  <c r="T537" i="8" s="1"/>
  <c r="R537" i="8"/>
  <c r="U537" i="8" s="1"/>
  <c r="S537" i="8"/>
  <c r="O538" i="8"/>
  <c r="P538" i="8"/>
  <c r="T538" i="8"/>
  <c r="U538" i="8"/>
  <c r="O539" i="8"/>
  <c r="P539" i="8"/>
  <c r="T539" i="8"/>
  <c r="U539" i="8"/>
  <c r="L540" i="8"/>
  <c r="M540" i="8"/>
  <c r="P540" i="8" s="1"/>
  <c r="N540" i="8"/>
  <c r="O540" i="8"/>
  <c r="Q540" i="8"/>
  <c r="T540" i="8" s="1"/>
  <c r="R540" i="8"/>
  <c r="S540" i="8"/>
  <c r="U540" i="8"/>
  <c r="O541" i="8"/>
  <c r="P541" i="8"/>
  <c r="T541" i="8"/>
  <c r="U541" i="8"/>
  <c r="O542" i="8"/>
  <c r="P542" i="8"/>
  <c r="T542" i="8"/>
  <c r="U542" i="8"/>
  <c r="I554" i="8"/>
  <c r="J554" i="8"/>
  <c r="K554" i="8"/>
  <c r="M555" i="8"/>
  <c r="P555" i="8" s="1"/>
  <c r="L556" i="8"/>
  <c r="O556" i="8" s="1"/>
  <c r="M556" i="8"/>
  <c r="N556" i="8"/>
  <c r="P556" i="8"/>
  <c r="Q556" i="8"/>
  <c r="R556" i="8"/>
  <c r="U556" i="8" s="1"/>
  <c r="S556" i="8"/>
  <c r="T556" i="8"/>
  <c r="L557" i="8"/>
  <c r="M557" i="8"/>
  <c r="P557" i="8" s="1"/>
  <c r="N557" i="8"/>
  <c r="Q557" i="8"/>
  <c r="T557" i="8" s="1"/>
  <c r="R557" i="8"/>
  <c r="S557" i="8"/>
  <c r="S555" i="8" s="1"/>
  <c r="L558" i="8"/>
  <c r="O558" i="8" s="1"/>
  <c r="M558" i="8"/>
  <c r="P558" i="8" s="1"/>
  <c r="N558" i="8"/>
  <c r="Q558" i="8"/>
  <c r="T558" i="8" s="1"/>
  <c r="R558" i="8"/>
  <c r="U558" i="8" s="1"/>
  <c r="S558" i="8"/>
  <c r="O559" i="8"/>
  <c r="P559" i="8"/>
  <c r="T559" i="8"/>
  <c r="U559" i="8"/>
  <c r="O560" i="8"/>
  <c r="P560" i="8"/>
  <c r="T560" i="8"/>
  <c r="U560" i="8"/>
  <c r="L561" i="8"/>
  <c r="O561" i="8" s="1"/>
  <c r="M561" i="8"/>
  <c r="P561" i="8" s="1"/>
  <c r="N561" i="8"/>
  <c r="Q561" i="8"/>
  <c r="R561" i="8"/>
  <c r="U561" i="8" s="1"/>
  <c r="S561" i="8"/>
  <c r="T561" i="8"/>
  <c r="O562" i="8"/>
  <c r="P562" i="8"/>
  <c r="T562" i="8"/>
  <c r="U562" i="8"/>
  <c r="O563" i="8"/>
  <c r="P563" i="8"/>
  <c r="T563" i="8"/>
  <c r="U563" i="8"/>
  <c r="I575" i="8"/>
  <c r="K575" i="8" s="1"/>
  <c r="J575" i="8"/>
  <c r="Q576" i="8"/>
  <c r="T576" i="8" s="1"/>
  <c r="L577" i="8"/>
  <c r="M577" i="8"/>
  <c r="N577" i="8"/>
  <c r="Q577" i="8"/>
  <c r="T577" i="8" s="1"/>
  <c r="R577" i="8"/>
  <c r="S577" i="8"/>
  <c r="L578" i="8"/>
  <c r="O578" i="8" s="1"/>
  <c r="M578" i="8"/>
  <c r="P578" i="8" s="1"/>
  <c r="N578" i="8"/>
  <c r="Q578" i="8"/>
  <c r="R578" i="8"/>
  <c r="U578" i="8" s="1"/>
  <c r="S578" i="8"/>
  <c r="T578" i="8"/>
  <c r="L579" i="8"/>
  <c r="M579" i="8"/>
  <c r="N579" i="8"/>
  <c r="O579" i="8"/>
  <c r="P579" i="8"/>
  <c r="Q579" i="8"/>
  <c r="T579" i="8" s="1"/>
  <c r="R579" i="8"/>
  <c r="S579" i="8"/>
  <c r="U579" i="8"/>
  <c r="O580" i="8"/>
  <c r="P580" i="8"/>
  <c r="T580" i="8"/>
  <c r="U580" i="8"/>
  <c r="O581" i="8"/>
  <c r="P581" i="8"/>
  <c r="T581" i="8"/>
  <c r="U581" i="8"/>
  <c r="L582" i="8"/>
  <c r="M582" i="8"/>
  <c r="N582" i="8"/>
  <c r="O582" i="8"/>
  <c r="P582" i="8"/>
  <c r="Q582" i="8"/>
  <c r="T582" i="8" s="1"/>
  <c r="R582" i="8"/>
  <c r="U582" i="8" s="1"/>
  <c r="S582" i="8"/>
  <c r="O583" i="8"/>
  <c r="P583" i="8"/>
  <c r="T583" i="8"/>
  <c r="U583" i="8"/>
  <c r="O584" i="8"/>
  <c r="P584" i="8"/>
  <c r="T584" i="8"/>
  <c r="U584" i="8"/>
  <c r="L600" i="8"/>
  <c r="M600" i="8"/>
  <c r="N600" i="8"/>
  <c r="Q600" i="8"/>
  <c r="R600" i="8"/>
  <c r="S600" i="8"/>
  <c r="L601" i="8"/>
  <c r="M601" i="8"/>
  <c r="P601" i="8" s="1"/>
  <c r="N601" i="8"/>
  <c r="O601" i="8"/>
  <c r="Q601" i="8"/>
  <c r="R601" i="8"/>
  <c r="U601" i="8" s="1"/>
  <c r="S601" i="8"/>
  <c r="T601" i="8"/>
  <c r="L602" i="8"/>
  <c r="O602" i="8" s="1"/>
  <c r="M602" i="8"/>
  <c r="N602" i="8"/>
  <c r="P602" i="8"/>
  <c r="Q602" i="8"/>
  <c r="T602" i="8" s="1"/>
  <c r="R602" i="8"/>
  <c r="U602" i="8" s="1"/>
  <c r="S602" i="8"/>
  <c r="O603" i="8"/>
  <c r="P603" i="8"/>
  <c r="T603" i="8"/>
  <c r="U603" i="8"/>
  <c r="O604" i="8"/>
  <c r="P604" i="8"/>
  <c r="T604" i="8"/>
  <c r="U604" i="8"/>
  <c r="L605" i="8"/>
  <c r="M605" i="8"/>
  <c r="P605" i="8" s="1"/>
  <c r="N605" i="8"/>
  <c r="O605" i="8"/>
  <c r="Q605" i="8"/>
  <c r="T605" i="8" s="1"/>
  <c r="R605" i="8"/>
  <c r="S605" i="8"/>
  <c r="U605" i="8"/>
  <c r="O606" i="8"/>
  <c r="P606" i="8"/>
  <c r="T606" i="8"/>
  <c r="U606" i="8"/>
  <c r="O607" i="8"/>
  <c r="P607" i="8"/>
  <c r="T607" i="8"/>
  <c r="U607" i="8"/>
  <c r="L617" i="8"/>
  <c r="O617" i="8" s="1"/>
  <c r="M617" i="8"/>
  <c r="N617" i="8"/>
  <c r="N616" i="8" s="1"/>
  <c r="P617" i="8"/>
  <c r="Q617" i="8"/>
  <c r="R617" i="8"/>
  <c r="U617" i="8" s="1"/>
  <c r="S617" i="8"/>
  <c r="L618" i="8"/>
  <c r="O618" i="8" s="1"/>
  <c r="M618" i="8"/>
  <c r="M616" i="8" s="1"/>
  <c r="P616" i="8" s="1"/>
  <c r="N618" i="8"/>
  <c r="L619" i="8"/>
  <c r="O619" i="8" s="1"/>
  <c r="M619" i="8"/>
  <c r="P619" i="8" s="1"/>
  <c r="N619" i="8"/>
  <c r="O620" i="8"/>
  <c r="P620" i="8"/>
  <c r="T620" i="8"/>
  <c r="U620" i="8"/>
  <c r="O621" i="8"/>
  <c r="P621" i="8"/>
  <c r="Q621" i="8"/>
  <c r="Q619" i="8" s="1"/>
  <c r="R621" i="8"/>
  <c r="R618" i="8" s="1"/>
  <c r="S621" i="8"/>
  <c r="S618" i="8" s="1"/>
  <c r="L622" i="8"/>
  <c r="M622" i="8"/>
  <c r="N622" i="8"/>
  <c r="O622" i="8"/>
  <c r="P622" i="8"/>
  <c r="Q622" i="8"/>
  <c r="T622" i="8" s="1"/>
  <c r="R622" i="8"/>
  <c r="S622" i="8"/>
  <c r="U622" i="8"/>
  <c r="O623" i="8"/>
  <c r="P623" i="8"/>
  <c r="T623" i="8"/>
  <c r="U623" i="8"/>
  <c r="O624" i="8"/>
  <c r="P624" i="8"/>
  <c r="T624" i="8"/>
  <c r="U624" i="8"/>
  <c r="I626" i="8"/>
  <c r="I615" i="8" s="1"/>
  <c r="I627" i="8"/>
  <c r="K627" i="8" s="1"/>
  <c r="I628" i="8"/>
  <c r="K628" i="8" s="1"/>
  <c r="J632" i="8"/>
  <c r="J626" i="8" s="1"/>
  <c r="J615" i="8" s="1"/>
  <c r="I635" i="8"/>
  <c r="K635" i="8" s="1"/>
  <c r="J636" i="8"/>
  <c r="J635" i="8" s="1"/>
  <c r="L643" i="8"/>
  <c r="M643" i="8"/>
  <c r="N643" i="8"/>
  <c r="N642" i="8" s="1"/>
  <c r="O643" i="8"/>
  <c r="Q643" i="8"/>
  <c r="T643" i="8" s="1"/>
  <c r="R643" i="8"/>
  <c r="S643" i="8"/>
  <c r="U643" i="8"/>
  <c r="L644" i="8"/>
  <c r="O644" i="8" s="1"/>
  <c r="M644" i="8"/>
  <c r="P644" i="8" s="1"/>
  <c r="N644" i="8"/>
  <c r="L645" i="8"/>
  <c r="O645" i="8" s="1"/>
  <c r="M645" i="8"/>
  <c r="P645" i="8" s="1"/>
  <c r="N645" i="8"/>
  <c r="O646" i="8"/>
  <c r="P646" i="8"/>
  <c r="T646" i="8"/>
  <c r="U646" i="8"/>
  <c r="O647" i="8"/>
  <c r="P647" i="8"/>
  <c r="Q647" i="8"/>
  <c r="Q645" i="8" s="1"/>
  <c r="R647" i="8"/>
  <c r="R644" i="8" s="1"/>
  <c r="S647" i="8"/>
  <c r="S645" i="8" s="1"/>
  <c r="L648" i="8"/>
  <c r="M648" i="8"/>
  <c r="N648" i="8"/>
  <c r="O648" i="8"/>
  <c r="P648" i="8"/>
  <c r="Q648" i="8"/>
  <c r="T648" i="8" s="1"/>
  <c r="R648" i="8"/>
  <c r="U648" i="8" s="1"/>
  <c r="S648" i="8"/>
  <c r="O649" i="8"/>
  <c r="P649" i="8"/>
  <c r="T649" i="8"/>
  <c r="U649" i="8"/>
  <c r="O650" i="8"/>
  <c r="P650" i="8"/>
  <c r="T650" i="8"/>
  <c r="U650" i="8"/>
  <c r="I652" i="8"/>
  <c r="K652" i="8" s="1"/>
  <c r="J652" i="8"/>
  <c r="I653" i="8"/>
  <c r="J653" i="8"/>
  <c r="I654" i="8"/>
  <c r="J654" i="8"/>
  <c r="I657" i="8"/>
  <c r="I660" i="8"/>
  <c r="I661" i="8"/>
  <c r="K661" i="8" s="1"/>
  <c r="J661" i="8"/>
  <c r="J671" i="8"/>
  <c r="J672" i="8"/>
  <c r="I673" i="8"/>
  <c r="K673" i="8" s="1"/>
  <c r="J673" i="8"/>
  <c r="I674" i="8"/>
  <c r="K674" i="8" s="1"/>
  <c r="I675" i="8"/>
  <c r="K675" i="8" s="1"/>
  <c r="I676" i="8"/>
  <c r="K676" i="8" s="1"/>
  <c r="J676" i="8"/>
  <c r="J677" i="8"/>
  <c r="I678" i="8"/>
  <c r="K678" i="8" s="1"/>
  <c r="J678" i="8"/>
  <c r="I679" i="8"/>
  <c r="K679" i="8" s="1"/>
  <c r="J679" i="8"/>
  <c r="J680" i="8"/>
  <c r="I681" i="8"/>
  <c r="K681" i="8" s="1"/>
  <c r="J681" i="8"/>
  <c r="I682" i="8"/>
  <c r="K682" i="8" s="1"/>
  <c r="J682" i="8"/>
  <c r="L691" i="8"/>
  <c r="L690" i="8" s="1"/>
  <c r="O690" i="8" s="1"/>
  <c r="M691" i="8"/>
  <c r="N691" i="8"/>
  <c r="P691" i="8"/>
  <c r="Q691" i="8"/>
  <c r="T691" i="8" s="1"/>
  <c r="R691" i="8"/>
  <c r="S691" i="8"/>
  <c r="U691" i="8"/>
  <c r="L692" i="8"/>
  <c r="O692" i="8" s="1"/>
  <c r="M692" i="8"/>
  <c r="N692" i="8"/>
  <c r="N690" i="8" s="1"/>
  <c r="L693" i="8"/>
  <c r="O693" i="8" s="1"/>
  <c r="M693" i="8"/>
  <c r="P693" i="8" s="1"/>
  <c r="N693" i="8"/>
  <c r="O694" i="8"/>
  <c r="P694" i="8"/>
  <c r="T694" i="8"/>
  <c r="U694" i="8"/>
  <c r="O695" i="8"/>
  <c r="P695" i="8"/>
  <c r="Q695" i="8"/>
  <c r="R695" i="8"/>
  <c r="R693" i="8" s="1"/>
  <c r="S695" i="8"/>
  <c r="L696" i="8"/>
  <c r="M696" i="8"/>
  <c r="N696" i="8"/>
  <c r="O696" i="8"/>
  <c r="P696" i="8"/>
  <c r="Q696" i="8"/>
  <c r="T696" i="8" s="1"/>
  <c r="R696" i="8"/>
  <c r="S696" i="8"/>
  <c r="U696" i="8"/>
  <c r="O697" i="8"/>
  <c r="P697" i="8"/>
  <c r="T697" i="8"/>
  <c r="U697" i="8"/>
  <c r="O698" i="8"/>
  <c r="P698" i="8"/>
  <c r="T698" i="8"/>
  <c r="U698" i="8"/>
  <c r="I700" i="8"/>
  <c r="K700" i="8" s="1"/>
  <c r="K702" i="8"/>
  <c r="I703" i="8"/>
  <c r="J703" i="8"/>
  <c r="J704" i="8"/>
  <c r="K704" i="8"/>
  <c r="I705" i="8"/>
  <c r="J705" i="8"/>
  <c r="J706" i="8"/>
  <c r="K706" i="8"/>
  <c r="I707" i="8"/>
  <c r="I689" i="8" s="1"/>
  <c r="J707" i="8"/>
  <c r="J689" i="8" s="1"/>
  <c r="J708" i="8"/>
  <c r="K708" i="8"/>
  <c r="I709" i="8"/>
  <c r="J709" i="8"/>
  <c r="J710" i="8"/>
  <c r="K710" i="8"/>
  <c r="J712" i="8"/>
  <c r="K712" i="8"/>
  <c r="L714" i="8"/>
  <c r="O714" i="8" s="1"/>
  <c r="Q714" i="8"/>
  <c r="T714" i="8" s="1"/>
  <c r="L715" i="8"/>
  <c r="O715" i="8" s="1"/>
  <c r="M715" i="8"/>
  <c r="M714" i="8" s="1"/>
  <c r="P714" i="8" s="1"/>
  <c r="N715" i="8"/>
  <c r="Q715" i="8"/>
  <c r="T715" i="8" s="1"/>
  <c r="R715" i="8"/>
  <c r="S715" i="8"/>
  <c r="L716" i="8"/>
  <c r="M716" i="8"/>
  <c r="P716" i="8" s="1"/>
  <c r="N716" i="8"/>
  <c r="O716" i="8"/>
  <c r="Q716" i="8"/>
  <c r="R716" i="8"/>
  <c r="U716" i="8" s="1"/>
  <c r="S716" i="8"/>
  <c r="T716" i="8"/>
  <c r="L717" i="8"/>
  <c r="O717" i="8" s="1"/>
  <c r="M717" i="8"/>
  <c r="N717" i="8"/>
  <c r="P717" i="8"/>
  <c r="Q717" i="8"/>
  <c r="T717" i="8" s="1"/>
  <c r="R717" i="8"/>
  <c r="U717" i="8" s="1"/>
  <c r="S717" i="8"/>
  <c r="O718" i="8"/>
  <c r="P718" i="8"/>
  <c r="T718" i="8"/>
  <c r="U718" i="8"/>
  <c r="O719" i="8"/>
  <c r="P719" i="8"/>
  <c r="T719" i="8"/>
  <c r="U719" i="8"/>
  <c r="L720" i="8"/>
  <c r="O720" i="8" s="1"/>
  <c r="M720" i="8"/>
  <c r="P720" i="8" s="1"/>
  <c r="N720" i="8"/>
  <c r="Q720" i="8"/>
  <c r="T720" i="8" s="1"/>
  <c r="R720" i="8"/>
  <c r="U720" i="8" s="1"/>
  <c r="S720" i="8"/>
  <c r="O721" i="8"/>
  <c r="P721" i="8"/>
  <c r="T721" i="8"/>
  <c r="U721" i="8"/>
  <c r="O722" i="8"/>
  <c r="P722" i="8"/>
  <c r="T722" i="8"/>
  <c r="U722" i="8"/>
  <c r="I726" i="8"/>
  <c r="K726" i="8" s="1"/>
  <c r="J726" i="8"/>
  <c r="I727" i="8"/>
  <c r="K727" i="8" s="1"/>
  <c r="J727" i="8"/>
  <c r="L728" i="8"/>
  <c r="O728" i="8" s="1"/>
  <c r="L729" i="8"/>
  <c r="O729" i="8" s="1"/>
  <c r="M729" i="8"/>
  <c r="N729" i="8"/>
  <c r="N728" i="8" s="1"/>
  <c r="Q729" i="8"/>
  <c r="T729" i="8" s="1"/>
  <c r="R729" i="8"/>
  <c r="U729" i="8" s="1"/>
  <c r="S729" i="8"/>
  <c r="L730" i="8"/>
  <c r="M730" i="8"/>
  <c r="N730" i="8"/>
  <c r="O730" i="8"/>
  <c r="P730" i="8"/>
  <c r="L731" i="8"/>
  <c r="O731" i="8" s="1"/>
  <c r="M731" i="8"/>
  <c r="N731" i="8"/>
  <c r="P731" i="8"/>
  <c r="O732" i="8"/>
  <c r="P732" i="8"/>
  <c r="T732" i="8"/>
  <c r="U732" i="8"/>
  <c r="O733" i="8"/>
  <c r="P733" i="8"/>
  <c r="Q733" i="8"/>
  <c r="Q730" i="8" s="1"/>
  <c r="R733" i="8"/>
  <c r="R730" i="8" s="1"/>
  <c r="S733" i="8"/>
  <c r="S731" i="8" s="1"/>
  <c r="L734" i="8"/>
  <c r="O734" i="8" s="1"/>
  <c r="M734" i="8"/>
  <c r="P734" i="8" s="1"/>
  <c r="N734" i="8"/>
  <c r="Q734" i="8"/>
  <c r="R734" i="8"/>
  <c r="S734" i="8"/>
  <c r="T734" i="8"/>
  <c r="U734" i="8"/>
  <c r="O735" i="8"/>
  <c r="P735" i="8"/>
  <c r="T735" i="8"/>
  <c r="U735" i="8"/>
  <c r="O736" i="8"/>
  <c r="P736" i="8"/>
  <c r="T736" i="8"/>
  <c r="U736" i="8"/>
  <c r="I740" i="8"/>
  <c r="K740" i="8" s="1"/>
  <c r="I742" i="8"/>
  <c r="K742" i="8" s="1"/>
  <c r="I744" i="8"/>
  <c r="K744" i="8" s="1"/>
  <c r="I746" i="8"/>
  <c r="K746" i="8" s="1"/>
  <c r="I749" i="8"/>
  <c r="K749" i="8" s="1"/>
  <c r="I752" i="8"/>
  <c r="K752" i="8" s="1"/>
  <c r="I755" i="8"/>
  <c r="K755" i="8" s="1"/>
  <c r="J758" i="8"/>
  <c r="J759" i="8"/>
  <c r="M760" i="8"/>
  <c r="P760" i="8" s="1"/>
  <c r="L761" i="8"/>
  <c r="M761" i="8"/>
  <c r="P761" i="8" s="1"/>
  <c r="N761" i="8"/>
  <c r="Q761" i="8"/>
  <c r="R761" i="8"/>
  <c r="U761" i="8" s="1"/>
  <c r="S761" i="8"/>
  <c r="T761" i="8"/>
  <c r="L762" i="8"/>
  <c r="M762" i="8"/>
  <c r="N762" i="8"/>
  <c r="O762" i="8"/>
  <c r="P762" i="8"/>
  <c r="L763" i="8"/>
  <c r="O763" i="8" s="1"/>
  <c r="M763" i="8"/>
  <c r="P763" i="8" s="1"/>
  <c r="N763" i="8"/>
  <c r="O764" i="8"/>
  <c r="P764" i="8"/>
  <c r="T764" i="8"/>
  <c r="U764" i="8"/>
  <c r="O765" i="8"/>
  <c r="P765" i="8"/>
  <c r="Q765" i="8"/>
  <c r="Q762" i="8" s="1"/>
  <c r="R765" i="8"/>
  <c r="R762" i="8" s="1"/>
  <c r="S765" i="8"/>
  <c r="S762" i="8" s="1"/>
  <c r="L766" i="8"/>
  <c r="O766" i="8" s="1"/>
  <c r="M766" i="8"/>
  <c r="P766" i="8" s="1"/>
  <c r="N766" i="8"/>
  <c r="Q766" i="8"/>
  <c r="T766" i="8" s="1"/>
  <c r="R766" i="8"/>
  <c r="U766" i="8" s="1"/>
  <c r="S766" i="8"/>
  <c r="O767" i="8"/>
  <c r="P767" i="8"/>
  <c r="T767" i="8"/>
  <c r="U767" i="8"/>
  <c r="O768" i="8"/>
  <c r="P768" i="8"/>
  <c r="T768" i="8"/>
  <c r="U768" i="8"/>
  <c r="I770" i="8"/>
  <c r="K770" i="8" s="1"/>
  <c r="I772" i="8"/>
  <c r="K772" i="8" s="1"/>
  <c r="I774" i="8"/>
  <c r="K774" i="8" s="1"/>
  <c r="I775" i="8"/>
  <c r="I776" i="8"/>
  <c r="H777" i="8"/>
  <c r="I778" i="8"/>
  <c r="J778" i="8"/>
  <c r="I779" i="8"/>
  <c r="J779" i="8"/>
  <c r="I780" i="8"/>
  <c r="J780" i="8"/>
  <c r="I781" i="8"/>
  <c r="J781" i="8"/>
  <c r="I782" i="8"/>
  <c r="J782" i="8"/>
  <c r="I783" i="8"/>
  <c r="J783" i="8"/>
  <c r="I784" i="8"/>
  <c r="J784" i="8"/>
  <c r="I785" i="8"/>
  <c r="J785" i="8"/>
  <c r="A788" i="8"/>
  <c r="A789" i="8"/>
  <c r="L22" i="7"/>
  <c r="L19" i="7" s="1"/>
  <c r="M22" i="7"/>
  <c r="N22" i="7"/>
  <c r="Q22" i="7"/>
  <c r="T22" i="7" s="1"/>
  <c r="R22" i="7"/>
  <c r="S22" i="7"/>
  <c r="L25" i="7"/>
  <c r="M25" i="7"/>
  <c r="N25" i="7"/>
  <c r="O25" i="7"/>
  <c r="Q25" i="7"/>
  <c r="T25" i="7" s="1"/>
  <c r="R25" i="7"/>
  <c r="S25" i="7"/>
  <c r="U25" i="7"/>
  <c r="Q26" i="7"/>
  <c r="R26" i="7"/>
  <c r="S26" i="7"/>
  <c r="U26" i="7"/>
  <c r="L45" i="7"/>
  <c r="O45" i="7" s="1"/>
  <c r="M45" i="7"/>
  <c r="P45" i="7" s="1"/>
  <c r="N45" i="7"/>
  <c r="Q45" i="7"/>
  <c r="Q44" i="7" s="1"/>
  <c r="T44" i="7" s="1"/>
  <c r="R45" i="7"/>
  <c r="U45" i="7" s="1"/>
  <c r="S45" i="7"/>
  <c r="T45" i="7"/>
  <c r="Q46" i="7"/>
  <c r="T46" i="7" s="1"/>
  <c r="R46" i="7"/>
  <c r="U46" i="7" s="1"/>
  <c r="S46" i="7"/>
  <c r="Q47" i="7"/>
  <c r="T47" i="7" s="1"/>
  <c r="R47" i="7"/>
  <c r="U47" i="7" s="1"/>
  <c r="S47" i="7"/>
  <c r="O48" i="7"/>
  <c r="P48" i="7"/>
  <c r="T48" i="7"/>
  <c r="U48" i="7"/>
  <c r="L49" i="7"/>
  <c r="L47" i="7" s="1"/>
  <c r="M49" i="7"/>
  <c r="M47" i="7" s="1"/>
  <c r="N49" i="7"/>
  <c r="N47" i="7" s="1"/>
  <c r="T49" i="7"/>
  <c r="U49" i="7"/>
  <c r="Q50" i="7"/>
  <c r="T50" i="7" s="1"/>
  <c r="R50" i="7"/>
  <c r="U50" i="7" s="1"/>
  <c r="S50" i="7"/>
  <c r="O51" i="7"/>
  <c r="P51" i="7"/>
  <c r="T51" i="7"/>
  <c r="U51" i="7"/>
  <c r="L52" i="7"/>
  <c r="M52" i="7"/>
  <c r="N52" i="7"/>
  <c r="T52" i="7"/>
  <c r="U52" i="7"/>
  <c r="L60" i="7"/>
  <c r="O60" i="7" s="1"/>
  <c r="M60" i="7"/>
  <c r="P60" i="7" s="1"/>
  <c r="N60" i="7"/>
  <c r="Q60" i="7"/>
  <c r="R60" i="7"/>
  <c r="U60" i="7" s="1"/>
  <c r="S60" i="7"/>
  <c r="Q61" i="7"/>
  <c r="R61" i="7"/>
  <c r="U61" i="7" s="1"/>
  <c r="S61" i="7"/>
  <c r="S59" i="7" s="1"/>
  <c r="T61" i="7"/>
  <c r="Q62" i="7"/>
  <c r="R62" i="7"/>
  <c r="U62" i="7" s="1"/>
  <c r="S62" i="7"/>
  <c r="T62" i="7"/>
  <c r="O63" i="7"/>
  <c r="P63" i="7"/>
  <c r="T63" i="7"/>
  <c r="U63" i="7"/>
  <c r="L64" i="7"/>
  <c r="L62" i="7" s="1"/>
  <c r="M64" i="7"/>
  <c r="N64" i="7"/>
  <c r="N62" i="7" s="1"/>
  <c r="T64" i="7"/>
  <c r="U64" i="7"/>
  <c r="Q65" i="7"/>
  <c r="T65" i="7" s="1"/>
  <c r="R65" i="7"/>
  <c r="S65" i="7"/>
  <c r="U65" i="7"/>
  <c r="O66" i="7"/>
  <c r="P66" i="7"/>
  <c r="T66" i="7"/>
  <c r="U66" i="7"/>
  <c r="L67" i="7"/>
  <c r="L65" i="7" s="1"/>
  <c r="O65" i="7" s="1"/>
  <c r="M67" i="7"/>
  <c r="N67" i="7"/>
  <c r="N65" i="7" s="1"/>
  <c r="T67" i="7"/>
  <c r="U67" i="7"/>
  <c r="L73" i="7"/>
  <c r="O73" i="7" s="1"/>
  <c r="M73" i="7"/>
  <c r="P73" i="7" s="1"/>
  <c r="N73" i="7"/>
  <c r="Q73" i="7"/>
  <c r="R73" i="7"/>
  <c r="U73" i="7" s="1"/>
  <c r="S73" i="7"/>
  <c r="T73" i="7"/>
  <c r="O76" i="7"/>
  <c r="P76" i="7"/>
  <c r="T76" i="7"/>
  <c r="U76" i="7"/>
  <c r="L77" i="7"/>
  <c r="L75" i="7" s="1"/>
  <c r="M77" i="7"/>
  <c r="M75" i="7" s="1"/>
  <c r="N77" i="7"/>
  <c r="N75" i="7" s="1"/>
  <c r="Q77" i="7"/>
  <c r="R77" i="7"/>
  <c r="S77" i="7"/>
  <c r="S75" i="7" s="1"/>
  <c r="Q78" i="7"/>
  <c r="R78" i="7"/>
  <c r="U78" i="7" s="1"/>
  <c r="S78" i="7"/>
  <c r="T78" i="7"/>
  <c r="O79" i="7"/>
  <c r="P79" i="7"/>
  <c r="T79" i="7"/>
  <c r="U79" i="7"/>
  <c r="L80" i="7"/>
  <c r="L78" i="7" s="1"/>
  <c r="O78" i="7" s="1"/>
  <c r="M80" i="7"/>
  <c r="M78" i="7" s="1"/>
  <c r="P78" i="7" s="1"/>
  <c r="N80" i="7"/>
  <c r="N78" i="7" s="1"/>
  <c r="T80" i="7"/>
  <c r="U80" i="7"/>
  <c r="J82" i="7"/>
  <c r="J70" i="7" s="1"/>
  <c r="J83" i="7"/>
  <c r="J71" i="7" s="1"/>
  <c r="I84" i="7"/>
  <c r="K84" i="7" s="1"/>
  <c r="I85" i="7"/>
  <c r="I86" i="7"/>
  <c r="K86" i="7" s="1"/>
  <c r="I87" i="7"/>
  <c r="K87" i="7" s="1"/>
  <c r="I88" i="7"/>
  <c r="K88" i="7" s="1"/>
  <c r="I89" i="7"/>
  <c r="K89" i="7" s="1"/>
  <c r="I90" i="7"/>
  <c r="K90" i="7" s="1"/>
  <c r="J92" i="7"/>
  <c r="J93" i="7"/>
  <c r="L95" i="7"/>
  <c r="M95" i="7"/>
  <c r="P95" i="7" s="1"/>
  <c r="N95" i="7"/>
  <c r="O95" i="7"/>
  <c r="Q95" i="7"/>
  <c r="R95" i="7"/>
  <c r="U95" i="7" s="1"/>
  <c r="S95" i="7"/>
  <c r="O98" i="7"/>
  <c r="P98" i="7"/>
  <c r="T98" i="7"/>
  <c r="U98" i="7"/>
  <c r="L99" i="7"/>
  <c r="O99" i="7" s="1"/>
  <c r="M99" i="7"/>
  <c r="N99" i="7"/>
  <c r="N97" i="7" s="1"/>
  <c r="Q99" i="7"/>
  <c r="R99" i="7"/>
  <c r="R96" i="7" s="1"/>
  <c r="S99" i="7"/>
  <c r="Q100" i="7"/>
  <c r="T100" i="7" s="1"/>
  <c r="R100" i="7"/>
  <c r="U100" i="7" s="1"/>
  <c r="S100" i="7"/>
  <c r="O101" i="7"/>
  <c r="P101" i="7"/>
  <c r="T101" i="7"/>
  <c r="U101" i="7"/>
  <c r="L102" i="7"/>
  <c r="L100" i="7" s="1"/>
  <c r="O100" i="7" s="1"/>
  <c r="M102" i="7"/>
  <c r="P102" i="7" s="1"/>
  <c r="N102" i="7"/>
  <c r="N100" i="7" s="1"/>
  <c r="T102" i="7"/>
  <c r="U102" i="7"/>
  <c r="I108" i="7"/>
  <c r="I109" i="7"/>
  <c r="K109" i="7" s="1"/>
  <c r="I113" i="7"/>
  <c r="K113" i="7" s="1"/>
  <c r="I114" i="7"/>
  <c r="K114" i="7" s="1"/>
  <c r="J116" i="7"/>
  <c r="L118" i="7"/>
  <c r="M118" i="7"/>
  <c r="P118" i="7" s="1"/>
  <c r="N118" i="7"/>
  <c r="O118" i="7"/>
  <c r="Q118" i="7"/>
  <c r="T118" i="7" s="1"/>
  <c r="R118" i="7"/>
  <c r="S118" i="7"/>
  <c r="U118" i="7"/>
  <c r="O121" i="7"/>
  <c r="P121" i="7"/>
  <c r="T121" i="7"/>
  <c r="U121" i="7"/>
  <c r="L122" i="7"/>
  <c r="L120" i="7" s="1"/>
  <c r="O120" i="7" s="1"/>
  <c r="M122" i="7"/>
  <c r="P122" i="7" s="1"/>
  <c r="N122" i="7"/>
  <c r="Q122" i="7"/>
  <c r="R122" i="7"/>
  <c r="S122" i="7"/>
  <c r="S119" i="7" s="1"/>
  <c r="S117" i="7" s="1"/>
  <c r="Q123" i="7"/>
  <c r="T123" i="7" s="1"/>
  <c r="R123" i="7"/>
  <c r="U123" i="7" s="1"/>
  <c r="S123" i="7"/>
  <c r="O124" i="7"/>
  <c r="P124" i="7"/>
  <c r="T124" i="7"/>
  <c r="U124" i="7"/>
  <c r="L125" i="7"/>
  <c r="L123" i="7" s="1"/>
  <c r="O123" i="7" s="1"/>
  <c r="M125" i="7"/>
  <c r="P125" i="7" s="1"/>
  <c r="N125" i="7"/>
  <c r="N123" i="7" s="1"/>
  <c r="T125" i="7"/>
  <c r="U125" i="7"/>
  <c r="I127" i="7"/>
  <c r="I116" i="7" s="1"/>
  <c r="K116" i="7" s="1"/>
  <c r="I128" i="7"/>
  <c r="K128" i="7" s="1"/>
  <c r="I129" i="7"/>
  <c r="K129" i="7" s="1"/>
  <c r="I130" i="7"/>
  <c r="K130" i="7" s="1"/>
  <c r="J136" i="7"/>
  <c r="J137" i="7"/>
  <c r="J138" i="7"/>
  <c r="L140" i="7"/>
  <c r="M140" i="7"/>
  <c r="N140" i="7"/>
  <c r="O140" i="7"/>
  <c r="Q140" i="7"/>
  <c r="R140" i="7"/>
  <c r="U140" i="7" s="1"/>
  <c r="S140" i="7"/>
  <c r="O143" i="7"/>
  <c r="P143" i="7"/>
  <c r="T143" i="7"/>
  <c r="U143" i="7"/>
  <c r="L144" i="7"/>
  <c r="L142" i="7" s="1"/>
  <c r="M144" i="7"/>
  <c r="N144" i="7"/>
  <c r="Q144" i="7"/>
  <c r="T144" i="7" s="1"/>
  <c r="R144" i="7"/>
  <c r="S144" i="7"/>
  <c r="S141" i="7" s="1"/>
  <c r="Q145" i="7"/>
  <c r="T145" i="7" s="1"/>
  <c r="R145" i="7"/>
  <c r="S145" i="7"/>
  <c r="U145" i="7"/>
  <c r="O146" i="7"/>
  <c r="P146" i="7"/>
  <c r="T146" i="7"/>
  <c r="U146" i="7"/>
  <c r="L147" i="7"/>
  <c r="L145" i="7" s="1"/>
  <c r="O145" i="7" s="1"/>
  <c r="M147" i="7"/>
  <c r="P147" i="7" s="1"/>
  <c r="N147" i="7"/>
  <c r="N145" i="7" s="1"/>
  <c r="T147" i="7"/>
  <c r="U147" i="7"/>
  <c r="I150" i="7"/>
  <c r="K150" i="7" s="1"/>
  <c r="I151" i="7"/>
  <c r="K151" i="7" s="1"/>
  <c r="I152" i="7"/>
  <c r="I153" i="7"/>
  <c r="I154" i="7"/>
  <c r="K154" i="7" s="1"/>
  <c r="J156" i="7"/>
  <c r="L158" i="7"/>
  <c r="M158" i="7"/>
  <c r="P158" i="7" s="1"/>
  <c r="N158" i="7"/>
  <c r="O158" i="7"/>
  <c r="Q158" i="7"/>
  <c r="R158" i="7"/>
  <c r="S158" i="7"/>
  <c r="U158" i="7"/>
  <c r="O161" i="7"/>
  <c r="P161" i="7"/>
  <c r="T161" i="7"/>
  <c r="U161" i="7"/>
  <c r="L162" i="7"/>
  <c r="M162" i="7"/>
  <c r="N162" i="7"/>
  <c r="Q162" i="7"/>
  <c r="T162" i="7" s="1"/>
  <c r="R162" i="7"/>
  <c r="R160" i="7" s="1"/>
  <c r="U160" i="7" s="1"/>
  <c r="S162" i="7"/>
  <c r="Q163" i="7"/>
  <c r="R163" i="7"/>
  <c r="S163" i="7"/>
  <c r="T163" i="7"/>
  <c r="U163" i="7"/>
  <c r="O164" i="7"/>
  <c r="P164" i="7"/>
  <c r="T164" i="7"/>
  <c r="U164" i="7"/>
  <c r="L165" i="7"/>
  <c r="M165" i="7"/>
  <c r="P165" i="7" s="1"/>
  <c r="N165" i="7"/>
  <c r="N163" i="7" s="1"/>
  <c r="T165" i="7"/>
  <c r="U165" i="7"/>
  <c r="I167" i="7"/>
  <c r="K167" i="7" s="1"/>
  <c r="I168" i="7"/>
  <c r="K168" i="7" s="1"/>
  <c r="I169" i="7"/>
  <c r="I156" i="7" s="1"/>
  <c r="K156" i="7" s="1"/>
  <c r="J172" i="7"/>
  <c r="L174" i="7"/>
  <c r="M174" i="7"/>
  <c r="P174" i="7" s="1"/>
  <c r="N174" i="7"/>
  <c r="O174" i="7"/>
  <c r="Q174" i="7"/>
  <c r="T174" i="7" s="1"/>
  <c r="R174" i="7"/>
  <c r="S174" i="7"/>
  <c r="U174" i="7"/>
  <c r="O177" i="7"/>
  <c r="P177" i="7"/>
  <c r="T177" i="7"/>
  <c r="U177" i="7"/>
  <c r="L178" i="7"/>
  <c r="L176" i="7" s="1"/>
  <c r="M178" i="7"/>
  <c r="N178" i="7"/>
  <c r="Q178" i="7"/>
  <c r="T178" i="7" s="1"/>
  <c r="R178" i="7"/>
  <c r="S178" i="7"/>
  <c r="S176" i="7" s="1"/>
  <c r="Q179" i="7"/>
  <c r="T179" i="7" s="1"/>
  <c r="R179" i="7"/>
  <c r="U179" i="7" s="1"/>
  <c r="S179" i="7"/>
  <c r="O180" i="7"/>
  <c r="P180" i="7"/>
  <c r="T180" i="7"/>
  <c r="U180" i="7"/>
  <c r="L181" i="7"/>
  <c r="L179" i="7" s="1"/>
  <c r="O179" i="7" s="1"/>
  <c r="M181" i="7"/>
  <c r="P181" i="7" s="1"/>
  <c r="N181" i="7"/>
  <c r="N179" i="7" s="1"/>
  <c r="T181" i="7"/>
  <c r="U181" i="7"/>
  <c r="I183" i="7"/>
  <c r="K183" i="7" s="1"/>
  <c r="K184" i="7"/>
  <c r="L187" i="7"/>
  <c r="M187" i="7"/>
  <c r="N187" i="7"/>
  <c r="Q187" i="7"/>
  <c r="T187" i="7" s="1"/>
  <c r="R187" i="7"/>
  <c r="S187" i="7"/>
  <c r="O190" i="7"/>
  <c r="P190" i="7"/>
  <c r="T190" i="7"/>
  <c r="U190" i="7"/>
  <c r="L191" i="7"/>
  <c r="M191" i="7"/>
  <c r="N191" i="7"/>
  <c r="Q191" i="7"/>
  <c r="Q188" i="7" s="1"/>
  <c r="R191" i="7"/>
  <c r="R189" i="7" s="1"/>
  <c r="S191" i="7"/>
  <c r="S189" i="7" s="1"/>
  <c r="Q192" i="7"/>
  <c r="R192" i="7"/>
  <c r="S192" i="7"/>
  <c r="T192" i="7"/>
  <c r="U192" i="7"/>
  <c r="O193" i="7"/>
  <c r="P193" i="7"/>
  <c r="T193" i="7"/>
  <c r="U193" i="7"/>
  <c r="L194" i="7"/>
  <c r="L192" i="7" s="1"/>
  <c r="O192" i="7" s="1"/>
  <c r="M194" i="7"/>
  <c r="P194" i="7" s="1"/>
  <c r="N194" i="7"/>
  <c r="N192" i="7" s="1"/>
  <c r="T194" i="7"/>
  <c r="U194" i="7"/>
  <c r="J195" i="7"/>
  <c r="L196" i="7"/>
  <c r="O196" i="7" s="1"/>
  <c r="P196" i="7"/>
  <c r="I198" i="7"/>
  <c r="I195" i="7" s="1"/>
  <c r="K195" i="7" s="1"/>
  <c r="J199" i="7"/>
  <c r="J202" i="7"/>
  <c r="N203" i="7"/>
  <c r="P203" i="7"/>
  <c r="S203" i="7"/>
  <c r="U203" i="7"/>
  <c r="L204" i="7"/>
  <c r="L205" i="7"/>
  <c r="L206" i="7"/>
  <c r="Q206" i="7"/>
  <c r="Q203" i="7" s="1"/>
  <c r="L207" i="7"/>
  <c r="I209" i="7"/>
  <c r="I202" i="7" s="1"/>
  <c r="I211" i="7"/>
  <c r="K211" i="7" s="1"/>
  <c r="I212" i="7"/>
  <c r="K212" i="7" s="1"/>
  <c r="J213" i="7"/>
  <c r="N214" i="7"/>
  <c r="P214" i="7"/>
  <c r="S214" i="7"/>
  <c r="U214" i="7"/>
  <c r="L215" i="7"/>
  <c r="L216" i="7"/>
  <c r="L217" i="7"/>
  <c r="Q217" i="7"/>
  <c r="Q214" i="7" s="1"/>
  <c r="T214" i="7" s="1"/>
  <c r="I219" i="7"/>
  <c r="K219" i="7" s="1"/>
  <c r="I220" i="7"/>
  <c r="I213" i="7" s="1"/>
  <c r="K213" i="7" s="1"/>
  <c r="J221" i="7"/>
  <c r="N222" i="7"/>
  <c r="P222" i="7"/>
  <c r="L223" i="7"/>
  <c r="L224" i="7"/>
  <c r="L225" i="7"/>
  <c r="I228" i="7"/>
  <c r="K228" i="7" s="1"/>
  <c r="I229" i="7"/>
  <c r="K229" i="7" s="1"/>
  <c r="I230" i="7"/>
  <c r="K230" i="7" s="1"/>
  <c r="S232" i="7"/>
  <c r="N233" i="7"/>
  <c r="Q233" i="7"/>
  <c r="S233" i="7"/>
  <c r="N234" i="7"/>
  <c r="Q234" i="7"/>
  <c r="S234" i="7"/>
  <c r="N235" i="7"/>
  <c r="S235" i="7"/>
  <c r="N236" i="7"/>
  <c r="Q236" i="7"/>
  <c r="S236" i="7"/>
  <c r="J238" i="7"/>
  <c r="J240" i="7"/>
  <c r="J241" i="7"/>
  <c r="J242" i="7"/>
  <c r="N243" i="7"/>
  <c r="P243" i="7"/>
  <c r="L244" i="7"/>
  <c r="L245" i="7"/>
  <c r="L246" i="7"/>
  <c r="L247" i="7"/>
  <c r="I249" i="7"/>
  <c r="I251" i="7"/>
  <c r="K251" i="7" s="1"/>
  <c r="I252" i="7"/>
  <c r="K252" i="7" s="1"/>
  <c r="J253" i="7"/>
  <c r="J231" i="7" s="1"/>
  <c r="J185" i="7" s="1"/>
  <c r="N254" i="7"/>
  <c r="P254" i="7"/>
  <c r="S254" i="7"/>
  <c r="U254" i="7"/>
  <c r="L255" i="7"/>
  <c r="L256" i="7"/>
  <c r="L257" i="7"/>
  <c r="Q257" i="7"/>
  <c r="Q235" i="7" s="1"/>
  <c r="L258" i="7"/>
  <c r="I260" i="7"/>
  <c r="K260" i="7" s="1"/>
  <c r="I262" i="7"/>
  <c r="K262" i="7" s="1"/>
  <c r="I263" i="7"/>
  <c r="K263" i="7" s="1"/>
  <c r="J265" i="7"/>
  <c r="L267" i="7"/>
  <c r="O267" i="7" s="1"/>
  <c r="M267" i="7"/>
  <c r="N267" i="7"/>
  <c r="Q267" i="7"/>
  <c r="T267" i="7" s="1"/>
  <c r="R267" i="7"/>
  <c r="U267" i="7" s="1"/>
  <c r="S267" i="7"/>
  <c r="O270" i="7"/>
  <c r="P270" i="7"/>
  <c r="T270" i="7"/>
  <c r="U270" i="7"/>
  <c r="L271" i="7"/>
  <c r="M271" i="7"/>
  <c r="N271" i="7"/>
  <c r="N269" i="7" s="1"/>
  <c r="Q271" i="7"/>
  <c r="Q268" i="7" s="1"/>
  <c r="R271" i="7"/>
  <c r="R269" i="7" s="1"/>
  <c r="S271" i="7"/>
  <c r="Q272" i="7"/>
  <c r="T272" i="7" s="1"/>
  <c r="R272" i="7"/>
  <c r="U272" i="7" s="1"/>
  <c r="S272" i="7"/>
  <c r="O273" i="7"/>
  <c r="P273" i="7"/>
  <c r="T273" i="7"/>
  <c r="U273" i="7"/>
  <c r="L274" i="7"/>
  <c r="O274" i="7" s="1"/>
  <c r="M274" i="7"/>
  <c r="M272" i="7" s="1"/>
  <c r="P272" i="7" s="1"/>
  <c r="N274" i="7"/>
  <c r="N272" i="7" s="1"/>
  <c r="T274" i="7"/>
  <c r="U274" i="7"/>
  <c r="I276" i="7"/>
  <c r="K276" i="7" s="1"/>
  <c r="J281" i="7"/>
  <c r="L283" i="7"/>
  <c r="M283" i="7"/>
  <c r="P283" i="7" s="1"/>
  <c r="N283" i="7"/>
  <c r="Q283" i="7"/>
  <c r="Q282" i="7" s="1"/>
  <c r="T282" i="7" s="1"/>
  <c r="R283" i="7"/>
  <c r="U283" i="7" s="1"/>
  <c r="S283" i="7"/>
  <c r="S282" i="7" s="1"/>
  <c r="T283" i="7"/>
  <c r="Q284" i="7"/>
  <c r="T284" i="7" s="1"/>
  <c r="R284" i="7"/>
  <c r="S284" i="7"/>
  <c r="U284" i="7"/>
  <c r="Q285" i="7"/>
  <c r="T285" i="7" s="1"/>
  <c r="R285" i="7"/>
  <c r="U285" i="7" s="1"/>
  <c r="S285" i="7"/>
  <c r="O286" i="7"/>
  <c r="P286" i="7"/>
  <c r="T286" i="7"/>
  <c r="U286" i="7"/>
  <c r="L287" i="7"/>
  <c r="L285" i="7" s="1"/>
  <c r="M287" i="7"/>
  <c r="M285" i="7" s="1"/>
  <c r="N287" i="7"/>
  <c r="T287" i="7"/>
  <c r="U287" i="7"/>
  <c r="Q288" i="7"/>
  <c r="R288" i="7"/>
  <c r="S288" i="7"/>
  <c r="T288" i="7"/>
  <c r="U288" i="7"/>
  <c r="O289" i="7"/>
  <c r="P289" i="7"/>
  <c r="T289" i="7"/>
  <c r="U289" i="7"/>
  <c r="L290" i="7"/>
  <c r="O290" i="7" s="1"/>
  <c r="M290" i="7"/>
  <c r="P290" i="7" s="1"/>
  <c r="N290" i="7"/>
  <c r="N288" i="7" s="1"/>
  <c r="T290" i="7"/>
  <c r="U290" i="7"/>
  <c r="I292" i="7"/>
  <c r="I293" i="7"/>
  <c r="I280" i="7" s="1"/>
  <c r="J293" i="7"/>
  <c r="J280" i="7" s="1"/>
  <c r="I295" i="7"/>
  <c r="K295" i="7" s="1"/>
  <c r="I296" i="7"/>
  <c r="K296" i="7" s="1"/>
  <c r="J302" i="7"/>
  <c r="L304" i="7"/>
  <c r="O304" i="7" s="1"/>
  <c r="M304" i="7"/>
  <c r="P304" i="7" s="1"/>
  <c r="N304" i="7"/>
  <c r="Q304" i="7"/>
  <c r="R304" i="7"/>
  <c r="U304" i="7" s="1"/>
  <c r="S304" i="7"/>
  <c r="T304" i="7"/>
  <c r="O307" i="7"/>
  <c r="P307" i="7"/>
  <c r="T307" i="7"/>
  <c r="U307" i="7"/>
  <c r="L308" i="7"/>
  <c r="M308" i="7"/>
  <c r="N308" i="7"/>
  <c r="N306" i="7" s="1"/>
  <c r="Q308" i="7"/>
  <c r="Q306" i="7" s="1"/>
  <c r="R308" i="7"/>
  <c r="R306" i="7" s="1"/>
  <c r="S308" i="7"/>
  <c r="S305" i="7" s="1"/>
  <c r="S303" i="7" s="1"/>
  <c r="Q309" i="7"/>
  <c r="T309" i="7" s="1"/>
  <c r="R309" i="7"/>
  <c r="U309" i="7" s="1"/>
  <c r="S309" i="7"/>
  <c r="O310" i="7"/>
  <c r="P310" i="7"/>
  <c r="T310" i="7"/>
  <c r="U310" i="7"/>
  <c r="L311" i="7"/>
  <c r="L309" i="7" s="1"/>
  <c r="O309" i="7" s="1"/>
  <c r="M311" i="7"/>
  <c r="M309" i="7" s="1"/>
  <c r="P309" i="7" s="1"/>
  <c r="N311" i="7"/>
  <c r="N309" i="7" s="1"/>
  <c r="T311" i="7"/>
  <c r="U311" i="7"/>
  <c r="I314" i="7"/>
  <c r="I302" i="7" s="1"/>
  <c r="K302" i="7" s="1"/>
  <c r="J319" i="7"/>
  <c r="L321" i="7"/>
  <c r="M321" i="7"/>
  <c r="N321" i="7"/>
  <c r="P321" i="7"/>
  <c r="Q321" i="7"/>
  <c r="R321" i="7"/>
  <c r="S321" i="7"/>
  <c r="Q322" i="7"/>
  <c r="T322" i="7" s="1"/>
  <c r="R322" i="7"/>
  <c r="U322" i="7" s="1"/>
  <c r="S322" i="7"/>
  <c r="Q323" i="7"/>
  <c r="T323" i="7" s="1"/>
  <c r="R323" i="7"/>
  <c r="U323" i="7" s="1"/>
  <c r="S323" i="7"/>
  <c r="O324" i="7"/>
  <c r="P324" i="7"/>
  <c r="T324" i="7"/>
  <c r="U324" i="7"/>
  <c r="L325" i="7"/>
  <c r="L323" i="7" s="1"/>
  <c r="O323" i="7" s="1"/>
  <c r="M325" i="7"/>
  <c r="P325" i="7" s="1"/>
  <c r="N325" i="7"/>
  <c r="T325" i="7"/>
  <c r="U325" i="7"/>
  <c r="Q326" i="7"/>
  <c r="T326" i="7" s="1"/>
  <c r="R326" i="7"/>
  <c r="U326" i="7" s="1"/>
  <c r="S326" i="7"/>
  <c r="O327" i="7"/>
  <c r="P327" i="7"/>
  <c r="T327" i="7"/>
  <c r="U327" i="7"/>
  <c r="L328" i="7"/>
  <c r="M328" i="7"/>
  <c r="P328" i="7" s="1"/>
  <c r="N328" i="7"/>
  <c r="N326" i="7" s="1"/>
  <c r="T328" i="7"/>
  <c r="U328" i="7"/>
  <c r="I330" i="7"/>
  <c r="I319" i="7" s="1"/>
  <c r="K319" i="7" s="1"/>
  <c r="R333" i="7"/>
  <c r="U333" i="7" s="1"/>
  <c r="L334" i="7"/>
  <c r="O334" i="7" s="1"/>
  <c r="M334" i="7"/>
  <c r="N334" i="7"/>
  <c r="Q334" i="7"/>
  <c r="R334" i="7"/>
  <c r="U334" i="7" s="1"/>
  <c r="S334" i="7"/>
  <c r="Q335" i="7"/>
  <c r="R335" i="7"/>
  <c r="S335" i="7"/>
  <c r="T335" i="7"/>
  <c r="U335" i="7"/>
  <c r="Q336" i="7"/>
  <c r="T336" i="7" s="1"/>
  <c r="R336" i="7"/>
  <c r="U336" i="7" s="1"/>
  <c r="S336" i="7"/>
  <c r="O337" i="7"/>
  <c r="P337" i="7"/>
  <c r="T337" i="7"/>
  <c r="U337" i="7"/>
  <c r="L338" i="7"/>
  <c r="M338" i="7"/>
  <c r="N338" i="7"/>
  <c r="N336" i="7" s="1"/>
  <c r="T338" i="7"/>
  <c r="U338" i="7"/>
  <c r="Q339" i="7"/>
  <c r="R339" i="7"/>
  <c r="U339" i="7" s="1"/>
  <c r="S339" i="7"/>
  <c r="T339" i="7"/>
  <c r="O340" i="7"/>
  <c r="P340" i="7"/>
  <c r="T340" i="7"/>
  <c r="U340" i="7"/>
  <c r="L341" i="7"/>
  <c r="O341" i="7" s="1"/>
  <c r="M341" i="7"/>
  <c r="N341" i="7"/>
  <c r="N339" i="7" s="1"/>
  <c r="T341" i="7"/>
  <c r="U341" i="7"/>
  <c r="I344" i="7"/>
  <c r="I332" i="7" s="1"/>
  <c r="J344" i="7"/>
  <c r="I346" i="7"/>
  <c r="J346" i="7"/>
  <c r="J347" i="7"/>
  <c r="J348" i="7"/>
  <c r="J349" i="7"/>
  <c r="D350" i="7"/>
  <c r="J352" i="7"/>
  <c r="J353" i="7"/>
  <c r="D354" i="7"/>
  <c r="R356" i="7"/>
  <c r="U356" i="7" s="1"/>
  <c r="L357" i="7"/>
  <c r="M357" i="7"/>
  <c r="N357" i="7"/>
  <c r="O357" i="7"/>
  <c r="P357" i="7"/>
  <c r="Q357" i="7"/>
  <c r="Q356" i="7" s="1"/>
  <c r="T356" i="7" s="1"/>
  <c r="R357" i="7"/>
  <c r="S357" i="7"/>
  <c r="U357" i="7"/>
  <c r="Q358" i="7"/>
  <c r="T358" i="7" s="1"/>
  <c r="R358" i="7"/>
  <c r="U358" i="7" s="1"/>
  <c r="S358" i="7"/>
  <c r="S356" i="7" s="1"/>
  <c r="Q359" i="7"/>
  <c r="R359" i="7"/>
  <c r="S359" i="7"/>
  <c r="T359" i="7"/>
  <c r="U359" i="7"/>
  <c r="O360" i="7"/>
  <c r="P360" i="7"/>
  <c r="T360" i="7"/>
  <c r="U360" i="7"/>
  <c r="L361" i="7"/>
  <c r="M361" i="7"/>
  <c r="M359" i="7" s="1"/>
  <c r="N361" i="7"/>
  <c r="T361" i="7"/>
  <c r="U361" i="7"/>
  <c r="Q362" i="7"/>
  <c r="T362" i="7" s="1"/>
  <c r="R362" i="7"/>
  <c r="U362" i="7" s="1"/>
  <c r="S362" i="7"/>
  <c r="O363" i="7"/>
  <c r="P363" i="7"/>
  <c r="T363" i="7"/>
  <c r="U363" i="7"/>
  <c r="L364" i="7"/>
  <c r="L362" i="7" s="1"/>
  <c r="O362" i="7" s="1"/>
  <c r="M364" i="7"/>
  <c r="N364" i="7"/>
  <c r="N362" i="7" s="1"/>
  <c r="T364" i="7"/>
  <c r="U364" i="7"/>
  <c r="J367" i="7"/>
  <c r="K367" i="7"/>
  <c r="I368" i="7"/>
  <c r="J368" i="7"/>
  <c r="I369" i="7"/>
  <c r="J369" i="7"/>
  <c r="J370" i="7"/>
  <c r="K370" i="7"/>
  <c r="I371" i="7"/>
  <c r="J371" i="7"/>
  <c r="J365" i="7" s="1"/>
  <c r="J372" i="7"/>
  <c r="K372" i="7"/>
  <c r="D373" i="7"/>
  <c r="N375" i="7"/>
  <c r="L376" i="7"/>
  <c r="M376" i="7"/>
  <c r="N376" i="7"/>
  <c r="Q376" i="7"/>
  <c r="T376" i="7" s="1"/>
  <c r="R376" i="7"/>
  <c r="S376" i="7"/>
  <c r="L377" i="7"/>
  <c r="O377" i="7" s="1"/>
  <c r="M377" i="7"/>
  <c r="P377" i="7" s="1"/>
  <c r="N377" i="7"/>
  <c r="L378" i="7"/>
  <c r="O378" i="7" s="1"/>
  <c r="M378" i="7"/>
  <c r="P378" i="7" s="1"/>
  <c r="N378" i="7"/>
  <c r="O379" i="7"/>
  <c r="P379" i="7"/>
  <c r="T379" i="7"/>
  <c r="U379" i="7"/>
  <c r="O380" i="7"/>
  <c r="P380" i="7"/>
  <c r="Q380" i="7"/>
  <c r="R380" i="7"/>
  <c r="S380" i="7"/>
  <c r="S378" i="7" s="1"/>
  <c r="L381" i="7"/>
  <c r="O381" i="7" s="1"/>
  <c r="M381" i="7"/>
  <c r="P381" i="7" s="1"/>
  <c r="N381" i="7"/>
  <c r="Q381" i="7"/>
  <c r="T381" i="7" s="1"/>
  <c r="R381" i="7"/>
  <c r="U381" i="7" s="1"/>
  <c r="S381" i="7"/>
  <c r="O382" i="7"/>
  <c r="P382" i="7"/>
  <c r="T382" i="7"/>
  <c r="U382" i="7"/>
  <c r="O383" i="7"/>
  <c r="P383" i="7"/>
  <c r="T383" i="7"/>
  <c r="U383" i="7"/>
  <c r="J385" i="7"/>
  <c r="K385" i="7"/>
  <c r="I386" i="7"/>
  <c r="J386" i="7"/>
  <c r="J387" i="7"/>
  <c r="K387" i="7"/>
  <c r="I388" i="7"/>
  <c r="K388" i="7" s="1"/>
  <c r="J388" i="7"/>
  <c r="I391" i="7"/>
  <c r="K391" i="7" s="1"/>
  <c r="J391" i="7"/>
  <c r="R392" i="7"/>
  <c r="U392" i="7" s="1"/>
  <c r="L393" i="7"/>
  <c r="M393" i="7"/>
  <c r="N393" i="7"/>
  <c r="Q393" i="7"/>
  <c r="Q392" i="7" s="1"/>
  <c r="T392" i="7" s="1"/>
  <c r="R393" i="7"/>
  <c r="U393" i="7" s="1"/>
  <c r="S393" i="7"/>
  <c r="L394" i="7"/>
  <c r="M394" i="7"/>
  <c r="N394" i="7"/>
  <c r="O394" i="7"/>
  <c r="P394" i="7"/>
  <c r="Q394" i="7"/>
  <c r="R394" i="7"/>
  <c r="S394" i="7"/>
  <c r="T394" i="7"/>
  <c r="U394" i="7"/>
  <c r="L395" i="7"/>
  <c r="O395" i="7" s="1"/>
  <c r="M395" i="7"/>
  <c r="N395" i="7"/>
  <c r="P395" i="7"/>
  <c r="Q395" i="7"/>
  <c r="T395" i="7" s="1"/>
  <c r="R395" i="7"/>
  <c r="U395" i="7" s="1"/>
  <c r="S395" i="7"/>
  <c r="O396" i="7"/>
  <c r="P396" i="7"/>
  <c r="T396" i="7"/>
  <c r="U396" i="7"/>
  <c r="O397" i="7"/>
  <c r="P397" i="7"/>
  <c r="T397" i="7"/>
  <c r="U397" i="7"/>
  <c r="L398" i="7"/>
  <c r="O398" i="7" s="1"/>
  <c r="M398" i="7"/>
  <c r="P398" i="7" s="1"/>
  <c r="N398" i="7"/>
  <c r="Q398" i="7"/>
  <c r="R398" i="7"/>
  <c r="U398" i="7" s="1"/>
  <c r="S398" i="7"/>
  <c r="T398" i="7"/>
  <c r="O399" i="7"/>
  <c r="P399" i="7"/>
  <c r="T399" i="7"/>
  <c r="U399" i="7"/>
  <c r="O400" i="7"/>
  <c r="P400" i="7"/>
  <c r="T400" i="7"/>
  <c r="U400" i="7"/>
  <c r="L414" i="7"/>
  <c r="M414" i="7"/>
  <c r="M413" i="7" s="1"/>
  <c r="P413" i="7" s="1"/>
  <c r="N414" i="7"/>
  <c r="Q414" i="7"/>
  <c r="R414" i="7"/>
  <c r="S414" i="7"/>
  <c r="U414" i="7"/>
  <c r="L415" i="7"/>
  <c r="O415" i="7" s="1"/>
  <c r="M415" i="7"/>
  <c r="P415" i="7" s="1"/>
  <c r="N415" i="7"/>
  <c r="L416" i="7"/>
  <c r="O416" i="7" s="1"/>
  <c r="M416" i="7"/>
  <c r="P416" i="7" s="1"/>
  <c r="N416" i="7"/>
  <c r="O417" i="7"/>
  <c r="P417" i="7"/>
  <c r="T417" i="7"/>
  <c r="U417" i="7"/>
  <c r="O418" i="7"/>
  <c r="P418" i="7"/>
  <c r="Q418" i="7"/>
  <c r="T418" i="7" s="1"/>
  <c r="R418" i="7"/>
  <c r="R415" i="7" s="1"/>
  <c r="S418" i="7"/>
  <c r="S416" i="7" s="1"/>
  <c r="L419" i="7"/>
  <c r="O419" i="7" s="1"/>
  <c r="M419" i="7"/>
  <c r="N419" i="7"/>
  <c r="P419" i="7"/>
  <c r="Q419" i="7"/>
  <c r="T419" i="7" s="1"/>
  <c r="R419" i="7"/>
  <c r="U419" i="7" s="1"/>
  <c r="S419" i="7"/>
  <c r="O420" i="7"/>
  <c r="P420" i="7"/>
  <c r="T420" i="7"/>
  <c r="U420" i="7"/>
  <c r="O421" i="7"/>
  <c r="P421" i="7"/>
  <c r="T421" i="7"/>
  <c r="U421" i="7"/>
  <c r="I424" i="7"/>
  <c r="K424" i="7" s="1"/>
  <c r="J424" i="7"/>
  <c r="I425" i="7"/>
  <c r="K425" i="7" s="1"/>
  <c r="J425" i="7"/>
  <c r="I432" i="7"/>
  <c r="K432" i="7" s="1"/>
  <c r="J432" i="7"/>
  <c r="I433" i="7"/>
  <c r="K433" i="7" s="1"/>
  <c r="J433" i="7"/>
  <c r="I440" i="7"/>
  <c r="K440" i="7" s="1"/>
  <c r="I441" i="7"/>
  <c r="K441" i="7" s="1"/>
  <c r="J446" i="7"/>
  <c r="J440" i="7" s="1"/>
  <c r="J423" i="7" s="1"/>
  <c r="J412" i="7" s="1"/>
  <c r="J447" i="7"/>
  <c r="J441" i="7" s="1"/>
  <c r="I457" i="7"/>
  <c r="K457" i="7" s="1"/>
  <c r="I458" i="7"/>
  <c r="K458" i="7" s="1"/>
  <c r="J459" i="7"/>
  <c r="J457" i="7" s="1"/>
  <c r="J456" i="7" s="1"/>
  <c r="J460" i="7"/>
  <c r="J467" i="7"/>
  <c r="J468" i="7"/>
  <c r="J475" i="7"/>
  <c r="K475" i="7"/>
  <c r="J476" i="7"/>
  <c r="K476" i="7"/>
  <c r="J477" i="7"/>
  <c r="K477" i="7"/>
  <c r="J482" i="7"/>
  <c r="J483" i="7"/>
  <c r="I484" i="7"/>
  <c r="K484" i="7" s="1"/>
  <c r="J484" i="7"/>
  <c r="I485" i="7"/>
  <c r="K485" i="7" s="1"/>
  <c r="J485" i="7"/>
  <c r="L494" i="7"/>
  <c r="M494" i="7"/>
  <c r="N494" i="7"/>
  <c r="Q494" i="7"/>
  <c r="R494" i="7"/>
  <c r="U494" i="7" s="1"/>
  <c r="S494" i="7"/>
  <c r="L495" i="7"/>
  <c r="O495" i="7" s="1"/>
  <c r="M495" i="7"/>
  <c r="P495" i="7" s="1"/>
  <c r="N495" i="7"/>
  <c r="L496" i="7"/>
  <c r="O496" i="7" s="1"/>
  <c r="M496" i="7"/>
  <c r="P496" i="7" s="1"/>
  <c r="N496" i="7"/>
  <c r="O497" i="7"/>
  <c r="P497" i="7"/>
  <c r="T497" i="7"/>
  <c r="U497" i="7"/>
  <c r="O498" i="7"/>
  <c r="P498" i="7"/>
  <c r="Q498" i="7"/>
  <c r="R498" i="7"/>
  <c r="R495" i="7" s="1"/>
  <c r="U495" i="7" s="1"/>
  <c r="S498" i="7"/>
  <c r="S495" i="7" s="1"/>
  <c r="L499" i="7"/>
  <c r="O499" i="7" s="1"/>
  <c r="M499" i="7"/>
  <c r="N499" i="7"/>
  <c r="P499" i="7"/>
  <c r="Q499" i="7"/>
  <c r="R499" i="7"/>
  <c r="U499" i="7" s="1"/>
  <c r="S499" i="7"/>
  <c r="T499" i="7"/>
  <c r="O500" i="7"/>
  <c r="P500" i="7"/>
  <c r="T500" i="7"/>
  <c r="U500" i="7"/>
  <c r="O501" i="7"/>
  <c r="P501" i="7"/>
  <c r="T501" i="7"/>
  <c r="U501" i="7"/>
  <c r="I503" i="7"/>
  <c r="I492" i="7" s="1"/>
  <c r="K492" i="7" s="1"/>
  <c r="I504" i="7"/>
  <c r="K504" i="7" s="1"/>
  <c r="I505" i="7"/>
  <c r="I506" i="7"/>
  <c r="K506" i="7" s="1"/>
  <c r="I507" i="7"/>
  <c r="K507" i="7" s="1"/>
  <c r="K508" i="7"/>
  <c r="I509" i="7"/>
  <c r="K509" i="7" s="1"/>
  <c r="I512" i="7"/>
  <c r="K512" i="7" s="1"/>
  <c r="J512" i="7"/>
  <c r="Q513" i="7"/>
  <c r="T513" i="7" s="1"/>
  <c r="L514" i="7"/>
  <c r="O514" i="7" s="1"/>
  <c r="M514" i="7"/>
  <c r="N514" i="7"/>
  <c r="Q514" i="7"/>
  <c r="T514" i="7" s="1"/>
  <c r="R514" i="7"/>
  <c r="U514" i="7" s="1"/>
  <c r="S514" i="7"/>
  <c r="Q515" i="7"/>
  <c r="T515" i="7" s="1"/>
  <c r="R515" i="7"/>
  <c r="S515" i="7"/>
  <c r="U515" i="7"/>
  <c r="Q516" i="7"/>
  <c r="R516" i="7"/>
  <c r="S516" i="7"/>
  <c r="T516" i="7"/>
  <c r="U516" i="7"/>
  <c r="O517" i="7"/>
  <c r="P517" i="7"/>
  <c r="T517" i="7"/>
  <c r="U517" i="7"/>
  <c r="L518" i="7"/>
  <c r="L516" i="7" s="1"/>
  <c r="O516" i="7" s="1"/>
  <c r="M518" i="7"/>
  <c r="P518" i="7" s="1"/>
  <c r="N518" i="7"/>
  <c r="T518" i="7"/>
  <c r="U518" i="7"/>
  <c r="Q519" i="7"/>
  <c r="R519" i="7"/>
  <c r="U519" i="7" s="1"/>
  <c r="S519" i="7"/>
  <c r="T519" i="7"/>
  <c r="O520" i="7"/>
  <c r="P520" i="7"/>
  <c r="T520" i="7"/>
  <c r="U520" i="7"/>
  <c r="L521" i="7"/>
  <c r="L519" i="7" s="1"/>
  <c r="O519" i="7" s="1"/>
  <c r="M521" i="7"/>
  <c r="P521" i="7" s="1"/>
  <c r="N521" i="7"/>
  <c r="N519" i="7" s="1"/>
  <c r="T521" i="7"/>
  <c r="U521" i="7"/>
  <c r="K523" i="7"/>
  <c r="K524" i="7"/>
  <c r="I533" i="7"/>
  <c r="K533" i="7" s="1"/>
  <c r="J533" i="7"/>
  <c r="L535" i="7"/>
  <c r="M535" i="7"/>
  <c r="N535" i="7"/>
  <c r="Q535" i="7"/>
  <c r="R535" i="7"/>
  <c r="U535" i="7" s="1"/>
  <c r="S535" i="7"/>
  <c r="L536" i="7"/>
  <c r="O536" i="7" s="1"/>
  <c r="M536" i="7"/>
  <c r="P536" i="7" s="1"/>
  <c r="N536" i="7"/>
  <c r="Q536" i="7"/>
  <c r="R536" i="7"/>
  <c r="U536" i="7" s="1"/>
  <c r="S536" i="7"/>
  <c r="T536" i="7"/>
  <c r="L537" i="7"/>
  <c r="O537" i="7" s="1"/>
  <c r="M537" i="7"/>
  <c r="N537" i="7"/>
  <c r="P537" i="7"/>
  <c r="Q537" i="7"/>
  <c r="T537" i="7" s="1"/>
  <c r="R537" i="7"/>
  <c r="S537" i="7"/>
  <c r="U537" i="7"/>
  <c r="O538" i="7"/>
  <c r="P538" i="7"/>
  <c r="T538" i="7"/>
  <c r="U538" i="7"/>
  <c r="O539" i="7"/>
  <c r="P539" i="7"/>
  <c r="T539" i="7"/>
  <c r="U539" i="7"/>
  <c r="L540" i="7"/>
  <c r="O540" i="7" s="1"/>
  <c r="M540" i="7"/>
  <c r="N540" i="7"/>
  <c r="P540" i="7"/>
  <c r="Q540" i="7"/>
  <c r="T540" i="7" s="1"/>
  <c r="R540" i="7"/>
  <c r="U540" i="7" s="1"/>
  <c r="S540" i="7"/>
  <c r="O541" i="7"/>
  <c r="P541" i="7"/>
  <c r="T541" i="7"/>
  <c r="U541" i="7"/>
  <c r="O542" i="7"/>
  <c r="P542" i="7"/>
  <c r="T542" i="7"/>
  <c r="U542" i="7"/>
  <c r="I554" i="7"/>
  <c r="K554" i="7" s="1"/>
  <c r="J554" i="7"/>
  <c r="L556" i="7"/>
  <c r="M556" i="7"/>
  <c r="N556" i="7"/>
  <c r="N555" i="7" s="1"/>
  <c r="O556" i="7"/>
  <c r="P556" i="7"/>
  <c r="Q556" i="7"/>
  <c r="R556" i="7"/>
  <c r="R555" i="7" s="1"/>
  <c r="U555" i="7" s="1"/>
  <c r="S556" i="7"/>
  <c r="T556" i="7"/>
  <c r="U556" i="7"/>
  <c r="L557" i="7"/>
  <c r="O557" i="7" s="1"/>
  <c r="M557" i="7"/>
  <c r="N557" i="7"/>
  <c r="P557" i="7"/>
  <c r="Q557" i="7"/>
  <c r="T557" i="7" s="1"/>
  <c r="R557" i="7"/>
  <c r="U557" i="7" s="1"/>
  <c r="S557" i="7"/>
  <c r="L558" i="7"/>
  <c r="M558" i="7"/>
  <c r="P558" i="7" s="1"/>
  <c r="N558" i="7"/>
  <c r="O558" i="7"/>
  <c r="Q558" i="7"/>
  <c r="T558" i="7" s="1"/>
  <c r="R558" i="7"/>
  <c r="U558" i="7" s="1"/>
  <c r="S558" i="7"/>
  <c r="O559" i="7"/>
  <c r="P559" i="7"/>
  <c r="T559" i="7"/>
  <c r="U559" i="7"/>
  <c r="O560" i="7"/>
  <c r="P560" i="7"/>
  <c r="T560" i="7"/>
  <c r="U560" i="7"/>
  <c r="L561" i="7"/>
  <c r="O561" i="7" s="1"/>
  <c r="M561" i="7"/>
  <c r="P561" i="7" s="1"/>
  <c r="N561" i="7"/>
  <c r="Q561" i="7"/>
  <c r="R561" i="7"/>
  <c r="U561" i="7" s="1"/>
  <c r="S561" i="7"/>
  <c r="T561" i="7"/>
  <c r="O562" i="7"/>
  <c r="P562" i="7"/>
  <c r="T562" i="7"/>
  <c r="U562" i="7"/>
  <c r="O563" i="7"/>
  <c r="P563" i="7"/>
  <c r="T563" i="7"/>
  <c r="U563" i="7"/>
  <c r="I575" i="7"/>
  <c r="K575" i="7" s="1"/>
  <c r="J575" i="7"/>
  <c r="L577" i="7"/>
  <c r="M577" i="7"/>
  <c r="N577" i="7"/>
  <c r="Q577" i="7"/>
  <c r="R577" i="7"/>
  <c r="U577" i="7" s="1"/>
  <c r="S577" i="7"/>
  <c r="L578" i="7"/>
  <c r="O578" i="7" s="1"/>
  <c r="M578" i="7"/>
  <c r="P578" i="7" s="1"/>
  <c r="N578" i="7"/>
  <c r="Q578" i="7"/>
  <c r="R578" i="7"/>
  <c r="U578" i="7" s="1"/>
  <c r="S578" i="7"/>
  <c r="T578" i="7"/>
  <c r="L579" i="7"/>
  <c r="M579" i="7"/>
  <c r="N579" i="7"/>
  <c r="O579" i="7"/>
  <c r="P579" i="7"/>
  <c r="Q579" i="7"/>
  <c r="T579" i="7" s="1"/>
  <c r="R579" i="7"/>
  <c r="S579" i="7"/>
  <c r="U579" i="7"/>
  <c r="O580" i="7"/>
  <c r="P580" i="7"/>
  <c r="T580" i="7"/>
  <c r="U580" i="7"/>
  <c r="O581" i="7"/>
  <c r="P581" i="7"/>
  <c r="T581" i="7"/>
  <c r="U581" i="7"/>
  <c r="L582" i="7"/>
  <c r="M582" i="7"/>
  <c r="N582" i="7"/>
  <c r="O582" i="7"/>
  <c r="P582" i="7"/>
  <c r="Q582" i="7"/>
  <c r="T582" i="7" s="1"/>
  <c r="R582" i="7"/>
  <c r="U582" i="7" s="1"/>
  <c r="S582" i="7"/>
  <c r="O583" i="7"/>
  <c r="P583" i="7"/>
  <c r="T583" i="7"/>
  <c r="U583" i="7"/>
  <c r="O584" i="7"/>
  <c r="P584" i="7"/>
  <c r="T584" i="7"/>
  <c r="U584" i="7"/>
  <c r="L600" i="7"/>
  <c r="O600" i="7" s="1"/>
  <c r="M600" i="7"/>
  <c r="N600" i="7"/>
  <c r="N599" i="7" s="1"/>
  <c r="Q600" i="7"/>
  <c r="R600" i="7"/>
  <c r="U600" i="7" s="1"/>
  <c r="S600" i="7"/>
  <c r="T600" i="7"/>
  <c r="L601" i="7"/>
  <c r="O601" i="7" s="1"/>
  <c r="M601" i="7"/>
  <c r="P601" i="7" s="1"/>
  <c r="N601" i="7"/>
  <c r="Q601" i="7"/>
  <c r="R601" i="7"/>
  <c r="U601" i="7" s="1"/>
  <c r="S601" i="7"/>
  <c r="T601" i="7"/>
  <c r="L602" i="7"/>
  <c r="O602" i="7" s="1"/>
  <c r="M602" i="7"/>
  <c r="N602" i="7"/>
  <c r="P602" i="7"/>
  <c r="Q602" i="7"/>
  <c r="T602" i="7" s="1"/>
  <c r="R602" i="7"/>
  <c r="U602" i="7" s="1"/>
  <c r="S602" i="7"/>
  <c r="O603" i="7"/>
  <c r="P603" i="7"/>
  <c r="T603" i="7"/>
  <c r="U603" i="7"/>
  <c r="O604" i="7"/>
  <c r="P604" i="7"/>
  <c r="T604" i="7"/>
  <c r="U604" i="7"/>
  <c r="L605" i="7"/>
  <c r="O605" i="7" s="1"/>
  <c r="M605" i="7"/>
  <c r="P605" i="7" s="1"/>
  <c r="N605" i="7"/>
  <c r="Q605" i="7"/>
  <c r="T605" i="7" s="1"/>
  <c r="R605" i="7"/>
  <c r="U605" i="7" s="1"/>
  <c r="S605" i="7"/>
  <c r="O606" i="7"/>
  <c r="P606" i="7"/>
  <c r="T606" i="7"/>
  <c r="U606" i="7"/>
  <c r="O607" i="7"/>
  <c r="P607" i="7"/>
  <c r="T607" i="7"/>
  <c r="U607" i="7"/>
  <c r="L617" i="7"/>
  <c r="O617" i="7" s="1"/>
  <c r="M617" i="7"/>
  <c r="P617" i="7" s="1"/>
  <c r="N617" i="7"/>
  <c r="Q617" i="7"/>
  <c r="R617" i="7"/>
  <c r="U617" i="7" s="1"/>
  <c r="S617" i="7"/>
  <c r="L618" i="7"/>
  <c r="O618" i="7" s="1"/>
  <c r="M618" i="7"/>
  <c r="P618" i="7" s="1"/>
  <c r="N618" i="7"/>
  <c r="L619" i="7"/>
  <c r="M619" i="7"/>
  <c r="P619" i="7" s="1"/>
  <c r="N619" i="7"/>
  <c r="O619" i="7"/>
  <c r="O620" i="7"/>
  <c r="P620" i="7"/>
  <c r="T620" i="7"/>
  <c r="U620" i="7"/>
  <c r="O621" i="7"/>
  <c r="P621" i="7"/>
  <c r="Q621" i="7"/>
  <c r="Q619" i="7" s="1"/>
  <c r="R621" i="7"/>
  <c r="S621" i="7"/>
  <c r="S618" i="7" s="1"/>
  <c r="L622" i="7"/>
  <c r="O622" i="7" s="1"/>
  <c r="M622" i="7"/>
  <c r="N622" i="7"/>
  <c r="P622" i="7"/>
  <c r="Q622" i="7"/>
  <c r="T622" i="7" s="1"/>
  <c r="R622" i="7"/>
  <c r="U622" i="7" s="1"/>
  <c r="S622" i="7"/>
  <c r="O623" i="7"/>
  <c r="P623" i="7"/>
  <c r="T623" i="7"/>
  <c r="U623" i="7"/>
  <c r="O624" i="7"/>
  <c r="P624" i="7"/>
  <c r="T624" i="7"/>
  <c r="U624" i="7"/>
  <c r="I626" i="7"/>
  <c r="K631" i="7" s="1"/>
  <c r="I627" i="7"/>
  <c r="K627" i="7" s="1"/>
  <c r="I628" i="7"/>
  <c r="K628" i="7" s="1"/>
  <c r="J632" i="7"/>
  <c r="J626" i="7" s="1"/>
  <c r="J615" i="7" s="1"/>
  <c r="I635" i="7"/>
  <c r="K635" i="7" s="1"/>
  <c r="J636" i="7"/>
  <c r="J635" i="7" s="1"/>
  <c r="L643" i="7"/>
  <c r="M643" i="7"/>
  <c r="M642" i="7" s="1"/>
  <c r="P642" i="7" s="1"/>
  <c r="N643" i="7"/>
  <c r="N642" i="7" s="1"/>
  <c r="O643" i="7"/>
  <c r="Q643" i="7"/>
  <c r="R643" i="7"/>
  <c r="S643" i="7"/>
  <c r="T643" i="7"/>
  <c r="U643" i="7"/>
  <c r="L644" i="7"/>
  <c r="O644" i="7" s="1"/>
  <c r="M644" i="7"/>
  <c r="N644" i="7"/>
  <c r="P644" i="7"/>
  <c r="L645" i="7"/>
  <c r="O645" i="7" s="1"/>
  <c r="M645" i="7"/>
  <c r="P645" i="7" s="1"/>
  <c r="N645" i="7"/>
  <c r="O646" i="7"/>
  <c r="P646" i="7"/>
  <c r="T646" i="7"/>
  <c r="U646" i="7"/>
  <c r="O647" i="7"/>
  <c r="P647" i="7"/>
  <c r="Q647" i="7"/>
  <c r="Q645" i="7" s="1"/>
  <c r="T645" i="7" s="1"/>
  <c r="R647" i="7"/>
  <c r="R645" i="7" s="1"/>
  <c r="U645" i="7" s="1"/>
  <c r="S647" i="7"/>
  <c r="S644" i="7" s="1"/>
  <c r="L648" i="7"/>
  <c r="O648" i="7" s="1"/>
  <c r="M648" i="7"/>
  <c r="P648" i="7" s="1"/>
  <c r="N648" i="7"/>
  <c r="Q648" i="7"/>
  <c r="R648" i="7"/>
  <c r="U648" i="7" s="1"/>
  <c r="S648" i="7"/>
  <c r="T648" i="7"/>
  <c r="O649" i="7"/>
  <c r="P649" i="7"/>
  <c r="T649" i="7"/>
  <c r="U649" i="7"/>
  <c r="O650" i="7"/>
  <c r="P650" i="7"/>
  <c r="T650" i="7"/>
  <c r="U650" i="7"/>
  <c r="I652" i="7"/>
  <c r="K652" i="7" s="1"/>
  <c r="J652" i="7"/>
  <c r="I653" i="7"/>
  <c r="K653" i="7" s="1"/>
  <c r="J653" i="7"/>
  <c r="I654" i="7"/>
  <c r="K654" i="7" s="1"/>
  <c r="J654" i="7"/>
  <c r="I657" i="7"/>
  <c r="I660" i="7"/>
  <c r="I661" i="7"/>
  <c r="K661" i="7" s="1"/>
  <c r="J661" i="7"/>
  <c r="J671" i="7"/>
  <c r="J672" i="7"/>
  <c r="I673" i="7"/>
  <c r="K673" i="7" s="1"/>
  <c r="J673" i="7"/>
  <c r="I674" i="7"/>
  <c r="K674" i="7" s="1"/>
  <c r="I675" i="7"/>
  <c r="K675" i="7" s="1"/>
  <c r="I676" i="7"/>
  <c r="K676" i="7" s="1"/>
  <c r="J676" i="7"/>
  <c r="J677" i="7"/>
  <c r="I678" i="7"/>
  <c r="K678" i="7" s="1"/>
  <c r="J678" i="7"/>
  <c r="I679" i="7"/>
  <c r="K679" i="7" s="1"/>
  <c r="J679" i="7"/>
  <c r="J680" i="7"/>
  <c r="I681" i="7"/>
  <c r="K681" i="7" s="1"/>
  <c r="J681" i="7"/>
  <c r="I682" i="7"/>
  <c r="K682" i="7" s="1"/>
  <c r="J682" i="7"/>
  <c r="L691" i="7"/>
  <c r="O691" i="7" s="1"/>
  <c r="M691" i="7"/>
  <c r="P691" i="7" s="1"/>
  <c r="N691" i="7"/>
  <c r="Q691" i="7"/>
  <c r="R691" i="7"/>
  <c r="U691" i="7" s="1"/>
  <c r="S691" i="7"/>
  <c r="T691" i="7"/>
  <c r="L692" i="7"/>
  <c r="M692" i="7"/>
  <c r="N692" i="7"/>
  <c r="N690" i="7" s="1"/>
  <c r="O692" i="7"/>
  <c r="P692" i="7"/>
  <c r="L693" i="7"/>
  <c r="O693" i="7" s="1"/>
  <c r="M693" i="7"/>
  <c r="P693" i="7" s="1"/>
  <c r="N693" i="7"/>
  <c r="O694" i="7"/>
  <c r="P694" i="7"/>
  <c r="T694" i="7"/>
  <c r="U694" i="7"/>
  <c r="O695" i="7"/>
  <c r="P695" i="7"/>
  <c r="Q695" i="7"/>
  <c r="Q692" i="7" s="1"/>
  <c r="R695" i="7"/>
  <c r="R693" i="7" s="1"/>
  <c r="S695" i="7"/>
  <c r="S692" i="7" s="1"/>
  <c r="L696" i="7"/>
  <c r="O696" i="7" s="1"/>
  <c r="M696" i="7"/>
  <c r="P696" i="7" s="1"/>
  <c r="N696" i="7"/>
  <c r="Q696" i="7"/>
  <c r="T696" i="7" s="1"/>
  <c r="R696" i="7"/>
  <c r="U696" i="7" s="1"/>
  <c r="S696" i="7"/>
  <c r="O697" i="7"/>
  <c r="P697" i="7"/>
  <c r="T697" i="7"/>
  <c r="U697" i="7"/>
  <c r="O698" i="7"/>
  <c r="P698" i="7"/>
  <c r="T698" i="7"/>
  <c r="U698" i="7"/>
  <c r="I700" i="7"/>
  <c r="K700" i="7" s="1"/>
  <c r="K702" i="7"/>
  <c r="I703" i="7"/>
  <c r="J703" i="7"/>
  <c r="J704" i="7"/>
  <c r="K704" i="7"/>
  <c r="I705" i="7"/>
  <c r="J705" i="7"/>
  <c r="J706" i="7"/>
  <c r="K706" i="7"/>
  <c r="I707" i="7"/>
  <c r="J707" i="7"/>
  <c r="J689" i="7" s="1"/>
  <c r="J708" i="7"/>
  <c r="K708" i="7"/>
  <c r="I709" i="7"/>
  <c r="J709" i="7"/>
  <c r="J710" i="7"/>
  <c r="K710" i="7"/>
  <c r="J712" i="7"/>
  <c r="K712" i="7"/>
  <c r="L714" i="7"/>
  <c r="O714" i="7"/>
  <c r="L715" i="7"/>
  <c r="O715" i="7" s="1"/>
  <c r="M715" i="7"/>
  <c r="N715" i="7"/>
  <c r="Q715" i="7"/>
  <c r="R715" i="7"/>
  <c r="S715" i="7"/>
  <c r="L716" i="7"/>
  <c r="M716" i="7"/>
  <c r="P716" i="7" s="1"/>
  <c r="N716" i="7"/>
  <c r="O716" i="7"/>
  <c r="Q716" i="7"/>
  <c r="T716" i="7" s="1"/>
  <c r="R716" i="7"/>
  <c r="S716" i="7"/>
  <c r="U716" i="7"/>
  <c r="L717" i="7"/>
  <c r="O717" i="7" s="1"/>
  <c r="M717" i="7"/>
  <c r="P717" i="7" s="1"/>
  <c r="N717" i="7"/>
  <c r="Q717" i="7"/>
  <c r="T717" i="7" s="1"/>
  <c r="R717" i="7"/>
  <c r="U717" i="7" s="1"/>
  <c r="S717" i="7"/>
  <c r="O718" i="7"/>
  <c r="P718" i="7"/>
  <c r="T718" i="7"/>
  <c r="U718" i="7"/>
  <c r="O719" i="7"/>
  <c r="P719" i="7"/>
  <c r="T719" i="7"/>
  <c r="U719" i="7"/>
  <c r="L720" i="7"/>
  <c r="O720" i="7" s="1"/>
  <c r="M720" i="7"/>
  <c r="N720" i="7"/>
  <c r="P720" i="7"/>
  <c r="Q720" i="7"/>
  <c r="T720" i="7" s="1"/>
  <c r="R720" i="7"/>
  <c r="U720" i="7" s="1"/>
  <c r="S720" i="7"/>
  <c r="O721" i="7"/>
  <c r="P721" i="7"/>
  <c r="T721" i="7"/>
  <c r="U721" i="7"/>
  <c r="O722" i="7"/>
  <c r="P722" i="7"/>
  <c r="T722" i="7"/>
  <c r="U722" i="7"/>
  <c r="I726" i="7"/>
  <c r="K726" i="7" s="1"/>
  <c r="J726" i="7"/>
  <c r="I727" i="7"/>
  <c r="K727" i="7" s="1"/>
  <c r="J727" i="7"/>
  <c r="L729" i="7"/>
  <c r="M729" i="7"/>
  <c r="N729" i="7"/>
  <c r="Q729" i="7"/>
  <c r="R729" i="7"/>
  <c r="U729" i="7" s="1"/>
  <c r="S729" i="7"/>
  <c r="L730" i="7"/>
  <c r="O730" i="7" s="1"/>
  <c r="M730" i="7"/>
  <c r="P730" i="7" s="1"/>
  <c r="N730" i="7"/>
  <c r="L731" i="7"/>
  <c r="O731" i="7" s="1"/>
  <c r="M731" i="7"/>
  <c r="P731" i="7" s="1"/>
  <c r="N731" i="7"/>
  <c r="O732" i="7"/>
  <c r="P732" i="7"/>
  <c r="T732" i="7"/>
  <c r="U732" i="7"/>
  <c r="O733" i="7"/>
  <c r="P733" i="7"/>
  <c r="Q733" i="7"/>
  <c r="Q730" i="7" s="1"/>
  <c r="R733" i="7"/>
  <c r="R731" i="7" s="1"/>
  <c r="S733" i="7"/>
  <c r="S731" i="7" s="1"/>
  <c r="L734" i="7"/>
  <c r="O734" i="7" s="1"/>
  <c r="M734" i="7"/>
  <c r="P734" i="7" s="1"/>
  <c r="N734" i="7"/>
  <c r="Q734" i="7"/>
  <c r="T734" i="7" s="1"/>
  <c r="R734" i="7"/>
  <c r="U734" i="7" s="1"/>
  <c r="S734" i="7"/>
  <c r="O735" i="7"/>
  <c r="P735" i="7"/>
  <c r="T735" i="7"/>
  <c r="U735" i="7"/>
  <c r="O736" i="7"/>
  <c r="P736" i="7"/>
  <c r="T736" i="7"/>
  <c r="U736" i="7"/>
  <c r="I740" i="7"/>
  <c r="K740" i="7" s="1"/>
  <c r="I742" i="7"/>
  <c r="K742" i="7" s="1"/>
  <c r="I744" i="7"/>
  <c r="K744" i="7" s="1"/>
  <c r="I746" i="7"/>
  <c r="K746" i="7" s="1"/>
  <c r="I749" i="7"/>
  <c r="K749" i="7" s="1"/>
  <c r="I752" i="7"/>
  <c r="K752" i="7" s="1"/>
  <c r="I755" i="7"/>
  <c r="K755" i="7" s="1"/>
  <c r="J758" i="7"/>
  <c r="J759" i="7"/>
  <c r="L761" i="7"/>
  <c r="O761" i="7" s="1"/>
  <c r="M761" i="7"/>
  <c r="N761" i="7"/>
  <c r="N760" i="7" s="1"/>
  <c r="Q761" i="7"/>
  <c r="R761" i="7"/>
  <c r="S761" i="7"/>
  <c r="T761" i="7"/>
  <c r="U761" i="7"/>
  <c r="L762" i="7"/>
  <c r="O762" i="7" s="1"/>
  <c r="M762" i="7"/>
  <c r="N762" i="7"/>
  <c r="P762" i="7"/>
  <c r="L763" i="7"/>
  <c r="O763" i="7" s="1"/>
  <c r="M763" i="7"/>
  <c r="P763" i="7" s="1"/>
  <c r="N763" i="7"/>
  <c r="O764" i="7"/>
  <c r="P764" i="7"/>
  <c r="T764" i="7"/>
  <c r="U764" i="7"/>
  <c r="O765" i="7"/>
  <c r="P765" i="7"/>
  <c r="Q765" i="7"/>
  <c r="Q763" i="7" s="1"/>
  <c r="R765" i="7"/>
  <c r="S765" i="7"/>
  <c r="S762" i="7" s="1"/>
  <c r="S760" i="7" s="1"/>
  <c r="L766" i="7"/>
  <c r="M766" i="7"/>
  <c r="N766" i="7"/>
  <c r="O766" i="7"/>
  <c r="P766" i="7"/>
  <c r="Q766" i="7"/>
  <c r="R766" i="7"/>
  <c r="S766" i="7"/>
  <c r="T766" i="7"/>
  <c r="U766" i="7"/>
  <c r="O767" i="7"/>
  <c r="P767" i="7"/>
  <c r="T767" i="7"/>
  <c r="U767" i="7"/>
  <c r="O768" i="7"/>
  <c r="P768" i="7"/>
  <c r="T768" i="7"/>
  <c r="U768" i="7"/>
  <c r="I770" i="7"/>
  <c r="K770" i="7" s="1"/>
  <c r="I772" i="7"/>
  <c r="I758" i="7" s="1"/>
  <c r="K758" i="7" s="1"/>
  <c r="I774" i="7"/>
  <c r="I775" i="7"/>
  <c r="I776" i="7"/>
  <c r="H777" i="7"/>
  <c r="I778" i="7"/>
  <c r="J778" i="7"/>
  <c r="I779" i="7"/>
  <c r="J779" i="7"/>
  <c r="I780" i="7"/>
  <c r="J780" i="7"/>
  <c r="I781" i="7"/>
  <c r="J781" i="7"/>
  <c r="I782" i="7"/>
  <c r="K782" i="7" s="1"/>
  <c r="J782" i="7"/>
  <c r="I783" i="7"/>
  <c r="K783" i="7" s="1"/>
  <c r="J783" i="7"/>
  <c r="I784" i="7"/>
  <c r="J784" i="7"/>
  <c r="I785" i="7"/>
  <c r="J785" i="7"/>
  <c r="A788" i="7"/>
  <c r="A789" i="7"/>
  <c r="L22" i="6"/>
  <c r="L19" i="6" s="1"/>
  <c r="M22" i="6"/>
  <c r="M19" i="6" s="1"/>
  <c r="N22" i="6"/>
  <c r="Q22" i="6"/>
  <c r="T22" i="6" s="1"/>
  <c r="R22" i="6"/>
  <c r="S22" i="6"/>
  <c r="L25" i="6"/>
  <c r="M25" i="6"/>
  <c r="N25" i="6"/>
  <c r="Q25" i="6"/>
  <c r="R25" i="6"/>
  <c r="S25" i="6"/>
  <c r="Q26" i="6"/>
  <c r="R26" i="6"/>
  <c r="U26" i="6" s="1"/>
  <c r="S26" i="6"/>
  <c r="T26" i="6"/>
  <c r="L45" i="6"/>
  <c r="O45" i="6" s="1"/>
  <c r="M45" i="6"/>
  <c r="N45" i="6"/>
  <c r="Q45" i="6"/>
  <c r="R45" i="6"/>
  <c r="U45" i="6" s="1"/>
  <c r="S45" i="6"/>
  <c r="Q46" i="6"/>
  <c r="T46" i="6" s="1"/>
  <c r="R46" i="6"/>
  <c r="U46" i="6" s="1"/>
  <c r="S46" i="6"/>
  <c r="Q47" i="6"/>
  <c r="T47" i="6" s="1"/>
  <c r="R47" i="6"/>
  <c r="U47" i="6" s="1"/>
  <c r="S47" i="6"/>
  <c r="O48" i="6"/>
  <c r="P48" i="6"/>
  <c r="T48" i="6"/>
  <c r="U48" i="6"/>
  <c r="L49" i="6"/>
  <c r="L47" i="6" s="1"/>
  <c r="M49" i="6"/>
  <c r="M47" i="6" s="1"/>
  <c r="N49" i="6"/>
  <c r="T49" i="6"/>
  <c r="U49" i="6"/>
  <c r="Q50" i="6"/>
  <c r="T50" i="6" s="1"/>
  <c r="R50" i="6"/>
  <c r="U50" i="6" s="1"/>
  <c r="S50" i="6"/>
  <c r="O51" i="6"/>
  <c r="P51" i="6"/>
  <c r="T51" i="6"/>
  <c r="U51" i="6"/>
  <c r="L52" i="6"/>
  <c r="M52" i="6"/>
  <c r="N52" i="6"/>
  <c r="N50" i="6" s="1"/>
  <c r="T52" i="6"/>
  <c r="U52" i="6"/>
  <c r="L60" i="6"/>
  <c r="O60" i="6" s="1"/>
  <c r="M60" i="6"/>
  <c r="N60" i="6"/>
  <c r="Q60" i="6"/>
  <c r="R60" i="6"/>
  <c r="S60" i="6"/>
  <c r="Q61" i="6"/>
  <c r="R61" i="6"/>
  <c r="U61" i="6" s="1"/>
  <c r="S61" i="6"/>
  <c r="T61" i="6"/>
  <c r="Q62" i="6"/>
  <c r="T62" i="6" s="1"/>
  <c r="R62" i="6"/>
  <c r="U62" i="6" s="1"/>
  <c r="S62" i="6"/>
  <c r="O63" i="6"/>
  <c r="P63" i="6"/>
  <c r="T63" i="6"/>
  <c r="U63" i="6"/>
  <c r="L64" i="6"/>
  <c r="L62" i="6" s="1"/>
  <c r="M64" i="6"/>
  <c r="M62" i="6" s="1"/>
  <c r="N64" i="6"/>
  <c r="T64" i="6"/>
  <c r="U64" i="6"/>
  <c r="Q65" i="6"/>
  <c r="T65" i="6" s="1"/>
  <c r="R65" i="6"/>
  <c r="S65" i="6"/>
  <c r="U65" i="6"/>
  <c r="O66" i="6"/>
  <c r="P66" i="6"/>
  <c r="T66" i="6"/>
  <c r="U66" i="6"/>
  <c r="L67" i="6"/>
  <c r="M67" i="6"/>
  <c r="N67" i="6"/>
  <c r="N65" i="6" s="1"/>
  <c r="T67" i="6"/>
  <c r="U67" i="6"/>
  <c r="J71" i="6"/>
  <c r="L73" i="6"/>
  <c r="O73" i="6" s="1"/>
  <c r="M73" i="6"/>
  <c r="N73" i="6"/>
  <c r="Q73" i="6"/>
  <c r="R73" i="6"/>
  <c r="U73" i="6" s="1"/>
  <c r="S73" i="6"/>
  <c r="T73" i="6"/>
  <c r="O76" i="6"/>
  <c r="P76" i="6"/>
  <c r="T76" i="6"/>
  <c r="U76" i="6"/>
  <c r="L77" i="6"/>
  <c r="L75" i="6" s="1"/>
  <c r="M77" i="6"/>
  <c r="M75" i="6" s="1"/>
  <c r="N77" i="6"/>
  <c r="N75" i="6" s="1"/>
  <c r="Q77" i="6"/>
  <c r="Q74" i="6" s="1"/>
  <c r="Q72" i="6" s="1"/>
  <c r="R77" i="6"/>
  <c r="R74" i="6" s="1"/>
  <c r="S77" i="6"/>
  <c r="Q78" i="6"/>
  <c r="T78" i="6" s="1"/>
  <c r="R78" i="6"/>
  <c r="U78" i="6" s="1"/>
  <c r="S78" i="6"/>
  <c r="O79" i="6"/>
  <c r="P79" i="6"/>
  <c r="T79" i="6"/>
  <c r="U79" i="6"/>
  <c r="L80" i="6"/>
  <c r="M80" i="6"/>
  <c r="N80" i="6"/>
  <c r="T80" i="6"/>
  <c r="U80" i="6"/>
  <c r="J82" i="6"/>
  <c r="J70" i="6" s="1"/>
  <c r="J83" i="6"/>
  <c r="I84" i="6"/>
  <c r="K84" i="6" s="1"/>
  <c r="I85" i="6"/>
  <c r="K85" i="6" s="1"/>
  <c r="I86" i="6"/>
  <c r="K86" i="6" s="1"/>
  <c r="I87" i="6"/>
  <c r="K87" i="6" s="1"/>
  <c r="I88" i="6"/>
  <c r="K88" i="6" s="1"/>
  <c r="I89" i="6"/>
  <c r="K89" i="6" s="1"/>
  <c r="I90" i="6"/>
  <c r="K90" i="6" s="1"/>
  <c r="J92" i="6"/>
  <c r="J93" i="6"/>
  <c r="L95" i="6"/>
  <c r="M95" i="6"/>
  <c r="P95" i="6" s="1"/>
  <c r="N95" i="6"/>
  <c r="O95" i="6"/>
  <c r="Q95" i="6"/>
  <c r="R95" i="6"/>
  <c r="S95" i="6"/>
  <c r="T95" i="6"/>
  <c r="U95" i="6"/>
  <c r="O98" i="6"/>
  <c r="P98" i="6"/>
  <c r="T98" i="6"/>
  <c r="U98" i="6"/>
  <c r="L99" i="6"/>
  <c r="M99" i="6"/>
  <c r="N99" i="6"/>
  <c r="N97" i="6" s="1"/>
  <c r="Q99" i="6"/>
  <c r="R99" i="6"/>
  <c r="S99" i="6"/>
  <c r="S96" i="6" s="1"/>
  <c r="Q100" i="6"/>
  <c r="T100" i="6" s="1"/>
  <c r="R100" i="6"/>
  <c r="U100" i="6" s="1"/>
  <c r="S100" i="6"/>
  <c r="O101" i="6"/>
  <c r="P101" i="6"/>
  <c r="T101" i="6"/>
  <c r="U101" i="6"/>
  <c r="L102" i="6"/>
  <c r="M102" i="6"/>
  <c r="M100" i="6" s="1"/>
  <c r="P100" i="6" s="1"/>
  <c r="N102" i="6"/>
  <c r="N100" i="6" s="1"/>
  <c r="T102" i="6"/>
  <c r="U102" i="6"/>
  <c r="I108" i="6"/>
  <c r="K108" i="6" s="1"/>
  <c r="I109" i="6"/>
  <c r="I93" i="6" s="1"/>
  <c r="I113" i="6"/>
  <c r="K113" i="6" s="1"/>
  <c r="I114" i="6"/>
  <c r="K114" i="6" s="1"/>
  <c r="J116" i="6"/>
  <c r="L118" i="6"/>
  <c r="M118" i="6"/>
  <c r="N118" i="6"/>
  <c r="Q118" i="6"/>
  <c r="R118" i="6"/>
  <c r="S118" i="6"/>
  <c r="O121" i="6"/>
  <c r="P121" i="6"/>
  <c r="T121" i="6"/>
  <c r="U121" i="6"/>
  <c r="L122" i="6"/>
  <c r="O122" i="6" s="1"/>
  <c r="M122" i="6"/>
  <c r="N122" i="6"/>
  <c r="N120" i="6" s="1"/>
  <c r="Q122" i="6"/>
  <c r="R122" i="6"/>
  <c r="S122" i="6"/>
  <c r="S119" i="6" s="1"/>
  <c r="Q123" i="6"/>
  <c r="T123" i="6" s="1"/>
  <c r="R123" i="6"/>
  <c r="U123" i="6" s="1"/>
  <c r="S123" i="6"/>
  <c r="O124" i="6"/>
  <c r="P124" i="6"/>
  <c r="T124" i="6"/>
  <c r="U124" i="6"/>
  <c r="L125" i="6"/>
  <c r="L123" i="6" s="1"/>
  <c r="O123" i="6" s="1"/>
  <c r="M125" i="6"/>
  <c r="N125" i="6"/>
  <c r="T125" i="6"/>
  <c r="U125" i="6"/>
  <c r="I127" i="6"/>
  <c r="I116" i="6" s="1"/>
  <c r="K116" i="6" s="1"/>
  <c r="I128" i="6"/>
  <c r="K128" i="6" s="1"/>
  <c r="I129" i="6"/>
  <c r="K129" i="6" s="1"/>
  <c r="I130" i="6"/>
  <c r="K130" i="6" s="1"/>
  <c r="J136" i="6"/>
  <c r="J137" i="6"/>
  <c r="J138" i="6"/>
  <c r="L140" i="6"/>
  <c r="O140" i="6" s="1"/>
  <c r="M140" i="6"/>
  <c r="P140" i="6" s="1"/>
  <c r="N140" i="6"/>
  <c r="Q140" i="6"/>
  <c r="R140" i="6"/>
  <c r="U140" i="6" s="1"/>
  <c r="S140" i="6"/>
  <c r="O143" i="6"/>
  <c r="P143" i="6"/>
  <c r="T143" i="6"/>
  <c r="U143" i="6"/>
  <c r="L144" i="6"/>
  <c r="M144" i="6"/>
  <c r="M142" i="6" s="1"/>
  <c r="N144" i="6"/>
  <c r="N142" i="6" s="1"/>
  <c r="Q144" i="6"/>
  <c r="Q141" i="6" s="1"/>
  <c r="T141" i="6" s="1"/>
  <c r="R144" i="6"/>
  <c r="R142" i="6" s="1"/>
  <c r="U142" i="6" s="1"/>
  <c r="S144" i="6"/>
  <c r="S141" i="6" s="1"/>
  <c r="Q145" i="6"/>
  <c r="R145" i="6"/>
  <c r="S145" i="6"/>
  <c r="T145" i="6"/>
  <c r="U145" i="6"/>
  <c r="O146" i="6"/>
  <c r="P146" i="6"/>
  <c r="T146" i="6"/>
  <c r="U146" i="6"/>
  <c r="L147" i="6"/>
  <c r="M147" i="6"/>
  <c r="P147" i="6" s="1"/>
  <c r="N147" i="6"/>
  <c r="N145" i="6" s="1"/>
  <c r="T147" i="6"/>
  <c r="U147" i="6"/>
  <c r="I150" i="6"/>
  <c r="K150" i="6" s="1"/>
  <c r="I151" i="6"/>
  <c r="K151" i="6" s="1"/>
  <c r="I152" i="6"/>
  <c r="I137" i="6" s="1"/>
  <c r="K137" i="6" s="1"/>
  <c r="I153" i="6"/>
  <c r="I138" i="6" s="1"/>
  <c r="K138" i="6" s="1"/>
  <c r="I154" i="6"/>
  <c r="J156" i="6"/>
  <c r="L158" i="6"/>
  <c r="M158" i="6"/>
  <c r="P158" i="6" s="1"/>
  <c r="N158" i="6"/>
  <c r="Q158" i="6"/>
  <c r="T158" i="6" s="1"/>
  <c r="R158" i="6"/>
  <c r="S158" i="6"/>
  <c r="O161" i="6"/>
  <c r="P161" i="6"/>
  <c r="T161" i="6"/>
  <c r="U161" i="6"/>
  <c r="L162" i="6"/>
  <c r="L160" i="6" s="1"/>
  <c r="M162" i="6"/>
  <c r="N162" i="6"/>
  <c r="N160" i="6" s="1"/>
  <c r="Q162" i="6"/>
  <c r="Q159" i="6" s="1"/>
  <c r="T159" i="6" s="1"/>
  <c r="R162" i="6"/>
  <c r="S162" i="6"/>
  <c r="S159" i="6" s="1"/>
  <c r="Q163" i="6"/>
  <c r="T163" i="6" s="1"/>
  <c r="R163" i="6"/>
  <c r="U163" i="6" s="1"/>
  <c r="S163" i="6"/>
  <c r="O164" i="6"/>
  <c r="P164" i="6"/>
  <c r="T164" i="6"/>
  <c r="U164" i="6"/>
  <c r="L165" i="6"/>
  <c r="L163" i="6" s="1"/>
  <c r="O163" i="6" s="1"/>
  <c r="M165" i="6"/>
  <c r="P165" i="6" s="1"/>
  <c r="N165" i="6"/>
  <c r="T165" i="6"/>
  <c r="U165" i="6"/>
  <c r="I167" i="6"/>
  <c r="J172" i="6"/>
  <c r="L174" i="6"/>
  <c r="M174" i="6"/>
  <c r="P174" i="6" s="1"/>
  <c r="N174" i="6"/>
  <c r="O174" i="6"/>
  <c r="Q174" i="6"/>
  <c r="R174" i="6"/>
  <c r="S174" i="6"/>
  <c r="U174" i="6"/>
  <c r="O177" i="6"/>
  <c r="P177" i="6"/>
  <c r="T177" i="6"/>
  <c r="U177" i="6"/>
  <c r="L178" i="6"/>
  <c r="M178" i="6"/>
  <c r="N178" i="6"/>
  <c r="N176" i="6" s="1"/>
  <c r="Q178" i="6"/>
  <c r="Q175" i="6" s="1"/>
  <c r="T175" i="6" s="1"/>
  <c r="R178" i="6"/>
  <c r="R176" i="6" s="1"/>
  <c r="U176" i="6" s="1"/>
  <c r="S178" i="6"/>
  <c r="Q179" i="6"/>
  <c r="T179" i="6" s="1"/>
  <c r="R179" i="6"/>
  <c r="U179" i="6" s="1"/>
  <c r="S179" i="6"/>
  <c r="O180" i="6"/>
  <c r="P180" i="6"/>
  <c r="T180" i="6"/>
  <c r="U180" i="6"/>
  <c r="L181" i="6"/>
  <c r="L179" i="6" s="1"/>
  <c r="O179" i="6" s="1"/>
  <c r="M181" i="6"/>
  <c r="M179" i="6" s="1"/>
  <c r="P179" i="6" s="1"/>
  <c r="N181" i="6"/>
  <c r="N179" i="6" s="1"/>
  <c r="T181" i="6"/>
  <c r="U181" i="6"/>
  <c r="I183" i="6"/>
  <c r="I172" i="6" s="1"/>
  <c r="K172" i="6" s="1"/>
  <c r="K184" i="6"/>
  <c r="L187" i="6"/>
  <c r="O187" i="6" s="1"/>
  <c r="M187" i="6"/>
  <c r="P187" i="6" s="1"/>
  <c r="N187" i="6"/>
  <c r="Q187" i="6"/>
  <c r="R187" i="6"/>
  <c r="U187" i="6" s="1"/>
  <c r="S187" i="6"/>
  <c r="O190" i="6"/>
  <c r="P190" i="6"/>
  <c r="T190" i="6"/>
  <c r="U190" i="6"/>
  <c r="L191" i="6"/>
  <c r="M191" i="6"/>
  <c r="N191" i="6"/>
  <c r="Q191" i="6"/>
  <c r="R191" i="6"/>
  <c r="R188" i="6" s="1"/>
  <c r="S191" i="6"/>
  <c r="Q192" i="6"/>
  <c r="R192" i="6"/>
  <c r="U192" i="6" s="1"/>
  <c r="S192" i="6"/>
  <c r="T192" i="6"/>
  <c r="O193" i="6"/>
  <c r="P193" i="6"/>
  <c r="T193" i="6"/>
  <c r="U193" i="6"/>
  <c r="L194" i="6"/>
  <c r="M194" i="6"/>
  <c r="N194" i="6"/>
  <c r="N192" i="6" s="1"/>
  <c r="T194" i="6"/>
  <c r="U194" i="6"/>
  <c r="J195" i="6"/>
  <c r="L196" i="6"/>
  <c r="O196" i="6" s="1"/>
  <c r="P196" i="6"/>
  <c r="I198" i="6"/>
  <c r="K198" i="6" s="1"/>
  <c r="J199" i="6"/>
  <c r="J202" i="6"/>
  <c r="N203" i="6"/>
  <c r="P203" i="6"/>
  <c r="S203" i="6"/>
  <c r="U203" i="6"/>
  <c r="L204" i="6"/>
  <c r="L205" i="6"/>
  <c r="L206" i="6"/>
  <c r="Q206" i="6"/>
  <c r="Q203" i="6" s="1"/>
  <c r="T203" i="6" s="1"/>
  <c r="L207" i="6"/>
  <c r="I209" i="6"/>
  <c r="K209" i="6" s="1"/>
  <c r="I211" i="6"/>
  <c r="K211" i="6" s="1"/>
  <c r="I212" i="6"/>
  <c r="K212" i="6" s="1"/>
  <c r="J213" i="6"/>
  <c r="N214" i="6"/>
  <c r="P214" i="6"/>
  <c r="S214" i="6"/>
  <c r="U214" i="6"/>
  <c r="L215" i="6"/>
  <c r="L216" i="6"/>
  <c r="L217" i="6"/>
  <c r="Q217" i="6"/>
  <c r="Q214" i="6" s="1"/>
  <c r="T214" i="6" s="1"/>
  <c r="I219" i="6"/>
  <c r="K219" i="6" s="1"/>
  <c r="I220" i="6"/>
  <c r="J221" i="6"/>
  <c r="N222" i="6"/>
  <c r="P222" i="6"/>
  <c r="L223" i="6"/>
  <c r="L224" i="6"/>
  <c r="L225" i="6"/>
  <c r="I228" i="6"/>
  <c r="K228" i="6" s="1"/>
  <c r="I229" i="6"/>
  <c r="I221" i="6" s="1"/>
  <c r="I230" i="6"/>
  <c r="K230" i="6" s="1"/>
  <c r="N233" i="6"/>
  <c r="N234" i="6"/>
  <c r="N235" i="6"/>
  <c r="N236" i="6"/>
  <c r="J238" i="6"/>
  <c r="I240" i="6"/>
  <c r="K240" i="6" s="1"/>
  <c r="J240" i="6"/>
  <c r="I241" i="6"/>
  <c r="K241" i="6" s="1"/>
  <c r="J241" i="6"/>
  <c r="J242" i="6"/>
  <c r="J231" i="6" s="1"/>
  <c r="J185" i="6" s="1"/>
  <c r="N243" i="6"/>
  <c r="P243" i="6"/>
  <c r="L244" i="6"/>
  <c r="L245" i="6"/>
  <c r="L246" i="6"/>
  <c r="L247" i="6"/>
  <c r="I249" i="6"/>
  <c r="K249" i="6" s="1"/>
  <c r="K251" i="6"/>
  <c r="K252" i="6"/>
  <c r="J253" i="6"/>
  <c r="N254" i="6"/>
  <c r="N232" i="6" s="1"/>
  <c r="P254" i="6"/>
  <c r="L255" i="6"/>
  <c r="L256" i="6"/>
  <c r="L257" i="6"/>
  <c r="L258" i="6"/>
  <c r="I260" i="6"/>
  <c r="K262" i="6"/>
  <c r="K263" i="6"/>
  <c r="J265" i="6"/>
  <c r="L267" i="6"/>
  <c r="M267" i="6"/>
  <c r="N267" i="6"/>
  <c r="Q267" i="6"/>
  <c r="T267" i="6" s="1"/>
  <c r="R267" i="6"/>
  <c r="S267" i="6"/>
  <c r="O270" i="6"/>
  <c r="P270" i="6"/>
  <c r="T270" i="6"/>
  <c r="U270" i="6"/>
  <c r="L271" i="6"/>
  <c r="O271" i="6" s="1"/>
  <c r="M271" i="6"/>
  <c r="N271" i="6"/>
  <c r="N269" i="6" s="1"/>
  <c r="Q271" i="6"/>
  <c r="Q268" i="6" s="1"/>
  <c r="Q266" i="6" s="1"/>
  <c r="R271" i="6"/>
  <c r="R268" i="6" s="1"/>
  <c r="S271" i="6"/>
  <c r="S269" i="6" s="1"/>
  <c r="Q272" i="6"/>
  <c r="T272" i="6" s="1"/>
  <c r="R272" i="6"/>
  <c r="S272" i="6"/>
  <c r="U272" i="6"/>
  <c r="O273" i="6"/>
  <c r="P273" i="6"/>
  <c r="T273" i="6"/>
  <c r="U273" i="6"/>
  <c r="L274" i="6"/>
  <c r="L272" i="6" s="1"/>
  <c r="O272" i="6" s="1"/>
  <c r="M274" i="6"/>
  <c r="P274" i="6" s="1"/>
  <c r="N274" i="6"/>
  <c r="N272" i="6" s="1"/>
  <c r="T274" i="6"/>
  <c r="U274" i="6"/>
  <c r="I276" i="6"/>
  <c r="I265" i="6" s="1"/>
  <c r="K265" i="6" s="1"/>
  <c r="J281" i="6"/>
  <c r="L283" i="6"/>
  <c r="O283" i="6" s="1"/>
  <c r="M283" i="6"/>
  <c r="N283" i="6"/>
  <c r="Q283" i="6"/>
  <c r="R283" i="6"/>
  <c r="U283" i="6" s="1"/>
  <c r="S283" i="6"/>
  <c r="S282" i="6" s="1"/>
  <c r="T283" i="6"/>
  <c r="Q284" i="6"/>
  <c r="T284" i="6" s="1"/>
  <c r="R284" i="6"/>
  <c r="R282" i="6" s="1"/>
  <c r="U282" i="6" s="1"/>
  <c r="S284" i="6"/>
  <c r="U284" i="6"/>
  <c r="Q285" i="6"/>
  <c r="T285" i="6" s="1"/>
  <c r="R285" i="6"/>
  <c r="U285" i="6" s="1"/>
  <c r="S285" i="6"/>
  <c r="O286" i="6"/>
  <c r="P286" i="6"/>
  <c r="T286" i="6"/>
  <c r="U286" i="6"/>
  <c r="L287" i="6"/>
  <c r="M287" i="6"/>
  <c r="M285" i="6" s="1"/>
  <c r="N287" i="6"/>
  <c r="N285" i="6" s="1"/>
  <c r="T287" i="6"/>
  <c r="U287" i="6"/>
  <c r="Q288" i="6"/>
  <c r="T288" i="6" s="1"/>
  <c r="R288" i="6"/>
  <c r="U288" i="6" s="1"/>
  <c r="S288" i="6"/>
  <c r="O289" i="6"/>
  <c r="P289" i="6"/>
  <c r="T289" i="6"/>
  <c r="U289" i="6"/>
  <c r="L290" i="6"/>
  <c r="M290" i="6"/>
  <c r="N290" i="6"/>
  <c r="N288" i="6" s="1"/>
  <c r="T290" i="6"/>
  <c r="U290" i="6"/>
  <c r="I292" i="6"/>
  <c r="I293" i="6"/>
  <c r="K293" i="6" s="1"/>
  <c r="J293" i="6"/>
  <c r="J280" i="6" s="1"/>
  <c r="I295" i="6"/>
  <c r="K295" i="6" s="1"/>
  <c r="I296" i="6"/>
  <c r="K296" i="6" s="1"/>
  <c r="J302" i="6"/>
  <c r="L304" i="6"/>
  <c r="O304" i="6" s="1"/>
  <c r="M304" i="6"/>
  <c r="N304" i="6"/>
  <c r="Q304" i="6"/>
  <c r="R304" i="6"/>
  <c r="U304" i="6" s="1"/>
  <c r="S304" i="6"/>
  <c r="T304" i="6"/>
  <c r="O307" i="6"/>
  <c r="P307" i="6"/>
  <c r="T307" i="6"/>
  <c r="U307" i="6"/>
  <c r="L308" i="6"/>
  <c r="M308" i="6"/>
  <c r="M306" i="6" s="1"/>
  <c r="N308" i="6"/>
  <c r="N306" i="6" s="1"/>
  <c r="Q308" i="6"/>
  <c r="Q305" i="6" s="1"/>
  <c r="R308" i="6"/>
  <c r="R305" i="6" s="1"/>
  <c r="S308" i="6"/>
  <c r="S305" i="6" s="1"/>
  <c r="Q309" i="6"/>
  <c r="T309" i="6" s="1"/>
  <c r="R309" i="6"/>
  <c r="U309" i="6" s="1"/>
  <c r="S309" i="6"/>
  <c r="O310" i="6"/>
  <c r="P310" i="6"/>
  <c r="T310" i="6"/>
  <c r="U310" i="6"/>
  <c r="L311" i="6"/>
  <c r="O311" i="6" s="1"/>
  <c r="M311" i="6"/>
  <c r="N311" i="6"/>
  <c r="N309" i="6" s="1"/>
  <c r="T311" i="6"/>
  <c r="U311" i="6"/>
  <c r="I314" i="6"/>
  <c r="I302" i="6" s="1"/>
  <c r="K302" i="6" s="1"/>
  <c r="J319" i="6"/>
  <c r="L321" i="6"/>
  <c r="M321" i="6"/>
  <c r="N321" i="6"/>
  <c r="P321" i="6"/>
  <c r="Q321" i="6"/>
  <c r="R321" i="6"/>
  <c r="S321" i="6"/>
  <c r="Q322" i="6"/>
  <c r="T322" i="6" s="1"/>
  <c r="R322" i="6"/>
  <c r="U322" i="6" s="1"/>
  <c r="S322" i="6"/>
  <c r="Q323" i="6"/>
  <c r="R323" i="6"/>
  <c r="U323" i="6" s="1"/>
  <c r="S323" i="6"/>
  <c r="T323" i="6"/>
  <c r="O324" i="6"/>
  <c r="P324" i="6"/>
  <c r="T324" i="6"/>
  <c r="U324" i="6"/>
  <c r="L325" i="6"/>
  <c r="M325" i="6"/>
  <c r="N325" i="6"/>
  <c r="N323" i="6" s="1"/>
  <c r="T325" i="6"/>
  <c r="U325" i="6"/>
  <c r="Q326" i="6"/>
  <c r="T326" i="6" s="1"/>
  <c r="R326" i="6"/>
  <c r="U326" i="6" s="1"/>
  <c r="S326" i="6"/>
  <c r="O327" i="6"/>
  <c r="P327" i="6"/>
  <c r="T327" i="6"/>
  <c r="U327" i="6"/>
  <c r="L328" i="6"/>
  <c r="O328" i="6" s="1"/>
  <c r="M328" i="6"/>
  <c r="M326" i="6" s="1"/>
  <c r="P326" i="6" s="1"/>
  <c r="N328" i="6"/>
  <c r="N326" i="6" s="1"/>
  <c r="T328" i="6"/>
  <c r="U328" i="6"/>
  <c r="I330" i="6"/>
  <c r="K330" i="6" s="1"/>
  <c r="Q333" i="6"/>
  <c r="T333" i="6" s="1"/>
  <c r="L334" i="6"/>
  <c r="M334" i="6"/>
  <c r="N334" i="6"/>
  <c r="Q334" i="6"/>
  <c r="T334" i="6" s="1"/>
  <c r="R334" i="6"/>
  <c r="S334" i="6"/>
  <c r="S333" i="6" s="1"/>
  <c r="Q335" i="6"/>
  <c r="R335" i="6"/>
  <c r="S335" i="6"/>
  <c r="T335" i="6"/>
  <c r="U335" i="6"/>
  <c r="Q336" i="6"/>
  <c r="T336" i="6" s="1"/>
  <c r="R336" i="6"/>
  <c r="S336" i="6"/>
  <c r="U336" i="6"/>
  <c r="O337" i="6"/>
  <c r="P337" i="6"/>
  <c r="T337" i="6"/>
  <c r="U337" i="6"/>
  <c r="L338" i="6"/>
  <c r="L336" i="6" s="1"/>
  <c r="M338" i="6"/>
  <c r="N338" i="6"/>
  <c r="T338" i="6"/>
  <c r="U338" i="6"/>
  <c r="Q339" i="6"/>
  <c r="T339" i="6" s="1"/>
  <c r="R339" i="6"/>
  <c r="U339" i="6" s="1"/>
  <c r="S339" i="6"/>
  <c r="O340" i="6"/>
  <c r="P340" i="6"/>
  <c r="T340" i="6"/>
  <c r="U340" i="6"/>
  <c r="L341" i="6"/>
  <c r="M341" i="6"/>
  <c r="N341" i="6"/>
  <c r="N339" i="6" s="1"/>
  <c r="T341" i="6"/>
  <c r="U341" i="6"/>
  <c r="I344" i="6"/>
  <c r="J344" i="6"/>
  <c r="I346" i="6"/>
  <c r="J346" i="6"/>
  <c r="J347" i="6"/>
  <c r="J348" i="6"/>
  <c r="J349" i="6"/>
  <c r="D350" i="6"/>
  <c r="J352" i="6"/>
  <c r="J353" i="6"/>
  <c r="D354" i="6"/>
  <c r="L357" i="6"/>
  <c r="M357" i="6"/>
  <c r="N357" i="6"/>
  <c r="P357" i="6"/>
  <c r="Q357" i="6"/>
  <c r="T357" i="6" s="1"/>
  <c r="R357" i="6"/>
  <c r="S357" i="6"/>
  <c r="Q358" i="6"/>
  <c r="T358" i="6" s="1"/>
  <c r="R358" i="6"/>
  <c r="U358" i="6" s="1"/>
  <c r="S358" i="6"/>
  <c r="S356" i="6" s="1"/>
  <c r="Q359" i="6"/>
  <c r="R359" i="6"/>
  <c r="S359" i="6"/>
  <c r="T359" i="6"/>
  <c r="U359" i="6"/>
  <c r="O360" i="6"/>
  <c r="P360" i="6"/>
  <c r="T360" i="6"/>
  <c r="U360" i="6"/>
  <c r="L361" i="6"/>
  <c r="M361" i="6"/>
  <c r="M359" i="6" s="1"/>
  <c r="N361" i="6"/>
  <c r="N359" i="6" s="1"/>
  <c r="T361" i="6"/>
  <c r="U361" i="6"/>
  <c r="Q362" i="6"/>
  <c r="T362" i="6" s="1"/>
  <c r="R362" i="6"/>
  <c r="S362" i="6"/>
  <c r="U362" i="6"/>
  <c r="O363" i="6"/>
  <c r="P363" i="6"/>
  <c r="T363" i="6"/>
  <c r="U363" i="6"/>
  <c r="L364" i="6"/>
  <c r="L362" i="6" s="1"/>
  <c r="O362" i="6" s="1"/>
  <c r="M364" i="6"/>
  <c r="P364" i="6" s="1"/>
  <c r="N364" i="6"/>
  <c r="N362" i="6" s="1"/>
  <c r="T364" i="6"/>
  <c r="U364" i="6"/>
  <c r="J367" i="6"/>
  <c r="K367" i="6"/>
  <c r="I368" i="6"/>
  <c r="J368" i="6"/>
  <c r="I369" i="6"/>
  <c r="J369" i="6"/>
  <c r="J370" i="6"/>
  <c r="K370" i="6"/>
  <c r="I371" i="6"/>
  <c r="J371" i="6"/>
  <c r="J365" i="6" s="1"/>
  <c r="J372" i="6"/>
  <c r="K372" i="6"/>
  <c r="D373" i="6"/>
  <c r="L376" i="6"/>
  <c r="O376" i="6" s="1"/>
  <c r="M376" i="6"/>
  <c r="M375" i="6" s="1"/>
  <c r="P375" i="6" s="1"/>
  <c r="N376" i="6"/>
  <c r="Q376" i="6"/>
  <c r="T376" i="6" s="1"/>
  <c r="R376" i="6"/>
  <c r="U376" i="6" s="1"/>
  <c r="S376" i="6"/>
  <c r="L377" i="6"/>
  <c r="M377" i="6"/>
  <c r="N377" i="6"/>
  <c r="N375" i="6" s="1"/>
  <c r="O377" i="6"/>
  <c r="P377" i="6"/>
  <c r="L378" i="6"/>
  <c r="O378" i="6" s="1"/>
  <c r="M378" i="6"/>
  <c r="N378" i="6"/>
  <c r="P378" i="6"/>
  <c r="O379" i="6"/>
  <c r="P379" i="6"/>
  <c r="T379" i="6"/>
  <c r="U379" i="6"/>
  <c r="O380" i="6"/>
  <c r="P380" i="6"/>
  <c r="Q380" i="6"/>
  <c r="Q378" i="6" s="1"/>
  <c r="R380" i="6"/>
  <c r="S380" i="6"/>
  <c r="L381" i="6"/>
  <c r="M381" i="6"/>
  <c r="P381" i="6" s="1"/>
  <c r="N381" i="6"/>
  <c r="O381" i="6"/>
  <c r="Q381" i="6"/>
  <c r="T381" i="6" s="1"/>
  <c r="R381" i="6"/>
  <c r="U381" i="6" s="1"/>
  <c r="S381" i="6"/>
  <c r="O382" i="6"/>
  <c r="P382" i="6"/>
  <c r="T382" i="6"/>
  <c r="U382" i="6"/>
  <c r="O383" i="6"/>
  <c r="P383" i="6"/>
  <c r="T383" i="6"/>
  <c r="U383" i="6"/>
  <c r="J385" i="6"/>
  <c r="K385" i="6"/>
  <c r="I386" i="6"/>
  <c r="J386" i="6"/>
  <c r="J387" i="6"/>
  <c r="K387" i="6"/>
  <c r="I388" i="6"/>
  <c r="K388" i="6" s="1"/>
  <c r="J388" i="6"/>
  <c r="I391" i="6"/>
  <c r="J391" i="6"/>
  <c r="K391" i="6"/>
  <c r="L393" i="6"/>
  <c r="M393" i="6"/>
  <c r="M392" i="6" s="1"/>
  <c r="P392" i="6" s="1"/>
  <c r="N393" i="6"/>
  <c r="P393" i="6"/>
  <c r="Q393" i="6"/>
  <c r="R393" i="6"/>
  <c r="S393" i="6"/>
  <c r="T393" i="6"/>
  <c r="L394" i="6"/>
  <c r="O394" i="6" s="1"/>
  <c r="M394" i="6"/>
  <c r="P394" i="6" s="1"/>
  <c r="N394" i="6"/>
  <c r="Q394" i="6"/>
  <c r="Q392" i="6" s="1"/>
  <c r="T392" i="6" s="1"/>
  <c r="R394" i="6"/>
  <c r="U394" i="6" s="1"/>
  <c r="S394" i="6"/>
  <c r="T394" i="6"/>
  <c r="L395" i="6"/>
  <c r="O395" i="6" s="1"/>
  <c r="M395" i="6"/>
  <c r="P395" i="6" s="1"/>
  <c r="N395" i="6"/>
  <c r="Q395" i="6"/>
  <c r="R395" i="6"/>
  <c r="U395" i="6" s="1"/>
  <c r="S395" i="6"/>
  <c r="T395" i="6"/>
  <c r="O396" i="6"/>
  <c r="P396" i="6"/>
  <c r="T396" i="6"/>
  <c r="U396" i="6"/>
  <c r="O397" i="6"/>
  <c r="P397" i="6"/>
  <c r="T397" i="6"/>
  <c r="U397" i="6"/>
  <c r="L398" i="6"/>
  <c r="O398" i="6" s="1"/>
  <c r="M398" i="6"/>
  <c r="P398" i="6" s="1"/>
  <c r="N398" i="6"/>
  <c r="Q398" i="6"/>
  <c r="T398" i="6" s="1"/>
  <c r="R398" i="6"/>
  <c r="U398" i="6" s="1"/>
  <c r="S398" i="6"/>
  <c r="O399" i="6"/>
  <c r="P399" i="6"/>
  <c r="T399" i="6"/>
  <c r="U399" i="6"/>
  <c r="O400" i="6"/>
  <c r="P400" i="6"/>
  <c r="T400" i="6"/>
  <c r="U400" i="6"/>
  <c r="L414" i="6"/>
  <c r="M414" i="6"/>
  <c r="N414" i="6"/>
  <c r="O414" i="6"/>
  <c r="Q414" i="6"/>
  <c r="T414" i="6" s="1"/>
  <c r="R414" i="6"/>
  <c r="S414" i="6"/>
  <c r="L415" i="6"/>
  <c r="O415" i="6" s="1"/>
  <c r="M415" i="6"/>
  <c r="P415" i="6" s="1"/>
  <c r="N415" i="6"/>
  <c r="L416" i="6"/>
  <c r="O416" i="6" s="1"/>
  <c r="M416" i="6"/>
  <c r="P416" i="6" s="1"/>
  <c r="N416" i="6"/>
  <c r="O417" i="6"/>
  <c r="P417" i="6"/>
  <c r="T417" i="6"/>
  <c r="U417" i="6"/>
  <c r="O418" i="6"/>
  <c r="P418" i="6"/>
  <c r="Q418" i="6"/>
  <c r="Q415" i="6" s="1"/>
  <c r="T415" i="6" s="1"/>
  <c r="R418" i="6"/>
  <c r="S418" i="6"/>
  <c r="S416" i="6" s="1"/>
  <c r="L419" i="6"/>
  <c r="O419" i="6" s="1"/>
  <c r="M419" i="6"/>
  <c r="P419" i="6" s="1"/>
  <c r="N419" i="6"/>
  <c r="Q419" i="6"/>
  <c r="T419" i="6" s="1"/>
  <c r="R419" i="6"/>
  <c r="U419" i="6" s="1"/>
  <c r="S419" i="6"/>
  <c r="O420" i="6"/>
  <c r="P420" i="6"/>
  <c r="T420" i="6"/>
  <c r="U420" i="6"/>
  <c r="O421" i="6"/>
  <c r="P421" i="6"/>
  <c r="T421" i="6"/>
  <c r="U421" i="6"/>
  <c r="I424" i="6"/>
  <c r="K424" i="6" s="1"/>
  <c r="J424" i="6"/>
  <c r="I425" i="6"/>
  <c r="K425" i="6" s="1"/>
  <c r="J425" i="6"/>
  <c r="I432" i="6"/>
  <c r="K432" i="6" s="1"/>
  <c r="J432" i="6"/>
  <c r="I433" i="6"/>
  <c r="K433" i="6" s="1"/>
  <c r="J433" i="6"/>
  <c r="I440" i="6"/>
  <c r="I423" i="6" s="1"/>
  <c r="I441" i="6"/>
  <c r="K441" i="6" s="1"/>
  <c r="J441" i="6"/>
  <c r="J446" i="6"/>
  <c r="J440" i="6" s="1"/>
  <c r="J423" i="6" s="1"/>
  <c r="J412" i="6" s="1"/>
  <c r="J447" i="6"/>
  <c r="I457" i="6"/>
  <c r="K457" i="6" s="1"/>
  <c r="I458" i="6"/>
  <c r="K458" i="6" s="1"/>
  <c r="J459" i="6"/>
  <c r="J460" i="6"/>
  <c r="J458" i="6" s="1"/>
  <c r="J467" i="6"/>
  <c r="J468" i="6"/>
  <c r="J475" i="6"/>
  <c r="K475" i="6"/>
  <c r="J476" i="6"/>
  <c r="K476" i="6"/>
  <c r="J477" i="6"/>
  <c r="K477" i="6"/>
  <c r="J482" i="6"/>
  <c r="J483" i="6"/>
  <c r="I484" i="6"/>
  <c r="K484" i="6" s="1"/>
  <c r="J484" i="6"/>
  <c r="I485" i="6"/>
  <c r="K485" i="6" s="1"/>
  <c r="J485" i="6"/>
  <c r="N493" i="6"/>
  <c r="L494" i="6"/>
  <c r="M494" i="6"/>
  <c r="N494" i="6"/>
  <c r="Q494" i="6"/>
  <c r="T494" i="6" s="1"/>
  <c r="R494" i="6"/>
  <c r="S494" i="6"/>
  <c r="L495" i="6"/>
  <c r="O495" i="6" s="1"/>
  <c r="M495" i="6"/>
  <c r="P495" i="6" s="1"/>
  <c r="N495" i="6"/>
  <c r="L496" i="6"/>
  <c r="O496" i="6" s="1"/>
  <c r="M496" i="6"/>
  <c r="P496" i="6" s="1"/>
  <c r="N496" i="6"/>
  <c r="O497" i="6"/>
  <c r="P497" i="6"/>
  <c r="T497" i="6"/>
  <c r="U497" i="6"/>
  <c r="O498" i="6"/>
  <c r="P498" i="6"/>
  <c r="Q498" i="6"/>
  <c r="R498" i="6"/>
  <c r="S498" i="6"/>
  <c r="S496" i="6" s="1"/>
  <c r="L499" i="6"/>
  <c r="O499" i="6" s="1"/>
  <c r="M499" i="6"/>
  <c r="P499" i="6" s="1"/>
  <c r="N499" i="6"/>
  <c r="Q499" i="6"/>
  <c r="T499" i="6" s="1"/>
  <c r="R499" i="6"/>
  <c r="U499" i="6" s="1"/>
  <c r="S499" i="6"/>
  <c r="O500" i="6"/>
  <c r="P500" i="6"/>
  <c r="T500" i="6"/>
  <c r="U500" i="6"/>
  <c r="O501" i="6"/>
  <c r="P501" i="6"/>
  <c r="T501" i="6"/>
  <c r="U501" i="6"/>
  <c r="I503" i="6"/>
  <c r="I504" i="6"/>
  <c r="I505" i="6"/>
  <c r="K505" i="6" s="1"/>
  <c r="I506" i="6"/>
  <c r="K506" i="6" s="1"/>
  <c r="I507" i="6"/>
  <c r="K507" i="6" s="1"/>
  <c r="K508" i="6"/>
  <c r="I509" i="6"/>
  <c r="K509" i="6" s="1"/>
  <c r="I512" i="6"/>
  <c r="K512" i="6" s="1"/>
  <c r="J512" i="6"/>
  <c r="L514" i="6"/>
  <c r="O514" i="6" s="1"/>
  <c r="M514" i="6"/>
  <c r="N514" i="6"/>
  <c r="Q514" i="6"/>
  <c r="Q513" i="6" s="1"/>
  <c r="T513" i="6" s="1"/>
  <c r="R514" i="6"/>
  <c r="S514" i="6"/>
  <c r="S513" i="6" s="1"/>
  <c r="U514" i="6"/>
  <c r="Q515" i="6"/>
  <c r="T515" i="6" s="1"/>
  <c r="R515" i="6"/>
  <c r="R513" i="6" s="1"/>
  <c r="U513" i="6" s="1"/>
  <c r="S515" i="6"/>
  <c r="U515" i="6"/>
  <c r="Q516" i="6"/>
  <c r="R516" i="6"/>
  <c r="U516" i="6" s="1"/>
  <c r="S516" i="6"/>
  <c r="T516" i="6"/>
  <c r="O517" i="6"/>
  <c r="P517" i="6"/>
  <c r="T517" i="6"/>
  <c r="U517" i="6"/>
  <c r="L518" i="6"/>
  <c r="L516" i="6" s="1"/>
  <c r="O516" i="6" s="1"/>
  <c r="M518" i="6"/>
  <c r="N518" i="6"/>
  <c r="N516" i="6" s="1"/>
  <c r="T518" i="6"/>
  <c r="U518" i="6"/>
  <c r="Q519" i="6"/>
  <c r="T519" i="6" s="1"/>
  <c r="R519" i="6"/>
  <c r="U519" i="6" s="1"/>
  <c r="S519" i="6"/>
  <c r="O520" i="6"/>
  <c r="P520" i="6"/>
  <c r="T520" i="6"/>
  <c r="U520" i="6"/>
  <c r="L521" i="6"/>
  <c r="L519" i="6" s="1"/>
  <c r="O519" i="6" s="1"/>
  <c r="M521" i="6"/>
  <c r="M519" i="6" s="1"/>
  <c r="P519" i="6" s="1"/>
  <c r="N521" i="6"/>
  <c r="N519" i="6" s="1"/>
  <c r="T521" i="6"/>
  <c r="U521" i="6"/>
  <c r="K523" i="6"/>
  <c r="K524" i="6"/>
  <c r="I533" i="6"/>
  <c r="K533" i="6" s="1"/>
  <c r="J533" i="6"/>
  <c r="L535" i="6"/>
  <c r="M535" i="6"/>
  <c r="N535" i="6"/>
  <c r="N534" i="6" s="1"/>
  <c r="P535" i="6"/>
  <c r="Q535" i="6"/>
  <c r="R535" i="6"/>
  <c r="S535" i="6"/>
  <c r="T535" i="6"/>
  <c r="L536" i="6"/>
  <c r="O536" i="6" s="1"/>
  <c r="M536" i="6"/>
  <c r="P536" i="6" s="1"/>
  <c r="N536" i="6"/>
  <c r="Q536" i="6"/>
  <c r="T536" i="6" s="1"/>
  <c r="R536" i="6"/>
  <c r="U536" i="6" s="1"/>
  <c r="S536" i="6"/>
  <c r="L537" i="6"/>
  <c r="O537" i="6" s="1"/>
  <c r="M537" i="6"/>
  <c r="P537" i="6" s="1"/>
  <c r="N537" i="6"/>
  <c r="Q537" i="6"/>
  <c r="R537" i="6"/>
  <c r="U537" i="6" s="1"/>
  <c r="S537" i="6"/>
  <c r="T537" i="6"/>
  <c r="O538" i="6"/>
  <c r="P538" i="6"/>
  <c r="T538" i="6"/>
  <c r="U538" i="6"/>
  <c r="O539" i="6"/>
  <c r="P539" i="6"/>
  <c r="T539" i="6"/>
  <c r="U539" i="6"/>
  <c r="L540" i="6"/>
  <c r="O540" i="6" s="1"/>
  <c r="M540" i="6"/>
  <c r="P540" i="6" s="1"/>
  <c r="N540" i="6"/>
  <c r="Q540" i="6"/>
  <c r="T540" i="6" s="1"/>
  <c r="R540" i="6"/>
  <c r="U540" i="6" s="1"/>
  <c r="S540" i="6"/>
  <c r="O541" i="6"/>
  <c r="P541" i="6"/>
  <c r="T541" i="6"/>
  <c r="U541" i="6"/>
  <c r="O542" i="6"/>
  <c r="P542" i="6"/>
  <c r="T542" i="6"/>
  <c r="U542" i="6"/>
  <c r="I554" i="6"/>
  <c r="K554" i="6" s="1"/>
  <c r="J554" i="6"/>
  <c r="L556" i="6"/>
  <c r="L555" i="6" s="1"/>
  <c r="O555" i="6" s="1"/>
  <c r="M556" i="6"/>
  <c r="P556" i="6" s="1"/>
  <c r="N556" i="6"/>
  <c r="N555" i="6" s="1"/>
  <c r="O556" i="6"/>
  <c r="Q556" i="6"/>
  <c r="R556" i="6"/>
  <c r="R555" i="6" s="1"/>
  <c r="U555" i="6" s="1"/>
  <c r="S556" i="6"/>
  <c r="T556" i="6"/>
  <c r="U556" i="6"/>
  <c r="L557" i="6"/>
  <c r="O557" i="6" s="1"/>
  <c r="M557" i="6"/>
  <c r="N557" i="6"/>
  <c r="P557" i="6"/>
  <c r="Q557" i="6"/>
  <c r="T557" i="6" s="1"/>
  <c r="R557" i="6"/>
  <c r="U557" i="6" s="1"/>
  <c r="S557" i="6"/>
  <c r="S555" i="6" s="1"/>
  <c r="L558" i="6"/>
  <c r="O558" i="6" s="1"/>
  <c r="M558" i="6"/>
  <c r="P558" i="6" s="1"/>
  <c r="N558" i="6"/>
  <c r="Q558" i="6"/>
  <c r="T558" i="6" s="1"/>
  <c r="R558" i="6"/>
  <c r="U558" i="6" s="1"/>
  <c r="S558" i="6"/>
  <c r="O559" i="6"/>
  <c r="P559" i="6"/>
  <c r="T559" i="6"/>
  <c r="U559" i="6"/>
  <c r="O560" i="6"/>
  <c r="P560" i="6"/>
  <c r="T560" i="6"/>
  <c r="U560" i="6"/>
  <c r="L561" i="6"/>
  <c r="O561" i="6" s="1"/>
  <c r="M561" i="6"/>
  <c r="P561" i="6" s="1"/>
  <c r="N561" i="6"/>
  <c r="Q561" i="6"/>
  <c r="T561" i="6" s="1"/>
  <c r="R561" i="6"/>
  <c r="U561" i="6" s="1"/>
  <c r="S561" i="6"/>
  <c r="O562" i="6"/>
  <c r="P562" i="6"/>
  <c r="T562" i="6"/>
  <c r="U562" i="6"/>
  <c r="O563" i="6"/>
  <c r="P563" i="6"/>
  <c r="T563" i="6"/>
  <c r="U563" i="6"/>
  <c r="I575" i="6"/>
  <c r="K575" i="6" s="1"/>
  <c r="J575" i="6"/>
  <c r="M576" i="6"/>
  <c r="P576" i="6" s="1"/>
  <c r="L577" i="6"/>
  <c r="M577" i="6"/>
  <c r="N577" i="6"/>
  <c r="O577" i="6"/>
  <c r="P577" i="6"/>
  <c r="Q577" i="6"/>
  <c r="R577" i="6"/>
  <c r="S577" i="6"/>
  <c r="U577" i="6"/>
  <c r="L578" i="6"/>
  <c r="O578" i="6" s="1"/>
  <c r="M578" i="6"/>
  <c r="P578" i="6" s="1"/>
  <c r="N578" i="6"/>
  <c r="N576" i="6" s="1"/>
  <c r="Q578" i="6"/>
  <c r="R578" i="6"/>
  <c r="U578" i="6" s="1"/>
  <c r="S578" i="6"/>
  <c r="S576" i="6" s="1"/>
  <c r="T578" i="6"/>
  <c r="L579" i="6"/>
  <c r="O579" i="6" s="1"/>
  <c r="M579" i="6"/>
  <c r="N579" i="6"/>
  <c r="P579" i="6"/>
  <c r="Q579" i="6"/>
  <c r="T579" i="6" s="1"/>
  <c r="R579" i="6"/>
  <c r="U579" i="6" s="1"/>
  <c r="S579" i="6"/>
  <c r="O580" i="6"/>
  <c r="P580" i="6"/>
  <c r="T580" i="6"/>
  <c r="U580" i="6"/>
  <c r="O581" i="6"/>
  <c r="P581" i="6"/>
  <c r="T581" i="6"/>
  <c r="U581" i="6"/>
  <c r="L582" i="6"/>
  <c r="O582" i="6" s="1"/>
  <c r="M582" i="6"/>
  <c r="P582" i="6" s="1"/>
  <c r="N582" i="6"/>
  <c r="Q582" i="6"/>
  <c r="T582" i="6" s="1"/>
  <c r="R582" i="6"/>
  <c r="U582" i="6" s="1"/>
  <c r="S582" i="6"/>
  <c r="O583" i="6"/>
  <c r="P583" i="6"/>
  <c r="T583" i="6"/>
  <c r="U583" i="6"/>
  <c r="O584" i="6"/>
  <c r="P584" i="6"/>
  <c r="T584" i="6"/>
  <c r="U584" i="6"/>
  <c r="L600" i="6"/>
  <c r="M600" i="6"/>
  <c r="N600" i="6"/>
  <c r="N599" i="6" s="1"/>
  <c r="P600" i="6"/>
  <c r="Q600" i="6"/>
  <c r="T600" i="6" s="1"/>
  <c r="R600" i="6"/>
  <c r="S600" i="6"/>
  <c r="L601" i="6"/>
  <c r="O601" i="6" s="1"/>
  <c r="M601" i="6"/>
  <c r="P601" i="6" s="1"/>
  <c r="N601" i="6"/>
  <c r="Q601" i="6"/>
  <c r="T601" i="6" s="1"/>
  <c r="R601" i="6"/>
  <c r="U601" i="6" s="1"/>
  <c r="S601" i="6"/>
  <c r="L602" i="6"/>
  <c r="O602" i="6" s="1"/>
  <c r="M602" i="6"/>
  <c r="P602" i="6" s="1"/>
  <c r="N602" i="6"/>
  <c r="Q602" i="6"/>
  <c r="R602" i="6"/>
  <c r="U602" i="6" s="1"/>
  <c r="S602" i="6"/>
  <c r="T602" i="6"/>
  <c r="O603" i="6"/>
  <c r="P603" i="6"/>
  <c r="T603" i="6"/>
  <c r="U603" i="6"/>
  <c r="O604" i="6"/>
  <c r="P604" i="6"/>
  <c r="T604" i="6"/>
  <c r="U604" i="6"/>
  <c r="L605" i="6"/>
  <c r="O605" i="6" s="1"/>
  <c r="M605" i="6"/>
  <c r="P605" i="6" s="1"/>
  <c r="N605" i="6"/>
  <c r="Q605" i="6"/>
  <c r="T605" i="6" s="1"/>
  <c r="R605" i="6"/>
  <c r="U605" i="6" s="1"/>
  <c r="S605" i="6"/>
  <c r="O606" i="6"/>
  <c r="P606" i="6"/>
  <c r="T606" i="6"/>
  <c r="U606" i="6"/>
  <c r="O607" i="6"/>
  <c r="P607" i="6"/>
  <c r="T607" i="6"/>
  <c r="U607" i="6"/>
  <c r="L616" i="6"/>
  <c r="O616" i="6" s="1"/>
  <c r="L617" i="6"/>
  <c r="O617" i="6" s="1"/>
  <c r="M617" i="6"/>
  <c r="P617" i="6" s="1"/>
  <c r="N617" i="6"/>
  <c r="Q617" i="6"/>
  <c r="T617" i="6" s="1"/>
  <c r="R617" i="6"/>
  <c r="U617" i="6" s="1"/>
  <c r="S617" i="6"/>
  <c r="L618" i="6"/>
  <c r="M618" i="6"/>
  <c r="P618" i="6" s="1"/>
  <c r="N618" i="6"/>
  <c r="O618" i="6"/>
  <c r="L619" i="6"/>
  <c r="O619" i="6" s="1"/>
  <c r="M619" i="6"/>
  <c r="P619" i="6" s="1"/>
  <c r="N619" i="6"/>
  <c r="O620" i="6"/>
  <c r="P620" i="6"/>
  <c r="T620" i="6"/>
  <c r="U620" i="6"/>
  <c r="O621" i="6"/>
  <c r="P621" i="6"/>
  <c r="Q621" i="6"/>
  <c r="Q619" i="6" s="1"/>
  <c r="R621" i="6"/>
  <c r="R619" i="6" s="1"/>
  <c r="S621" i="6"/>
  <c r="L622" i="6"/>
  <c r="O622" i="6" s="1"/>
  <c r="M622" i="6"/>
  <c r="P622" i="6" s="1"/>
  <c r="N622" i="6"/>
  <c r="Q622" i="6"/>
  <c r="T622" i="6" s="1"/>
  <c r="R622" i="6"/>
  <c r="U622" i="6" s="1"/>
  <c r="S622" i="6"/>
  <c r="O623" i="6"/>
  <c r="P623" i="6"/>
  <c r="T623" i="6"/>
  <c r="U623" i="6"/>
  <c r="O624" i="6"/>
  <c r="P624" i="6"/>
  <c r="T624" i="6"/>
  <c r="U624" i="6"/>
  <c r="I626" i="6"/>
  <c r="J626" i="6"/>
  <c r="J615" i="6" s="1"/>
  <c r="I627" i="6"/>
  <c r="K627" i="6" s="1"/>
  <c r="I628" i="6"/>
  <c r="K628" i="6" s="1"/>
  <c r="J632" i="6"/>
  <c r="I635" i="6"/>
  <c r="K635" i="6" s="1"/>
  <c r="J635" i="6"/>
  <c r="J636" i="6"/>
  <c r="L643" i="6"/>
  <c r="O643" i="6" s="1"/>
  <c r="M643" i="6"/>
  <c r="N643" i="6"/>
  <c r="Q643" i="6"/>
  <c r="T643" i="6" s="1"/>
  <c r="R643" i="6"/>
  <c r="U643" i="6" s="1"/>
  <c r="S643" i="6"/>
  <c r="L644" i="6"/>
  <c r="L642" i="6" s="1"/>
  <c r="O642" i="6" s="1"/>
  <c r="M644" i="6"/>
  <c r="P644" i="6" s="1"/>
  <c r="N644" i="6"/>
  <c r="L645" i="6"/>
  <c r="M645" i="6"/>
  <c r="P645" i="6" s="1"/>
  <c r="N645" i="6"/>
  <c r="O645" i="6"/>
  <c r="O646" i="6"/>
  <c r="P646" i="6"/>
  <c r="T646" i="6"/>
  <c r="U646" i="6"/>
  <c r="O647" i="6"/>
  <c r="P647" i="6"/>
  <c r="Q647" i="6"/>
  <c r="R647" i="6"/>
  <c r="R645" i="6" s="1"/>
  <c r="S647" i="6"/>
  <c r="S645" i="6" s="1"/>
  <c r="L648" i="6"/>
  <c r="O648" i="6" s="1"/>
  <c r="M648" i="6"/>
  <c r="P648" i="6" s="1"/>
  <c r="N648" i="6"/>
  <c r="Q648" i="6"/>
  <c r="R648" i="6"/>
  <c r="U648" i="6" s="1"/>
  <c r="S648" i="6"/>
  <c r="T648" i="6"/>
  <c r="O649" i="6"/>
  <c r="P649" i="6"/>
  <c r="T649" i="6"/>
  <c r="U649" i="6"/>
  <c r="O650" i="6"/>
  <c r="P650" i="6"/>
  <c r="T650" i="6"/>
  <c r="U650" i="6"/>
  <c r="I652" i="6"/>
  <c r="K652" i="6" s="1"/>
  <c r="J652" i="6"/>
  <c r="I653" i="6"/>
  <c r="J653" i="6"/>
  <c r="I654" i="6"/>
  <c r="J654" i="6"/>
  <c r="I657" i="6"/>
  <c r="I660" i="6"/>
  <c r="I661" i="6"/>
  <c r="J661" i="6"/>
  <c r="J671" i="6"/>
  <c r="J672" i="6"/>
  <c r="I673" i="6"/>
  <c r="J673" i="6"/>
  <c r="I674" i="6"/>
  <c r="I675" i="6"/>
  <c r="I676" i="6"/>
  <c r="J676" i="6"/>
  <c r="J677" i="6"/>
  <c r="I678" i="6"/>
  <c r="J678" i="6"/>
  <c r="I679" i="6"/>
  <c r="K679" i="6" s="1"/>
  <c r="J679" i="6"/>
  <c r="J680" i="6"/>
  <c r="I681" i="6"/>
  <c r="K681" i="6" s="1"/>
  <c r="J681" i="6"/>
  <c r="I682" i="6"/>
  <c r="J682" i="6"/>
  <c r="L691" i="6"/>
  <c r="M691" i="6"/>
  <c r="N691" i="6"/>
  <c r="Q691" i="6"/>
  <c r="R691" i="6"/>
  <c r="S691" i="6"/>
  <c r="T691" i="6"/>
  <c r="L692" i="6"/>
  <c r="M692" i="6"/>
  <c r="N692" i="6"/>
  <c r="O692" i="6"/>
  <c r="P692" i="6"/>
  <c r="L693" i="6"/>
  <c r="O693" i="6" s="1"/>
  <c r="M693" i="6"/>
  <c r="N693" i="6"/>
  <c r="P693" i="6"/>
  <c r="O694" i="6"/>
  <c r="P694" i="6"/>
  <c r="T694" i="6"/>
  <c r="U694" i="6"/>
  <c r="O695" i="6"/>
  <c r="P695" i="6"/>
  <c r="Q695" i="6"/>
  <c r="Q692" i="6" s="1"/>
  <c r="R695" i="6"/>
  <c r="R693" i="6" s="1"/>
  <c r="S695" i="6"/>
  <c r="S693" i="6" s="1"/>
  <c r="L696" i="6"/>
  <c r="O696" i="6" s="1"/>
  <c r="M696" i="6"/>
  <c r="P696" i="6" s="1"/>
  <c r="N696" i="6"/>
  <c r="Q696" i="6"/>
  <c r="T696" i="6" s="1"/>
  <c r="R696" i="6"/>
  <c r="U696" i="6" s="1"/>
  <c r="S696" i="6"/>
  <c r="O697" i="6"/>
  <c r="P697" i="6"/>
  <c r="T697" i="6"/>
  <c r="U697" i="6"/>
  <c r="O698" i="6"/>
  <c r="P698" i="6"/>
  <c r="T698" i="6"/>
  <c r="U698" i="6"/>
  <c r="I700" i="6"/>
  <c r="K700" i="6" s="1"/>
  <c r="K702" i="6"/>
  <c r="I703" i="6"/>
  <c r="J703" i="6"/>
  <c r="J704" i="6"/>
  <c r="K704" i="6"/>
  <c r="I705" i="6"/>
  <c r="J705" i="6"/>
  <c r="J706" i="6"/>
  <c r="K706" i="6"/>
  <c r="I707" i="6"/>
  <c r="I689" i="6" s="1"/>
  <c r="J707" i="6"/>
  <c r="J689" i="6" s="1"/>
  <c r="J708" i="6"/>
  <c r="K708" i="6"/>
  <c r="I709" i="6"/>
  <c r="J709" i="6"/>
  <c r="J710" i="6"/>
  <c r="K710" i="6"/>
  <c r="J712" i="6"/>
  <c r="K712" i="6"/>
  <c r="N714" i="6"/>
  <c r="L715" i="6"/>
  <c r="L714" i="6" s="1"/>
  <c r="O714" i="6" s="1"/>
  <c r="M715" i="6"/>
  <c r="P715" i="6" s="1"/>
  <c r="N715" i="6"/>
  <c r="Q715" i="6"/>
  <c r="R715" i="6"/>
  <c r="R714" i="6" s="1"/>
  <c r="U714" i="6" s="1"/>
  <c r="S715" i="6"/>
  <c r="S714" i="6" s="1"/>
  <c r="L716" i="6"/>
  <c r="O716" i="6" s="1"/>
  <c r="M716" i="6"/>
  <c r="P716" i="6" s="1"/>
  <c r="N716" i="6"/>
  <c r="Q716" i="6"/>
  <c r="T716" i="6" s="1"/>
  <c r="R716" i="6"/>
  <c r="U716" i="6" s="1"/>
  <c r="S716" i="6"/>
  <c r="L717" i="6"/>
  <c r="M717" i="6"/>
  <c r="N717" i="6"/>
  <c r="O717" i="6"/>
  <c r="P717" i="6"/>
  <c r="Q717" i="6"/>
  <c r="R717" i="6"/>
  <c r="S717" i="6"/>
  <c r="T717" i="6"/>
  <c r="U717" i="6"/>
  <c r="O718" i="6"/>
  <c r="P718" i="6"/>
  <c r="T718" i="6"/>
  <c r="U718" i="6"/>
  <c r="O719" i="6"/>
  <c r="P719" i="6"/>
  <c r="T719" i="6"/>
  <c r="U719" i="6"/>
  <c r="L720" i="6"/>
  <c r="M720" i="6"/>
  <c r="N720" i="6"/>
  <c r="O720" i="6"/>
  <c r="P720" i="6"/>
  <c r="Q720" i="6"/>
  <c r="R720" i="6"/>
  <c r="S720" i="6"/>
  <c r="T720" i="6"/>
  <c r="U720" i="6"/>
  <c r="O721" i="6"/>
  <c r="P721" i="6"/>
  <c r="T721" i="6"/>
  <c r="U721" i="6"/>
  <c r="O722" i="6"/>
  <c r="P722" i="6"/>
  <c r="T722" i="6"/>
  <c r="U722" i="6"/>
  <c r="I726" i="6"/>
  <c r="K726" i="6" s="1"/>
  <c r="J726" i="6"/>
  <c r="I727" i="6"/>
  <c r="J727" i="6"/>
  <c r="L729" i="6"/>
  <c r="L728" i="6" s="1"/>
  <c r="O728" i="6" s="1"/>
  <c r="M729" i="6"/>
  <c r="N729" i="6"/>
  <c r="N728" i="6" s="1"/>
  <c r="P729" i="6"/>
  <c r="Q729" i="6"/>
  <c r="R729" i="6"/>
  <c r="S729" i="6"/>
  <c r="L730" i="6"/>
  <c r="O730" i="6" s="1"/>
  <c r="M730" i="6"/>
  <c r="P730" i="6" s="1"/>
  <c r="N730" i="6"/>
  <c r="L731" i="6"/>
  <c r="M731" i="6"/>
  <c r="N731" i="6"/>
  <c r="O731" i="6"/>
  <c r="P731" i="6"/>
  <c r="O732" i="6"/>
  <c r="P732" i="6"/>
  <c r="T732" i="6"/>
  <c r="U732" i="6"/>
  <c r="O733" i="6"/>
  <c r="P733" i="6"/>
  <c r="Q733" i="6"/>
  <c r="Q731" i="6" s="1"/>
  <c r="R733" i="6"/>
  <c r="R731" i="6" s="1"/>
  <c r="S733" i="6"/>
  <c r="S731" i="6" s="1"/>
  <c r="L734" i="6"/>
  <c r="O734" i="6" s="1"/>
  <c r="M734" i="6"/>
  <c r="P734" i="6" s="1"/>
  <c r="N734" i="6"/>
  <c r="Q734" i="6"/>
  <c r="T734" i="6" s="1"/>
  <c r="R734" i="6"/>
  <c r="U734" i="6" s="1"/>
  <c r="S734" i="6"/>
  <c r="O735" i="6"/>
  <c r="P735" i="6"/>
  <c r="T735" i="6"/>
  <c r="U735" i="6"/>
  <c r="O736" i="6"/>
  <c r="P736" i="6"/>
  <c r="T736" i="6"/>
  <c r="U736" i="6"/>
  <c r="I740" i="6"/>
  <c r="K740" i="6" s="1"/>
  <c r="I742" i="6"/>
  <c r="K742" i="6" s="1"/>
  <c r="I744" i="6"/>
  <c r="K744" i="6" s="1"/>
  <c r="I746" i="6"/>
  <c r="K746" i="6" s="1"/>
  <c r="I749" i="6"/>
  <c r="K749" i="6" s="1"/>
  <c r="I752" i="6"/>
  <c r="K752" i="6" s="1"/>
  <c r="I755" i="6"/>
  <c r="K755" i="6" s="1"/>
  <c r="J758" i="6"/>
  <c r="J759" i="6"/>
  <c r="L761" i="6"/>
  <c r="M761" i="6"/>
  <c r="N761" i="6"/>
  <c r="Q761" i="6"/>
  <c r="R761" i="6"/>
  <c r="S761" i="6"/>
  <c r="L762" i="6"/>
  <c r="M762" i="6"/>
  <c r="P762" i="6" s="1"/>
  <c r="N762" i="6"/>
  <c r="O762" i="6"/>
  <c r="L763" i="6"/>
  <c r="O763" i="6" s="1"/>
  <c r="M763" i="6"/>
  <c r="N763" i="6"/>
  <c r="P763" i="6"/>
  <c r="O764" i="6"/>
  <c r="P764" i="6"/>
  <c r="T764" i="6"/>
  <c r="U764" i="6"/>
  <c r="O765" i="6"/>
  <c r="P765" i="6"/>
  <c r="Q765" i="6"/>
  <c r="Q763" i="6" s="1"/>
  <c r="R765" i="6"/>
  <c r="R763" i="6" s="1"/>
  <c r="S765" i="6"/>
  <c r="S763" i="6" s="1"/>
  <c r="L766" i="6"/>
  <c r="O766" i="6" s="1"/>
  <c r="M766" i="6"/>
  <c r="P766" i="6" s="1"/>
  <c r="N766" i="6"/>
  <c r="Q766" i="6"/>
  <c r="T766" i="6" s="1"/>
  <c r="R766" i="6"/>
  <c r="U766" i="6" s="1"/>
  <c r="S766" i="6"/>
  <c r="O767" i="6"/>
  <c r="P767" i="6"/>
  <c r="T767" i="6"/>
  <c r="U767" i="6"/>
  <c r="O768" i="6"/>
  <c r="P768" i="6"/>
  <c r="T768" i="6"/>
  <c r="U768" i="6"/>
  <c r="I770" i="6"/>
  <c r="K770" i="6" s="1"/>
  <c r="I772" i="6"/>
  <c r="I758" i="6" s="1"/>
  <c r="I774" i="6"/>
  <c r="K774" i="6" s="1"/>
  <c r="I775" i="6"/>
  <c r="I776" i="6"/>
  <c r="H777" i="6"/>
  <c r="I778" i="6"/>
  <c r="J778" i="6"/>
  <c r="I779" i="6"/>
  <c r="J779" i="6"/>
  <c r="I780" i="6"/>
  <c r="J780" i="6"/>
  <c r="I781" i="6"/>
  <c r="J781" i="6"/>
  <c r="I782" i="6"/>
  <c r="J782" i="6"/>
  <c r="I783" i="6"/>
  <c r="J783" i="6"/>
  <c r="I784" i="6"/>
  <c r="J784" i="6"/>
  <c r="I785" i="6"/>
  <c r="J785" i="6"/>
  <c r="A788" i="6"/>
  <c r="A789" i="6"/>
  <c r="L22" i="5"/>
  <c r="M22" i="5"/>
  <c r="N22" i="5"/>
  <c r="Q22" i="5"/>
  <c r="T22" i="5" s="1"/>
  <c r="R22" i="5"/>
  <c r="S22" i="5"/>
  <c r="L25" i="5"/>
  <c r="M25" i="5"/>
  <c r="N25" i="5"/>
  <c r="Q25" i="5"/>
  <c r="R25" i="5"/>
  <c r="S25" i="5"/>
  <c r="Q26" i="5"/>
  <c r="T26" i="5" s="1"/>
  <c r="R26" i="5"/>
  <c r="S26" i="5"/>
  <c r="U26" i="5"/>
  <c r="Q44" i="5"/>
  <c r="T44" i="5" s="1"/>
  <c r="L45" i="5"/>
  <c r="M45" i="5"/>
  <c r="N45" i="5"/>
  <c r="Q45" i="5"/>
  <c r="R45" i="5"/>
  <c r="S45" i="5"/>
  <c r="S44" i="5" s="1"/>
  <c r="T45" i="5"/>
  <c r="Q46" i="5"/>
  <c r="R46" i="5"/>
  <c r="S46" i="5"/>
  <c r="T46" i="5"/>
  <c r="U46" i="5"/>
  <c r="Q47" i="5"/>
  <c r="T47" i="5" s="1"/>
  <c r="R47" i="5"/>
  <c r="U47" i="5" s="1"/>
  <c r="S47" i="5"/>
  <c r="O48" i="5"/>
  <c r="P48" i="5"/>
  <c r="T48" i="5"/>
  <c r="U48" i="5"/>
  <c r="L49" i="5"/>
  <c r="M49" i="5"/>
  <c r="M47" i="5" s="1"/>
  <c r="N49" i="5"/>
  <c r="T49" i="5"/>
  <c r="U49" i="5"/>
  <c r="Q50" i="5"/>
  <c r="R50" i="5"/>
  <c r="S50" i="5"/>
  <c r="T50" i="5"/>
  <c r="U50" i="5"/>
  <c r="O51" i="5"/>
  <c r="P51" i="5"/>
  <c r="T51" i="5"/>
  <c r="U51" i="5"/>
  <c r="L52" i="5"/>
  <c r="M52" i="5"/>
  <c r="P52" i="5" s="1"/>
  <c r="N52" i="5"/>
  <c r="N50" i="5" s="1"/>
  <c r="T52" i="5"/>
  <c r="U52" i="5"/>
  <c r="L60" i="5"/>
  <c r="M60" i="5"/>
  <c r="N60" i="5"/>
  <c r="Q60" i="5"/>
  <c r="R60" i="5"/>
  <c r="U60" i="5" s="1"/>
  <c r="S60" i="5"/>
  <c r="S59" i="5" s="1"/>
  <c r="T60" i="5"/>
  <c r="Q61" i="5"/>
  <c r="R61" i="5"/>
  <c r="S61" i="5"/>
  <c r="U61" i="5"/>
  <c r="Q62" i="5"/>
  <c r="T62" i="5" s="1"/>
  <c r="R62" i="5"/>
  <c r="U62" i="5" s="1"/>
  <c r="S62" i="5"/>
  <c r="O63" i="5"/>
  <c r="P63" i="5"/>
  <c r="T63" i="5"/>
  <c r="U63" i="5"/>
  <c r="L64" i="5"/>
  <c r="L62" i="5" s="1"/>
  <c r="M64" i="5"/>
  <c r="M62" i="5" s="1"/>
  <c r="N64" i="5"/>
  <c r="T64" i="5"/>
  <c r="U64" i="5"/>
  <c r="Q65" i="5"/>
  <c r="R65" i="5"/>
  <c r="S65" i="5"/>
  <c r="T65" i="5"/>
  <c r="U65" i="5"/>
  <c r="O66" i="5"/>
  <c r="P66" i="5"/>
  <c r="T66" i="5"/>
  <c r="U66" i="5"/>
  <c r="L67" i="5"/>
  <c r="M67" i="5"/>
  <c r="N67" i="5"/>
  <c r="N65" i="5" s="1"/>
  <c r="T67" i="5"/>
  <c r="U67" i="5"/>
  <c r="L73" i="5"/>
  <c r="M73" i="5"/>
  <c r="N73" i="5"/>
  <c r="Q73" i="5"/>
  <c r="R73" i="5"/>
  <c r="U73" i="5" s="1"/>
  <c r="S73" i="5"/>
  <c r="T73" i="5"/>
  <c r="O76" i="5"/>
  <c r="P76" i="5"/>
  <c r="T76" i="5"/>
  <c r="U76" i="5"/>
  <c r="L77" i="5"/>
  <c r="L75" i="5" s="1"/>
  <c r="O75" i="5" s="1"/>
  <c r="M77" i="5"/>
  <c r="M75" i="5" s="1"/>
  <c r="P75" i="5" s="1"/>
  <c r="N77" i="5"/>
  <c r="N75" i="5" s="1"/>
  <c r="Q77" i="5"/>
  <c r="Q74" i="5" s="1"/>
  <c r="R77" i="5"/>
  <c r="R74" i="5" s="1"/>
  <c r="S77" i="5"/>
  <c r="S75" i="5" s="1"/>
  <c r="Q78" i="5"/>
  <c r="T78" i="5" s="1"/>
  <c r="R78" i="5"/>
  <c r="U78" i="5" s="1"/>
  <c r="S78" i="5"/>
  <c r="O79" i="5"/>
  <c r="P79" i="5"/>
  <c r="T79" i="5"/>
  <c r="U79" i="5"/>
  <c r="L80" i="5"/>
  <c r="O80" i="5" s="1"/>
  <c r="M80" i="5"/>
  <c r="M78" i="5" s="1"/>
  <c r="P78" i="5" s="1"/>
  <c r="N80" i="5"/>
  <c r="T80" i="5"/>
  <c r="U80" i="5"/>
  <c r="J82" i="5"/>
  <c r="J70" i="5" s="1"/>
  <c r="J83" i="5"/>
  <c r="J71" i="5" s="1"/>
  <c r="I84" i="5"/>
  <c r="K84" i="5" s="1"/>
  <c r="I85" i="5"/>
  <c r="K85" i="5" s="1"/>
  <c r="I86" i="5"/>
  <c r="K86" i="5" s="1"/>
  <c r="I87" i="5"/>
  <c r="K87" i="5" s="1"/>
  <c r="I88" i="5"/>
  <c r="K88" i="5" s="1"/>
  <c r="I89" i="5"/>
  <c r="K89" i="5" s="1"/>
  <c r="I90" i="5"/>
  <c r="K90" i="5" s="1"/>
  <c r="J92" i="5"/>
  <c r="J93" i="5"/>
  <c r="L95" i="5"/>
  <c r="M95" i="5"/>
  <c r="N95" i="5"/>
  <c r="O95" i="5"/>
  <c r="Q95" i="5"/>
  <c r="T95" i="5" s="1"/>
  <c r="R95" i="5"/>
  <c r="S95" i="5"/>
  <c r="O98" i="5"/>
  <c r="P98" i="5"/>
  <c r="T98" i="5"/>
  <c r="U98" i="5"/>
  <c r="L99" i="5"/>
  <c r="O99" i="5" s="1"/>
  <c r="M99" i="5"/>
  <c r="N99" i="5"/>
  <c r="N97" i="5" s="1"/>
  <c r="Q99" i="5"/>
  <c r="T99" i="5" s="1"/>
  <c r="R99" i="5"/>
  <c r="R96" i="5" s="1"/>
  <c r="U96" i="5" s="1"/>
  <c r="S99" i="5"/>
  <c r="S96" i="5" s="1"/>
  <c r="Q100" i="5"/>
  <c r="T100" i="5" s="1"/>
  <c r="R100" i="5"/>
  <c r="U100" i="5" s="1"/>
  <c r="S100" i="5"/>
  <c r="O101" i="5"/>
  <c r="P101" i="5"/>
  <c r="T101" i="5"/>
  <c r="U101" i="5"/>
  <c r="L102" i="5"/>
  <c r="O102" i="5" s="1"/>
  <c r="M102" i="5"/>
  <c r="M100" i="5" s="1"/>
  <c r="P100" i="5" s="1"/>
  <c r="N102" i="5"/>
  <c r="N100" i="5" s="1"/>
  <c r="T102" i="5"/>
  <c r="U102" i="5"/>
  <c r="I108" i="5"/>
  <c r="K108" i="5" s="1"/>
  <c r="I109" i="5"/>
  <c r="I93" i="5" s="1"/>
  <c r="K93" i="5" s="1"/>
  <c r="I114" i="5"/>
  <c r="K114" i="5" s="1"/>
  <c r="J116" i="5"/>
  <c r="L118" i="5"/>
  <c r="O118" i="5" s="1"/>
  <c r="M118" i="5"/>
  <c r="N118" i="5"/>
  <c r="Q118" i="5"/>
  <c r="R118" i="5"/>
  <c r="U118" i="5" s="1"/>
  <c r="S118" i="5"/>
  <c r="T118" i="5"/>
  <c r="O121" i="5"/>
  <c r="P121" i="5"/>
  <c r="T121" i="5"/>
  <c r="U121" i="5"/>
  <c r="L122" i="5"/>
  <c r="L120" i="5" s="1"/>
  <c r="O120" i="5" s="1"/>
  <c r="M122" i="5"/>
  <c r="N122" i="5"/>
  <c r="N120" i="5" s="1"/>
  <c r="Q122" i="5"/>
  <c r="R122" i="5"/>
  <c r="R119" i="5" s="1"/>
  <c r="R117" i="5" s="1"/>
  <c r="S122" i="5"/>
  <c r="S119" i="5" s="1"/>
  <c r="Q123" i="5"/>
  <c r="T123" i="5" s="1"/>
  <c r="R123" i="5"/>
  <c r="U123" i="5" s="1"/>
  <c r="S123" i="5"/>
  <c r="O124" i="5"/>
  <c r="P124" i="5"/>
  <c r="T124" i="5"/>
  <c r="U124" i="5"/>
  <c r="L125" i="5"/>
  <c r="L123" i="5" s="1"/>
  <c r="O123" i="5" s="1"/>
  <c r="M125" i="5"/>
  <c r="P125" i="5" s="1"/>
  <c r="N125" i="5"/>
  <c r="N123" i="5" s="1"/>
  <c r="T125" i="5"/>
  <c r="U125" i="5"/>
  <c r="I127" i="5"/>
  <c r="I116" i="5" s="1"/>
  <c r="K116" i="5" s="1"/>
  <c r="I128" i="5"/>
  <c r="K128" i="5" s="1"/>
  <c r="I129" i="5"/>
  <c r="K129" i="5" s="1"/>
  <c r="I130" i="5"/>
  <c r="K130" i="5" s="1"/>
  <c r="J136" i="5"/>
  <c r="J137" i="5"/>
  <c r="J138" i="5"/>
  <c r="L140" i="5"/>
  <c r="M140" i="5"/>
  <c r="N140" i="5"/>
  <c r="Q140" i="5"/>
  <c r="T140" i="5" s="1"/>
  <c r="R140" i="5"/>
  <c r="S140" i="5"/>
  <c r="O143" i="5"/>
  <c r="P143" i="5"/>
  <c r="T143" i="5"/>
  <c r="U143" i="5"/>
  <c r="L144" i="5"/>
  <c r="L142" i="5" s="1"/>
  <c r="M144" i="5"/>
  <c r="N144" i="5"/>
  <c r="Q144" i="5"/>
  <c r="Q141" i="5" s="1"/>
  <c r="T141" i="5" s="1"/>
  <c r="R144" i="5"/>
  <c r="R142" i="5" s="1"/>
  <c r="U142" i="5" s="1"/>
  <c r="S144" i="5"/>
  <c r="S142" i="5" s="1"/>
  <c r="Q145" i="5"/>
  <c r="T145" i="5" s="1"/>
  <c r="R145" i="5"/>
  <c r="S145" i="5"/>
  <c r="U145" i="5"/>
  <c r="O146" i="5"/>
  <c r="P146" i="5"/>
  <c r="T146" i="5"/>
  <c r="U146" i="5"/>
  <c r="L147" i="5"/>
  <c r="L145" i="5" s="1"/>
  <c r="O145" i="5" s="1"/>
  <c r="M147" i="5"/>
  <c r="N147" i="5"/>
  <c r="N145" i="5" s="1"/>
  <c r="T147" i="5"/>
  <c r="U147" i="5"/>
  <c r="I150" i="5"/>
  <c r="K150" i="5" s="1"/>
  <c r="I151" i="5"/>
  <c r="K151" i="5" s="1"/>
  <c r="I152" i="5"/>
  <c r="I137" i="5" s="1"/>
  <c r="K137" i="5" s="1"/>
  <c r="I153" i="5"/>
  <c r="K153" i="5" s="1"/>
  <c r="I154" i="5"/>
  <c r="J156" i="5"/>
  <c r="L158" i="5"/>
  <c r="M158" i="5"/>
  <c r="P158" i="5" s="1"/>
  <c r="N158" i="5"/>
  <c r="O158" i="5"/>
  <c r="Q158" i="5"/>
  <c r="T158" i="5" s="1"/>
  <c r="R158" i="5"/>
  <c r="U158" i="5" s="1"/>
  <c r="S158" i="5"/>
  <c r="O161" i="5"/>
  <c r="P161" i="5"/>
  <c r="T161" i="5"/>
  <c r="U161" i="5"/>
  <c r="L162" i="5"/>
  <c r="M162" i="5"/>
  <c r="M160" i="5" s="1"/>
  <c r="N162" i="5"/>
  <c r="N160" i="5" s="1"/>
  <c r="Q162" i="5"/>
  <c r="R162" i="5"/>
  <c r="R159" i="5" s="1"/>
  <c r="S162" i="5"/>
  <c r="S159" i="5" s="1"/>
  <c r="Q163" i="5"/>
  <c r="T163" i="5" s="1"/>
  <c r="R163" i="5"/>
  <c r="U163" i="5" s="1"/>
  <c r="S163" i="5"/>
  <c r="O164" i="5"/>
  <c r="P164" i="5"/>
  <c r="T164" i="5"/>
  <c r="U164" i="5"/>
  <c r="L165" i="5"/>
  <c r="L163" i="5" s="1"/>
  <c r="O163" i="5" s="1"/>
  <c r="M165" i="5"/>
  <c r="P165" i="5" s="1"/>
  <c r="N165" i="5"/>
  <c r="N163" i="5" s="1"/>
  <c r="T165" i="5"/>
  <c r="U165" i="5"/>
  <c r="I167" i="5"/>
  <c r="I156" i="5" s="1"/>
  <c r="K156" i="5" s="1"/>
  <c r="J172" i="5"/>
  <c r="L174" i="5"/>
  <c r="M174" i="5"/>
  <c r="P174" i="5" s="1"/>
  <c r="N174" i="5"/>
  <c r="O174" i="5"/>
  <c r="Q174" i="5"/>
  <c r="T174" i="5" s="1"/>
  <c r="R174" i="5"/>
  <c r="U174" i="5" s="1"/>
  <c r="S174" i="5"/>
  <c r="O177" i="5"/>
  <c r="P177" i="5"/>
  <c r="T177" i="5"/>
  <c r="U177" i="5"/>
  <c r="L178" i="5"/>
  <c r="L176" i="5" s="1"/>
  <c r="M178" i="5"/>
  <c r="M176" i="5" s="1"/>
  <c r="N178" i="5"/>
  <c r="N176" i="5" s="1"/>
  <c r="Q178" i="5"/>
  <c r="Q176" i="5" s="1"/>
  <c r="T176" i="5" s="1"/>
  <c r="R178" i="5"/>
  <c r="R175" i="5" s="1"/>
  <c r="R173" i="5" s="1"/>
  <c r="U173" i="5" s="1"/>
  <c r="S178" i="5"/>
  <c r="S175" i="5" s="1"/>
  <c r="Q179" i="5"/>
  <c r="T179" i="5" s="1"/>
  <c r="R179" i="5"/>
  <c r="U179" i="5" s="1"/>
  <c r="S179" i="5"/>
  <c r="O180" i="5"/>
  <c r="P180" i="5"/>
  <c r="T180" i="5"/>
  <c r="U180" i="5"/>
  <c r="L181" i="5"/>
  <c r="L179" i="5" s="1"/>
  <c r="O179" i="5" s="1"/>
  <c r="M181" i="5"/>
  <c r="M179" i="5" s="1"/>
  <c r="P179" i="5" s="1"/>
  <c r="N181" i="5"/>
  <c r="N179" i="5" s="1"/>
  <c r="T181" i="5"/>
  <c r="U181" i="5"/>
  <c r="I183" i="5"/>
  <c r="I172" i="5" s="1"/>
  <c r="K172" i="5" s="1"/>
  <c r="K184" i="5"/>
  <c r="L187" i="5"/>
  <c r="O187" i="5" s="1"/>
  <c r="M187" i="5"/>
  <c r="P187" i="5" s="1"/>
  <c r="N187" i="5"/>
  <c r="Q187" i="5"/>
  <c r="R187" i="5"/>
  <c r="U187" i="5" s="1"/>
  <c r="S187" i="5"/>
  <c r="O190" i="5"/>
  <c r="P190" i="5"/>
  <c r="T190" i="5"/>
  <c r="U190" i="5"/>
  <c r="L191" i="5"/>
  <c r="M191" i="5"/>
  <c r="M189" i="5" s="1"/>
  <c r="N191" i="5"/>
  <c r="N189" i="5" s="1"/>
  <c r="Q191" i="5"/>
  <c r="Q188" i="5" s="1"/>
  <c r="R191" i="5"/>
  <c r="S191" i="5"/>
  <c r="Q192" i="5"/>
  <c r="R192" i="5"/>
  <c r="S192" i="5"/>
  <c r="T192" i="5"/>
  <c r="U192" i="5"/>
  <c r="O193" i="5"/>
  <c r="P193" i="5"/>
  <c r="T193" i="5"/>
  <c r="U193" i="5"/>
  <c r="L194" i="5"/>
  <c r="M194" i="5"/>
  <c r="N194" i="5"/>
  <c r="N192" i="5" s="1"/>
  <c r="T194" i="5"/>
  <c r="U194" i="5"/>
  <c r="J195" i="5"/>
  <c r="L196" i="5"/>
  <c r="O196" i="5" s="1"/>
  <c r="P196" i="5"/>
  <c r="I198" i="5"/>
  <c r="J199" i="5"/>
  <c r="J202" i="5"/>
  <c r="N203" i="5"/>
  <c r="P203" i="5"/>
  <c r="S203" i="5"/>
  <c r="U203" i="5"/>
  <c r="L204" i="5"/>
  <c r="L205" i="5"/>
  <c r="L206" i="5"/>
  <c r="Q206" i="5"/>
  <c r="Q203" i="5" s="1"/>
  <c r="T203" i="5" s="1"/>
  <c r="L207" i="5"/>
  <c r="I209" i="5"/>
  <c r="K209" i="5" s="1"/>
  <c r="I211" i="5"/>
  <c r="K211" i="5" s="1"/>
  <c r="I212" i="5"/>
  <c r="K212" i="5" s="1"/>
  <c r="J213" i="5"/>
  <c r="N214" i="5"/>
  <c r="P214" i="5"/>
  <c r="S214" i="5"/>
  <c r="U214" i="5"/>
  <c r="L215" i="5"/>
  <c r="L216" i="5"/>
  <c r="L217" i="5"/>
  <c r="Q217" i="5"/>
  <c r="Q214" i="5" s="1"/>
  <c r="T214" i="5" s="1"/>
  <c r="I219" i="5"/>
  <c r="K219" i="5" s="1"/>
  <c r="I220" i="5"/>
  <c r="J221" i="5"/>
  <c r="N222" i="5"/>
  <c r="P222" i="5"/>
  <c r="L223" i="5"/>
  <c r="L224" i="5"/>
  <c r="L225" i="5"/>
  <c r="I228" i="5"/>
  <c r="K228" i="5" s="1"/>
  <c r="I229" i="5"/>
  <c r="I221" i="5" s="1"/>
  <c r="I230" i="5"/>
  <c r="K230" i="5" s="1"/>
  <c r="N233" i="5"/>
  <c r="N234" i="5"/>
  <c r="N235" i="5"/>
  <c r="N236" i="5"/>
  <c r="J238" i="5"/>
  <c r="I240" i="5"/>
  <c r="J240" i="5"/>
  <c r="K240" i="5"/>
  <c r="I241" i="5"/>
  <c r="J241" i="5"/>
  <c r="K241" i="5"/>
  <c r="J242" i="5"/>
  <c r="N243" i="5"/>
  <c r="N232" i="5" s="1"/>
  <c r="P243" i="5"/>
  <c r="L244" i="5"/>
  <c r="L245" i="5"/>
  <c r="L246" i="5"/>
  <c r="L247" i="5"/>
  <c r="I249" i="5"/>
  <c r="K251" i="5"/>
  <c r="K252" i="5"/>
  <c r="J253" i="5"/>
  <c r="N254" i="5"/>
  <c r="P254" i="5"/>
  <c r="L255" i="5"/>
  <c r="L256" i="5"/>
  <c r="L257" i="5"/>
  <c r="L258" i="5"/>
  <c r="I260" i="5"/>
  <c r="K262" i="5"/>
  <c r="K263" i="5"/>
  <c r="J265" i="5"/>
  <c r="L267" i="5"/>
  <c r="M267" i="5"/>
  <c r="P267" i="5" s="1"/>
  <c r="N267" i="5"/>
  <c r="Q267" i="5"/>
  <c r="R267" i="5"/>
  <c r="S267" i="5"/>
  <c r="O270" i="5"/>
  <c r="P270" i="5"/>
  <c r="T270" i="5"/>
  <c r="U270" i="5"/>
  <c r="L271" i="5"/>
  <c r="M271" i="5"/>
  <c r="N271" i="5"/>
  <c r="Q271" i="5"/>
  <c r="Q268" i="5" s="1"/>
  <c r="R271" i="5"/>
  <c r="S271" i="5"/>
  <c r="Q272" i="5"/>
  <c r="R272" i="5"/>
  <c r="U272" i="5" s="1"/>
  <c r="S272" i="5"/>
  <c r="T272" i="5"/>
  <c r="O273" i="5"/>
  <c r="P273" i="5"/>
  <c r="T273" i="5"/>
  <c r="U273" i="5"/>
  <c r="L274" i="5"/>
  <c r="M274" i="5"/>
  <c r="N274" i="5"/>
  <c r="N272" i="5" s="1"/>
  <c r="T274" i="5"/>
  <c r="U274" i="5"/>
  <c r="I276" i="5"/>
  <c r="J281" i="5"/>
  <c r="L283" i="5"/>
  <c r="M283" i="5"/>
  <c r="N283" i="5"/>
  <c r="Q283" i="5"/>
  <c r="R283" i="5"/>
  <c r="U283" i="5" s="1"/>
  <c r="S283" i="5"/>
  <c r="Q284" i="5"/>
  <c r="T284" i="5" s="1"/>
  <c r="R284" i="5"/>
  <c r="U284" i="5" s="1"/>
  <c r="S284" i="5"/>
  <c r="Q285" i="5"/>
  <c r="T285" i="5" s="1"/>
  <c r="R285" i="5"/>
  <c r="U285" i="5" s="1"/>
  <c r="S285" i="5"/>
  <c r="O286" i="5"/>
  <c r="P286" i="5"/>
  <c r="T286" i="5"/>
  <c r="U286" i="5"/>
  <c r="L287" i="5"/>
  <c r="L285" i="5" s="1"/>
  <c r="M287" i="5"/>
  <c r="M285" i="5" s="1"/>
  <c r="N287" i="5"/>
  <c r="T287" i="5"/>
  <c r="U287" i="5"/>
  <c r="Q288" i="5"/>
  <c r="R288" i="5"/>
  <c r="S288" i="5"/>
  <c r="T288" i="5"/>
  <c r="U288" i="5"/>
  <c r="O289" i="5"/>
  <c r="P289" i="5"/>
  <c r="T289" i="5"/>
  <c r="U289" i="5"/>
  <c r="L290" i="5"/>
  <c r="M290" i="5"/>
  <c r="P290" i="5" s="1"/>
  <c r="N290" i="5"/>
  <c r="N288" i="5" s="1"/>
  <c r="T290" i="5"/>
  <c r="U290" i="5"/>
  <c r="I292" i="5"/>
  <c r="I293" i="5"/>
  <c r="I280" i="5" s="1"/>
  <c r="J293" i="5"/>
  <c r="I295" i="5"/>
  <c r="K295" i="5" s="1"/>
  <c r="I296" i="5"/>
  <c r="K296" i="5" s="1"/>
  <c r="J302" i="5"/>
  <c r="L304" i="5"/>
  <c r="O304" i="5" s="1"/>
  <c r="M304" i="5"/>
  <c r="N304" i="5"/>
  <c r="Q304" i="5"/>
  <c r="T304" i="5" s="1"/>
  <c r="R304" i="5"/>
  <c r="S304" i="5"/>
  <c r="O307" i="5"/>
  <c r="P307" i="5"/>
  <c r="T307" i="5"/>
  <c r="U307" i="5"/>
  <c r="L308" i="5"/>
  <c r="M308" i="5"/>
  <c r="M306" i="5" s="1"/>
  <c r="N308" i="5"/>
  <c r="Q308" i="5"/>
  <c r="Q305" i="5" s="1"/>
  <c r="Q303" i="5" s="1"/>
  <c r="R308" i="5"/>
  <c r="S308" i="5"/>
  <c r="Q309" i="5"/>
  <c r="T309" i="5" s="1"/>
  <c r="R309" i="5"/>
  <c r="U309" i="5" s="1"/>
  <c r="S309" i="5"/>
  <c r="O310" i="5"/>
  <c r="P310" i="5"/>
  <c r="T310" i="5"/>
  <c r="U310" i="5"/>
  <c r="L311" i="5"/>
  <c r="M311" i="5"/>
  <c r="N311" i="5"/>
  <c r="N309" i="5" s="1"/>
  <c r="T311" i="5"/>
  <c r="U311" i="5"/>
  <c r="I314" i="5"/>
  <c r="J319" i="5"/>
  <c r="L321" i="5"/>
  <c r="O321" i="5" s="1"/>
  <c r="M321" i="5"/>
  <c r="P321" i="5" s="1"/>
  <c r="N321" i="5"/>
  <c r="Q321" i="5"/>
  <c r="T321" i="5" s="1"/>
  <c r="R321" i="5"/>
  <c r="S321" i="5"/>
  <c r="S320" i="5" s="1"/>
  <c r="U321" i="5"/>
  <c r="Q322" i="5"/>
  <c r="Q320" i="5" s="1"/>
  <c r="T320" i="5" s="1"/>
  <c r="R322" i="5"/>
  <c r="U322" i="5" s="1"/>
  <c r="S322" i="5"/>
  <c r="Q323" i="5"/>
  <c r="T323" i="5" s="1"/>
  <c r="R323" i="5"/>
  <c r="U323" i="5" s="1"/>
  <c r="S323" i="5"/>
  <c r="O324" i="5"/>
  <c r="P324" i="5"/>
  <c r="T324" i="5"/>
  <c r="U324" i="5"/>
  <c r="L325" i="5"/>
  <c r="L323" i="5" s="1"/>
  <c r="O323" i="5" s="1"/>
  <c r="M325" i="5"/>
  <c r="N325" i="5"/>
  <c r="T325" i="5"/>
  <c r="U325" i="5"/>
  <c r="Q326" i="5"/>
  <c r="R326" i="5"/>
  <c r="U326" i="5" s="1"/>
  <c r="S326" i="5"/>
  <c r="T326" i="5"/>
  <c r="O327" i="5"/>
  <c r="P327" i="5"/>
  <c r="T327" i="5"/>
  <c r="U327" i="5"/>
  <c r="L328" i="5"/>
  <c r="L326" i="5" s="1"/>
  <c r="O326" i="5" s="1"/>
  <c r="M328" i="5"/>
  <c r="N328" i="5"/>
  <c r="N326" i="5" s="1"/>
  <c r="T328" i="5"/>
  <c r="U328" i="5"/>
  <c r="I330" i="5"/>
  <c r="I319" i="5" s="1"/>
  <c r="K319" i="5" s="1"/>
  <c r="L334" i="5"/>
  <c r="O334" i="5" s="1"/>
  <c r="M334" i="5"/>
  <c r="N334" i="5"/>
  <c r="Q334" i="5"/>
  <c r="R334" i="5"/>
  <c r="S334" i="5"/>
  <c r="T334" i="5"/>
  <c r="Q335" i="5"/>
  <c r="T335" i="5" s="1"/>
  <c r="R335" i="5"/>
  <c r="U335" i="5" s="1"/>
  <c r="S335" i="5"/>
  <c r="Q336" i="5"/>
  <c r="T336" i="5" s="1"/>
  <c r="R336" i="5"/>
  <c r="U336" i="5" s="1"/>
  <c r="S336" i="5"/>
  <c r="O337" i="5"/>
  <c r="P337" i="5"/>
  <c r="T337" i="5"/>
  <c r="U337" i="5"/>
  <c r="L338" i="5"/>
  <c r="M338" i="5"/>
  <c r="M336" i="5" s="1"/>
  <c r="N338" i="5"/>
  <c r="N336" i="5" s="1"/>
  <c r="T338" i="5"/>
  <c r="U338" i="5"/>
  <c r="Q339" i="5"/>
  <c r="T339" i="5" s="1"/>
  <c r="R339" i="5"/>
  <c r="S339" i="5"/>
  <c r="U339" i="5"/>
  <c r="O340" i="5"/>
  <c r="P340" i="5"/>
  <c r="T340" i="5"/>
  <c r="U340" i="5"/>
  <c r="L341" i="5"/>
  <c r="M341" i="5"/>
  <c r="P341" i="5" s="1"/>
  <c r="N341" i="5"/>
  <c r="N339" i="5" s="1"/>
  <c r="T341" i="5"/>
  <c r="U341" i="5"/>
  <c r="I344" i="5"/>
  <c r="J344" i="5"/>
  <c r="I346" i="5"/>
  <c r="J346" i="5"/>
  <c r="J347" i="5"/>
  <c r="J348" i="5"/>
  <c r="J349" i="5"/>
  <c r="D350" i="5"/>
  <c r="J352" i="5"/>
  <c r="J353" i="5"/>
  <c r="D354" i="5"/>
  <c r="L357" i="5"/>
  <c r="M357" i="5"/>
  <c r="N357" i="5"/>
  <c r="O357" i="5"/>
  <c r="Q357" i="5"/>
  <c r="T357" i="5" s="1"/>
  <c r="R357" i="5"/>
  <c r="U357" i="5" s="1"/>
  <c r="S357" i="5"/>
  <c r="S356" i="5" s="1"/>
  <c r="Q358" i="5"/>
  <c r="R358" i="5"/>
  <c r="U358" i="5" s="1"/>
  <c r="S358" i="5"/>
  <c r="Q359" i="5"/>
  <c r="T359" i="5" s="1"/>
  <c r="R359" i="5"/>
  <c r="U359" i="5" s="1"/>
  <c r="S359" i="5"/>
  <c r="O360" i="5"/>
  <c r="P360" i="5"/>
  <c r="T360" i="5"/>
  <c r="U360" i="5"/>
  <c r="L361" i="5"/>
  <c r="L359" i="5" s="1"/>
  <c r="M361" i="5"/>
  <c r="N361" i="5"/>
  <c r="N359" i="5" s="1"/>
  <c r="T361" i="5"/>
  <c r="U361" i="5"/>
  <c r="Q362" i="5"/>
  <c r="T362" i="5" s="1"/>
  <c r="R362" i="5"/>
  <c r="U362" i="5" s="1"/>
  <c r="S362" i="5"/>
  <c r="O363" i="5"/>
  <c r="P363" i="5"/>
  <c r="T363" i="5"/>
  <c r="U363" i="5"/>
  <c r="L364" i="5"/>
  <c r="M364" i="5"/>
  <c r="M362" i="5" s="1"/>
  <c r="P362" i="5" s="1"/>
  <c r="N364" i="5"/>
  <c r="N362" i="5" s="1"/>
  <c r="T364" i="5"/>
  <c r="U364" i="5"/>
  <c r="J367" i="5"/>
  <c r="K367" i="5"/>
  <c r="I368" i="5"/>
  <c r="J368" i="5"/>
  <c r="I369" i="5"/>
  <c r="J369" i="5"/>
  <c r="J370" i="5"/>
  <c r="K370" i="5"/>
  <c r="I371" i="5"/>
  <c r="I365" i="5" s="1"/>
  <c r="J371" i="5"/>
  <c r="J365" i="5" s="1"/>
  <c r="J372" i="5"/>
  <c r="K372" i="5"/>
  <c r="D373" i="5"/>
  <c r="N375" i="5"/>
  <c r="L376" i="5"/>
  <c r="M376" i="5"/>
  <c r="P376" i="5" s="1"/>
  <c r="N376" i="5"/>
  <c r="Q376" i="5"/>
  <c r="T376" i="5" s="1"/>
  <c r="R376" i="5"/>
  <c r="S376" i="5"/>
  <c r="L377" i="5"/>
  <c r="O377" i="5" s="1"/>
  <c r="M377" i="5"/>
  <c r="P377" i="5" s="1"/>
  <c r="N377" i="5"/>
  <c r="L378" i="5"/>
  <c r="M378" i="5"/>
  <c r="N378" i="5"/>
  <c r="O378" i="5"/>
  <c r="P378" i="5"/>
  <c r="O379" i="5"/>
  <c r="P379" i="5"/>
  <c r="T379" i="5"/>
  <c r="U379" i="5"/>
  <c r="O380" i="5"/>
  <c r="P380" i="5"/>
  <c r="Q380" i="5"/>
  <c r="R380" i="5"/>
  <c r="R378" i="5" s="1"/>
  <c r="S380" i="5"/>
  <c r="S378" i="5" s="1"/>
  <c r="L381" i="5"/>
  <c r="O381" i="5" s="1"/>
  <c r="M381" i="5"/>
  <c r="P381" i="5" s="1"/>
  <c r="N381" i="5"/>
  <c r="Q381" i="5"/>
  <c r="T381" i="5" s="1"/>
  <c r="R381" i="5"/>
  <c r="U381" i="5" s="1"/>
  <c r="S381" i="5"/>
  <c r="O382" i="5"/>
  <c r="P382" i="5"/>
  <c r="T382" i="5"/>
  <c r="U382" i="5"/>
  <c r="O383" i="5"/>
  <c r="P383" i="5"/>
  <c r="T383" i="5"/>
  <c r="U383" i="5"/>
  <c r="J385" i="5"/>
  <c r="K385" i="5"/>
  <c r="I386" i="5"/>
  <c r="J386" i="5"/>
  <c r="J387" i="5"/>
  <c r="K387" i="5"/>
  <c r="I388" i="5"/>
  <c r="K388" i="5" s="1"/>
  <c r="J388" i="5"/>
  <c r="I391" i="5"/>
  <c r="J391" i="5"/>
  <c r="K391" i="5"/>
  <c r="L393" i="5"/>
  <c r="O393" i="5" s="1"/>
  <c r="M393" i="5"/>
  <c r="P393" i="5" s="1"/>
  <c r="N393" i="5"/>
  <c r="Q393" i="5"/>
  <c r="R393" i="5"/>
  <c r="U393" i="5" s="1"/>
  <c r="S393" i="5"/>
  <c r="S392" i="5" s="1"/>
  <c r="T393" i="5"/>
  <c r="L394" i="5"/>
  <c r="O394" i="5" s="1"/>
  <c r="M394" i="5"/>
  <c r="N394" i="5"/>
  <c r="P394" i="5"/>
  <c r="Q394" i="5"/>
  <c r="T394" i="5" s="1"/>
  <c r="R394" i="5"/>
  <c r="S394" i="5"/>
  <c r="U394" i="5"/>
  <c r="L395" i="5"/>
  <c r="O395" i="5" s="1"/>
  <c r="M395" i="5"/>
  <c r="P395" i="5" s="1"/>
  <c r="N395" i="5"/>
  <c r="Q395" i="5"/>
  <c r="T395" i="5" s="1"/>
  <c r="R395" i="5"/>
  <c r="U395" i="5" s="1"/>
  <c r="S395" i="5"/>
  <c r="O396" i="5"/>
  <c r="P396" i="5"/>
  <c r="T396" i="5"/>
  <c r="U396" i="5"/>
  <c r="O397" i="5"/>
  <c r="P397" i="5"/>
  <c r="T397" i="5"/>
  <c r="U397" i="5"/>
  <c r="L398" i="5"/>
  <c r="O398" i="5" s="1"/>
  <c r="M398" i="5"/>
  <c r="N398" i="5"/>
  <c r="P398" i="5"/>
  <c r="Q398" i="5"/>
  <c r="T398" i="5" s="1"/>
  <c r="R398" i="5"/>
  <c r="U398" i="5" s="1"/>
  <c r="S398" i="5"/>
  <c r="O399" i="5"/>
  <c r="P399" i="5"/>
  <c r="T399" i="5"/>
  <c r="U399" i="5"/>
  <c r="O400" i="5"/>
  <c r="P400" i="5"/>
  <c r="T400" i="5"/>
  <c r="U400" i="5"/>
  <c r="L414" i="5"/>
  <c r="O414" i="5" s="1"/>
  <c r="M414" i="5"/>
  <c r="M413" i="5" s="1"/>
  <c r="P413" i="5" s="1"/>
  <c r="N414" i="5"/>
  <c r="P414" i="5"/>
  <c r="Q414" i="5"/>
  <c r="R414" i="5"/>
  <c r="U414" i="5" s="1"/>
  <c r="S414" i="5"/>
  <c r="L415" i="5"/>
  <c r="O415" i="5" s="1"/>
  <c r="M415" i="5"/>
  <c r="P415" i="5" s="1"/>
  <c r="N415" i="5"/>
  <c r="N413" i="5" s="1"/>
  <c r="L416" i="5"/>
  <c r="M416" i="5"/>
  <c r="P416" i="5" s="1"/>
  <c r="N416" i="5"/>
  <c r="O416" i="5"/>
  <c r="O417" i="5"/>
  <c r="P417" i="5"/>
  <c r="T417" i="5"/>
  <c r="U417" i="5"/>
  <c r="O418" i="5"/>
  <c r="P418" i="5"/>
  <c r="Q418" i="5"/>
  <c r="Q416" i="5" s="1"/>
  <c r="T416" i="5" s="1"/>
  <c r="R418" i="5"/>
  <c r="R416" i="5" s="1"/>
  <c r="U416" i="5" s="1"/>
  <c r="S418" i="5"/>
  <c r="S415" i="5" s="1"/>
  <c r="S413" i="5" s="1"/>
  <c r="L419" i="5"/>
  <c r="O419" i="5" s="1"/>
  <c r="M419" i="5"/>
  <c r="N419" i="5"/>
  <c r="P419" i="5"/>
  <c r="Q419" i="5"/>
  <c r="T419" i="5" s="1"/>
  <c r="R419" i="5"/>
  <c r="U419" i="5" s="1"/>
  <c r="S419" i="5"/>
  <c r="O420" i="5"/>
  <c r="P420" i="5"/>
  <c r="T420" i="5"/>
  <c r="U420" i="5"/>
  <c r="O421" i="5"/>
  <c r="P421" i="5"/>
  <c r="T421" i="5"/>
  <c r="U421" i="5"/>
  <c r="I424" i="5"/>
  <c r="K424" i="5" s="1"/>
  <c r="J424" i="5"/>
  <c r="I425" i="5"/>
  <c r="K425" i="5" s="1"/>
  <c r="J425" i="5"/>
  <c r="I432" i="5"/>
  <c r="K432" i="5" s="1"/>
  <c r="J432" i="5"/>
  <c r="I433" i="5"/>
  <c r="K433" i="5" s="1"/>
  <c r="J433" i="5"/>
  <c r="I440" i="5"/>
  <c r="K440" i="5" s="1"/>
  <c r="I441" i="5"/>
  <c r="K441" i="5" s="1"/>
  <c r="J446" i="5"/>
  <c r="J440" i="5" s="1"/>
  <c r="J423" i="5" s="1"/>
  <c r="J412" i="5" s="1"/>
  <c r="J447" i="5"/>
  <c r="J441" i="5" s="1"/>
  <c r="I457" i="5"/>
  <c r="K457" i="5" s="1"/>
  <c r="I458" i="5"/>
  <c r="K458" i="5" s="1"/>
  <c r="J459" i="5"/>
  <c r="J460" i="5"/>
  <c r="J467" i="5"/>
  <c r="J468" i="5"/>
  <c r="J475" i="5"/>
  <c r="K475" i="5"/>
  <c r="J476" i="5"/>
  <c r="K476" i="5"/>
  <c r="J477" i="5"/>
  <c r="K477" i="5"/>
  <c r="J482" i="5"/>
  <c r="J483" i="5"/>
  <c r="I484" i="5"/>
  <c r="K484" i="5" s="1"/>
  <c r="J484" i="5"/>
  <c r="I485" i="5"/>
  <c r="K485" i="5" s="1"/>
  <c r="J485" i="5"/>
  <c r="L494" i="5"/>
  <c r="M494" i="5"/>
  <c r="P494" i="5" s="1"/>
  <c r="N494" i="5"/>
  <c r="N493" i="5" s="1"/>
  <c r="Q494" i="5"/>
  <c r="T494" i="5" s="1"/>
  <c r="R494" i="5"/>
  <c r="U494" i="5" s="1"/>
  <c r="S494" i="5"/>
  <c r="L495" i="5"/>
  <c r="O495" i="5" s="1"/>
  <c r="M495" i="5"/>
  <c r="P495" i="5" s="1"/>
  <c r="N495" i="5"/>
  <c r="L496" i="5"/>
  <c r="O496" i="5" s="1"/>
  <c r="M496" i="5"/>
  <c r="P496" i="5" s="1"/>
  <c r="N496" i="5"/>
  <c r="O497" i="5"/>
  <c r="P497" i="5"/>
  <c r="T497" i="5"/>
  <c r="U497" i="5"/>
  <c r="O498" i="5"/>
  <c r="P498" i="5"/>
  <c r="Q498" i="5"/>
  <c r="Q496" i="5" s="1"/>
  <c r="T496" i="5" s="1"/>
  <c r="R498" i="5"/>
  <c r="S498" i="5"/>
  <c r="S496" i="5" s="1"/>
  <c r="L499" i="5"/>
  <c r="M499" i="5"/>
  <c r="P499" i="5" s="1"/>
  <c r="N499" i="5"/>
  <c r="O499" i="5"/>
  <c r="Q499" i="5"/>
  <c r="T499" i="5" s="1"/>
  <c r="R499" i="5"/>
  <c r="S499" i="5"/>
  <c r="U499" i="5"/>
  <c r="O500" i="5"/>
  <c r="P500" i="5"/>
  <c r="T500" i="5"/>
  <c r="U500" i="5"/>
  <c r="O501" i="5"/>
  <c r="P501" i="5"/>
  <c r="T501" i="5"/>
  <c r="U501" i="5"/>
  <c r="I503" i="5"/>
  <c r="K503" i="5" s="1"/>
  <c r="I504" i="5"/>
  <c r="I505" i="5"/>
  <c r="K505" i="5" s="1"/>
  <c r="I506" i="5"/>
  <c r="K506" i="5" s="1"/>
  <c r="I507" i="5"/>
  <c r="K507" i="5" s="1"/>
  <c r="K508" i="5"/>
  <c r="I509" i="5"/>
  <c r="K509" i="5" s="1"/>
  <c r="I512" i="5"/>
  <c r="K512" i="5" s="1"/>
  <c r="J512" i="5"/>
  <c r="S513" i="5"/>
  <c r="L514" i="5"/>
  <c r="O514" i="5" s="1"/>
  <c r="M514" i="5"/>
  <c r="N514" i="5"/>
  <c r="P514" i="5"/>
  <c r="Q514" i="5"/>
  <c r="T514" i="5" s="1"/>
  <c r="R514" i="5"/>
  <c r="U514" i="5" s="1"/>
  <c r="S514" i="5"/>
  <c r="Q515" i="5"/>
  <c r="T515" i="5" s="1"/>
  <c r="R515" i="5"/>
  <c r="U515" i="5" s="1"/>
  <c r="S515" i="5"/>
  <c r="Q516" i="5"/>
  <c r="R516" i="5"/>
  <c r="U516" i="5" s="1"/>
  <c r="S516" i="5"/>
  <c r="T516" i="5"/>
  <c r="O517" i="5"/>
  <c r="P517" i="5"/>
  <c r="T517" i="5"/>
  <c r="U517" i="5"/>
  <c r="L518" i="5"/>
  <c r="M518" i="5"/>
  <c r="M516" i="5" s="1"/>
  <c r="P516" i="5" s="1"/>
  <c r="N518" i="5"/>
  <c r="N516" i="5" s="1"/>
  <c r="T518" i="5"/>
  <c r="U518" i="5"/>
  <c r="Q519" i="5"/>
  <c r="T519" i="5" s="1"/>
  <c r="R519" i="5"/>
  <c r="S519" i="5"/>
  <c r="U519" i="5"/>
  <c r="O520" i="5"/>
  <c r="P520" i="5"/>
  <c r="T520" i="5"/>
  <c r="U520" i="5"/>
  <c r="L521" i="5"/>
  <c r="L519" i="5" s="1"/>
  <c r="O519" i="5" s="1"/>
  <c r="M521" i="5"/>
  <c r="P521" i="5" s="1"/>
  <c r="N521" i="5"/>
  <c r="N519" i="5" s="1"/>
  <c r="T521" i="5"/>
  <c r="U521" i="5"/>
  <c r="K523" i="5"/>
  <c r="K524" i="5"/>
  <c r="I533" i="5"/>
  <c r="K533" i="5" s="1"/>
  <c r="J533" i="5"/>
  <c r="L535" i="5"/>
  <c r="O535" i="5" s="1"/>
  <c r="M535" i="5"/>
  <c r="M534" i="5" s="1"/>
  <c r="P534" i="5" s="1"/>
  <c r="N535" i="5"/>
  <c r="Q535" i="5"/>
  <c r="T535" i="5" s="1"/>
  <c r="R535" i="5"/>
  <c r="U535" i="5" s="1"/>
  <c r="S535" i="5"/>
  <c r="S534" i="5" s="1"/>
  <c r="L536" i="5"/>
  <c r="M536" i="5"/>
  <c r="P536" i="5" s="1"/>
  <c r="N536" i="5"/>
  <c r="N534" i="5" s="1"/>
  <c r="Q536" i="5"/>
  <c r="T536" i="5" s="1"/>
  <c r="R536" i="5"/>
  <c r="R534" i="5" s="1"/>
  <c r="U534" i="5" s="1"/>
  <c r="S536" i="5"/>
  <c r="L537" i="5"/>
  <c r="M537" i="5"/>
  <c r="P537" i="5" s="1"/>
  <c r="N537" i="5"/>
  <c r="O537" i="5"/>
  <c r="Q537" i="5"/>
  <c r="T537" i="5" s="1"/>
  <c r="R537" i="5"/>
  <c r="U537" i="5" s="1"/>
  <c r="S537" i="5"/>
  <c r="O538" i="5"/>
  <c r="P538" i="5"/>
  <c r="T538" i="5"/>
  <c r="U538" i="5"/>
  <c r="O539" i="5"/>
  <c r="P539" i="5"/>
  <c r="T539" i="5"/>
  <c r="U539" i="5"/>
  <c r="L540" i="5"/>
  <c r="O540" i="5" s="1"/>
  <c r="M540" i="5"/>
  <c r="P540" i="5" s="1"/>
  <c r="N540" i="5"/>
  <c r="Q540" i="5"/>
  <c r="T540" i="5" s="1"/>
  <c r="R540" i="5"/>
  <c r="U540" i="5" s="1"/>
  <c r="S540" i="5"/>
  <c r="O541" i="5"/>
  <c r="P541" i="5"/>
  <c r="T541" i="5"/>
  <c r="U541" i="5"/>
  <c r="O542" i="5"/>
  <c r="P542" i="5"/>
  <c r="T542" i="5"/>
  <c r="U542" i="5"/>
  <c r="I554" i="5"/>
  <c r="J554" i="5"/>
  <c r="K554" i="5"/>
  <c r="L556" i="5"/>
  <c r="O556" i="5" s="1"/>
  <c r="M556" i="5"/>
  <c r="N556" i="5"/>
  <c r="N555" i="5" s="1"/>
  <c r="Q556" i="5"/>
  <c r="R556" i="5"/>
  <c r="U556" i="5" s="1"/>
  <c r="S556" i="5"/>
  <c r="S555" i="5" s="1"/>
  <c r="T556" i="5"/>
  <c r="L557" i="5"/>
  <c r="M557" i="5"/>
  <c r="N557" i="5"/>
  <c r="P557" i="5"/>
  <c r="Q557" i="5"/>
  <c r="T557" i="5" s="1"/>
  <c r="R557" i="5"/>
  <c r="R555" i="5" s="1"/>
  <c r="U555" i="5" s="1"/>
  <c r="S557" i="5"/>
  <c r="L558" i="5"/>
  <c r="O558" i="5" s="1"/>
  <c r="M558" i="5"/>
  <c r="P558" i="5" s="1"/>
  <c r="N558" i="5"/>
  <c r="Q558" i="5"/>
  <c r="T558" i="5" s="1"/>
  <c r="R558" i="5"/>
  <c r="U558" i="5" s="1"/>
  <c r="S558" i="5"/>
  <c r="O559" i="5"/>
  <c r="P559" i="5"/>
  <c r="T559" i="5"/>
  <c r="U559" i="5"/>
  <c r="O560" i="5"/>
  <c r="P560" i="5"/>
  <c r="T560" i="5"/>
  <c r="U560" i="5"/>
  <c r="L561" i="5"/>
  <c r="O561" i="5" s="1"/>
  <c r="M561" i="5"/>
  <c r="P561" i="5" s="1"/>
  <c r="N561" i="5"/>
  <c r="Q561" i="5"/>
  <c r="R561" i="5"/>
  <c r="U561" i="5" s="1"/>
  <c r="S561" i="5"/>
  <c r="T561" i="5"/>
  <c r="O562" i="5"/>
  <c r="P562" i="5"/>
  <c r="T562" i="5"/>
  <c r="U562" i="5"/>
  <c r="O563" i="5"/>
  <c r="P563" i="5"/>
  <c r="T563" i="5"/>
  <c r="U563" i="5"/>
  <c r="I575" i="5"/>
  <c r="J575" i="5"/>
  <c r="K575" i="5"/>
  <c r="N576" i="5"/>
  <c r="L577" i="5"/>
  <c r="M577" i="5"/>
  <c r="N577" i="5"/>
  <c r="P577" i="5"/>
  <c r="Q577" i="5"/>
  <c r="R577" i="5"/>
  <c r="R576" i="5" s="1"/>
  <c r="U576" i="5" s="1"/>
  <c r="S577" i="5"/>
  <c r="L578" i="5"/>
  <c r="M578" i="5"/>
  <c r="P578" i="5" s="1"/>
  <c r="N578" i="5"/>
  <c r="O578" i="5"/>
  <c r="Q578" i="5"/>
  <c r="T578" i="5" s="1"/>
  <c r="R578" i="5"/>
  <c r="S578" i="5"/>
  <c r="U578" i="5"/>
  <c r="L579" i="5"/>
  <c r="O579" i="5" s="1"/>
  <c r="M579" i="5"/>
  <c r="P579" i="5" s="1"/>
  <c r="N579" i="5"/>
  <c r="Q579" i="5"/>
  <c r="T579" i="5" s="1"/>
  <c r="R579" i="5"/>
  <c r="U579" i="5" s="1"/>
  <c r="S579" i="5"/>
  <c r="O580" i="5"/>
  <c r="P580" i="5"/>
  <c r="T580" i="5"/>
  <c r="U580" i="5"/>
  <c r="O581" i="5"/>
  <c r="P581" i="5"/>
  <c r="T581" i="5"/>
  <c r="U581" i="5"/>
  <c r="L582" i="5"/>
  <c r="O582" i="5" s="1"/>
  <c r="M582" i="5"/>
  <c r="P582" i="5" s="1"/>
  <c r="N582" i="5"/>
  <c r="Q582" i="5"/>
  <c r="T582" i="5" s="1"/>
  <c r="R582" i="5"/>
  <c r="U582" i="5" s="1"/>
  <c r="S582" i="5"/>
  <c r="O583" i="5"/>
  <c r="P583" i="5"/>
  <c r="T583" i="5"/>
  <c r="U583" i="5"/>
  <c r="O584" i="5"/>
  <c r="P584" i="5"/>
  <c r="T584" i="5"/>
  <c r="U584" i="5"/>
  <c r="L600" i="5"/>
  <c r="L599" i="5" s="1"/>
  <c r="O599" i="5" s="1"/>
  <c r="M600" i="5"/>
  <c r="N600" i="5"/>
  <c r="N599" i="5" s="1"/>
  <c r="P600" i="5"/>
  <c r="Q600" i="5"/>
  <c r="T600" i="5" s="1"/>
  <c r="R600" i="5"/>
  <c r="S600" i="5"/>
  <c r="S599" i="5" s="1"/>
  <c r="L601" i="5"/>
  <c r="M601" i="5"/>
  <c r="P601" i="5" s="1"/>
  <c r="N601" i="5"/>
  <c r="O601" i="5"/>
  <c r="Q601" i="5"/>
  <c r="T601" i="5" s="1"/>
  <c r="R601" i="5"/>
  <c r="U601" i="5" s="1"/>
  <c r="S601" i="5"/>
  <c r="L602" i="5"/>
  <c r="O602" i="5" s="1"/>
  <c r="M602" i="5"/>
  <c r="P602" i="5" s="1"/>
  <c r="N602" i="5"/>
  <c r="Q602" i="5"/>
  <c r="T602" i="5" s="1"/>
  <c r="R602" i="5"/>
  <c r="S602" i="5"/>
  <c r="U602" i="5"/>
  <c r="O603" i="5"/>
  <c r="P603" i="5"/>
  <c r="T603" i="5"/>
  <c r="U603" i="5"/>
  <c r="O604" i="5"/>
  <c r="P604" i="5"/>
  <c r="T604" i="5"/>
  <c r="U604" i="5"/>
  <c r="L605" i="5"/>
  <c r="M605" i="5"/>
  <c r="P605" i="5" s="1"/>
  <c r="N605" i="5"/>
  <c r="O605" i="5"/>
  <c r="Q605" i="5"/>
  <c r="T605" i="5" s="1"/>
  <c r="R605" i="5"/>
  <c r="S605" i="5"/>
  <c r="U605" i="5"/>
  <c r="O606" i="5"/>
  <c r="P606" i="5"/>
  <c r="T606" i="5"/>
  <c r="U606" i="5"/>
  <c r="O607" i="5"/>
  <c r="P607" i="5"/>
  <c r="T607" i="5"/>
  <c r="U607" i="5"/>
  <c r="L617" i="5"/>
  <c r="O617" i="5" s="1"/>
  <c r="M617" i="5"/>
  <c r="M616" i="5" s="1"/>
  <c r="P616" i="5" s="1"/>
  <c r="N617" i="5"/>
  <c r="N616" i="5" s="1"/>
  <c r="Q617" i="5"/>
  <c r="R617" i="5"/>
  <c r="S617" i="5"/>
  <c r="T617" i="5"/>
  <c r="U617" i="5"/>
  <c r="L618" i="5"/>
  <c r="M618" i="5"/>
  <c r="N618" i="5"/>
  <c r="O618" i="5"/>
  <c r="P618" i="5"/>
  <c r="L619" i="5"/>
  <c r="O619" i="5" s="1"/>
  <c r="M619" i="5"/>
  <c r="P619" i="5" s="1"/>
  <c r="N619" i="5"/>
  <c r="O620" i="5"/>
  <c r="P620" i="5"/>
  <c r="T620" i="5"/>
  <c r="U620" i="5"/>
  <c r="O621" i="5"/>
  <c r="P621" i="5"/>
  <c r="Q621" i="5"/>
  <c r="Q618" i="5" s="1"/>
  <c r="R621" i="5"/>
  <c r="R619" i="5" s="1"/>
  <c r="S621" i="5"/>
  <c r="S619" i="5" s="1"/>
  <c r="L622" i="5"/>
  <c r="M622" i="5"/>
  <c r="P622" i="5" s="1"/>
  <c r="N622" i="5"/>
  <c r="O622" i="5"/>
  <c r="Q622" i="5"/>
  <c r="T622" i="5" s="1"/>
  <c r="R622" i="5"/>
  <c r="S622" i="5"/>
  <c r="U622" i="5"/>
  <c r="O623" i="5"/>
  <c r="P623" i="5"/>
  <c r="T623" i="5"/>
  <c r="U623" i="5"/>
  <c r="O624" i="5"/>
  <c r="P624" i="5"/>
  <c r="T624" i="5"/>
  <c r="U624" i="5"/>
  <c r="I626" i="5"/>
  <c r="I615" i="5" s="1"/>
  <c r="K615" i="5" s="1"/>
  <c r="I627" i="5"/>
  <c r="K627" i="5" s="1"/>
  <c r="I628" i="5"/>
  <c r="K628" i="5" s="1"/>
  <c r="J632" i="5"/>
  <c r="J626" i="5" s="1"/>
  <c r="J615" i="5" s="1"/>
  <c r="I635" i="5"/>
  <c r="K635" i="5" s="1"/>
  <c r="J636" i="5"/>
  <c r="J635" i="5" s="1"/>
  <c r="L643" i="5"/>
  <c r="M643" i="5"/>
  <c r="P643" i="5" s="1"/>
  <c r="N643" i="5"/>
  <c r="N642" i="5" s="1"/>
  <c r="O643" i="5"/>
  <c r="Q643" i="5"/>
  <c r="T643" i="5" s="1"/>
  <c r="R643" i="5"/>
  <c r="S643" i="5"/>
  <c r="U643" i="5"/>
  <c r="L644" i="5"/>
  <c r="O644" i="5" s="1"/>
  <c r="M644" i="5"/>
  <c r="M642" i="5" s="1"/>
  <c r="P642" i="5" s="1"/>
  <c r="N644" i="5"/>
  <c r="L645" i="5"/>
  <c r="O645" i="5" s="1"/>
  <c r="M645" i="5"/>
  <c r="P645" i="5" s="1"/>
  <c r="N645" i="5"/>
  <c r="O646" i="5"/>
  <c r="P646" i="5"/>
  <c r="T646" i="5"/>
  <c r="U646" i="5"/>
  <c r="O647" i="5"/>
  <c r="P647" i="5"/>
  <c r="Q647" i="5"/>
  <c r="Q645" i="5" s="1"/>
  <c r="T645" i="5" s="1"/>
  <c r="R647" i="5"/>
  <c r="R645" i="5" s="1"/>
  <c r="U645" i="5" s="1"/>
  <c r="S647" i="5"/>
  <c r="S644" i="5" s="1"/>
  <c r="S642" i="5" s="1"/>
  <c r="L648" i="5"/>
  <c r="M648" i="5"/>
  <c r="P648" i="5" s="1"/>
  <c r="N648" i="5"/>
  <c r="O648" i="5"/>
  <c r="Q648" i="5"/>
  <c r="T648" i="5" s="1"/>
  <c r="R648" i="5"/>
  <c r="U648" i="5" s="1"/>
  <c r="S648" i="5"/>
  <c r="O649" i="5"/>
  <c r="P649" i="5"/>
  <c r="T649" i="5"/>
  <c r="U649" i="5"/>
  <c r="O650" i="5"/>
  <c r="P650" i="5"/>
  <c r="T650" i="5"/>
  <c r="U650" i="5"/>
  <c r="I652" i="5"/>
  <c r="K652" i="5" s="1"/>
  <c r="J652" i="5"/>
  <c r="I653" i="5"/>
  <c r="K653" i="5" s="1"/>
  <c r="J653" i="5"/>
  <c r="I654" i="5"/>
  <c r="K654" i="5" s="1"/>
  <c r="J654" i="5"/>
  <c r="I657" i="5"/>
  <c r="I660" i="5"/>
  <c r="I661" i="5"/>
  <c r="K661" i="5" s="1"/>
  <c r="J661" i="5"/>
  <c r="J671" i="5"/>
  <c r="J672" i="5"/>
  <c r="I673" i="5"/>
  <c r="K673" i="5" s="1"/>
  <c r="J673" i="5"/>
  <c r="I674" i="5"/>
  <c r="K674" i="5" s="1"/>
  <c r="I675" i="5"/>
  <c r="K675" i="5" s="1"/>
  <c r="I676" i="5"/>
  <c r="K676" i="5" s="1"/>
  <c r="J676" i="5"/>
  <c r="J677" i="5"/>
  <c r="I678" i="5"/>
  <c r="K678" i="5" s="1"/>
  <c r="J678" i="5"/>
  <c r="I679" i="5"/>
  <c r="K679" i="5" s="1"/>
  <c r="J679" i="5"/>
  <c r="J680" i="5"/>
  <c r="I681" i="5"/>
  <c r="K681" i="5" s="1"/>
  <c r="J681" i="5"/>
  <c r="I682" i="5"/>
  <c r="K682" i="5" s="1"/>
  <c r="J682" i="5"/>
  <c r="M690" i="5"/>
  <c r="P690" i="5" s="1"/>
  <c r="L691" i="5"/>
  <c r="M691" i="5"/>
  <c r="P691" i="5" s="1"/>
  <c r="N691" i="5"/>
  <c r="Q691" i="5"/>
  <c r="T691" i="5" s="1"/>
  <c r="R691" i="5"/>
  <c r="U691" i="5" s="1"/>
  <c r="S691" i="5"/>
  <c r="L692" i="5"/>
  <c r="M692" i="5"/>
  <c r="N692" i="5"/>
  <c r="O692" i="5"/>
  <c r="P692" i="5"/>
  <c r="L693" i="5"/>
  <c r="O693" i="5" s="1"/>
  <c r="M693" i="5"/>
  <c r="P693" i="5" s="1"/>
  <c r="N693" i="5"/>
  <c r="O694" i="5"/>
  <c r="P694" i="5"/>
  <c r="T694" i="5"/>
  <c r="U694" i="5"/>
  <c r="O695" i="5"/>
  <c r="P695" i="5"/>
  <c r="Q695" i="5"/>
  <c r="Q693" i="5" s="1"/>
  <c r="R695" i="5"/>
  <c r="R693" i="5" s="1"/>
  <c r="S695" i="5"/>
  <c r="S692" i="5" s="1"/>
  <c r="L696" i="5"/>
  <c r="O696" i="5" s="1"/>
  <c r="M696" i="5"/>
  <c r="P696" i="5" s="1"/>
  <c r="N696" i="5"/>
  <c r="Q696" i="5"/>
  <c r="R696" i="5"/>
  <c r="U696" i="5" s="1"/>
  <c r="S696" i="5"/>
  <c r="T696" i="5"/>
  <c r="O697" i="5"/>
  <c r="P697" i="5"/>
  <c r="T697" i="5"/>
  <c r="U697" i="5"/>
  <c r="O698" i="5"/>
  <c r="P698" i="5"/>
  <c r="T698" i="5"/>
  <c r="U698" i="5"/>
  <c r="I700" i="5"/>
  <c r="K700" i="5" s="1"/>
  <c r="K702" i="5"/>
  <c r="I703" i="5"/>
  <c r="J703" i="5"/>
  <c r="J704" i="5"/>
  <c r="K704" i="5"/>
  <c r="I705" i="5"/>
  <c r="J705" i="5"/>
  <c r="J706" i="5"/>
  <c r="K706" i="5"/>
  <c r="I707" i="5"/>
  <c r="I689" i="5" s="1"/>
  <c r="J707" i="5"/>
  <c r="J689" i="5" s="1"/>
  <c r="J708" i="5"/>
  <c r="K708" i="5"/>
  <c r="I709" i="5"/>
  <c r="J709" i="5"/>
  <c r="J710" i="5"/>
  <c r="K710" i="5"/>
  <c r="J712" i="5"/>
  <c r="K712" i="5"/>
  <c r="L715" i="5"/>
  <c r="M715" i="5"/>
  <c r="N715" i="5"/>
  <c r="N714" i="5" s="1"/>
  <c r="Q715" i="5"/>
  <c r="T715" i="5" s="1"/>
  <c r="R715" i="5"/>
  <c r="S715" i="5"/>
  <c r="L716" i="5"/>
  <c r="O716" i="5" s="1"/>
  <c r="M716" i="5"/>
  <c r="P716" i="5" s="1"/>
  <c r="N716" i="5"/>
  <c r="Q716" i="5"/>
  <c r="R716" i="5"/>
  <c r="U716" i="5" s="1"/>
  <c r="S716" i="5"/>
  <c r="T716" i="5"/>
  <c r="L717" i="5"/>
  <c r="O717" i="5" s="1"/>
  <c r="M717" i="5"/>
  <c r="P717" i="5" s="1"/>
  <c r="N717" i="5"/>
  <c r="Q717" i="5"/>
  <c r="T717" i="5" s="1"/>
  <c r="R717" i="5"/>
  <c r="U717" i="5" s="1"/>
  <c r="S717" i="5"/>
  <c r="O718" i="5"/>
  <c r="P718" i="5"/>
  <c r="T718" i="5"/>
  <c r="U718" i="5"/>
  <c r="O719" i="5"/>
  <c r="P719" i="5"/>
  <c r="T719" i="5"/>
  <c r="U719" i="5"/>
  <c r="L720" i="5"/>
  <c r="O720" i="5" s="1"/>
  <c r="M720" i="5"/>
  <c r="P720" i="5" s="1"/>
  <c r="N720" i="5"/>
  <c r="Q720" i="5"/>
  <c r="T720" i="5" s="1"/>
  <c r="R720" i="5"/>
  <c r="U720" i="5" s="1"/>
  <c r="S720" i="5"/>
  <c r="O721" i="5"/>
  <c r="P721" i="5"/>
  <c r="T721" i="5"/>
  <c r="U721" i="5"/>
  <c r="O722" i="5"/>
  <c r="P722" i="5"/>
  <c r="T722" i="5"/>
  <c r="U722" i="5"/>
  <c r="I726" i="5"/>
  <c r="K726" i="5" s="1"/>
  <c r="J726" i="5"/>
  <c r="I727" i="5"/>
  <c r="K727" i="5" s="1"/>
  <c r="J727" i="5"/>
  <c r="N728" i="5"/>
  <c r="L729" i="5"/>
  <c r="M729" i="5"/>
  <c r="P729" i="5" s="1"/>
  <c r="N729" i="5"/>
  <c r="Q729" i="5"/>
  <c r="T729" i="5" s="1"/>
  <c r="R729" i="5"/>
  <c r="S729" i="5"/>
  <c r="L730" i="5"/>
  <c r="M730" i="5"/>
  <c r="P730" i="5" s="1"/>
  <c r="N730" i="5"/>
  <c r="O730" i="5"/>
  <c r="L731" i="5"/>
  <c r="O731" i="5" s="1"/>
  <c r="M731" i="5"/>
  <c r="N731" i="5"/>
  <c r="P731" i="5"/>
  <c r="O732" i="5"/>
  <c r="P732" i="5"/>
  <c r="T732" i="5"/>
  <c r="U732" i="5"/>
  <c r="O733" i="5"/>
  <c r="P733" i="5"/>
  <c r="Q733" i="5"/>
  <c r="Q731" i="5" s="1"/>
  <c r="R733" i="5"/>
  <c r="R731" i="5" s="1"/>
  <c r="S733" i="5"/>
  <c r="S731" i="5" s="1"/>
  <c r="L734" i="5"/>
  <c r="O734" i="5" s="1"/>
  <c r="M734" i="5"/>
  <c r="P734" i="5" s="1"/>
  <c r="N734" i="5"/>
  <c r="Q734" i="5"/>
  <c r="R734" i="5"/>
  <c r="U734" i="5" s="1"/>
  <c r="S734" i="5"/>
  <c r="T734" i="5"/>
  <c r="O735" i="5"/>
  <c r="P735" i="5"/>
  <c r="T735" i="5"/>
  <c r="U735" i="5"/>
  <c r="O736" i="5"/>
  <c r="P736" i="5"/>
  <c r="T736" i="5"/>
  <c r="U736" i="5"/>
  <c r="I740" i="5"/>
  <c r="K740" i="5" s="1"/>
  <c r="I742" i="5"/>
  <c r="K742" i="5" s="1"/>
  <c r="I744" i="5"/>
  <c r="K744" i="5" s="1"/>
  <c r="I746" i="5"/>
  <c r="K746" i="5" s="1"/>
  <c r="I749" i="5"/>
  <c r="K749" i="5" s="1"/>
  <c r="I752" i="5"/>
  <c r="K752" i="5" s="1"/>
  <c r="I755" i="5"/>
  <c r="K755" i="5" s="1"/>
  <c r="J758" i="5"/>
  <c r="J759" i="5"/>
  <c r="L761" i="5"/>
  <c r="O761" i="5" s="1"/>
  <c r="M761" i="5"/>
  <c r="N761" i="5"/>
  <c r="Q761" i="5"/>
  <c r="T761" i="5" s="1"/>
  <c r="R761" i="5"/>
  <c r="U761" i="5" s="1"/>
  <c r="S761" i="5"/>
  <c r="L762" i="5"/>
  <c r="O762" i="5" s="1"/>
  <c r="M762" i="5"/>
  <c r="P762" i="5" s="1"/>
  <c r="N762" i="5"/>
  <c r="L763" i="5"/>
  <c r="O763" i="5" s="1"/>
  <c r="M763" i="5"/>
  <c r="P763" i="5" s="1"/>
  <c r="N763" i="5"/>
  <c r="O764" i="5"/>
  <c r="P764" i="5"/>
  <c r="T764" i="5"/>
  <c r="U764" i="5"/>
  <c r="O765" i="5"/>
  <c r="P765" i="5"/>
  <c r="Q765" i="5"/>
  <c r="R765" i="5"/>
  <c r="R763" i="5" s="1"/>
  <c r="U763" i="5" s="1"/>
  <c r="S765" i="5"/>
  <c r="S763" i="5" s="1"/>
  <c r="L766" i="5"/>
  <c r="O766" i="5" s="1"/>
  <c r="M766" i="5"/>
  <c r="P766" i="5" s="1"/>
  <c r="N766" i="5"/>
  <c r="Q766" i="5"/>
  <c r="T766" i="5" s="1"/>
  <c r="R766" i="5"/>
  <c r="U766" i="5" s="1"/>
  <c r="S766" i="5"/>
  <c r="O767" i="5"/>
  <c r="P767" i="5"/>
  <c r="T767" i="5"/>
  <c r="U767" i="5"/>
  <c r="O768" i="5"/>
  <c r="P768" i="5"/>
  <c r="T768" i="5"/>
  <c r="U768" i="5"/>
  <c r="I770" i="5"/>
  <c r="K770" i="5" s="1"/>
  <c r="I772" i="5"/>
  <c r="I758" i="5" s="1"/>
  <c r="K758" i="5" s="1"/>
  <c r="I774" i="5"/>
  <c r="K774" i="5" s="1"/>
  <c r="I775" i="5"/>
  <c r="I776" i="5"/>
  <c r="H777" i="5"/>
  <c r="I778" i="5"/>
  <c r="J778" i="5"/>
  <c r="I779" i="5"/>
  <c r="J779" i="5"/>
  <c r="I780" i="5"/>
  <c r="J780" i="5"/>
  <c r="I781" i="5"/>
  <c r="J781" i="5"/>
  <c r="I782" i="5"/>
  <c r="K782" i="5" s="1"/>
  <c r="J782" i="5"/>
  <c r="I783" i="5"/>
  <c r="K783" i="5" s="1"/>
  <c r="J783" i="5"/>
  <c r="I784" i="5"/>
  <c r="J784" i="5"/>
  <c r="I785" i="5"/>
  <c r="J785" i="5"/>
  <c r="A788" i="5"/>
  <c r="A789" i="5"/>
  <c r="L22" i="4"/>
  <c r="M22" i="4"/>
  <c r="N22" i="4"/>
  <c r="N19" i="4" s="1"/>
  <c r="P22" i="4"/>
  <c r="Q22" i="4"/>
  <c r="Q19" i="4" s="1"/>
  <c r="R22" i="4"/>
  <c r="S22" i="4"/>
  <c r="L25" i="4"/>
  <c r="L19" i="4" s="1"/>
  <c r="M25" i="4"/>
  <c r="P25" i="4" s="1"/>
  <c r="N25" i="4"/>
  <c r="Q25" i="4"/>
  <c r="R25" i="4"/>
  <c r="S25" i="4"/>
  <c r="S24" i="4" s="1"/>
  <c r="T25" i="4"/>
  <c r="Q26" i="4"/>
  <c r="Q24" i="4" s="1"/>
  <c r="T24" i="4" s="1"/>
  <c r="R26" i="4"/>
  <c r="U26" i="4" s="1"/>
  <c r="S26" i="4"/>
  <c r="T26" i="4"/>
  <c r="Q44" i="4"/>
  <c r="T44" i="4" s="1"/>
  <c r="L45" i="4"/>
  <c r="O45" i="4" s="1"/>
  <c r="M45" i="4"/>
  <c r="N45" i="4"/>
  <c r="Q45" i="4"/>
  <c r="T45" i="4" s="1"/>
  <c r="R45" i="4"/>
  <c r="U45" i="4" s="1"/>
  <c r="S45" i="4"/>
  <c r="Q46" i="4"/>
  <c r="T46" i="4" s="1"/>
  <c r="R46" i="4"/>
  <c r="S46" i="4"/>
  <c r="U46" i="4"/>
  <c r="Q47" i="4"/>
  <c r="T47" i="4" s="1"/>
  <c r="R47" i="4"/>
  <c r="S47" i="4"/>
  <c r="U47" i="4"/>
  <c r="O48" i="4"/>
  <c r="P48" i="4"/>
  <c r="T48" i="4"/>
  <c r="U48" i="4"/>
  <c r="L49" i="4"/>
  <c r="L47" i="4" s="1"/>
  <c r="M49" i="4"/>
  <c r="N49" i="4"/>
  <c r="T49" i="4"/>
  <c r="U49" i="4"/>
  <c r="Q50" i="4"/>
  <c r="T50" i="4" s="1"/>
  <c r="R50" i="4"/>
  <c r="U50" i="4" s="1"/>
  <c r="S50" i="4"/>
  <c r="O51" i="4"/>
  <c r="P51" i="4"/>
  <c r="T51" i="4"/>
  <c r="U51" i="4"/>
  <c r="L52" i="4"/>
  <c r="M52" i="4"/>
  <c r="P52" i="4" s="1"/>
  <c r="N52" i="4"/>
  <c r="N50" i="4" s="1"/>
  <c r="T52" i="4"/>
  <c r="U52" i="4"/>
  <c r="L60" i="4"/>
  <c r="M60" i="4"/>
  <c r="N60" i="4"/>
  <c r="O60" i="4"/>
  <c r="Q60" i="4"/>
  <c r="T60" i="4" s="1"/>
  <c r="R60" i="4"/>
  <c r="U60" i="4" s="1"/>
  <c r="S60" i="4"/>
  <c r="Q61" i="4"/>
  <c r="T61" i="4" s="1"/>
  <c r="R61" i="4"/>
  <c r="R59" i="4" s="1"/>
  <c r="U59" i="4" s="1"/>
  <c r="S61" i="4"/>
  <c r="Q62" i="4"/>
  <c r="T62" i="4" s="1"/>
  <c r="R62" i="4"/>
  <c r="S62" i="4"/>
  <c r="U62" i="4"/>
  <c r="O63" i="4"/>
  <c r="P63" i="4"/>
  <c r="T63" i="4"/>
  <c r="U63" i="4"/>
  <c r="L64" i="4"/>
  <c r="L62" i="4" s="1"/>
  <c r="M64" i="4"/>
  <c r="N64" i="4"/>
  <c r="T64" i="4"/>
  <c r="U64" i="4"/>
  <c r="Q65" i="4"/>
  <c r="T65" i="4" s="1"/>
  <c r="R65" i="4"/>
  <c r="U65" i="4" s="1"/>
  <c r="S65" i="4"/>
  <c r="O66" i="4"/>
  <c r="P66" i="4"/>
  <c r="T66" i="4"/>
  <c r="U66" i="4"/>
  <c r="L67" i="4"/>
  <c r="M67" i="4"/>
  <c r="M65" i="4" s="1"/>
  <c r="P65" i="4" s="1"/>
  <c r="N67" i="4"/>
  <c r="N65" i="4" s="1"/>
  <c r="T67" i="4"/>
  <c r="U67" i="4"/>
  <c r="L73" i="4"/>
  <c r="M73" i="4"/>
  <c r="N73" i="4"/>
  <c r="O73" i="4"/>
  <c r="Q73" i="4"/>
  <c r="T73" i="4" s="1"/>
  <c r="R73" i="4"/>
  <c r="U73" i="4" s="1"/>
  <c r="S73" i="4"/>
  <c r="O76" i="4"/>
  <c r="P76" i="4"/>
  <c r="T76" i="4"/>
  <c r="U76" i="4"/>
  <c r="L77" i="4"/>
  <c r="L75" i="4" s="1"/>
  <c r="O75" i="4" s="1"/>
  <c r="M77" i="4"/>
  <c r="N77" i="4"/>
  <c r="N75" i="4" s="1"/>
  <c r="Q77" i="4"/>
  <c r="Q74" i="4" s="1"/>
  <c r="T74" i="4" s="1"/>
  <c r="R77" i="4"/>
  <c r="R75" i="4" s="1"/>
  <c r="U75" i="4" s="1"/>
  <c r="S77" i="4"/>
  <c r="S75" i="4" s="1"/>
  <c r="Q78" i="4"/>
  <c r="T78" i="4" s="1"/>
  <c r="R78" i="4"/>
  <c r="S78" i="4"/>
  <c r="U78" i="4"/>
  <c r="O79" i="4"/>
  <c r="P79" i="4"/>
  <c r="T79" i="4"/>
  <c r="U79" i="4"/>
  <c r="L80" i="4"/>
  <c r="L78" i="4" s="1"/>
  <c r="O78" i="4" s="1"/>
  <c r="M80" i="4"/>
  <c r="P80" i="4" s="1"/>
  <c r="N80" i="4"/>
  <c r="N78" i="4" s="1"/>
  <c r="T80" i="4"/>
  <c r="U80" i="4"/>
  <c r="J82" i="4"/>
  <c r="J70" i="4" s="1"/>
  <c r="J83" i="4"/>
  <c r="J71" i="4" s="1"/>
  <c r="I84" i="4"/>
  <c r="I85" i="4"/>
  <c r="I86" i="4"/>
  <c r="K86" i="4" s="1"/>
  <c r="I87" i="4"/>
  <c r="K87" i="4" s="1"/>
  <c r="I88" i="4"/>
  <c r="K88" i="4" s="1"/>
  <c r="I89" i="4"/>
  <c r="K89" i="4" s="1"/>
  <c r="I90" i="4"/>
  <c r="K90" i="4" s="1"/>
  <c r="J92" i="4"/>
  <c r="J93" i="4"/>
  <c r="L95" i="4"/>
  <c r="O95" i="4" s="1"/>
  <c r="M95" i="4"/>
  <c r="P95" i="4" s="1"/>
  <c r="N95" i="4"/>
  <c r="Q95" i="4"/>
  <c r="R95" i="4"/>
  <c r="S95" i="4"/>
  <c r="T95" i="4"/>
  <c r="O98" i="4"/>
  <c r="P98" i="4"/>
  <c r="T98" i="4"/>
  <c r="U98" i="4"/>
  <c r="L99" i="4"/>
  <c r="O99" i="4" s="1"/>
  <c r="M99" i="4"/>
  <c r="M97" i="4" s="1"/>
  <c r="N99" i="4"/>
  <c r="N97" i="4" s="1"/>
  <c r="Q99" i="4"/>
  <c r="Q96" i="4" s="1"/>
  <c r="R99" i="4"/>
  <c r="S99" i="4"/>
  <c r="S97" i="4" s="1"/>
  <c r="Q100" i="4"/>
  <c r="T100" i="4" s="1"/>
  <c r="R100" i="4"/>
  <c r="U100" i="4" s="1"/>
  <c r="S100" i="4"/>
  <c r="O101" i="4"/>
  <c r="P101" i="4"/>
  <c r="T101" i="4"/>
  <c r="U101" i="4"/>
  <c r="L102" i="4"/>
  <c r="M102" i="4"/>
  <c r="M100" i="4" s="1"/>
  <c r="P100" i="4" s="1"/>
  <c r="N102" i="4"/>
  <c r="T102" i="4"/>
  <c r="U102" i="4"/>
  <c r="I108" i="4"/>
  <c r="I92" i="4" s="1"/>
  <c r="K92" i="4" s="1"/>
  <c r="I109" i="4"/>
  <c r="I93" i="4" s="1"/>
  <c r="K93" i="4" s="1"/>
  <c r="I113" i="4"/>
  <c r="K113" i="4" s="1"/>
  <c r="I114" i="4"/>
  <c r="K114" i="4" s="1"/>
  <c r="J116" i="4"/>
  <c r="L118" i="4"/>
  <c r="O118" i="4" s="1"/>
  <c r="M118" i="4"/>
  <c r="P118" i="4" s="1"/>
  <c r="N118" i="4"/>
  <c r="Q118" i="4"/>
  <c r="R118" i="4"/>
  <c r="U118" i="4" s="1"/>
  <c r="S118" i="4"/>
  <c r="T118" i="4"/>
  <c r="O121" i="4"/>
  <c r="P121" i="4"/>
  <c r="T121" i="4"/>
  <c r="U121" i="4"/>
  <c r="L122" i="4"/>
  <c r="M122" i="4"/>
  <c r="M120" i="4" s="1"/>
  <c r="P120" i="4" s="1"/>
  <c r="N122" i="4"/>
  <c r="Q122" i="4"/>
  <c r="Q120" i="4" s="1"/>
  <c r="R122" i="4"/>
  <c r="S122" i="4"/>
  <c r="S119" i="4" s="1"/>
  <c r="S117" i="4" s="1"/>
  <c r="Q123" i="4"/>
  <c r="T123" i="4" s="1"/>
  <c r="R123" i="4"/>
  <c r="U123" i="4" s="1"/>
  <c r="S123" i="4"/>
  <c r="O124" i="4"/>
  <c r="P124" i="4"/>
  <c r="T124" i="4"/>
  <c r="U124" i="4"/>
  <c r="L125" i="4"/>
  <c r="O125" i="4" s="1"/>
  <c r="M125" i="4"/>
  <c r="M123" i="4" s="1"/>
  <c r="P123" i="4" s="1"/>
  <c r="N125" i="4"/>
  <c r="N123" i="4" s="1"/>
  <c r="T125" i="4"/>
  <c r="U125" i="4"/>
  <c r="I127" i="4"/>
  <c r="I116" i="4" s="1"/>
  <c r="I128" i="4"/>
  <c r="K128" i="4" s="1"/>
  <c r="I129" i="4"/>
  <c r="K129" i="4" s="1"/>
  <c r="I130" i="4"/>
  <c r="K130" i="4" s="1"/>
  <c r="J136" i="4"/>
  <c r="J137" i="4"/>
  <c r="J138" i="4"/>
  <c r="L140" i="4"/>
  <c r="O140" i="4" s="1"/>
  <c r="M140" i="4"/>
  <c r="P140" i="4" s="1"/>
  <c r="N140" i="4"/>
  <c r="Q140" i="4"/>
  <c r="R140" i="4"/>
  <c r="U140" i="4" s="1"/>
  <c r="S140" i="4"/>
  <c r="T140" i="4"/>
  <c r="O143" i="4"/>
  <c r="P143" i="4"/>
  <c r="T143" i="4"/>
  <c r="U143" i="4"/>
  <c r="L144" i="4"/>
  <c r="M144" i="4"/>
  <c r="N144" i="4"/>
  <c r="Q144" i="4"/>
  <c r="Q141" i="4" s="1"/>
  <c r="R144" i="4"/>
  <c r="R141" i="4" s="1"/>
  <c r="S144" i="4"/>
  <c r="S141" i="4" s="1"/>
  <c r="Q145" i="4"/>
  <c r="T145" i="4" s="1"/>
  <c r="R145" i="4"/>
  <c r="U145" i="4" s="1"/>
  <c r="S145" i="4"/>
  <c r="O146" i="4"/>
  <c r="P146" i="4"/>
  <c r="T146" i="4"/>
  <c r="U146" i="4"/>
  <c r="L147" i="4"/>
  <c r="O147" i="4" s="1"/>
  <c r="M147" i="4"/>
  <c r="M145" i="4" s="1"/>
  <c r="P145" i="4" s="1"/>
  <c r="N147" i="4"/>
  <c r="N145" i="4" s="1"/>
  <c r="T147" i="4"/>
  <c r="U147" i="4"/>
  <c r="I150" i="4"/>
  <c r="K150" i="4" s="1"/>
  <c r="I151" i="4"/>
  <c r="K151" i="4" s="1"/>
  <c r="I152" i="4"/>
  <c r="K152" i="4" s="1"/>
  <c r="I153" i="4"/>
  <c r="I138" i="4" s="1"/>
  <c r="K138" i="4" s="1"/>
  <c r="I154" i="4"/>
  <c r="J156" i="4"/>
  <c r="L158" i="4"/>
  <c r="O158" i="4" s="1"/>
  <c r="M158" i="4"/>
  <c r="P158" i="4" s="1"/>
  <c r="N158" i="4"/>
  <c r="Q158" i="4"/>
  <c r="T158" i="4" s="1"/>
  <c r="R158" i="4"/>
  <c r="S158" i="4"/>
  <c r="O161" i="4"/>
  <c r="P161" i="4"/>
  <c r="T161" i="4"/>
  <c r="U161" i="4"/>
  <c r="L162" i="4"/>
  <c r="O162" i="4" s="1"/>
  <c r="M162" i="4"/>
  <c r="M160" i="4" s="1"/>
  <c r="N162" i="4"/>
  <c r="Q162" i="4"/>
  <c r="Q160" i="4" s="1"/>
  <c r="T160" i="4" s="1"/>
  <c r="R162" i="4"/>
  <c r="U162" i="4" s="1"/>
  <c r="S162" i="4"/>
  <c r="S159" i="4" s="1"/>
  <c r="S157" i="4" s="1"/>
  <c r="Q163" i="4"/>
  <c r="T163" i="4" s="1"/>
  <c r="R163" i="4"/>
  <c r="U163" i="4" s="1"/>
  <c r="S163" i="4"/>
  <c r="O164" i="4"/>
  <c r="P164" i="4"/>
  <c r="T164" i="4"/>
  <c r="U164" i="4"/>
  <c r="L165" i="4"/>
  <c r="O165" i="4" s="1"/>
  <c r="M165" i="4"/>
  <c r="M163" i="4" s="1"/>
  <c r="P163" i="4" s="1"/>
  <c r="N165" i="4"/>
  <c r="N163" i="4" s="1"/>
  <c r="T165" i="4"/>
  <c r="U165" i="4"/>
  <c r="I167" i="4"/>
  <c r="K167" i="4" s="1"/>
  <c r="I168" i="4"/>
  <c r="K168" i="4" s="1"/>
  <c r="I169" i="4"/>
  <c r="I156" i="4" s="1"/>
  <c r="K156" i="4" s="1"/>
  <c r="J172" i="4"/>
  <c r="L174" i="4"/>
  <c r="M174" i="4"/>
  <c r="N174" i="4"/>
  <c r="O174" i="4"/>
  <c r="P174" i="4"/>
  <c r="Q174" i="4"/>
  <c r="T174" i="4" s="1"/>
  <c r="R174" i="4"/>
  <c r="S174" i="4"/>
  <c r="U174" i="4"/>
  <c r="O177" i="4"/>
  <c r="P177" i="4"/>
  <c r="T177" i="4"/>
  <c r="U177" i="4"/>
  <c r="L178" i="4"/>
  <c r="L176" i="4" s="1"/>
  <c r="M178" i="4"/>
  <c r="N178" i="4"/>
  <c r="N176" i="4" s="1"/>
  <c r="Q178" i="4"/>
  <c r="R178" i="4"/>
  <c r="U178" i="4" s="1"/>
  <c r="S178" i="4"/>
  <c r="S175" i="4" s="1"/>
  <c r="S173" i="4" s="1"/>
  <c r="Q179" i="4"/>
  <c r="T179" i="4" s="1"/>
  <c r="R179" i="4"/>
  <c r="U179" i="4" s="1"/>
  <c r="S179" i="4"/>
  <c r="O180" i="4"/>
  <c r="P180" i="4"/>
  <c r="T180" i="4"/>
  <c r="U180" i="4"/>
  <c r="L181" i="4"/>
  <c r="O181" i="4" s="1"/>
  <c r="M181" i="4"/>
  <c r="P181" i="4" s="1"/>
  <c r="N181" i="4"/>
  <c r="N179" i="4" s="1"/>
  <c r="T181" i="4"/>
  <c r="U181" i="4"/>
  <c r="I183" i="4"/>
  <c r="I172" i="4" s="1"/>
  <c r="K184" i="4"/>
  <c r="L187" i="4"/>
  <c r="O187" i="4" s="1"/>
  <c r="M187" i="4"/>
  <c r="P187" i="4" s="1"/>
  <c r="N187" i="4"/>
  <c r="Q187" i="4"/>
  <c r="R187" i="4"/>
  <c r="S187" i="4"/>
  <c r="O190" i="4"/>
  <c r="P190" i="4"/>
  <c r="T190" i="4"/>
  <c r="U190" i="4"/>
  <c r="L191" i="4"/>
  <c r="L189" i="4" s="1"/>
  <c r="M191" i="4"/>
  <c r="N191" i="4"/>
  <c r="N189" i="4" s="1"/>
  <c r="Q191" i="4"/>
  <c r="R191" i="4"/>
  <c r="R188" i="4" s="1"/>
  <c r="S191" i="4"/>
  <c r="S188" i="4" s="1"/>
  <c r="S186" i="4" s="1"/>
  <c r="Q192" i="4"/>
  <c r="R192" i="4"/>
  <c r="U192" i="4" s="1"/>
  <c r="S192" i="4"/>
  <c r="T192" i="4"/>
  <c r="O193" i="4"/>
  <c r="P193" i="4"/>
  <c r="T193" i="4"/>
  <c r="U193" i="4"/>
  <c r="L194" i="4"/>
  <c r="O194" i="4" s="1"/>
  <c r="M194" i="4"/>
  <c r="P194" i="4" s="1"/>
  <c r="N194" i="4"/>
  <c r="N192" i="4" s="1"/>
  <c r="T194" i="4"/>
  <c r="U194" i="4"/>
  <c r="J195" i="4"/>
  <c r="L196" i="4"/>
  <c r="O196" i="4" s="1"/>
  <c r="P196" i="4"/>
  <c r="I198" i="4"/>
  <c r="I195" i="4" s="1"/>
  <c r="J199" i="4"/>
  <c r="J202" i="4"/>
  <c r="N203" i="4"/>
  <c r="P203" i="4"/>
  <c r="S203" i="4"/>
  <c r="U203" i="4"/>
  <c r="L204" i="4"/>
  <c r="L205" i="4"/>
  <c r="L206" i="4"/>
  <c r="Q206" i="4"/>
  <c r="Q203" i="4" s="1"/>
  <c r="T203" i="4" s="1"/>
  <c r="L207" i="4"/>
  <c r="I209" i="4"/>
  <c r="K209" i="4" s="1"/>
  <c r="I211" i="4"/>
  <c r="K211" i="4" s="1"/>
  <c r="I212" i="4"/>
  <c r="K212" i="4" s="1"/>
  <c r="J213" i="4"/>
  <c r="N214" i="4"/>
  <c r="P214" i="4"/>
  <c r="S214" i="4"/>
  <c r="U214" i="4"/>
  <c r="L215" i="4"/>
  <c r="L216" i="4"/>
  <c r="L217" i="4"/>
  <c r="Q217" i="4"/>
  <c r="Q214" i="4" s="1"/>
  <c r="I219" i="4"/>
  <c r="K219" i="4" s="1"/>
  <c r="I220" i="4"/>
  <c r="I213" i="4" s="1"/>
  <c r="K213" i="4" s="1"/>
  <c r="J221" i="4"/>
  <c r="N222" i="4"/>
  <c r="P222" i="4"/>
  <c r="L223" i="4"/>
  <c r="L224" i="4"/>
  <c r="L225" i="4"/>
  <c r="I228" i="4"/>
  <c r="K228" i="4" s="1"/>
  <c r="I229" i="4"/>
  <c r="I221" i="4" s="1"/>
  <c r="K221" i="4" s="1"/>
  <c r="I230" i="4"/>
  <c r="N233" i="4"/>
  <c r="Q233" i="4"/>
  <c r="S233" i="4"/>
  <c r="N234" i="4"/>
  <c r="Q234" i="4"/>
  <c r="S234" i="4"/>
  <c r="N235" i="4"/>
  <c r="S235" i="4"/>
  <c r="N236" i="4"/>
  <c r="Q236" i="4"/>
  <c r="S236" i="4"/>
  <c r="J238" i="4"/>
  <c r="J240" i="4"/>
  <c r="J241" i="4"/>
  <c r="J242" i="4"/>
  <c r="N243" i="4"/>
  <c r="P243" i="4"/>
  <c r="S243" i="4"/>
  <c r="S232" i="4" s="1"/>
  <c r="U243" i="4"/>
  <c r="L244" i="4"/>
  <c r="L245" i="4"/>
  <c r="L246" i="4"/>
  <c r="Q246" i="4"/>
  <c r="Q235" i="4" s="1"/>
  <c r="L247" i="4"/>
  <c r="I249" i="4"/>
  <c r="I251" i="4"/>
  <c r="I240" i="4" s="1"/>
  <c r="I252" i="4"/>
  <c r="J253" i="4"/>
  <c r="N254" i="4"/>
  <c r="N232" i="4" s="1"/>
  <c r="P254" i="4"/>
  <c r="L255" i="4"/>
  <c r="L256" i="4"/>
  <c r="L257" i="4"/>
  <c r="L258" i="4"/>
  <c r="I260" i="4"/>
  <c r="I253" i="4" s="1"/>
  <c r="K253" i="4" s="1"/>
  <c r="K262" i="4"/>
  <c r="K263" i="4"/>
  <c r="J265" i="4"/>
  <c r="L267" i="4"/>
  <c r="M267" i="4"/>
  <c r="P267" i="4" s="1"/>
  <c r="N267" i="4"/>
  <c r="Q267" i="4"/>
  <c r="R267" i="4"/>
  <c r="S267" i="4"/>
  <c r="O270" i="4"/>
  <c r="P270" i="4"/>
  <c r="T270" i="4"/>
  <c r="U270" i="4"/>
  <c r="L271" i="4"/>
  <c r="M271" i="4"/>
  <c r="N271" i="4"/>
  <c r="Q271" i="4"/>
  <c r="R271" i="4"/>
  <c r="R268" i="4" s="1"/>
  <c r="S271" i="4"/>
  <c r="Q272" i="4"/>
  <c r="T272" i="4" s="1"/>
  <c r="R272" i="4"/>
  <c r="S272" i="4"/>
  <c r="U272" i="4"/>
  <c r="O273" i="4"/>
  <c r="P273" i="4"/>
  <c r="T273" i="4"/>
  <c r="U273" i="4"/>
  <c r="L274" i="4"/>
  <c r="L272" i="4" s="1"/>
  <c r="O272" i="4" s="1"/>
  <c r="M274" i="4"/>
  <c r="P274" i="4" s="1"/>
  <c r="N274" i="4"/>
  <c r="N272" i="4" s="1"/>
  <c r="T274" i="4"/>
  <c r="U274" i="4"/>
  <c r="I276" i="4"/>
  <c r="K276" i="4" s="1"/>
  <c r="J280" i="4"/>
  <c r="J281" i="4"/>
  <c r="L283" i="4"/>
  <c r="M283" i="4"/>
  <c r="N283" i="4"/>
  <c r="Q283" i="4"/>
  <c r="Q282" i="4" s="1"/>
  <c r="T282" i="4" s="1"/>
  <c r="R283" i="4"/>
  <c r="S283" i="4"/>
  <c r="Q284" i="4"/>
  <c r="T284" i="4" s="1"/>
  <c r="R284" i="4"/>
  <c r="U284" i="4" s="1"/>
  <c r="S284" i="4"/>
  <c r="Q285" i="4"/>
  <c r="T285" i="4" s="1"/>
  <c r="R285" i="4"/>
  <c r="U285" i="4" s="1"/>
  <c r="S285" i="4"/>
  <c r="O286" i="4"/>
  <c r="P286" i="4"/>
  <c r="T286" i="4"/>
  <c r="U286" i="4"/>
  <c r="L287" i="4"/>
  <c r="L285" i="4" s="1"/>
  <c r="M287" i="4"/>
  <c r="M285" i="4" s="1"/>
  <c r="N287" i="4"/>
  <c r="N285" i="4" s="1"/>
  <c r="T287" i="4"/>
  <c r="U287" i="4"/>
  <c r="Q288" i="4"/>
  <c r="R288" i="4"/>
  <c r="S288" i="4"/>
  <c r="T288" i="4"/>
  <c r="U288" i="4"/>
  <c r="O289" i="4"/>
  <c r="P289" i="4"/>
  <c r="T289" i="4"/>
  <c r="U289" i="4"/>
  <c r="L290" i="4"/>
  <c r="M290" i="4"/>
  <c r="P290" i="4" s="1"/>
  <c r="N290" i="4"/>
  <c r="N288" i="4" s="1"/>
  <c r="T290" i="4"/>
  <c r="U290" i="4"/>
  <c r="I292" i="4"/>
  <c r="I281" i="4" s="1"/>
  <c r="K281" i="4" s="1"/>
  <c r="I293" i="4"/>
  <c r="J293" i="4"/>
  <c r="I295" i="4"/>
  <c r="K295" i="4" s="1"/>
  <c r="I296" i="4"/>
  <c r="K296" i="4" s="1"/>
  <c r="J302" i="4"/>
  <c r="L304" i="4"/>
  <c r="M304" i="4"/>
  <c r="N304" i="4"/>
  <c r="Q304" i="4"/>
  <c r="T304" i="4" s="1"/>
  <c r="R304" i="4"/>
  <c r="U304" i="4" s="1"/>
  <c r="S304" i="4"/>
  <c r="O307" i="4"/>
  <c r="P307" i="4"/>
  <c r="T307" i="4"/>
  <c r="U307" i="4"/>
  <c r="L308" i="4"/>
  <c r="L306" i="4" s="1"/>
  <c r="M308" i="4"/>
  <c r="N308" i="4"/>
  <c r="Q308" i="4"/>
  <c r="R308" i="4"/>
  <c r="R306" i="4" s="1"/>
  <c r="S308" i="4"/>
  <c r="S305" i="4" s="1"/>
  <c r="Q309" i="4"/>
  <c r="T309" i="4" s="1"/>
  <c r="R309" i="4"/>
  <c r="U309" i="4" s="1"/>
  <c r="S309" i="4"/>
  <c r="O310" i="4"/>
  <c r="P310" i="4"/>
  <c r="T310" i="4"/>
  <c r="U310" i="4"/>
  <c r="L311" i="4"/>
  <c r="L309" i="4" s="1"/>
  <c r="O309" i="4" s="1"/>
  <c r="M311" i="4"/>
  <c r="P311" i="4" s="1"/>
  <c r="N311" i="4"/>
  <c r="N309" i="4" s="1"/>
  <c r="T311" i="4"/>
  <c r="U311" i="4"/>
  <c r="I314" i="4"/>
  <c r="I302" i="4" s="1"/>
  <c r="K302" i="4" s="1"/>
  <c r="J319" i="4"/>
  <c r="L321" i="4"/>
  <c r="O321" i="4" s="1"/>
  <c r="M321" i="4"/>
  <c r="N321" i="4"/>
  <c r="Q321" i="4"/>
  <c r="Q320" i="4" s="1"/>
  <c r="T320" i="4" s="1"/>
  <c r="R321" i="4"/>
  <c r="U321" i="4" s="1"/>
  <c r="S321" i="4"/>
  <c r="Q322" i="4"/>
  <c r="T322" i="4" s="1"/>
  <c r="R322" i="4"/>
  <c r="S322" i="4"/>
  <c r="Q323" i="4"/>
  <c r="T323" i="4" s="1"/>
  <c r="R323" i="4"/>
  <c r="U323" i="4" s="1"/>
  <c r="S323" i="4"/>
  <c r="O324" i="4"/>
  <c r="P324" i="4"/>
  <c r="T324" i="4"/>
  <c r="U324" i="4"/>
  <c r="L325" i="4"/>
  <c r="L323" i="4" s="1"/>
  <c r="O323" i="4" s="1"/>
  <c r="M325" i="4"/>
  <c r="M323" i="4" s="1"/>
  <c r="P323" i="4" s="1"/>
  <c r="N325" i="4"/>
  <c r="N323" i="4" s="1"/>
  <c r="T325" i="4"/>
  <c r="U325" i="4"/>
  <c r="Q326" i="4"/>
  <c r="T326" i="4" s="1"/>
  <c r="R326" i="4"/>
  <c r="S326" i="4"/>
  <c r="U326" i="4"/>
  <c r="O327" i="4"/>
  <c r="P327" i="4"/>
  <c r="T327" i="4"/>
  <c r="U327" i="4"/>
  <c r="L328" i="4"/>
  <c r="L326" i="4" s="1"/>
  <c r="O326" i="4" s="1"/>
  <c r="M328" i="4"/>
  <c r="N328" i="4"/>
  <c r="N326" i="4" s="1"/>
  <c r="T328" i="4"/>
  <c r="U328" i="4"/>
  <c r="I330" i="4"/>
  <c r="R333" i="4"/>
  <c r="U333" i="4" s="1"/>
  <c r="L334" i="4"/>
  <c r="M334" i="4"/>
  <c r="P334" i="4" s="1"/>
  <c r="N334" i="4"/>
  <c r="Q334" i="4"/>
  <c r="R334" i="4"/>
  <c r="S334" i="4"/>
  <c r="U334" i="4"/>
  <c r="Q335" i="4"/>
  <c r="R335" i="4"/>
  <c r="S335" i="4"/>
  <c r="T335" i="4"/>
  <c r="U335" i="4"/>
  <c r="Q336" i="4"/>
  <c r="T336" i="4" s="1"/>
  <c r="R336" i="4"/>
  <c r="S336" i="4"/>
  <c r="U336" i="4"/>
  <c r="O337" i="4"/>
  <c r="P337" i="4"/>
  <c r="T337" i="4"/>
  <c r="U337" i="4"/>
  <c r="L338" i="4"/>
  <c r="L336" i="4" s="1"/>
  <c r="M338" i="4"/>
  <c r="N338" i="4"/>
  <c r="T338" i="4"/>
  <c r="U338" i="4"/>
  <c r="Q339" i="4"/>
  <c r="R339" i="4"/>
  <c r="U339" i="4" s="1"/>
  <c r="S339" i="4"/>
  <c r="T339" i="4"/>
  <c r="O340" i="4"/>
  <c r="P340" i="4"/>
  <c r="T340" i="4"/>
  <c r="U340" i="4"/>
  <c r="L341" i="4"/>
  <c r="O341" i="4" s="1"/>
  <c r="M341" i="4"/>
  <c r="M339" i="4" s="1"/>
  <c r="P339" i="4" s="1"/>
  <c r="N341" i="4"/>
  <c r="T341" i="4"/>
  <c r="U341" i="4"/>
  <c r="I344" i="4"/>
  <c r="I332" i="4" s="1"/>
  <c r="J344" i="4"/>
  <c r="I346" i="4"/>
  <c r="J346" i="4"/>
  <c r="J347" i="4"/>
  <c r="J348" i="4"/>
  <c r="J349" i="4"/>
  <c r="D350" i="4"/>
  <c r="J352" i="4"/>
  <c r="J353" i="4"/>
  <c r="D354" i="4"/>
  <c r="R356" i="4"/>
  <c r="U356" i="4" s="1"/>
  <c r="L357" i="4"/>
  <c r="M357" i="4"/>
  <c r="P357" i="4" s="1"/>
  <c r="N357" i="4"/>
  <c r="Q357" i="4"/>
  <c r="R357" i="4"/>
  <c r="U357" i="4" s="1"/>
  <c r="S357" i="4"/>
  <c r="T357" i="4"/>
  <c r="Q358" i="4"/>
  <c r="R358" i="4"/>
  <c r="S358" i="4"/>
  <c r="T358" i="4"/>
  <c r="U358" i="4"/>
  <c r="Q359" i="4"/>
  <c r="T359" i="4" s="1"/>
  <c r="R359" i="4"/>
  <c r="S359" i="4"/>
  <c r="U359" i="4"/>
  <c r="O360" i="4"/>
  <c r="P360" i="4"/>
  <c r="T360" i="4"/>
  <c r="U360" i="4"/>
  <c r="L361" i="4"/>
  <c r="L359" i="4" s="1"/>
  <c r="M361" i="4"/>
  <c r="N361" i="4"/>
  <c r="N359" i="4" s="1"/>
  <c r="T361" i="4"/>
  <c r="U361" i="4"/>
  <c r="Q362" i="4"/>
  <c r="T362" i="4" s="1"/>
  <c r="R362" i="4"/>
  <c r="U362" i="4" s="1"/>
  <c r="S362" i="4"/>
  <c r="O363" i="4"/>
  <c r="P363" i="4"/>
  <c r="T363" i="4"/>
  <c r="U363" i="4"/>
  <c r="L364" i="4"/>
  <c r="O364" i="4" s="1"/>
  <c r="M364" i="4"/>
  <c r="P364" i="4" s="1"/>
  <c r="N364" i="4"/>
  <c r="N362" i="4" s="1"/>
  <c r="T364" i="4"/>
  <c r="U364" i="4"/>
  <c r="J367" i="4"/>
  <c r="K367" i="4"/>
  <c r="I368" i="4"/>
  <c r="J368" i="4"/>
  <c r="I369" i="4"/>
  <c r="J369" i="4"/>
  <c r="J370" i="4"/>
  <c r="K370" i="4"/>
  <c r="I371" i="4"/>
  <c r="I365" i="4" s="1"/>
  <c r="J371" i="4"/>
  <c r="J365" i="4" s="1"/>
  <c r="J372" i="4"/>
  <c r="K372" i="4"/>
  <c r="D373" i="4"/>
  <c r="L375" i="4"/>
  <c r="O375" i="4" s="1"/>
  <c r="L376" i="4"/>
  <c r="M376" i="4"/>
  <c r="N376" i="4"/>
  <c r="O376" i="4"/>
  <c r="Q376" i="4"/>
  <c r="T376" i="4" s="1"/>
  <c r="R376" i="4"/>
  <c r="S376" i="4"/>
  <c r="U376" i="4"/>
  <c r="L377" i="4"/>
  <c r="O377" i="4" s="1"/>
  <c r="M377" i="4"/>
  <c r="P377" i="4" s="1"/>
  <c r="N377" i="4"/>
  <c r="L378" i="4"/>
  <c r="O378" i="4" s="1"/>
  <c r="M378" i="4"/>
  <c r="P378" i="4" s="1"/>
  <c r="N378" i="4"/>
  <c r="O379" i="4"/>
  <c r="P379" i="4"/>
  <c r="T379" i="4"/>
  <c r="U379" i="4"/>
  <c r="O380" i="4"/>
  <c r="P380" i="4"/>
  <c r="Q380" i="4"/>
  <c r="Q378" i="4" s="1"/>
  <c r="R380" i="4"/>
  <c r="S380" i="4"/>
  <c r="L381" i="4"/>
  <c r="M381" i="4"/>
  <c r="N381" i="4"/>
  <c r="O381" i="4"/>
  <c r="P381" i="4"/>
  <c r="Q381" i="4"/>
  <c r="T381" i="4" s="1"/>
  <c r="R381" i="4"/>
  <c r="S381" i="4"/>
  <c r="U381" i="4"/>
  <c r="O382" i="4"/>
  <c r="P382" i="4"/>
  <c r="T382" i="4"/>
  <c r="U382" i="4"/>
  <c r="O383" i="4"/>
  <c r="P383" i="4"/>
  <c r="T383" i="4"/>
  <c r="U383" i="4"/>
  <c r="J385" i="4"/>
  <c r="K385" i="4"/>
  <c r="I386" i="4"/>
  <c r="J386" i="4"/>
  <c r="J387" i="4"/>
  <c r="K387" i="4"/>
  <c r="I388" i="4"/>
  <c r="K388" i="4" s="1"/>
  <c r="J388" i="4"/>
  <c r="I391" i="4"/>
  <c r="J391" i="4"/>
  <c r="K391" i="4"/>
  <c r="L393" i="4"/>
  <c r="L392" i="4" s="1"/>
  <c r="O392" i="4" s="1"/>
  <c r="M393" i="4"/>
  <c r="M392" i="4" s="1"/>
  <c r="P392" i="4" s="1"/>
  <c r="N393" i="4"/>
  <c r="N392" i="4" s="1"/>
  <c r="Q393" i="4"/>
  <c r="T393" i="4" s="1"/>
  <c r="R393" i="4"/>
  <c r="R392" i="4" s="1"/>
  <c r="U392" i="4" s="1"/>
  <c r="S393" i="4"/>
  <c r="S392" i="4" s="1"/>
  <c r="L394" i="4"/>
  <c r="M394" i="4"/>
  <c r="P394" i="4" s="1"/>
  <c r="N394" i="4"/>
  <c r="O394" i="4"/>
  <c r="Q394" i="4"/>
  <c r="T394" i="4" s="1"/>
  <c r="R394" i="4"/>
  <c r="U394" i="4" s="1"/>
  <c r="S394" i="4"/>
  <c r="L395" i="4"/>
  <c r="M395" i="4"/>
  <c r="P395" i="4" s="1"/>
  <c r="N395" i="4"/>
  <c r="O395" i="4"/>
  <c r="Q395" i="4"/>
  <c r="R395" i="4"/>
  <c r="S395" i="4"/>
  <c r="T395" i="4"/>
  <c r="U395" i="4"/>
  <c r="O396" i="4"/>
  <c r="P396" i="4"/>
  <c r="T396" i="4"/>
  <c r="U396" i="4"/>
  <c r="O397" i="4"/>
  <c r="P397" i="4"/>
  <c r="T397" i="4"/>
  <c r="U397" i="4"/>
  <c r="L398" i="4"/>
  <c r="M398" i="4"/>
  <c r="P398" i="4" s="1"/>
  <c r="N398" i="4"/>
  <c r="O398" i="4"/>
  <c r="Q398" i="4"/>
  <c r="T398" i="4" s="1"/>
  <c r="R398" i="4"/>
  <c r="S398" i="4"/>
  <c r="U398" i="4"/>
  <c r="O399" i="4"/>
  <c r="P399" i="4"/>
  <c r="T399" i="4"/>
  <c r="U399" i="4"/>
  <c r="O400" i="4"/>
  <c r="P400" i="4"/>
  <c r="T400" i="4"/>
  <c r="U400" i="4"/>
  <c r="L414" i="4"/>
  <c r="M414" i="4"/>
  <c r="N414" i="4"/>
  <c r="N413" i="4" s="1"/>
  <c r="P414" i="4"/>
  <c r="Q414" i="4"/>
  <c r="R414" i="4"/>
  <c r="S414" i="4"/>
  <c r="T414" i="4"/>
  <c r="L415" i="4"/>
  <c r="O415" i="4" s="1"/>
  <c r="M415" i="4"/>
  <c r="P415" i="4" s="1"/>
  <c r="N415" i="4"/>
  <c r="L416" i="4"/>
  <c r="O416" i="4" s="1"/>
  <c r="M416" i="4"/>
  <c r="N416" i="4"/>
  <c r="P416" i="4"/>
  <c r="O417" i="4"/>
  <c r="P417" i="4"/>
  <c r="T417" i="4"/>
  <c r="U417" i="4"/>
  <c r="O418" i="4"/>
  <c r="P418" i="4"/>
  <c r="Q418" i="4"/>
  <c r="Q416" i="4" s="1"/>
  <c r="T416" i="4" s="1"/>
  <c r="R418" i="4"/>
  <c r="R416" i="4" s="1"/>
  <c r="U416" i="4" s="1"/>
  <c r="S418" i="4"/>
  <c r="S415" i="4" s="1"/>
  <c r="L419" i="4"/>
  <c r="O419" i="4" s="1"/>
  <c r="M419" i="4"/>
  <c r="P419" i="4" s="1"/>
  <c r="N419" i="4"/>
  <c r="Q419" i="4"/>
  <c r="T419" i="4" s="1"/>
  <c r="R419" i="4"/>
  <c r="U419" i="4" s="1"/>
  <c r="S419" i="4"/>
  <c r="O420" i="4"/>
  <c r="P420" i="4"/>
  <c r="T420" i="4"/>
  <c r="U420" i="4"/>
  <c r="O421" i="4"/>
  <c r="P421" i="4"/>
  <c r="T421" i="4"/>
  <c r="U421" i="4"/>
  <c r="I424" i="4"/>
  <c r="K424" i="4" s="1"/>
  <c r="J424" i="4"/>
  <c r="I425" i="4"/>
  <c r="K425" i="4" s="1"/>
  <c r="J425" i="4"/>
  <c r="I432" i="4"/>
  <c r="K432" i="4" s="1"/>
  <c r="J432" i="4"/>
  <c r="I433" i="4"/>
  <c r="K433" i="4" s="1"/>
  <c r="J433" i="4"/>
  <c r="I440" i="4"/>
  <c r="I423" i="4" s="1"/>
  <c r="I441" i="4"/>
  <c r="K441" i="4" s="1"/>
  <c r="J446" i="4"/>
  <c r="J440" i="4" s="1"/>
  <c r="J423" i="4" s="1"/>
  <c r="J412" i="4" s="1"/>
  <c r="J447" i="4"/>
  <c r="J441" i="4" s="1"/>
  <c r="I457" i="4"/>
  <c r="K457" i="4" s="1"/>
  <c r="I458" i="4"/>
  <c r="K458" i="4" s="1"/>
  <c r="J459" i="4"/>
  <c r="J460" i="4"/>
  <c r="J467" i="4"/>
  <c r="J468" i="4"/>
  <c r="J475" i="4"/>
  <c r="K475" i="4"/>
  <c r="J476" i="4"/>
  <c r="K476" i="4"/>
  <c r="J477" i="4"/>
  <c r="K477" i="4"/>
  <c r="J482" i="4"/>
  <c r="J483" i="4"/>
  <c r="I484" i="4"/>
  <c r="K484" i="4" s="1"/>
  <c r="J484" i="4"/>
  <c r="I485" i="4"/>
  <c r="K485" i="4" s="1"/>
  <c r="J485" i="4"/>
  <c r="L494" i="4"/>
  <c r="O494" i="4" s="1"/>
  <c r="M494" i="4"/>
  <c r="N494" i="4"/>
  <c r="P494" i="4"/>
  <c r="Q494" i="4"/>
  <c r="R494" i="4"/>
  <c r="U494" i="4" s="1"/>
  <c r="S494" i="4"/>
  <c r="L495" i="4"/>
  <c r="O495" i="4" s="1"/>
  <c r="M495" i="4"/>
  <c r="N495" i="4"/>
  <c r="P495" i="4"/>
  <c r="L496" i="4"/>
  <c r="M496" i="4"/>
  <c r="N496" i="4"/>
  <c r="O496" i="4"/>
  <c r="P496" i="4"/>
  <c r="O497" i="4"/>
  <c r="P497" i="4"/>
  <c r="T497" i="4"/>
  <c r="U497" i="4"/>
  <c r="O498" i="4"/>
  <c r="P498" i="4"/>
  <c r="Q498" i="4"/>
  <c r="Q495" i="4" s="1"/>
  <c r="T495" i="4" s="1"/>
  <c r="R498" i="4"/>
  <c r="R495" i="4" s="1"/>
  <c r="S498" i="4"/>
  <c r="L499" i="4"/>
  <c r="M499" i="4"/>
  <c r="P499" i="4" s="1"/>
  <c r="N499" i="4"/>
  <c r="O499" i="4"/>
  <c r="Q499" i="4"/>
  <c r="T499" i="4" s="1"/>
  <c r="R499" i="4"/>
  <c r="U499" i="4" s="1"/>
  <c r="S499" i="4"/>
  <c r="O500" i="4"/>
  <c r="P500" i="4"/>
  <c r="T500" i="4"/>
  <c r="U500" i="4"/>
  <c r="O501" i="4"/>
  <c r="P501" i="4"/>
  <c r="T501" i="4"/>
  <c r="U501" i="4"/>
  <c r="I503" i="4"/>
  <c r="I504" i="4"/>
  <c r="K504" i="4" s="1"/>
  <c r="I505" i="4"/>
  <c r="K505" i="4" s="1"/>
  <c r="I506" i="4"/>
  <c r="K506" i="4" s="1"/>
  <c r="I507" i="4"/>
  <c r="K507" i="4" s="1"/>
  <c r="K508" i="4"/>
  <c r="I509" i="4"/>
  <c r="K509" i="4" s="1"/>
  <c r="I512" i="4"/>
  <c r="K512" i="4" s="1"/>
  <c r="J512" i="4"/>
  <c r="L514" i="4"/>
  <c r="M514" i="4"/>
  <c r="P514" i="4" s="1"/>
  <c r="N514" i="4"/>
  <c r="O514" i="4"/>
  <c r="Q514" i="4"/>
  <c r="R514" i="4"/>
  <c r="S514" i="4"/>
  <c r="S513" i="4" s="1"/>
  <c r="T514" i="4"/>
  <c r="U514" i="4"/>
  <c r="Q515" i="4"/>
  <c r="R515" i="4"/>
  <c r="U515" i="4" s="1"/>
  <c r="S515" i="4"/>
  <c r="T515" i="4"/>
  <c r="Q516" i="4"/>
  <c r="R516" i="4"/>
  <c r="U516" i="4" s="1"/>
  <c r="S516" i="4"/>
  <c r="T516" i="4"/>
  <c r="O517" i="4"/>
  <c r="P517" i="4"/>
  <c r="T517" i="4"/>
  <c r="U517" i="4"/>
  <c r="L518" i="4"/>
  <c r="O518" i="4" s="1"/>
  <c r="M518" i="4"/>
  <c r="P518" i="4" s="1"/>
  <c r="N518" i="4"/>
  <c r="N516" i="4" s="1"/>
  <c r="T518" i="4"/>
  <c r="U518" i="4"/>
  <c r="Q519" i="4"/>
  <c r="T519" i="4" s="1"/>
  <c r="R519" i="4"/>
  <c r="U519" i="4" s="1"/>
  <c r="S519" i="4"/>
  <c r="O520" i="4"/>
  <c r="P520" i="4"/>
  <c r="T520" i="4"/>
  <c r="U520" i="4"/>
  <c r="L521" i="4"/>
  <c r="O521" i="4" s="1"/>
  <c r="M521" i="4"/>
  <c r="M519" i="4" s="1"/>
  <c r="P519" i="4" s="1"/>
  <c r="N521" i="4"/>
  <c r="N519" i="4" s="1"/>
  <c r="T521" i="4"/>
  <c r="U521" i="4"/>
  <c r="K523" i="4"/>
  <c r="K524" i="4"/>
  <c r="I533" i="4"/>
  <c r="J533" i="4"/>
  <c r="K533" i="4"/>
  <c r="L535" i="4"/>
  <c r="O535" i="4" s="1"/>
  <c r="M535" i="4"/>
  <c r="P535" i="4" s="1"/>
  <c r="N535" i="4"/>
  <c r="Q535" i="4"/>
  <c r="T535" i="4" s="1"/>
  <c r="R535" i="4"/>
  <c r="S535" i="4"/>
  <c r="L536" i="4"/>
  <c r="O536" i="4" s="1"/>
  <c r="M536" i="4"/>
  <c r="P536" i="4" s="1"/>
  <c r="N536" i="4"/>
  <c r="N534" i="4" s="1"/>
  <c r="Q536" i="4"/>
  <c r="Q534" i="4" s="1"/>
  <c r="T534" i="4" s="1"/>
  <c r="R536" i="4"/>
  <c r="U536" i="4" s="1"/>
  <c r="S536" i="4"/>
  <c r="S534" i="4" s="1"/>
  <c r="T536" i="4"/>
  <c r="L537" i="4"/>
  <c r="M537" i="4"/>
  <c r="N537" i="4"/>
  <c r="O537" i="4"/>
  <c r="P537" i="4"/>
  <c r="Q537" i="4"/>
  <c r="R537" i="4"/>
  <c r="S537" i="4"/>
  <c r="T537" i="4"/>
  <c r="U537" i="4"/>
  <c r="O538" i="4"/>
  <c r="P538" i="4"/>
  <c r="T538" i="4"/>
  <c r="U538" i="4"/>
  <c r="O539" i="4"/>
  <c r="P539" i="4"/>
  <c r="T539" i="4"/>
  <c r="U539" i="4"/>
  <c r="L540" i="4"/>
  <c r="M540" i="4"/>
  <c r="N540" i="4"/>
  <c r="O540" i="4"/>
  <c r="P540" i="4"/>
  <c r="Q540" i="4"/>
  <c r="R540" i="4"/>
  <c r="S540" i="4"/>
  <c r="T540" i="4"/>
  <c r="U540" i="4"/>
  <c r="O541" i="4"/>
  <c r="P541" i="4"/>
  <c r="T541" i="4"/>
  <c r="U541" i="4"/>
  <c r="O542" i="4"/>
  <c r="P542" i="4"/>
  <c r="T542" i="4"/>
  <c r="U542" i="4"/>
  <c r="I554" i="4"/>
  <c r="K554" i="4" s="1"/>
  <c r="J554" i="4"/>
  <c r="R555" i="4"/>
  <c r="U555" i="4" s="1"/>
  <c r="L556" i="4"/>
  <c r="L555" i="4" s="1"/>
  <c r="O555" i="4" s="1"/>
  <c r="M556" i="4"/>
  <c r="P556" i="4" s="1"/>
  <c r="N556" i="4"/>
  <c r="O556" i="4"/>
  <c r="Q556" i="4"/>
  <c r="Q555" i="4" s="1"/>
  <c r="T555" i="4" s="1"/>
  <c r="R556" i="4"/>
  <c r="S556" i="4"/>
  <c r="S555" i="4" s="1"/>
  <c r="U556" i="4"/>
  <c r="L557" i="4"/>
  <c r="O557" i="4" s="1"/>
  <c r="M557" i="4"/>
  <c r="P557" i="4" s="1"/>
  <c r="N557" i="4"/>
  <c r="Q557" i="4"/>
  <c r="T557" i="4" s="1"/>
  <c r="R557" i="4"/>
  <c r="U557" i="4" s="1"/>
  <c r="S557" i="4"/>
  <c r="L558" i="4"/>
  <c r="O558" i="4" s="1"/>
  <c r="M558" i="4"/>
  <c r="P558" i="4" s="1"/>
  <c r="N558" i="4"/>
  <c r="Q558" i="4"/>
  <c r="T558" i="4" s="1"/>
  <c r="R558" i="4"/>
  <c r="U558" i="4" s="1"/>
  <c r="S558" i="4"/>
  <c r="O559" i="4"/>
  <c r="P559" i="4"/>
  <c r="T559" i="4"/>
  <c r="U559" i="4"/>
  <c r="O560" i="4"/>
  <c r="P560" i="4"/>
  <c r="T560" i="4"/>
  <c r="U560" i="4"/>
  <c r="L561" i="4"/>
  <c r="O561" i="4" s="1"/>
  <c r="M561" i="4"/>
  <c r="P561" i="4" s="1"/>
  <c r="N561" i="4"/>
  <c r="Q561" i="4"/>
  <c r="T561" i="4" s="1"/>
  <c r="R561" i="4"/>
  <c r="U561" i="4" s="1"/>
  <c r="S561" i="4"/>
  <c r="O562" i="4"/>
  <c r="P562" i="4"/>
  <c r="T562" i="4"/>
  <c r="U562" i="4"/>
  <c r="O563" i="4"/>
  <c r="P563" i="4"/>
  <c r="T563" i="4"/>
  <c r="U563" i="4"/>
  <c r="I575" i="4"/>
  <c r="K575" i="4" s="1"/>
  <c r="J575" i="4"/>
  <c r="L577" i="4"/>
  <c r="M577" i="4"/>
  <c r="N577" i="4"/>
  <c r="P577" i="4"/>
  <c r="Q577" i="4"/>
  <c r="R577" i="4"/>
  <c r="S577" i="4"/>
  <c r="L578" i="4"/>
  <c r="O578" i="4" s="1"/>
  <c r="M578" i="4"/>
  <c r="N578" i="4"/>
  <c r="Q578" i="4"/>
  <c r="T578" i="4" s="1"/>
  <c r="R578" i="4"/>
  <c r="U578" i="4" s="1"/>
  <c r="S578" i="4"/>
  <c r="S576" i="4" s="1"/>
  <c r="L579" i="4"/>
  <c r="M579" i="4"/>
  <c r="P579" i="4" s="1"/>
  <c r="N579" i="4"/>
  <c r="O579" i="4"/>
  <c r="Q579" i="4"/>
  <c r="R579" i="4"/>
  <c r="S579" i="4"/>
  <c r="T579" i="4"/>
  <c r="U579" i="4"/>
  <c r="O580" i="4"/>
  <c r="P580" i="4"/>
  <c r="T580" i="4"/>
  <c r="U580" i="4"/>
  <c r="O581" i="4"/>
  <c r="P581" i="4"/>
  <c r="T581" i="4"/>
  <c r="U581" i="4"/>
  <c r="L582" i="4"/>
  <c r="M582" i="4"/>
  <c r="P582" i="4" s="1"/>
  <c r="N582" i="4"/>
  <c r="O582" i="4"/>
  <c r="Q582" i="4"/>
  <c r="R582" i="4"/>
  <c r="S582" i="4"/>
  <c r="T582" i="4"/>
  <c r="U582" i="4"/>
  <c r="O583" i="4"/>
  <c r="P583" i="4"/>
  <c r="T583" i="4"/>
  <c r="U583" i="4"/>
  <c r="O584" i="4"/>
  <c r="P584" i="4"/>
  <c r="T584" i="4"/>
  <c r="U584" i="4"/>
  <c r="L600" i="4"/>
  <c r="M600" i="4"/>
  <c r="P600" i="4" s="1"/>
  <c r="N600" i="4"/>
  <c r="N599" i="4" s="1"/>
  <c r="Q600" i="4"/>
  <c r="R600" i="4"/>
  <c r="S600" i="4"/>
  <c r="L601" i="4"/>
  <c r="O601" i="4" s="1"/>
  <c r="M601" i="4"/>
  <c r="N601" i="4"/>
  <c r="Q601" i="4"/>
  <c r="R601" i="4"/>
  <c r="U601" i="4" s="1"/>
  <c r="S601" i="4"/>
  <c r="S599" i="4" s="1"/>
  <c r="T601" i="4"/>
  <c r="L602" i="4"/>
  <c r="O602" i="4" s="1"/>
  <c r="M602" i="4"/>
  <c r="N602" i="4"/>
  <c r="P602" i="4"/>
  <c r="Q602" i="4"/>
  <c r="T602" i="4" s="1"/>
  <c r="R602" i="4"/>
  <c r="U602" i="4" s="1"/>
  <c r="S602" i="4"/>
  <c r="O603" i="4"/>
  <c r="P603" i="4"/>
  <c r="T603" i="4"/>
  <c r="U603" i="4"/>
  <c r="O604" i="4"/>
  <c r="P604" i="4"/>
  <c r="T604" i="4"/>
  <c r="U604" i="4"/>
  <c r="L605" i="4"/>
  <c r="O605" i="4" s="1"/>
  <c r="M605" i="4"/>
  <c r="P605" i="4" s="1"/>
  <c r="N605" i="4"/>
  <c r="Q605" i="4"/>
  <c r="T605" i="4" s="1"/>
  <c r="R605" i="4"/>
  <c r="U605" i="4" s="1"/>
  <c r="S605" i="4"/>
  <c r="O606" i="4"/>
  <c r="P606" i="4"/>
  <c r="T606" i="4"/>
  <c r="U606" i="4"/>
  <c r="O607" i="4"/>
  <c r="P607" i="4"/>
  <c r="T607" i="4"/>
  <c r="U607" i="4"/>
  <c r="M616" i="4"/>
  <c r="P616" i="4" s="1"/>
  <c r="L617" i="4"/>
  <c r="L616" i="4" s="1"/>
  <c r="O616" i="4" s="1"/>
  <c r="M617" i="4"/>
  <c r="P617" i="4" s="1"/>
  <c r="N617" i="4"/>
  <c r="Q617" i="4"/>
  <c r="R617" i="4"/>
  <c r="U617" i="4" s="1"/>
  <c r="S617" i="4"/>
  <c r="T617" i="4"/>
  <c r="L618" i="4"/>
  <c r="O618" i="4" s="1"/>
  <c r="M618" i="4"/>
  <c r="N618" i="4"/>
  <c r="P618" i="4"/>
  <c r="L619" i="4"/>
  <c r="O619" i="4" s="1"/>
  <c r="M619" i="4"/>
  <c r="P619" i="4" s="1"/>
  <c r="N619" i="4"/>
  <c r="O620" i="4"/>
  <c r="P620" i="4"/>
  <c r="T620" i="4"/>
  <c r="U620" i="4"/>
  <c r="O621" i="4"/>
  <c r="P621" i="4"/>
  <c r="Q621" i="4"/>
  <c r="Q619" i="4" s="1"/>
  <c r="R621" i="4"/>
  <c r="R618" i="4" s="1"/>
  <c r="S621" i="4"/>
  <c r="S618" i="4" s="1"/>
  <c r="S616" i="4" s="1"/>
  <c r="L622" i="4"/>
  <c r="M622" i="4"/>
  <c r="N622" i="4"/>
  <c r="O622" i="4"/>
  <c r="P622" i="4"/>
  <c r="Q622" i="4"/>
  <c r="T622" i="4" s="1"/>
  <c r="R622" i="4"/>
  <c r="U622" i="4" s="1"/>
  <c r="S622" i="4"/>
  <c r="O623" i="4"/>
  <c r="P623" i="4"/>
  <c r="T623" i="4"/>
  <c r="U623" i="4"/>
  <c r="O624" i="4"/>
  <c r="P624" i="4"/>
  <c r="T624" i="4"/>
  <c r="U624" i="4"/>
  <c r="I626" i="4"/>
  <c r="K632" i="4" s="1"/>
  <c r="I627" i="4"/>
  <c r="K627" i="4" s="1"/>
  <c r="I628" i="4"/>
  <c r="K628" i="4" s="1"/>
  <c r="J632" i="4"/>
  <c r="J626" i="4" s="1"/>
  <c r="J615" i="4" s="1"/>
  <c r="I635" i="4"/>
  <c r="K635" i="4" s="1"/>
  <c r="J636" i="4"/>
  <c r="J635" i="4" s="1"/>
  <c r="L643" i="4"/>
  <c r="O643" i="4" s="1"/>
  <c r="M643" i="4"/>
  <c r="N643" i="4"/>
  <c r="N642" i="4" s="1"/>
  <c r="Q643" i="4"/>
  <c r="R643" i="4"/>
  <c r="U643" i="4" s="1"/>
  <c r="S643" i="4"/>
  <c r="L644" i="4"/>
  <c r="O644" i="4" s="1"/>
  <c r="M644" i="4"/>
  <c r="P644" i="4" s="1"/>
  <c r="N644" i="4"/>
  <c r="L645" i="4"/>
  <c r="O645" i="4" s="1"/>
  <c r="M645" i="4"/>
  <c r="N645" i="4"/>
  <c r="P645" i="4"/>
  <c r="O646" i="4"/>
  <c r="P646" i="4"/>
  <c r="T646" i="4"/>
  <c r="U646" i="4"/>
  <c r="O647" i="4"/>
  <c r="P647" i="4"/>
  <c r="Q647" i="4"/>
  <c r="Q644" i="4" s="1"/>
  <c r="R647" i="4"/>
  <c r="R645" i="4" s="1"/>
  <c r="S647" i="4"/>
  <c r="S645" i="4" s="1"/>
  <c r="L648" i="4"/>
  <c r="O648" i="4" s="1"/>
  <c r="M648" i="4"/>
  <c r="P648" i="4" s="1"/>
  <c r="N648" i="4"/>
  <c r="Q648" i="4"/>
  <c r="R648" i="4"/>
  <c r="S648" i="4"/>
  <c r="T648" i="4"/>
  <c r="U648" i="4"/>
  <c r="O649" i="4"/>
  <c r="P649" i="4"/>
  <c r="T649" i="4"/>
  <c r="U649" i="4"/>
  <c r="O650" i="4"/>
  <c r="P650" i="4"/>
  <c r="T650" i="4"/>
  <c r="U650" i="4"/>
  <c r="I652" i="4"/>
  <c r="K652" i="4" s="1"/>
  <c r="J652" i="4"/>
  <c r="I653" i="4"/>
  <c r="J653" i="4"/>
  <c r="I654" i="4"/>
  <c r="K654" i="4" s="1"/>
  <c r="J654" i="4"/>
  <c r="I657" i="4"/>
  <c r="I660" i="4"/>
  <c r="I661" i="4"/>
  <c r="K661" i="4" s="1"/>
  <c r="J661" i="4"/>
  <c r="J671" i="4"/>
  <c r="J672" i="4"/>
  <c r="I673" i="4"/>
  <c r="J673" i="4"/>
  <c r="I674" i="4"/>
  <c r="K674" i="4" s="1"/>
  <c r="I675" i="4"/>
  <c r="K675" i="4" s="1"/>
  <c r="I676" i="4"/>
  <c r="K676" i="4" s="1"/>
  <c r="J676" i="4"/>
  <c r="J677" i="4"/>
  <c r="I678" i="4"/>
  <c r="K678" i="4" s="1"/>
  <c r="J678" i="4"/>
  <c r="I679" i="4"/>
  <c r="K679" i="4" s="1"/>
  <c r="J679" i="4"/>
  <c r="J680" i="4"/>
  <c r="I681" i="4"/>
  <c r="K681" i="4" s="1"/>
  <c r="J681" i="4"/>
  <c r="I682" i="4"/>
  <c r="K682" i="4" s="1"/>
  <c r="J682" i="4"/>
  <c r="L691" i="4"/>
  <c r="O691" i="4" s="1"/>
  <c r="M691" i="4"/>
  <c r="N691" i="4"/>
  <c r="Q691" i="4"/>
  <c r="R691" i="4"/>
  <c r="U691" i="4" s="1"/>
  <c r="S691" i="4"/>
  <c r="T691" i="4"/>
  <c r="L692" i="4"/>
  <c r="O692" i="4" s="1"/>
  <c r="M692" i="4"/>
  <c r="P692" i="4" s="1"/>
  <c r="N692" i="4"/>
  <c r="L693" i="4"/>
  <c r="O693" i="4" s="1"/>
  <c r="M693" i="4"/>
  <c r="P693" i="4" s="1"/>
  <c r="N693" i="4"/>
  <c r="O694" i="4"/>
  <c r="P694" i="4"/>
  <c r="T694" i="4"/>
  <c r="U694" i="4"/>
  <c r="O695" i="4"/>
  <c r="P695" i="4"/>
  <c r="Q695" i="4"/>
  <c r="Q692" i="4" s="1"/>
  <c r="R695" i="4"/>
  <c r="S695" i="4"/>
  <c r="S693" i="4" s="1"/>
  <c r="L696" i="4"/>
  <c r="M696" i="4"/>
  <c r="P696" i="4" s="1"/>
  <c r="N696" i="4"/>
  <c r="O696" i="4"/>
  <c r="Q696" i="4"/>
  <c r="T696" i="4" s="1"/>
  <c r="R696" i="4"/>
  <c r="U696" i="4" s="1"/>
  <c r="S696" i="4"/>
  <c r="O697" i="4"/>
  <c r="P697" i="4"/>
  <c r="T697" i="4"/>
  <c r="U697" i="4"/>
  <c r="O698" i="4"/>
  <c r="P698" i="4"/>
  <c r="T698" i="4"/>
  <c r="U698" i="4"/>
  <c r="I700" i="4"/>
  <c r="K700" i="4" s="1"/>
  <c r="K702" i="4"/>
  <c r="I703" i="4"/>
  <c r="J703" i="4"/>
  <c r="J704" i="4"/>
  <c r="K704" i="4"/>
  <c r="I705" i="4"/>
  <c r="J705" i="4"/>
  <c r="J706" i="4"/>
  <c r="K706" i="4"/>
  <c r="I707" i="4"/>
  <c r="I689" i="4" s="1"/>
  <c r="J707" i="4"/>
  <c r="J708" i="4"/>
  <c r="K708" i="4"/>
  <c r="I709" i="4"/>
  <c r="J709" i="4"/>
  <c r="J710" i="4"/>
  <c r="K710" i="4"/>
  <c r="J712" i="4"/>
  <c r="K712" i="4"/>
  <c r="L715" i="4"/>
  <c r="L714" i="4" s="1"/>
  <c r="O714" i="4" s="1"/>
  <c r="M715" i="4"/>
  <c r="N715" i="4"/>
  <c r="P715" i="4"/>
  <c r="Q715" i="4"/>
  <c r="R715" i="4"/>
  <c r="S715" i="4"/>
  <c r="S714" i="4" s="1"/>
  <c r="L716" i="4"/>
  <c r="O716" i="4" s="1"/>
  <c r="M716" i="4"/>
  <c r="P716" i="4" s="1"/>
  <c r="N716" i="4"/>
  <c r="N714" i="4" s="1"/>
  <c r="Q716" i="4"/>
  <c r="T716" i="4" s="1"/>
  <c r="R716" i="4"/>
  <c r="U716" i="4" s="1"/>
  <c r="S716" i="4"/>
  <c r="L717" i="4"/>
  <c r="M717" i="4"/>
  <c r="P717" i="4" s="1"/>
  <c r="N717" i="4"/>
  <c r="O717" i="4"/>
  <c r="Q717" i="4"/>
  <c r="R717" i="4"/>
  <c r="S717" i="4"/>
  <c r="T717" i="4"/>
  <c r="U717" i="4"/>
  <c r="O718" i="4"/>
  <c r="P718" i="4"/>
  <c r="T718" i="4"/>
  <c r="U718" i="4"/>
  <c r="O719" i="4"/>
  <c r="P719" i="4"/>
  <c r="T719" i="4"/>
  <c r="U719" i="4"/>
  <c r="L720" i="4"/>
  <c r="M720" i="4"/>
  <c r="P720" i="4" s="1"/>
  <c r="N720" i="4"/>
  <c r="O720" i="4"/>
  <c r="Q720" i="4"/>
  <c r="T720" i="4" s="1"/>
  <c r="R720" i="4"/>
  <c r="S720" i="4"/>
  <c r="U720" i="4"/>
  <c r="O721" i="4"/>
  <c r="P721" i="4"/>
  <c r="T721" i="4"/>
  <c r="U721" i="4"/>
  <c r="O722" i="4"/>
  <c r="P722" i="4"/>
  <c r="T722" i="4"/>
  <c r="U722" i="4"/>
  <c r="I726" i="4"/>
  <c r="J726" i="4"/>
  <c r="I727" i="4"/>
  <c r="K727" i="4" s="1"/>
  <c r="J727" i="4"/>
  <c r="O728" i="4"/>
  <c r="L729" i="4"/>
  <c r="L728" i="4" s="1"/>
  <c r="M729" i="4"/>
  <c r="N729" i="4"/>
  <c r="P729" i="4"/>
  <c r="Q729" i="4"/>
  <c r="R729" i="4"/>
  <c r="S729" i="4"/>
  <c r="U729" i="4"/>
  <c r="L730" i="4"/>
  <c r="O730" i="4" s="1"/>
  <c r="M730" i="4"/>
  <c r="P730" i="4" s="1"/>
  <c r="N730" i="4"/>
  <c r="N728" i="4" s="1"/>
  <c r="L731" i="4"/>
  <c r="M731" i="4"/>
  <c r="N731" i="4"/>
  <c r="O731" i="4"/>
  <c r="P731" i="4"/>
  <c r="O732" i="4"/>
  <c r="P732" i="4"/>
  <c r="T732" i="4"/>
  <c r="U732" i="4"/>
  <c r="O733" i="4"/>
  <c r="P733" i="4"/>
  <c r="Q733" i="4"/>
  <c r="Q731" i="4" s="1"/>
  <c r="R733" i="4"/>
  <c r="R731" i="4" s="1"/>
  <c r="S733" i="4"/>
  <c r="L734" i="4"/>
  <c r="O734" i="4" s="1"/>
  <c r="M734" i="4"/>
  <c r="P734" i="4" s="1"/>
  <c r="N734" i="4"/>
  <c r="Q734" i="4"/>
  <c r="T734" i="4" s="1"/>
  <c r="R734" i="4"/>
  <c r="U734" i="4" s="1"/>
  <c r="S734" i="4"/>
  <c r="O735" i="4"/>
  <c r="P735" i="4"/>
  <c r="T735" i="4"/>
  <c r="U735" i="4"/>
  <c r="O736" i="4"/>
  <c r="P736" i="4"/>
  <c r="T736" i="4"/>
  <c r="U736" i="4"/>
  <c r="I740" i="4"/>
  <c r="K740" i="4" s="1"/>
  <c r="I742" i="4"/>
  <c r="K742" i="4" s="1"/>
  <c r="I744" i="4"/>
  <c r="K744" i="4" s="1"/>
  <c r="I746" i="4"/>
  <c r="K746" i="4" s="1"/>
  <c r="I749" i="4"/>
  <c r="K749" i="4" s="1"/>
  <c r="I752" i="4"/>
  <c r="K752" i="4" s="1"/>
  <c r="I755" i="4"/>
  <c r="K755" i="4" s="1"/>
  <c r="J758" i="4"/>
  <c r="J759" i="4"/>
  <c r="P760" i="4"/>
  <c r="L761" i="4"/>
  <c r="M761" i="4"/>
  <c r="M760" i="4" s="1"/>
  <c r="N761" i="4"/>
  <c r="P761" i="4"/>
  <c r="Q761" i="4"/>
  <c r="T761" i="4" s="1"/>
  <c r="R761" i="4"/>
  <c r="S761" i="4"/>
  <c r="L762" i="4"/>
  <c r="O762" i="4" s="1"/>
  <c r="M762" i="4"/>
  <c r="P762" i="4" s="1"/>
  <c r="N762" i="4"/>
  <c r="N760" i="4" s="1"/>
  <c r="L763" i="4"/>
  <c r="M763" i="4"/>
  <c r="P763" i="4" s="1"/>
  <c r="N763" i="4"/>
  <c r="O763" i="4"/>
  <c r="O764" i="4"/>
  <c r="P764" i="4"/>
  <c r="T764" i="4"/>
  <c r="U764" i="4"/>
  <c r="O765" i="4"/>
  <c r="P765" i="4"/>
  <c r="Q765" i="4"/>
  <c r="R765" i="4"/>
  <c r="R763" i="4" s="1"/>
  <c r="S765" i="4"/>
  <c r="S763" i="4" s="1"/>
  <c r="L766" i="4"/>
  <c r="O766" i="4" s="1"/>
  <c r="M766" i="4"/>
  <c r="P766" i="4" s="1"/>
  <c r="N766" i="4"/>
  <c r="Q766" i="4"/>
  <c r="T766" i="4" s="1"/>
  <c r="R766" i="4"/>
  <c r="U766" i="4" s="1"/>
  <c r="S766" i="4"/>
  <c r="O767" i="4"/>
  <c r="P767" i="4"/>
  <c r="T767" i="4"/>
  <c r="U767" i="4"/>
  <c r="O768" i="4"/>
  <c r="P768" i="4"/>
  <c r="T768" i="4"/>
  <c r="U768" i="4"/>
  <c r="I770" i="4"/>
  <c r="K770" i="4" s="1"/>
  <c r="I772" i="4"/>
  <c r="I758" i="4" s="1"/>
  <c r="K758" i="4" s="1"/>
  <c r="I774" i="4"/>
  <c r="I759" i="4" s="1"/>
  <c r="K759" i="4" s="1"/>
  <c r="I775" i="4"/>
  <c r="I776" i="4"/>
  <c r="H777" i="4"/>
  <c r="I778" i="4"/>
  <c r="J778" i="4"/>
  <c r="I779" i="4"/>
  <c r="J779" i="4"/>
  <c r="I780" i="4"/>
  <c r="J780" i="4"/>
  <c r="I781" i="4"/>
  <c r="J781" i="4"/>
  <c r="I782" i="4"/>
  <c r="J782" i="4"/>
  <c r="I783" i="4"/>
  <c r="J783" i="4"/>
  <c r="I784" i="4"/>
  <c r="J784" i="4"/>
  <c r="I785" i="4"/>
  <c r="J785" i="4"/>
  <c r="A788" i="4"/>
  <c r="A789" i="4"/>
  <c r="L22" i="3"/>
  <c r="L19" i="3" s="1"/>
  <c r="M22" i="3"/>
  <c r="P22" i="3" s="1"/>
  <c r="N22" i="3"/>
  <c r="N19" i="3" s="1"/>
  <c r="Q22" i="3"/>
  <c r="Q19" i="3" s="1"/>
  <c r="R22" i="3"/>
  <c r="U22" i="3" s="1"/>
  <c r="S22" i="3"/>
  <c r="Q24" i="3"/>
  <c r="T24" i="3" s="1"/>
  <c r="L25" i="3"/>
  <c r="M25" i="3"/>
  <c r="P25" i="3" s="1"/>
  <c r="N25" i="3"/>
  <c r="O25" i="3"/>
  <c r="Q25" i="3"/>
  <c r="R25" i="3"/>
  <c r="R24" i="3" s="1"/>
  <c r="U24" i="3" s="1"/>
  <c r="S25" i="3"/>
  <c r="T25" i="3"/>
  <c r="Q26" i="3"/>
  <c r="T26" i="3" s="1"/>
  <c r="R26" i="3"/>
  <c r="S26" i="3"/>
  <c r="U26" i="3"/>
  <c r="L45" i="3"/>
  <c r="O45" i="3" s="1"/>
  <c r="M45" i="3"/>
  <c r="N45" i="3"/>
  <c r="P45" i="3"/>
  <c r="Q45" i="3"/>
  <c r="Q44" i="3" s="1"/>
  <c r="T44" i="3" s="1"/>
  <c r="R45" i="3"/>
  <c r="U45" i="3" s="1"/>
  <c r="S45" i="3"/>
  <c r="T45" i="3"/>
  <c r="Q46" i="3"/>
  <c r="T46" i="3" s="1"/>
  <c r="R46" i="3"/>
  <c r="S46" i="3"/>
  <c r="U46" i="3"/>
  <c r="Q47" i="3"/>
  <c r="R47" i="3"/>
  <c r="U47" i="3" s="1"/>
  <c r="S47" i="3"/>
  <c r="T47" i="3"/>
  <c r="O48" i="3"/>
  <c r="P48" i="3"/>
  <c r="T48" i="3"/>
  <c r="U48" i="3"/>
  <c r="L49" i="3"/>
  <c r="L47" i="3" s="1"/>
  <c r="M49" i="3"/>
  <c r="N49" i="3"/>
  <c r="N47" i="3" s="1"/>
  <c r="T49" i="3"/>
  <c r="U49" i="3"/>
  <c r="Q50" i="3"/>
  <c r="T50" i="3" s="1"/>
  <c r="R50" i="3"/>
  <c r="S50" i="3"/>
  <c r="U50" i="3"/>
  <c r="O51" i="3"/>
  <c r="P51" i="3"/>
  <c r="T51" i="3"/>
  <c r="U51" i="3"/>
  <c r="L52" i="3"/>
  <c r="O52" i="3" s="1"/>
  <c r="M52" i="3"/>
  <c r="N52" i="3"/>
  <c r="N50" i="3" s="1"/>
  <c r="T52" i="3"/>
  <c r="U52" i="3"/>
  <c r="L60" i="3"/>
  <c r="M60" i="3"/>
  <c r="P60" i="3" s="1"/>
  <c r="N60" i="3"/>
  <c r="O60" i="3"/>
  <c r="Q60" i="3"/>
  <c r="Q59" i="3" s="1"/>
  <c r="T59" i="3" s="1"/>
  <c r="R60" i="3"/>
  <c r="S60" i="3"/>
  <c r="S59" i="3" s="1"/>
  <c r="T60" i="3"/>
  <c r="U60" i="3"/>
  <c r="Q61" i="3"/>
  <c r="T61" i="3" s="1"/>
  <c r="R61" i="3"/>
  <c r="S61" i="3"/>
  <c r="Q62" i="3"/>
  <c r="T62" i="3" s="1"/>
  <c r="R62" i="3"/>
  <c r="U62" i="3" s="1"/>
  <c r="S62" i="3"/>
  <c r="O63" i="3"/>
  <c r="P63" i="3"/>
  <c r="T63" i="3"/>
  <c r="U63" i="3"/>
  <c r="L64" i="3"/>
  <c r="M64" i="3"/>
  <c r="M62" i="3" s="1"/>
  <c r="N64" i="3"/>
  <c r="N62" i="3" s="1"/>
  <c r="T64" i="3"/>
  <c r="U64" i="3"/>
  <c r="Q65" i="3"/>
  <c r="R65" i="3"/>
  <c r="U65" i="3" s="1"/>
  <c r="S65" i="3"/>
  <c r="T65" i="3"/>
  <c r="O66" i="3"/>
  <c r="P66" i="3"/>
  <c r="T66" i="3"/>
  <c r="U66" i="3"/>
  <c r="L67" i="3"/>
  <c r="M67" i="3"/>
  <c r="N67" i="3"/>
  <c r="N65" i="3" s="1"/>
  <c r="T67" i="3"/>
  <c r="U67" i="3"/>
  <c r="L73" i="3"/>
  <c r="M73" i="3"/>
  <c r="P73" i="3" s="1"/>
  <c r="N73" i="3"/>
  <c r="O73" i="3"/>
  <c r="Q73" i="3"/>
  <c r="R73" i="3"/>
  <c r="S73" i="3"/>
  <c r="U73" i="3"/>
  <c r="O76" i="3"/>
  <c r="P76" i="3"/>
  <c r="T76" i="3"/>
  <c r="U76" i="3"/>
  <c r="L77" i="3"/>
  <c r="M77" i="3"/>
  <c r="M75" i="3" s="1"/>
  <c r="N77" i="3"/>
  <c r="Q77" i="3"/>
  <c r="R77" i="3"/>
  <c r="R74" i="3" s="1"/>
  <c r="R72" i="3" s="1"/>
  <c r="S77" i="3"/>
  <c r="S75" i="3" s="1"/>
  <c r="Q78" i="3"/>
  <c r="T78" i="3" s="1"/>
  <c r="R78" i="3"/>
  <c r="U78" i="3" s="1"/>
  <c r="S78" i="3"/>
  <c r="O79" i="3"/>
  <c r="P79" i="3"/>
  <c r="T79" i="3"/>
  <c r="U79" i="3"/>
  <c r="L80" i="3"/>
  <c r="M80" i="3"/>
  <c r="M78" i="3" s="1"/>
  <c r="P78" i="3" s="1"/>
  <c r="N80" i="3"/>
  <c r="N78" i="3" s="1"/>
  <c r="T80" i="3"/>
  <c r="U80" i="3"/>
  <c r="J82" i="3"/>
  <c r="J70" i="3" s="1"/>
  <c r="J83" i="3"/>
  <c r="J71" i="3" s="1"/>
  <c r="I84" i="3"/>
  <c r="I85" i="3"/>
  <c r="K85" i="3" s="1"/>
  <c r="I86" i="3"/>
  <c r="K86" i="3" s="1"/>
  <c r="I87" i="3"/>
  <c r="K87" i="3" s="1"/>
  <c r="I88" i="3"/>
  <c r="K88" i="3" s="1"/>
  <c r="I89" i="3"/>
  <c r="K89" i="3" s="1"/>
  <c r="I90" i="3"/>
  <c r="K90" i="3" s="1"/>
  <c r="J92" i="3"/>
  <c r="J93" i="3"/>
  <c r="L95" i="3"/>
  <c r="M95" i="3"/>
  <c r="P95" i="3" s="1"/>
  <c r="N95" i="3"/>
  <c r="O95" i="3"/>
  <c r="Q95" i="3"/>
  <c r="R95" i="3"/>
  <c r="S95" i="3"/>
  <c r="T95" i="3"/>
  <c r="U95" i="3"/>
  <c r="O98" i="3"/>
  <c r="P98" i="3"/>
  <c r="T98" i="3"/>
  <c r="U98" i="3"/>
  <c r="L99" i="3"/>
  <c r="O99" i="3" s="1"/>
  <c r="M99" i="3"/>
  <c r="M97" i="3" s="1"/>
  <c r="P97" i="3" s="1"/>
  <c r="N99" i="3"/>
  <c r="N97" i="3" s="1"/>
  <c r="Q99" i="3"/>
  <c r="Q96" i="3" s="1"/>
  <c r="T96" i="3" s="1"/>
  <c r="R99" i="3"/>
  <c r="R96" i="3" s="1"/>
  <c r="S99" i="3"/>
  <c r="S96" i="3" s="1"/>
  <c r="S94" i="3" s="1"/>
  <c r="Q100" i="3"/>
  <c r="T100" i="3" s="1"/>
  <c r="R100" i="3"/>
  <c r="S100" i="3"/>
  <c r="U100" i="3"/>
  <c r="O101" i="3"/>
  <c r="P101" i="3"/>
  <c r="T101" i="3"/>
  <c r="U101" i="3"/>
  <c r="L102" i="3"/>
  <c r="L100" i="3" s="1"/>
  <c r="O100" i="3" s="1"/>
  <c r="M102" i="3"/>
  <c r="N102" i="3"/>
  <c r="N100" i="3" s="1"/>
  <c r="T102" i="3"/>
  <c r="U102" i="3"/>
  <c r="I108" i="3"/>
  <c r="I109" i="3"/>
  <c r="I93" i="3" s="1"/>
  <c r="K93" i="3" s="1"/>
  <c r="I114" i="3"/>
  <c r="K114" i="3" s="1"/>
  <c r="J116" i="3"/>
  <c r="L118" i="3"/>
  <c r="O118" i="3" s="1"/>
  <c r="M118" i="3"/>
  <c r="P118" i="3" s="1"/>
  <c r="N118" i="3"/>
  <c r="Q118" i="3"/>
  <c r="R118" i="3"/>
  <c r="S118" i="3"/>
  <c r="U118" i="3"/>
  <c r="O121" i="3"/>
  <c r="P121" i="3"/>
  <c r="T121" i="3"/>
  <c r="U121" i="3"/>
  <c r="L122" i="3"/>
  <c r="O122" i="3" s="1"/>
  <c r="M122" i="3"/>
  <c r="M120" i="3" s="1"/>
  <c r="P120" i="3" s="1"/>
  <c r="N122" i="3"/>
  <c r="N120" i="3" s="1"/>
  <c r="Q122" i="3"/>
  <c r="R122" i="3"/>
  <c r="R119" i="3" s="1"/>
  <c r="S122" i="3"/>
  <c r="Q123" i="3"/>
  <c r="T123" i="3" s="1"/>
  <c r="R123" i="3"/>
  <c r="U123" i="3" s="1"/>
  <c r="S123" i="3"/>
  <c r="O124" i="3"/>
  <c r="P124" i="3"/>
  <c r="T124" i="3"/>
  <c r="U124" i="3"/>
  <c r="L125" i="3"/>
  <c r="M125" i="3"/>
  <c r="M123" i="3" s="1"/>
  <c r="P123" i="3" s="1"/>
  <c r="N125" i="3"/>
  <c r="N123" i="3" s="1"/>
  <c r="T125" i="3"/>
  <c r="U125" i="3"/>
  <c r="I127" i="3"/>
  <c r="K127" i="3" s="1"/>
  <c r="I128" i="3"/>
  <c r="K128" i="3" s="1"/>
  <c r="I129" i="3"/>
  <c r="K129" i="3" s="1"/>
  <c r="I130" i="3"/>
  <c r="K130" i="3" s="1"/>
  <c r="J136" i="3"/>
  <c r="J137" i="3"/>
  <c r="J138" i="3"/>
  <c r="L140" i="3"/>
  <c r="M140" i="3"/>
  <c r="P140" i="3" s="1"/>
  <c r="N140" i="3"/>
  <c r="O140" i="3"/>
  <c r="Q140" i="3"/>
  <c r="T140" i="3" s="1"/>
  <c r="R140" i="3"/>
  <c r="U140" i="3" s="1"/>
  <c r="S140" i="3"/>
  <c r="O143" i="3"/>
  <c r="P143" i="3"/>
  <c r="T143" i="3"/>
  <c r="U143" i="3"/>
  <c r="L144" i="3"/>
  <c r="M144" i="3"/>
  <c r="N144" i="3"/>
  <c r="N142" i="3" s="1"/>
  <c r="Q144" i="3"/>
  <c r="Q142" i="3" s="1"/>
  <c r="T142" i="3" s="1"/>
  <c r="R144" i="3"/>
  <c r="R142" i="3" s="1"/>
  <c r="U142" i="3" s="1"/>
  <c r="S144" i="3"/>
  <c r="Q145" i="3"/>
  <c r="T145" i="3" s="1"/>
  <c r="R145" i="3"/>
  <c r="S145" i="3"/>
  <c r="U145" i="3"/>
  <c r="O146" i="3"/>
  <c r="P146" i="3"/>
  <c r="T146" i="3"/>
  <c r="U146" i="3"/>
  <c r="L147" i="3"/>
  <c r="L145" i="3" s="1"/>
  <c r="O145" i="3" s="1"/>
  <c r="M147" i="3"/>
  <c r="N147" i="3"/>
  <c r="T147" i="3"/>
  <c r="U147" i="3"/>
  <c r="I150" i="3"/>
  <c r="K150" i="3" s="1"/>
  <c r="I151" i="3"/>
  <c r="K151" i="3" s="1"/>
  <c r="I152" i="3"/>
  <c r="I153" i="3"/>
  <c r="I138" i="3" s="1"/>
  <c r="K138" i="3" s="1"/>
  <c r="I154" i="3"/>
  <c r="J156" i="3"/>
  <c r="L158" i="3"/>
  <c r="M158" i="3"/>
  <c r="P158" i="3" s="1"/>
  <c r="N158" i="3"/>
  <c r="O158" i="3"/>
  <c r="Q158" i="3"/>
  <c r="T158" i="3" s="1"/>
  <c r="R158" i="3"/>
  <c r="U158" i="3" s="1"/>
  <c r="S158" i="3"/>
  <c r="O161" i="3"/>
  <c r="P161" i="3"/>
  <c r="T161" i="3"/>
  <c r="U161" i="3"/>
  <c r="L162" i="3"/>
  <c r="L160" i="3" s="1"/>
  <c r="M162" i="3"/>
  <c r="M160" i="3" s="1"/>
  <c r="N162" i="3"/>
  <c r="N160" i="3" s="1"/>
  <c r="Q162" i="3"/>
  <c r="Q159" i="3" s="1"/>
  <c r="T159" i="3" s="1"/>
  <c r="R162" i="3"/>
  <c r="R159" i="3" s="1"/>
  <c r="U159" i="3" s="1"/>
  <c r="S162" i="3"/>
  <c r="S159" i="3" s="1"/>
  <c r="S157" i="3" s="1"/>
  <c r="Q163" i="3"/>
  <c r="T163" i="3" s="1"/>
  <c r="R163" i="3"/>
  <c r="S163" i="3"/>
  <c r="U163" i="3"/>
  <c r="O164" i="3"/>
  <c r="P164" i="3"/>
  <c r="T164" i="3"/>
  <c r="U164" i="3"/>
  <c r="L165" i="3"/>
  <c r="L163" i="3" s="1"/>
  <c r="O163" i="3" s="1"/>
  <c r="M165" i="3"/>
  <c r="M163" i="3" s="1"/>
  <c r="P163" i="3" s="1"/>
  <c r="N165" i="3"/>
  <c r="N163" i="3" s="1"/>
  <c r="T165" i="3"/>
  <c r="U165" i="3"/>
  <c r="I167" i="3"/>
  <c r="J172" i="3"/>
  <c r="L174" i="3"/>
  <c r="O174" i="3" s="1"/>
  <c r="M174" i="3"/>
  <c r="P174" i="3" s="1"/>
  <c r="N174" i="3"/>
  <c r="Q174" i="3"/>
  <c r="R174" i="3"/>
  <c r="S174" i="3"/>
  <c r="U174" i="3"/>
  <c r="O177" i="3"/>
  <c r="P177" i="3"/>
  <c r="T177" i="3"/>
  <c r="U177" i="3"/>
  <c r="L178" i="3"/>
  <c r="M178" i="3"/>
  <c r="N178" i="3"/>
  <c r="N176" i="3" s="1"/>
  <c r="Q178" i="3"/>
  <c r="Q175" i="3" s="1"/>
  <c r="T175" i="3" s="1"/>
  <c r="R178" i="3"/>
  <c r="R175" i="3" s="1"/>
  <c r="S178" i="3"/>
  <c r="S175" i="3" s="1"/>
  <c r="S173" i="3" s="1"/>
  <c r="Q179" i="3"/>
  <c r="T179" i="3" s="1"/>
  <c r="R179" i="3"/>
  <c r="S179" i="3"/>
  <c r="U179" i="3"/>
  <c r="O180" i="3"/>
  <c r="P180" i="3"/>
  <c r="T180" i="3"/>
  <c r="U180" i="3"/>
  <c r="L181" i="3"/>
  <c r="L179" i="3" s="1"/>
  <c r="O179" i="3" s="1"/>
  <c r="M181" i="3"/>
  <c r="N181" i="3"/>
  <c r="N179" i="3" s="1"/>
  <c r="T181" i="3"/>
  <c r="U181" i="3"/>
  <c r="I183" i="3"/>
  <c r="K184" i="3"/>
  <c r="L187" i="3"/>
  <c r="O187" i="3" s="1"/>
  <c r="M187" i="3"/>
  <c r="P187" i="3" s="1"/>
  <c r="N187" i="3"/>
  <c r="Q187" i="3"/>
  <c r="R187" i="3"/>
  <c r="S187" i="3"/>
  <c r="T187" i="3"/>
  <c r="O190" i="3"/>
  <c r="P190" i="3"/>
  <c r="T190" i="3"/>
  <c r="U190" i="3"/>
  <c r="L191" i="3"/>
  <c r="M191" i="3"/>
  <c r="N191" i="3"/>
  <c r="N189" i="3" s="1"/>
  <c r="Q191" i="3"/>
  <c r="R191" i="3"/>
  <c r="S191" i="3"/>
  <c r="S188" i="3" s="1"/>
  <c r="Q192" i="3"/>
  <c r="T192" i="3" s="1"/>
  <c r="R192" i="3"/>
  <c r="S192" i="3"/>
  <c r="U192" i="3"/>
  <c r="O193" i="3"/>
  <c r="P193" i="3"/>
  <c r="T193" i="3"/>
  <c r="U193" i="3"/>
  <c r="L194" i="3"/>
  <c r="L192" i="3" s="1"/>
  <c r="O192" i="3" s="1"/>
  <c r="M194" i="3"/>
  <c r="P194" i="3" s="1"/>
  <c r="N194" i="3"/>
  <c r="T194" i="3"/>
  <c r="U194" i="3"/>
  <c r="J195" i="3"/>
  <c r="L196" i="3"/>
  <c r="O196" i="3" s="1"/>
  <c r="P196" i="3"/>
  <c r="I198" i="3"/>
  <c r="I195" i="3" s="1"/>
  <c r="J199" i="3"/>
  <c r="J202" i="3"/>
  <c r="N203" i="3"/>
  <c r="P203" i="3"/>
  <c r="S203" i="3"/>
  <c r="U203" i="3"/>
  <c r="L204" i="3"/>
  <c r="L205" i="3"/>
  <c r="L206" i="3"/>
  <c r="Q206" i="3"/>
  <c r="Q203" i="3" s="1"/>
  <c r="T203" i="3" s="1"/>
  <c r="L207" i="3"/>
  <c r="I209" i="3"/>
  <c r="I202" i="3" s="1"/>
  <c r="K202" i="3" s="1"/>
  <c r="I211" i="3"/>
  <c r="K211" i="3" s="1"/>
  <c r="I212" i="3"/>
  <c r="K212" i="3" s="1"/>
  <c r="J213" i="3"/>
  <c r="N214" i="3"/>
  <c r="P214" i="3"/>
  <c r="S214" i="3"/>
  <c r="U214" i="3"/>
  <c r="L215" i="3"/>
  <c r="L216" i="3"/>
  <c r="L217" i="3"/>
  <c r="Q217" i="3"/>
  <c r="Q214" i="3" s="1"/>
  <c r="T214" i="3" s="1"/>
  <c r="I219" i="3"/>
  <c r="K219" i="3" s="1"/>
  <c r="I220" i="3"/>
  <c r="K220" i="3" s="1"/>
  <c r="J221" i="3"/>
  <c r="N222" i="3"/>
  <c r="P222" i="3"/>
  <c r="L223" i="3"/>
  <c r="L224" i="3"/>
  <c r="L225" i="3"/>
  <c r="I228" i="3"/>
  <c r="K228" i="3" s="1"/>
  <c r="I229" i="3"/>
  <c r="K229" i="3" s="1"/>
  <c r="I230" i="3"/>
  <c r="K230" i="3" s="1"/>
  <c r="N233" i="3"/>
  <c r="N234" i="3"/>
  <c r="N235" i="3"/>
  <c r="N236" i="3"/>
  <c r="J238" i="3"/>
  <c r="I240" i="3"/>
  <c r="K240" i="3" s="1"/>
  <c r="J240" i="3"/>
  <c r="I241" i="3"/>
  <c r="K241" i="3" s="1"/>
  <c r="J241" i="3"/>
  <c r="J242" i="3"/>
  <c r="N243" i="3"/>
  <c r="P243" i="3"/>
  <c r="L244" i="3"/>
  <c r="L245" i="3"/>
  <c r="L246" i="3"/>
  <c r="L247" i="3"/>
  <c r="I249" i="3"/>
  <c r="K251" i="3"/>
  <c r="K252" i="3"/>
  <c r="J253" i="3"/>
  <c r="N254" i="3"/>
  <c r="P254" i="3"/>
  <c r="L255" i="3"/>
  <c r="L256" i="3"/>
  <c r="L257" i="3"/>
  <c r="L258" i="3"/>
  <c r="I260" i="3"/>
  <c r="I253" i="3" s="1"/>
  <c r="K253" i="3" s="1"/>
  <c r="K262" i="3"/>
  <c r="K263" i="3"/>
  <c r="J265" i="3"/>
  <c r="L267" i="3"/>
  <c r="O267" i="3" s="1"/>
  <c r="M267" i="3"/>
  <c r="P267" i="3" s="1"/>
  <c r="N267" i="3"/>
  <c r="Q267" i="3"/>
  <c r="R267" i="3"/>
  <c r="S267" i="3"/>
  <c r="T267" i="3"/>
  <c r="U267" i="3"/>
  <c r="O270" i="3"/>
  <c r="P270" i="3"/>
  <c r="T270" i="3"/>
  <c r="U270" i="3"/>
  <c r="L271" i="3"/>
  <c r="M271" i="3"/>
  <c r="M269" i="3" s="1"/>
  <c r="N271" i="3"/>
  <c r="N269" i="3" s="1"/>
  <c r="Q271" i="3"/>
  <c r="Q269" i="3" s="1"/>
  <c r="R271" i="3"/>
  <c r="R268" i="3" s="1"/>
  <c r="S271" i="3"/>
  <c r="Q272" i="3"/>
  <c r="T272" i="3" s="1"/>
  <c r="R272" i="3"/>
  <c r="U272" i="3" s="1"/>
  <c r="S272" i="3"/>
  <c r="O273" i="3"/>
  <c r="P273" i="3"/>
  <c r="T273" i="3"/>
  <c r="U273" i="3"/>
  <c r="L274" i="3"/>
  <c r="O274" i="3" s="1"/>
  <c r="M274" i="3"/>
  <c r="N274" i="3"/>
  <c r="N272" i="3" s="1"/>
  <c r="T274" i="3"/>
  <c r="U274" i="3"/>
  <c r="I276" i="3"/>
  <c r="K276" i="3" s="1"/>
  <c r="J281" i="3"/>
  <c r="L283" i="3"/>
  <c r="O283" i="3" s="1"/>
  <c r="M283" i="3"/>
  <c r="N283" i="3"/>
  <c r="Q283" i="3"/>
  <c r="T283" i="3" s="1"/>
  <c r="R283" i="3"/>
  <c r="S283" i="3"/>
  <c r="Q284" i="3"/>
  <c r="R284" i="3"/>
  <c r="U284" i="3" s="1"/>
  <c r="S284" i="3"/>
  <c r="Q285" i="3"/>
  <c r="R285" i="3"/>
  <c r="U285" i="3" s="1"/>
  <c r="S285" i="3"/>
  <c r="T285" i="3"/>
  <c r="O286" i="3"/>
  <c r="P286" i="3"/>
  <c r="T286" i="3"/>
  <c r="U286" i="3"/>
  <c r="L287" i="3"/>
  <c r="M287" i="3"/>
  <c r="M285" i="3" s="1"/>
  <c r="N287" i="3"/>
  <c r="N285" i="3" s="1"/>
  <c r="T287" i="3"/>
  <c r="U287" i="3"/>
  <c r="Q288" i="3"/>
  <c r="T288" i="3" s="1"/>
  <c r="R288" i="3"/>
  <c r="U288" i="3" s="1"/>
  <c r="S288" i="3"/>
  <c r="O289" i="3"/>
  <c r="P289" i="3"/>
  <c r="T289" i="3"/>
  <c r="U289" i="3"/>
  <c r="L290" i="3"/>
  <c r="L288" i="3" s="1"/>
  <c r="O288" i="3" s="1"/>
  <c r="M290" i="3"/>
  <c r="P290" i="3" s="1"/>
  <c r="N290" i="3"/>
  <c r="N288" i="3" s="1"/>
  <c r="T290" i="3"/>
  <c r="U290" i="3"/>
  <c r="I292" i="3"/>
  <c r="I281" i="3" s="1"/>
  <c r="K281" i="3" s="1"/>
  <c r="I293" i="3"/>
  <c r="I280" i="3" s="1"/>
  <c r="J293" i="3"/>
  <c r="J280" i="3" s="1"/>
  <c r="I295" i="3"/>
  <c r="K295" i="3" s="1"/>
  <c r="I296" i="3"/>
  <c r="K296" i="3" s="1"/>
  <c r="J302" i="3"/>
  <c r="L304" i="3"/>
  <c r="M304" i="3"/>
  <c r="N304" i="3"/>
  <c r="Q304" i="3"/>
  <c r="R304" i="3"/>
  <c r="U304" i="3" s="1"/>
  <c r="S304" i="3"/>
  <c r="T304" i="3"/>
  <c r="O307" i="3"/>
  <c r="P307" i="3"/>
  <c r="T307" i="3"/>
  <c r="U307" i="3"/>
  <c r="L308" i="3"/>
  <c r="M308" i="3"/>
  <c r="M306" i="3" s="1"/>
  <c r="N308" i="3"/>
  <c r="Q308" i="3"/>
  <c r="Q306" i="3" s="1"/>
  <c r="R308" i="3"/>
  <c r="S308" i="3"/>
  <c r="S305" i="3" s="1"/>
  <c r="Q309" i="3"/>
  <c r="T309" i="3" s="1"/>
  <c r="R309" i="3"/>
  <c r="U309" i="3" s="1"/>
  <c r="S309" i="3"/>
  <c r="O310" i="3"/>
  <c r="P310" i="3"/>
  <c r="T310" i="3"/>
  <c r="U310" i="3"/>
  <c r="L311" i="3"/>
  <c r="L309" i="3" s="1"/>
  <c r="O309" i="3" s="1"/>
  <c r="M311" i="3"/>
  <c r="P311" i="3" s="1"/>
  <c r="N311" i="3"/>
  <c r="N309" i="3" s="1"/>
  <c r="T311" i="3"/>
  <c r="U311" i="3"/>
  <c r="I314" i="3"/>
  <c r="J319" i="3"/>
  <c r="L321" i="3"/>
  <c r="O321" i="3" s="1"/>
  <c r="M321" i="3"/>
  <c r="P321" i="3" s="1"/>
  <c r="N321" i="3"/>
  <c r="Q321" i="3"/>
  <c r="T321" i="3" s="1"/>
  <c r="R321" i="3"/>
  <c r="R320" i="3" s="1"/>
  <c r="U320" i="3" s="1"/>
  <c r="S321" i="3"/>
  <c r="U321" i="3"/>
  <c r="Q322" i="3"/>
  <c r="T322" i="3" s="1"/>
  <c r="R322" i="3"/>
  <c r="U322" i="3" s="1"/>
  <c r="S322" i="3"/>
  <c r="Q323" i="3"/>
  <c r="T323" i="3" s="1"/>
  <c r="R323" i="3"/>
  <c r="U323" i="3" s="1"/>
  <c r="S323" i="3"/>
  <c r="O324" i="3"/>
  <c r="P324" i="3"/>
  <c r="T324" i="3"/>
  <c r="U324" i="3"/>
  <c r="L325" i="3"/>
  <c r="M325" i="3"/>
  <c r="N325" i="3"/>
  <c r="T325" i="3"/>
  <c r="U325" i="3"/>
  <c r="Q326" i="3"/>
  <c r="T326" i="3" s="1"/>
  <c r="R326" i="3"/>
  <c r="U326" i="3" s="1"/>
  <c r="S326" i="3"/>
  <c r="O327" i="3"/>
  <c r="P327" i="3"/>
  <c r="T327" i="3"/>
  <c r="U327" i="3"/>
  <c r="L328" i="3"/>
  <c r="L326" i="3" s="1"/>
  <c r="O326" i="3" s="1"/>
  <c r="M328" i="3"/>
  <c r="N328" i="3"/>
  <c r="N326" i="3" s="1"/>
  <c r="T328" i="3"/>
  <c r="U328" i="3"/>
  <c r="I330" i="3"/>
  <c r="L334" i="3"/>
  <c r="M334" i="3"/>
  <c r="N334" i="3"/>
  <c r="P334" i="3"/>
  <c r="Q334" i="3"/>
  <c r="R334" i="3"/>
  <c r="S334" i="3"/>
  <c r="Q335" i="3"/>
  <c r="T335" i="3" s="1"/>
  <c r="R335" i="3"/>
  <c r="U335" i="3" s="1"/>
  <c r="S335" i="3"/>
  <c r="Q336" i="3"/>
  <c r="T336" i="3" s="1"/>
  <c r="R336" i="3"/>
  <c r="U336" i="3" s="1"/>
  <c r="S336" i="3"/>
  <c r="O337" i="3"/>
  <c r="P337" i="3"/>
  <c r="T337" i="3"/>
  <c r="U337" i="3"/>
  <c r="L338" i="3"/>
  <c r="M338" i="3"/>
  <c r="N338" i="3"/>
  <c r="T338" i="3"/>
  <c r="U338" i="3"/>
  <c r="Q339" i="3"/>
  <c r="T339" i="3" s="1"/>
  <c r="R339" i="3"/>
  <c r="U339" i="3" s="1"/>
  <c r="S339" i="3"/>
  <c r="O340" i="3"/>
  <c r="P340" i="3"/>
  <c r="T340" i="3"/>
  <c r="U340" i="3"/>
  <c r="L341" i="3"/>
  <c r="O341" i="3" s="1"/>
  <c r="M341" i="3"/>
  <c r="M339" i="3" s="1"/>
  <c r="P339" i="3" s="1"/>
  <c r="N341" i="3"/>
  <c r="N339" i="3" s="1"/>
  <c r="T341" i="3"/>
  <c r="U341" i="3"/>
  <c r="I344" i="3"/>
  <c r="I332" i="3" s="1"/>
  <c r="J344" i="3"/>
  <c r="I346" i="3"/>
  <c r="J346" i="3"/>
  <c r="J347" i="3"/>
  <c r="J348" i="3"/>
  <c r="J349" i="3"/>
  <c r="D350" i="3"/>
  <c r="J352" i="3"/>
  <c r="J353" i="3"/>
  <c r="D354" i="3"/>
  <c r="L357" i="3"/>
  <c r="M357" i="3"/>
  <c r="N357" i="3"/>
  <c r="O357" i="3"/>
  <c r="Q357" i="3"/>
  <c r="T357" i="3" s="1"/>
  <c r="R357" i="3"/>
  <c r="U357" i="3" s="1"/>
  <c r="S357" i="3"/>
  <c r="Q358" i="3"/>
  <c r="T358" i="3" s="1"/>
  <c r="R358" i="3"/>
  <c r="S358" i="3"/>
  <c r="U358" i="3"/>
  <c r="Q359" i="3"/>
  <c r="T359" i="3" s="1"/>
  <c r="R359" i="3"/>
  <c r="U359" i="3" s="1"/>
  <c r="S359" i="3"/>
  <c r="O360" i="3"/>
  <c r="P360" i="3"/>
  <c r="T360" i="3"/>
  <c r="U360" i="3"/>
  <c r="L361" i="3"/>
  <c r="M361" i="3"/>
  <c r="M359" i="3" s="1"/>
  <c r="N361" i="3"/>
  <c r="N359" i="3" s="1"/>
  <c r="T361" i="3"/>
  <c r="U361" i="3"/>
  <c r="Q362" i="3"/>
  <c r="R362" i="3"/>
  <c r="S362" i="3"/>
  <c r="T362" i="3"/>
  <c r="U362" i="3"/>
  <c r="O363" i="3"/>
  <c r="P363" i="3"/>
  <c r="T363" i="3"/>
  <c r="U363" i="3"/>
  <c r="L364" i="3"/>
  <c r="M364" i="3"/>
  <c r="N364" i="3"/>
  <c r="N362" i="3" s="1"/>
  <c r="T364" i="3"/>
  <c r="U364" i="3"/>
  <c r="J367" i="3"/>
  <c r="K367" i="3"/>
  <c r="I368" i="3"/>
  <c r="J368" i="3"/>
  <c r="I369" i="3"/>
  <c r="J369" i="3"/>
  <c r="J370" i="3"/>
  <c r="K370" i="3"/>
  <c r="I371" i="3"/>
  <c r="J371" i="3"/>
  <c r="J365" i="3" s="1"/>
  <c r="J372" i="3"/>
  <c r="K372" i="3"/>
  <c r="D373" i="3"/>
  <c r="L376" i="3"/>
  <c r="M376" i="3"/>
  <c r="M375" i="3" s="1"/>
  <c r="P375" i="3" s="1"/>
  <c r="N376" i="3"/>
  <c r="N375" i="3" s="1"/>
  <c r="Q376" i="3"/>
  <c r="R376" i="3"/>
  <c r="S376" i="3"/>
  <c r="U376" i="3"/>
  <c r="L377" i="3"/>
  <c r="O377" i="3" s="1"/>
  <c r="M377" i="3"/>
  <c r="P377" i="3" s="1"/>
  <c r="N377" i="3"/>
  <c r="L378" i="3"/>
  <c r="M378" i="3"/>
  <c r="P378" i="3" s="1"/>
  <c r="N378" i="3"/>
  <c r="O378" i="3"/>
  <c r="O379" i="3"/>
  <c r="P379" i="3"/>
  <c r="T379" i="3"/>
  <c r="U379" i="3"/>
  <c r="O380" i="3"/>
  <c r="P380" i="3"/>
  <c r="Q380" i="3"/>
  <c r="Q378" i="3" s="1"/>
  <c r="R380" i="3"/>
  <c r="R378" i="3" s="1"/>
  <c r="S380" i="3"/>
  <c r="S378" i="3" s="1"/>
  <c r="L381" i="3"/>
  <c r="O381" i="3" s="1"/>
  <c r="M381" i="3"/>
  <c r="P381" i="3" s="1"/>
  <c r="N381" i="3"/>
  <c r="Q381" i="3"/>
  <c r="T381" i="3" s="1"/>
  <c r="R381" i="3"/>
  <c r="U381" i="3" s="1"/>
  <c r="S381" i="3"/>
  <c r="O382" i="3"/>
  <c r="P382" i="3"/>
  <c r="T382" i="3"/>
  <c r="U382" i="3"/>
  <c r="O383" i="3"/>
  <c r="P383" i="3"/>
  <c r="T383" i="3"/>
  <c r="U383" i="3"/>
  <c r="J385" i="3"/>
  <c r="K385" i="3"/>
  <c r="I386" i="3"/>
  <c r="J386" i="3"/>
  <c r="J387" i="3"/>
  <c r="K387" i="3"/>
  <c r="I388" i="3"/>
  <c r="K388" i="3" s="1"/>
  <c r="J388" i="3"/>
  <c r="I391" i="3"/>
  <c r="K391" i="3" s="1"/>
  <c r="J391" i="3"/>
  <c r="L393" i="3"/>
  <c r="M393" i="3"/>
  <c r="N393" i="3"/>
  <c r="Q393" i="3"/>
  <c r="R393" i="3"/>
  <c r="S393" i="3"/>
  <c r="S392" i="3" s="1"/>
  <c r="L394" i="3"/>
  <c r="M394" i="3"/>
  <c r="P394" i="3" s="1"/>
  <c r="N394" i="3"/>
  <c r="O394" i="3"/>
  <c r="Q394" i="3"/>
  <c r="T394" i="3" s="1"/>
  <c r="R394" i="3"/>
  <c r="S394" i="3"/>
  <c r="U394" i="3"/>
  <c r="L395" i="3"/>
  <c r="O395" i="3" s="1"/>
  <c r="M395" i="3"/>
  <c r="P395" i="3" s="1"/>
  <c r="N395" i="3"/>
  <c r="Q395" i="3"/>
  <c r="T395" i="3" s="1"/>
  <c r="R395" i="3"/>
  <c r="U395" i="3" s="1"/>
  <c r="S395" i="3"/>
  <c r="O396" i="3"/>
  <c r="P396" i="3"/>
  <c r="T396" i="3"/>
  <c r="U396" i="3"/>
  <c r="O397" i="3"/>
  <c r="P397" i="3"/>
  <c r="T397" i="3"/>
  <c r="U397" i="3"/>
  <c r="L398" i="3"/>
  <c r="O398" i="3" s="1"/>
  <c r="M398" i="3"/>
  <c r="P398" i="3" s="1"/>
  <c r="N398" i="3"/>
  <c r="Q398" i="3"/>
  <c r="T398" i="3" s="1"/>
  <c r="R398" i="3"/>
  <c r="S398" i="3"/>
  <c r="U398" i="3"/>
  <c r="O399" i="3"/>
  <c r="P399" i="3"/>
  <c r="T399" i="3"/>
  <c r="U399" i="3"/>
  <c r="O400" i="3"/>
  <c r="P400" i="3"/>
  <c r="T400" i="3"/>
  <c r="U400" i="3"/>
  <c r="L414" i="3"/>
  <c r="M414" i="3"/>
  <c r="M413" i="3" s="1"/>
  <c r="P413" i="3" s="1"/>
  <c r="N414" i="3"/>
  <c r="Q414" i="3"/>
  <c r="R414" i="3"/>
  <c r="S414" i="3"/>
  <c r="L415" i="3"/>
  <c r="O415" i="3" s="1"/>
  <c r="M415" i="3"/>
  <c r="P415" i="3" s="1"/>
  <c r="N415" i="3"/>
  <c r="L416" i="3"/>
  <c r="O416" i="3" s="1"/>
  <c r="M416" i="3"/>
  <c r="P416" i="3" s="1"/>
  <c r="N416" i="3"/>
  <c r="O417" i="3"/>
  <c r="P417" i="3"/>
  <c r="T417" i="3"/>
  <c r="U417" i="3"/>
  <c r="O418" i="3"/>
  <c r="P418" i="3"/>
  <c r="Q418" i="3"/>
  <c r="Q416" i="3" s="1"/>
  <c r="T416" i="3" s="1"/>
  <c r="R418" i="3"/>
  <c r="R415" i="3" s="1"/>
  <c r="U415" i="3" s="1"/>
  <c r="S418" i="3"/>
  <c r="S415" i="3" s="1"/>
  <c r="S413" i="3" s="1"/>
  <c r="L419" i="3"/>
  <c r="M419" i="3"/>
  <c r="N419" i="3"/>
  <c r="O419" i="3"/>
  <c r="P419" i="3"/>
  <c r="Q419" i="3"/>
  <c r="T419" i="3" s="1"/>
  <c r="R419" i="3"/>
  <c r="U419" i="3" s="1"/>
  <c r="S419" i="3"/>
  <c r="O420" i="3"/>
  <c r="P420" i="3"/>
  <c r="T420" i="3"/>
  <c r="U420" i="3"/>
  <c r="O421" i="3"/>
  <c r="P421" i="3"/>
  <c r="T421" i="3"/>
  <c r="U421" i="3"/>
  <c r="I424" i="3"/>
  <c r="K424" i="3" s="1"/>
  <c r="J424" i="3"/>
  <c r="I425" i="3"/>
  <c r="K425" i="3" s="1"/>
  <c r="J425" i="3"/>
  <c r="I432" i="3"/>
  <c r="K432" i="3" s="1"/>
  <c r="J432" i="3"/>
  <c r="I433" i="3"/>
  <c r="K433" i="3" s="1"/>
  <c r="J433" i="3"/>
  <c r="I440" i="3"/>
  <c r="I441" i="3"/>
  <c r="K441" i="3" s="1"/>
  <c r="J446" i="3"/>
  <c r="J440" i="3" s="1"/>
  <c r="J423" i="3" s="1"/>
  <c r="J412" i="3" s="1"/>
  <c r="J447" i="3"/>
  <c r="J441" i="3" s="1"/>
  <c r="I457" i="3"/>
  <c r="K457" i="3" s="1"/>
  <c r="I458" i="3"/>
  <c r="K458" i="3" s="1"/>
  <c r="J459" i="3"/>
  <c r="J460" i="3"/>
  <c r="J458" i="3" s="1"/>
  <c r="J467" i="3"/>
  <c r="J457" i="3" s="1"/>
  <c r="J456" i="3" s="1"/>
  <c r="J468" i="3"/>
  <c r="J475" i="3"/>
  <c r="K475" i="3"/>
  <c r="J476" i="3"/>
  <c r="K476" i="3"/>
  <c r="J477" i="3"/>
  <c r="K477" i="3"/>
  <c r="J482" i="3"/>
  <c r="J483" i="3"/>
  <c r="I484" i="3"/>
  <c r="J484" i="3"/>
  <c r="K484" i="3"/>
  <c r="I485" i="3"/>
  <c r="K485" i="3" s="1"/>
  <c r="J485" i="3"/>
  <c r="L494" i="3"/>
  <c r="M494" i="3"/>
  <c r="N494" i="3"/>
  <c r="Q494" i="3"/>
  <c r="T494" i="3" s="1"/>
  <c r="R494" i="3"/>
  <c r="S494" i="3"/>
  <c r="L495" i="3"/>
  <c r="O495" i="3" s="1"/>
  <c r="M495" i="3"/>
  <c r="P495" i="3" s="1"/>
  <c r="N495" i="3"/>
  <c r="L496" i="3"/>
  <c r="O496" i="3" s="1"/>
  <c r="M496" i="3"/>
  <c r="N496" i="3"/>
  <c r="P496" i="3"/>
  <c r="O497" i="3"/>
  <c r="P497" i="3"/>
  <c r="T497" i="3"/>
  <c r="U497" i="3"/>
  <c r="O498" i="3"/>
  <c r="P498" i="3"/>
  <c r="Q498" i="3"/>
  <c r="R498" i="3"/>
  <c r="S498" i="3"/>
  <c r="S496" i="3" s="1"/>
  <c r="L499" i="3"/>
  <c r="O499" i="3" s="1"/>
  <c r="M499" i="3"/>
  <c r="P499" i="3" s="1"/>
  <c r="N499" i="3"/>
  <c r="Q499" i="3"/>
  <c r="R499" i="3"/>
  <c r="S499" i="3"/>
  <c r="T499" i="3"/>
  <c r="U499" i="3"/>
  <c r="O500" i="3"/>
  <c r="P500" i="3"/>
  <c r="T500" i="3"/>
  <c r="U500" i="3"/>
  <c r="O501" i="3"/>
  <c r="P501" i="3"/>
  <c r="T501" i="3"/>
  <c r="U501" i="3"/>
  <c r="I503" i="3"/>
  <c r="I492" i="3" s="1"/>
  <c r="K492" i="3" s="1"/>
  <c r="I504" i="3"/>
  <c r="K504" i="3" s="1"/>
  <c r="I505" i="3"/>
  <c r="K505" i="3" s="1"/>
  <c r="I506" i="3"/>
  <c r="I507" i="3"/>
  <c r="K507" i="3" s="1"/>
  <c r="K508" i="3"/>
  <c r="I509" i="3"/>
  <c r="K509" i="3" s="1"/>
  <c r="I512" i="3"/>
  <c r="K512" i="3" s="1"/>
  <c r="J512" i="3"/>
  <c r="L514" i="3"/>
  <c r="M514" i="3"/>
  <c r="N514" i="3"/>
  <c r="P514" i="3"/>
  <c r="Q514" i="3"/>
  <c r="R514" i="3"/>
  <c r="S514" i="3"/>
  <c r="Q515" i="3"/>
  <c r="R515" i="3"/>
  <c r="U515" i="3" s="1"/>
  <c r="S515" i="3"/>
  <c r="T515" i="3"/>
  <c r="Q516" i="3"/>
  <c r="R516" i="3"/>
  <c r="S516" i="3"/>
  <c r="T516" i="3"/>
  <c r="U516" i="3"/>
  <c r="O517" i="3"/>
  <c r="P517" i="3"/>
  <c r="T517" i="3"/>
  <c r="U517" i="3"/>
  <c r="L518" i="3"/>
  <c r="M518" i="3"/>
  <c r="N518" i="3"/>
  <c r="T518" i="3"/>
  <c r="U518" i="3"/>
  <c r="Q519" i="3"/>
  <c r="T519" i="3" s="1"/>
  <c r="R519" i="3"/>
  <c r="U519" i="3" s="1"/>
  <c r="S519" i="3"/>
  <c r="O520" i="3"/>
  <c r="P520" i="3"/>
  <c r="T520" i="3"/>
  <c r="U520" i="3"/>
  <c r="L521" i="3"/>
  <c r="L519" i="3" s="1"/>
  <c r="O519" i="3" s="1"/>
  <c r="M521" i="3"/>
  <c r="M519" i="3" s="1"/>
  <c r="P519" i="3" s="1"/>
  <c r="N521" i="3"/>
  <c r="N519" i="3" s="1"/>
  <c r="T521" i="3"/>
  <c r="U521" i="3"/>
  <c r="K523" i="3"/>
  <c r="K524" i="3"/>
  <c r="I533" i="3"/>
  <c r="K533" i="3" s="1"/>
  <c r="J533" i="3"/>
  <c r="L535" i="3"/>
  <c r="M535" i="3"/>
  <c r="N535" i="3"/>
  <c r="Q535" i="3"/>
  <c r="R535" i="3"/>
  <c r="S535" i="3"/>
  <c r="L536" i="3"/>
  <c r="M536" i="3"/>
  <c r="P536" i="3" s="1"/>
  <c r="N536" i="3"/>
  <c r="O536" i="3"/>
  <c r="Q536" i="3"/>
  <c r="T536" i="3" s="1"/>
  <c r="R536" i="3"/>
  <c r="U536" i="3" s="1"/>
  <c r="S536" i="3"/>
  <c r="L537" i="3"/>
  <c r="M537" i="3"/>
  <c r="P537" i="3" s="1"/>
  <c r="N537" i="3"/>
  <c r="O537" i="3"/>
  <c r="Q537" i="3"/>
  <c r="T537" i="3" s="1"/>
  <c r="R537" i="3"/>
  <c r="S537" i="3"/>
  <c r="U537" i="3"/>
  <c r="O538" i="3"/>
  <c r="P538" i="3"/>
  <c r="T538" i="3"/>
  <c r="U538" i="3"/>
  <c r="O539" i="3"/>
  <c r="P539" i="3"/>
  <c r="T539" i="3"/>
  <c r="U539" i="3"/>
  <c r="L540" i="3"/>
  <c r="M540" i="3"/>
  <c r="N540" i="3"/>
  <c r="O540" i="3"/>
  <c r="P540" i="3"/>
  <c r="Q540" i="3"/>
  <c r="T540" i="3" s="1"/>
  <c r="R540" i="3"/>
  <c r="U540" i="3" s="1"/>
  <c r="S540" i="3"/>
  <c r="O541" i="3"/>
  <c r="P541" i="3"/>
  <c r="T541" i="3"/>
  <c r="U541" i="3"/>
  <c r="O542" i="3"/>
  <c r="P542" i="3"/>
  <c r="T542" i="3"/>
  <c r="U542" i="3"/>
  <c r="I554" i="3"/>
  <c r="K554" i="3" s="1"/>
  <c r="J554" i="3"/>
  <c r="L556" i="3"/>
  <c r="O556" i="3" s="1"/>
  <c r="M556" i="3"/>
  <c r="P556" i="3" s="1"/>
  <c r="N556" i="3"/>
  <c r="N555" i="3" s="1"/>
  <c r="Q556" i="3"/>
  <c r="R556" i="3"/>
  <c r="S556" i="3"/>
  <c r="S555" i="3" s="1"/>
  <c r="T556" i="3"/>
  <c r="L557" i="3"/>
  <c r="O557" i="3" s="1"/>
  <c r="M557" i="3"/>
  <c r="N557" i="3"/>
  <c r="P557" i="3"/>
  <c r="Q557" i="3"/>
  <c r="T557" i="3" s="1"/>
  <c r="R557" i="3"/>
  <c r="U557" i="3" s="1"/>
  <c r="S557" i="3"/>
  <c r="L558" i="3"/>
  <c r="M558" i="3"/>
  <c r="P558" i="3" s="1"/>
  <c r="N558" i="3"/>
  <c r="O558" i="3"/>
  <c r="Q558" i="3"/>
  <c r="R558" i="3"/>
  <c r="S558" i="3"/>
  <c r="T558" i="3"/>
  <c r="U558" i="3"/>
  <c r="O559" i="3"/>
  <c r="P559" i="3"/>
  <c r="T559" i="3"/>
  <c r="U559" i="3"/>
  <c r="O560" i="3"/>
  <c r="P560" i="3"/>
  <c r="T560" i="3"/>
  <c r="U560" i="3"/>
  <c r="L561" i="3"/>
  <c r="M561" i="3"/>
  <c r="P561" i="3" s="1"/>
  <c r="N561" i="3"/>
  <c r="O561" i="3"/>
  <c r="Q561" i="3"/>
  <c r="T561" i="3" s="1"/>
  <c r="R561" i="3"/>
  <c r="S561" i="3"/>
  <c r="U561" i="3"/>
  <c r="O562" i="3"/>
  <c r="P562" i="3"/>
  <c r="T562" i="3"/>
  <c r="U562" i="3"/>
  <c r="O563" i="3"/>
  <c r="P563" i="3"/>
  <c r="T563" i="3"/>
  <c r="U563" i="3"/>
  <c r="I575" i="3"/>
  <c r="K575" i="3" s="1"/>
  <c r="J575" i="3"/>
  <c r="L577" i="3"/>
  <c r="O577" i="3" s="1"/>
  <c r="M577" i="3"/>
  <c r="N577" i="3"/>
  <c r="Q577" i="3"/>
  <c r="T577" i="3" s="1"/>
  <c r="R577" i="3"/>
  <c r="U577" i="3" s="1"/>
  <c r="S577" i="3"/>
  <c r="L578" i="3"/>
  <c r="O578" i="3" s="1"/>
  <c r="M578" i="3"/>
  <c r="P578" i="3" s="1"/>
  <c r="N578" i="3"/>
  <c r="Q578" i="3"/>
  <c r="R578" i="3"/>
  <c r="S578" i="3"/>
  <c r="T578" i="3"/>
  <c r="U578" i="3"/>
  <c r="L579" i="3"/>
  <c r="M579" i="3"/>
  <c r="N579" i="3"/>
  <c r="O579" i="3"/>
  <c r="P579" i="3"/>
  <c r="Q579" i="3"/>
  <c r="T579" i="3" s="1"/>
  <c r="R579" i="3"/>
  <c r="U579" i="3" s="1"/>
  <c r="S579" i="3"/>
  <c r="O580" i="3"/>
  <c r="P580" i="3"/>
  <c r="T580" i="3"/>
  <c r="U580" i="3"/>
  <c r="O581" i="3"/>
  <c r="P581" i="3"/>
  <c r="T581" i="3"/>
  <c r="U581" i="3"/>
  <c r="L582" i="3"/>
  <c r="O582" i="3" s="1"/>
  <c r="M582" i="3"/>
  <c r="N582" i="3"/>
  <c r="P582" i="3"/>
  <c r="Q582" i="3"/>
  <c r="T582" i="3" s="1"/>
  <c r="R582" i="3"/>
  <c r="U582" i="3" s="1"/>
  <c r="S582" i="3"/>
  <c r="O583" i="3"/>
  <c r="P583" i="3"/>
  <c r="T583" i="3"/>
  <c r="U583" i="3"/>
  <c r="O584" i="3"/>
  <c r="P584" i="3"/>
  <c r="T584" i="3"/>
  <c r="U584" i="3"/>
  <c r="L600" i="3"/>
  <c r="L599" i="3" s="1"/>
  <c r="O599" i="3" s="1"/>
  <c r="M600" i="3"/>
  <c r="P600" i="3" s="1"/>
  <c r="N600" i="3"/>
  <c r="O600" i="3"/>
  <c r="Q600" i="3"/>
  <c r="R600" i="3"/>
  <c r="S600" i="3"/>
  <c r="T600" i="3"/>
  <c r="L601" i="3"/>
  <c r="O601" i="3" s="1"/>
  <c r="M601" i="3"/>
  <c r="N601" i="3"/>
  <c r="P601" i="3"/>
  <c r="Q601" i="3"/>
  <c r="T601" i="3" s="1"/>
  <c r="R601" i="3"/>
  <c r="U601" i="3" s="1"/>
  <c r="S601" i="3"/>
  <c r="S599" i="3" s="1"/>
  <c r="L602" i="3"/>
  <c r="O602" i="3" s="1"/>
  <c r="M602" i="3"/>
  <c r="P602" i="3" s="1"/>
  <c r="N602" i="3"/>
  <c r="Q602" i="3"/>
  <c r="T602" i="3" s="1"/>
  <c r="R602" i="3"/>
  <c r="U602" i="3" s="1"/>
  <c r="S602" i="3"/>
  <c r="O603" i="3"/>
  <c r="P603" i="3"/>
  <c r="T603" i="3"/>
  <c r="U603" i="3"/>
  <c r="O604" i="3"/>
  <c r="P604" i="3"/>
  <c r="T604" i="3"/>
  <c r="U604" i="3"/>
  <c r="L605" i="3"/>
  <c r="M605" i="3"/>
  <c r="P605" i="3" s="1"/>
  <c r="N605" i="3"/>
  <c r="O605" i="3"/>
  <c r="Q605" i="3"/>
  <c r="T605" i="3" s="1"/>
  <c r="R605" i="3"/>
  <c r="S605" i="3"/>
  <c r="U605" i="3"/>
  <c r="O606" i="3"/>
  <c r="P606" i="3"/>
  <c r="T606" i="3"/>
  <c r="U606" i="3"/>
  <c r="O607" i="3"/>
  <c r="P607" i="3"/>
  <c r="T607" i="3"/>
  <c r="U607" i="3"/>
  <c r="L617" i="3"/>
  <c r="M617" i="3"/>
  <c r="N617" i="3"/>
  <c r="N616" i="3" s="1"/>
  <c r="O617" i="3"/>
  <c r="Q617" i="3"/>
  <c r="T617" i="3" s="1"/>
  <c r="R617" i="3"/>
  <c r="S617" i="3"/>
  <c r="U617" i="3"/>
  <c r="L618" i="3"/>
  <c r="M618" i="3"/>
  <c r="P618" i="3" s="1"/>
  <c r="N618" i="3"/>
  <c r="L619" i="3"/>
  <c r="M619" i="3"/>
  <c r="P619" i="3" s="1"/>
  <c r="N619" i="3"/>
  <c r="O619" i="3"/>
  <c r="O620" i="3"/>
  <c r="P620" i="3"/>
  <c r="T620" i="3"/>
  <c r="U620" i="3"/>
  <c r="O621" i="3"/>
  <c r="P621" i="3"/>
  <c r="Q621" i="3"/>
  <c r="Q619" i="3" s="1"/>
  <c r="R621" i="3"/>
  <c r="R618" i="3" s="1"/>
  <c r="S621" i="3"/>
  <c r="S619" i="3" s="1"/>
  <c r="L622" i="3"/>
  <c r="M622" i="3"/>
  <c r="P622" i="3" s="1"/>
  <c r="N622" i="3"/>
  <c r="O622" i="3"/>
  <c r="Q622" i="3"/>
  <c r="T622" i="3" s="1"/>
  <c r="R622" i="3"/>
  <c r="U622" i="3" s="1"/>
  <c r="S622" i="3"/>
  <c r="O623" i="3"/>
  <c r="P623" i="3"/>
  <c r="T623" i="3"/>
  <c r="U623" i="3"/>
  <c r="O624" i="3"/>
  <c r="P624" i="3"/>
  <c r="T624" i="3"/>
  <c r="U624" i="3"/>
  <c r="I626" i="3"/>
  <c r="K631" i="3" s="1"/>
  <c r="I627" i="3"/>
  <c r="K627" i="3" s="1"/>
  <c r="I628" i="3"/>
  <c r="K628" i="3" s="1"/>
  <c r="J632" i="3"/>
  <c r="J626" i="3" s="1"/>
  <c r="J615" i="3" s="1"/>
  <c r="I635" i="3"/>
  <c r="K635" i="3" s="1"/>
  <c r="J636" i="3"/>
  <c r="J635" i="3" s="1"/>
  <c r="L643" i="3"/>
  <c r="O643" i="3" s="1"/>
  <c r="M643" i="3"/>
  <c r="P643" i="3" s="1"/>
  <c r="N643" i="3"/>
  <c r="Q643" i="3"/>
  <c r="R643" i="3"/>
  <c r="U643" i="3" s="1"/>
  <c r="S643" i="3"/>
  <c r="L644" i="3"/>
  <c r="O644" i="3" s="1"/>
  <c r="M644" i="3"/>
  <c r="N644" i="3"/>
  <c r="N642" i="3" s="1"/>
  <c r="L645" i="3"/>
  <c r="M645" i="3"/>
  <c r="P645" i="3" s="1"/>
  <c r="N645" i="3"/>
  <c r="O645" i="3"/>
  <c r="O646" i="3"/>
  <c r="P646" i="3"/>
  <c r="T646" i="3"/>
  <c r="U646" i="3"/>
  <c r="O647" i="3"/>
  <c r="P647" i="3"/>
  <c r="Q647" i="3"/>
  <c r="Q644" i="3" s="1"/>
  <c r="T644" i="3" s="1"/>
  <c r="R647" i="3"/>
  <c r="S647" i="3"/>
  <c r="S645" i="3" s="1"/>
  <c r="L648" i="3"/>
  <c r="O648" i="3" s="1"/>
  <c r="M648" i="3"/>
  <c r="N648" i="3"/>
  <c r="P648" i="3"/>
  <c r="Q648" i="3"/>
  <c r="R648" i="3"/>
  <c r="U648" i="3" s="1"/>
  <c r="S648" i="3"/>
  <c r="T648" i="3"/>
  <c r="O649" i="3"/>
  <c r="P649" i="3"/>
  <c r="T649" i="3"/>
  <c r="U649" i="3"/>
  <c r="O650" i="3"/>
  <c r="P650" i="3"/>
  <c r="T650" i="3"/>
  <c r="U650" i="3"/>
  <c r="I652" i="3"/>
  <c r="K652" i="3" s="1"/>
  <c r="J652" i="3"/>
  <c r="I653" i="3"/>
  <c r="K653" i="3" s="1"/>
  <c r="J653" i="3"/>
  <c r="I654" i="3"/>
  <c r="K654" i="3" s="1"/>
  <c r="J654" i="3"/>
  <c r="I657" i="3"/>
  <c r="I660" i="3"/>
  <c r="I661" i="3"/>
  <c r="K661" i="3" s="1"/>
  <c r="J661" i="3"/>
  <c r="J671" i="3"/>
  <c r="J672" i="3"/>
  <c r="I673" i="3"/>
  <c r="K673" i="3" s="1"/>
  <c r="J673" i="3"/>
  <c r="I674" i="3"/>
  <c r="K674" i="3" s="1"/>
  <c r="I675" i="3"/>
  <c r="K675" i="3" s="1"/>
  <c r="I676" i="3"/>
  <c r="K676" i="3" s="1"/>
  <c r="J676" i="3"/>
  <c r="J677" i="3"/>
  <c r="I678" i="3"/>
  <c r="K678" i="3" s="1"/>
  <c r="J678" i="3"/>
  <c r="I679" i="3"/>
  <c r="K679" i="3" s="1"/>
  <c r="J679" i="3"/>
  <c r="J680" i="3"/>
  <c r="I681" i="3"/>
  <c r="K681" i="3" s="1"/>
  <c r="J681" i="3"/>
  <c r="I682" i="3"/>
  <c r="K682" i="3" s="1"/>
  <c r="J682" i="3"/>
  <c r="L691" i="3"/>
  <c r="M691" i="3"/>
  <c r="P691" i="3" s="1"/>
  <c r="N691" i="3"/>
  <c r="N690" i="3" s="1"/>
  <c r="O691" i="3"/>
  <c r="Q691" i="3"/>
  <c r="R691" i="3"/>
  <c r="S691" i="3"/>
  <c r="U691" i="3"/>
  <c r="L692" i="3"/>
  <c r="O692" i="3" s="1"/>
  <c r="M692" i="3"/>
  <c r="N692" i="3"/>
  <c r="L693" i="3"/>
  <c r="O693" i="3" s="1"/>
  <c r="M693" i="3"/>
  <c r="P693" i="3" s="1"/>
  <c r="N693" i="3"/>
  <c r="O694" i="3"/>
  <c r="P694" i="3"/>
  <c r="T694" i="3"/>
  <c r="U694" i="3"/>
  <c r="O695" i="3"/>
  <c r="P695" i="3"/>
  <c r="Q695" i="3"/>
  <c r="R695" i="3"/>
  <c r="S695" i="3"/>
  <c r="S693" i="3" s="1"/>
  <c r="L696" i="3"/>
  <c r="M696" i="3"/>
  <c r="N696" i="3"/>
  <c r="O696" i="3"/>
  <c r="P696" i="3"/>
  <c r="Q696" i="3"/>
  <c r="T696" i="3" s="1"/>
  <c r="R696" i="3"/>
  <c r="S696" i="3"/>
  <c r="U696" i="3"/>
  <c r="O697" i="3"/>
  <c r="P697" i="3"/>
  <c r="T697" i="3"/>
  <c r="U697" i="3"/>
  <c r="O698" i="3"/>
  <c r="P698" i="3"/>
  <c r="T698" i="3"/>
  <c r="U698" i="3"/>
  <c r="I700" i="3"/>
  <c r="K700" i="3" s="1"/>
  <c r="K702" i="3"/>
  <c r="I703" i="3"/>
  <c r="J703" i="3"/>
  <c r="J704" i="3"/>
  <c r="K704" i="3"/>
  <c r="I705" i="3"/>
  <c r="K705" i="3" s="1"/>
  <c r="J705" i="3"/>
  <c r="J706" i="3"/>
  <c r="K706" i="3"/>
  <c r="I707" i="3"/>
  <c r="J707" i="3"/>
  <c r="J689" i="3" s="1"/>
  <c r="J708" i="3"/>
  <c r="K708" i="3"/>
  <c r="I709" i="3"/>
  <c r="K709" i="3" s="1"/>
  <c r="J709" i="3"/>
  <c r="J710" i="3"/>
  <c r="K710" i="3"/>
  <c r="J712" i="3"/>
  <c r="K712" i="3"/>
  <c r="L715" i="3"/>
  <c r="M715" i="3"/>
  <c r="P715" i="3" s="1"/>
  <c r="N715" i="3"/>
  <c r="O715" i="3"/>
  <c r="Q715" i="3"/>
  <c r="T715" i="3" s="1"/>
  <c r="R715" i="3"/>
  <c r="R714" i="3" s="1"/>
  <c r="U714" i="3" s="1"/>
  <c r="S715" i="3"/>
  <c r="U715" i="3"/>
  <c r="L716" i="3"/>
  <c r="L714" i="3" s="1"/>
  <c r="O714" i="3" s="1"/>
  <c r="M716" i="3"/>
  <c r="N716" i="3"/>
  <c r="Q716" i="3"/>
  <c r="T716" i="3" s="1"/>
  <c r="R716" i="3"/>
  <c r="U716" i="3" s="1"/>
  <c r="S716" i="3"/>
  <c r="S714" i="3" s="1"/>
  <c r="L717" i="3"/>
  <c r="M717" i="3"/>
  <c r="P717" i="3" s="1"/>
  <c r="N717" i="3"/>
  <c r="O717" i="3"/>
  <c r="Q717" i="3"/>
  <c r="T717" i="3" s="1"/>
  <c r="R717" i="3"/>
  <c r="U717" i="3" s="1"/>
  <c r="S717" i="3"/>
  <c r="O718" i="3"/>
  <c r="P718" i="3"/>
  <c r="T718" i="3"/>
  <c r="U718" i="3"/>
  <c r="O719" i="3"/>
  <c r="P719" i="3"/>
  <c r="T719" i="3"/>
  <c r="U719" i="3"/>
  <c r="L720" i="3"/>
  <c r="O720" i="3" s="1"/>
  <c r="M720" i="3"/>
  <c r="P720" i="3" s="1"/>
  <c r="N720" i="3"/>
  <c r="Q720" i="3"/>
  <c r="T720" i="3" s="1"/>
  <c r="R720" i="3"/>
  <c r="U720" i="3" s="1"/>
  <c r="S720" i="3"/>
  <c r="O721" i="3"/>
  <c r="P721" i="3"/>
  <c r="T721" i="3"/>
  <c r="U721" i="3"/>
  <c r="O722" i="3"/>
  <c r="P722" i="3"/>
  <c r="T722" i="3"/>
  <c r="U722" i="3"/>
  <c r="I726" i="3"/>
  <c r="K726" i="3" s="1"/>
  <c r="J726" i="3"/>
  <c r="I727" i="3"/>
  <c r="K727" i="3" s="1"/>
  <c r="J727" i="3"/>
  <c r="L729" i="3"/>
  <c r="M729" i="3"/>
  <c r="P729" i="3" s="1"/>
  <c r="N729" i="3"/>
  <c r="N728" i="3" s="1"/>
  <c r="Q729" i="3"/>
  <c r="T729" i="3" s="1"/>
  <c r="R729" i="3"/>
  <c r="S729" i="3"/>
  <c r="U729" i="3"/>
  <c r="L730" i="3"/>
  <c r="O730" i="3" s="1"/>
  <c r="M730" i="3"/>
  <c r="N730" i="3"/>
  <c r="L731" i="3"/>
  <c r="O731" i="3" s="1"/>
  <c r="M731" i="3"/>
  <c r="P731" i="3" s="1"/>
  <c r="N731" i="3"/>
  <c r="O732" i="3"/>
  <c r="P732" i="3"/>
  <c r="T732" i="3"/>
  <c r="U732" i="3"/>
  <c r="O733" i="3"/>
  <c r="P733" i="3"/>
  <c r="Q733" i="3"/>
  <c r="R733" i="3"/>
  <c r="R731" i="3" s="1"/>
  <c r="S733" i="3"/>
  <c r="S731" i="3" s="1"/>
  <c r="L734" i="3"/>
  <c r="M734" i="3"/>
  <c r="P734" i="3" s="1"/>
  <c r="N734" i="3"/>
  <c r="O734" i="3"/>
  <c r="Q734" i="3"/>
  <c r="T734" i="3" s="1"/>
  <c r="R734" i="3"/>
  <c r="U734" i="3" s="1"/>
  <c r="S734" i="3"/>
  <c r="O735" i="3"/>
  <c r="P735" i="3"/>
  <c r="T735" i="3"/>
  <c r="U735" i="3"/>
  <c r="O736" i="3"/>
  <c r="P736" i="3"/>
  <c r="T736" i="3"/>
  <c r="U736" i="3"/>
  <c r="I740" i="3"/>
  <c r="K740" i="3" s="1"/>
  <c r="I742" i="3"/>
  <c r="K742" i="3" s="1"/>
  <c r="I744" i="3"/>
  <c r="K744" i="3" s="1"/>
  <c r="I746" i="3"/>
  <c r="K746" i="3" s="1"/>
  <c r="I749" i="3"/>
  <c r="K749" i="3" s="1"/>
  <c r="I752" i="3"/>
  <c r="K752" i="3" s="1"/>
  <c r="I755" i="3"/>
  <c r="K755" i="3" s="1"/>
  <c r="J758" i="3"/>
  <c r="J759" i="3"/>
  <c r="L761" i="3"/>
  <c r="O761" i="3" s="1"/>
  <c r="M761" i="3"/>
  <c r="N761" i="3"/>
  <c r="Q761" i="3"/>
  <c r="R761" i="3"/>
  <c r="S761" i="3"/>
  <c r="T761" i="3"/>
  <c r="L762" i="3"/>
  <c r="M762" i="3"/>
  <c r="N762" i="3"/>
  <c r="O762" i="3"/>
  <c r="P762" i="3"/>
  <c r="L763" i="3"/>
  <c r="O763" i="3" s="1"/>
  <c r="M763" i="3"/>
  <c r="P763" i="3" s="1"/>
  <c r="N763" i="3"/>
  <c r="O764" i="3"/>
  <c r="P764" i="3"/>
  <c r="T764" i="3"/>
  <c r="U764" i="3"/>
  <c r="O765" i="3"/>
  <c r="P765" i="3"/>
  <c r="Q765" i="3"/>
  <c r="Q762" i="3" s="1"/>
  <c r="R765" i="3"/>
  <c r="R762" i="3" s="1"/>
  <c r="S765" i="3"/>
  <c r="S762" i="3" s="1"/>
  <c r="L766" i="3"/>
  <c r="O766" i="3" s="1"/>
  <c r="M766" i="3"/>
  <c r="P766" i="3" s="1"/>
  <c r="N766" i="3"/>
  <c r="Q766" i="3"/>
  <c r="T766" i="3" s="1"/>
  <c r="R766" i="3"/>
  <c r="U766" i="3" s="1"/>
  <c r="S766" i="3"/>
  <c r="O767" i="3"/>
  <c r="P767" i="3"/>
  <c r="T767" i="3"/>
  <c r="U767" i="3"/>
  <c r="O768" i="3"/>
  <c r="P768" i="3"/>
  <c r="T768" i="3"/>
  <c r="U768" i="3"/>
  <c r="I770" i="3"/>
  <c r="K770" i="3" s="1"/>
  <c r="I772" i="3"/>
  <c r="I758" i="3" s="1"/>
  <c r="K758" i="3" s="1"/>
  <c r="I774" i="3"/>
  <c r="I759" i="3" s="1"/>
  <c r="K759" i="3" s="1"/>
  <c r="I775" i="3"/>
  <c r="I776" i="3"/>
  <c r="H777" i="3"/>
  <c r="I778" i="3"/>
  <c r="J778" i="3"/>
  <c r="I779" i="3"/>
  <c r="J779" i="3"/>
  <c r="I780" i="3"/>
  <c r="J780" i="3"/>
  <c r="I781" i="3"/>
  <c r="J781" i="3"/>
  <c r="I782" i="3"/>
  <c r="J782" i="3"/>
  <c r="I783" i="3"/>
  <c r="J783" i="3"/>
  <c r="I784" i="3"/>
  <c r="J784" i="3"/>
  <c r="I785" i="3"/>
  <c r="J785" i="3"/>
  <c r="A788" i="3"/>
  <c r="A789" i="3"/>
  <c r="L22" i="2"/>
  <c r="M22" i="2"/>
  <c r="M19" i="2" s="1"/>
  <c r="N22" i="2"/>
  <c r="N19" i="2" s="1"/>
  <c r="Q22" i="2"/>
  <c r="R22" i="2"/>
  <c r="S22" i="2"/>
  <c r="L25" i="2"/>
  <c r="M25" i="2"/>
  <c r="N25" i="2"/>
  <c r="Q25" i="2"/>
  <c r="R25" i="2"/>
  <c r="S25" i="2"/>
  <c r="Q26" i="2"/>
  <c r="T26" i="2" s="1"/>
  <c r="R26" i="2"/>
  <c r="S26" i="2"/>
  <c r="U26" i="2"/>
  <c r="Q44" i="2"/>
  <c r="T44" i="2" s="1"/>
  <c r="L45" i="2"/>
  <c r="O45" i="2" s="1"/>
  <c r="M45" i="2"/>
  <c r="N45" i="2"/>
  <c r="Q45" i="2"/>
  <c r="R45" i="2"/>
  <c r="S45" i="2"/>
  <c r="S44" i="2" s="1"/>
  <c r="T45" i="2"/>
  <c r="Q46" i="2"/>
  <c r="R46" i="2"/>
  <c r="U46" i="2" s="1"/>
  <c r="S46" i="2"/>
  <c r="T46" i="2"/>
  <c r="Q47" i="2"/>
  <c r="T47" i="2" s="1"/>
  <c r="R47" i="2"/>
  <c r="U47" i="2" s="1"/>
  <c r="S47" i="2"/>
  <c r="O48" i="2"/>
  <c r="P48" i="2"/>
  <c r="T48" i="2"/>
  <c r="U48" i="2"/>
  <c r="L49" i="2"/>
  <c r="L47" i="2" s="1"/>
  <c r="M49" i="2"/>
  <c r="M47" i="2" s="1"/>
  <c r="N49" i="2"/>
  <c r="T49" i="2"/>
  <c r="U49" i="2"/>
  <c r="Q50" i="2"/>
  <c r="R50" i="2"/>
  <c r="U50" i="2" s="1"/>
  <c r="S50" i="2"/>
  <c r="T50" i="2"/>
  <c r="O51" i="2"/>
  <c r="P51" i="2"/>
  <c r="T51" i="2"/>
  <c r="U51" i="2"/>
  <c r="L52" i="2"/>
  <c r="M52" i="2"/>
  <c r="N52" i="2"/>
  <c r="N50" i="2" s="1"/>
  <c r="T52" i="2"/>
  <c r="U52" i="2"/>
  <c r="Q59" i="2"/>
  <c r="T59" i="2" s="1"/>
  <c r="L60" i="2"/>
  <c r="O60" i="2" s="1"/>
  <c r="M60" i="2"/>
  <c r="N60" i="2"/>
  <c r="Q60" i="2"/>
  <c r="T60" i="2" s="1"/>
  <c r="R60" i="2"/>
  <c r="U60" i="2" s="1"/>
  <c r="S60" i="2"/>
  <c r="Q61" i="2"/>
  <c r="R61" i="2"/>
  <c r="U61" i="2" s="1"/>
  <c r="S61" i="2"/>
  <c r="T61" i="2"/>
  <c r="Q62" i="2"/>
  <c r="T62" i="2" s="1"/>
  <c r="R62" i="2"/>
  <c r="U62" i="2" s="1"/>
  <c r="S62" i="2"/>
  <c r="O63" i="2"/>
  <c r="P63" i="2"/>
  <c r="T63" i="2"/>
  <c r="U63" i="2"/>
  <c r="L64" i="2"/>
  <c r="L62" i="2" s="1"/>
  <c r="M64" i="2"/>
  <c r="M62" i="2" s="1"/>
  <c r="N64" i="2"/>
  <c r="T64" i="2"/>
  <c r="U64" i="2"/>
  <c r="Q65" i="2"/>
  <c r="T65" i="2" s="1"/>
  <c r="R65" i="2"/>
  <c r="S65" i="2"/>
  <c r="U65" i="2"/>
  <c r="O66" i="2"/>
  <c r="P66" i="2"/>
  <c r="T66" i="2"/>
  <c r="U66" i="2"/>
  <c r="L67" i="2"/>
  <c r="M67" i="2"/>
  <c r="P67" i="2" s="1"/>
  <c r="N67" i="2"/>
  <c r="N65" i="2" s="1"/>
  <c r="T67" i="2"/>
  <c r="U67" i="2"/>
  <c r="J71" i="2"/>
  <c r="L73" i="2"/>
  <c r="O73" i="2" s="1"/>
  <c r="M73" i="2"/>
  <c r="N73" i="2"/>
  <c r="Q73" i="2"/>
  <c r="T73" i="2" s="1"/>
  <c r="R73" i="2"/>
  <c r="U73" i="2" s="1"/>
  <c r="S73" i="2"/>
  <c r="O76" i="2"/>
  <c r="P76" i="2"/>
  <c r="T76" i="2"/>
  <c r="U76" i="2"/>
  <c r="L77" i="2"/>
  <c r="L75" i="2" s="1"/>
  <c r="O75" i="2" s="1"/>
  <c r="M77" i="2"/>
  <c r="P77" i="2" s="1"/>
  <c r="N77" i="2"/>
  <c r="N75" i="2" s="1"/>
  <c r="Q77" i="2"/>
  <c r="Q75" i="2" s="1"/>
  <c r="T75" i="2" s="1"/>
  <c r="R77" i="2"/>
  <c r="R74" i="2" s="1"/>
  <c r="U74" i="2" s="1"/>
  <c r="S77" i="2"/>
  <c r="S74" i="2" s="1"/>
  <c r="Q78" i="2"/>
  <c r="T78" i="2" s="1"/>
  <c r="R78" i="2"/>
  <c r="U78" i="2" s="1"/>
  <c r="S78" i="2"/>
  <c r="O79" i="2"/>
  <c r="P79" i="2"/>
  <c r="T79" i="2"/>
  <c r="U79" i="2"/>
  <c r="L80" i="2"/>
  <c r="L78" i="2" s="1"/>
  <c r="O78" i="2" s="1"/>
  <c r="M80" i="2"/>
  <c r="P80" i="2" s="1"/>
  <c r="N80" i="2"/>
  <c r="T80" i="2"/>
  <c r="U80" i="2"/>
  <c r="J82" i="2"/>
  <c r="J70" i="2" s="1"/>
  <c r="J83" i="2"/>
  <c r="I84" i="2"/>
  <c r="K84" i="2" s="1"/>
  <c r="I85" i="2"/>
  <c r="K85" i="2" s="1"/>
  <c r="I86" i="2"/>
  <c r="K86" i="2" s="1"/>
  <c r="I87" i="2"/>
  <c r="K87" i="2" s="1"/>
  <c r="I88" i="2"/>
  <c r="K88" i="2" s="1"/>
  <c r="I89" i="2"/>
  <c r="K89" i="2" s="1"/>
  <c r="I90" i="2"/>
  <c r="K90" i="2" s="1"/>
  <c r="J92" i="2"/>
  <c r="J93" i="2"/>
  <c r="L95" i="2"/>
  <c r="O95" i="2" s="1"/>
  <c r="M95" i="2"/>
  <c r="P95" i="2" s="1"/>
  <c r="N95" i="2"/>
  <c r="Q95" i="2"/>
  <c r="T95" i="2" s="1"/>
  <c r="R95" i="2"/>
  <c r="S95" i="2"/>
  <c r="U95" i="2"/>
  <c r="O98" i="2"/>
  <c r="P98" i="2"/>
  <c r="T98" i="2"/>
  <c r="U98" i="2"/>
  <c r="L99" i="2"/>
  <c r="L97" i="2" s="1"/>
  <c r="O97" i="2" s="1"/>
  <c r="M99" i="2"/>
  <c r="N99" i="2"/>
  <c r="N97" i="2" s="1"/>
  <c r="Q99" i="2"/>
  <c r="T99" i="2" s="1"/>
  <c r="R99" i="2"/>
  <c r="S99" i="2"/>
  <c r="S96" i="2" s="1"/>
  <c r="S94" i="2" s="1"/>
  <c r="Q100" i="2"/>
  <c r="T100" i="2" s="1"/>
  <c r="R100" i="2"/>
  <c r="U100" i="2" s="1"/>
  <c r="S100" i="2"/>
  <c r="O101" i="2"/>
  <c r="P101" i="2"/>
  <c r="T101" i="2"/>
  <c r="U101" i="2"/>
  <c r="L102" i="2"/>
  <c r="M102" i="2"/>
  <c r="M100" i="2" s="1"/>
  <c r="P100" i="2" s="1"/>
  <c r="N102" i="2"/>
  <c r="N100" i="2" s="1"/>
  <c r="T102" i="2"/>
  <c r="U102" i="2"/>
  <c r="I108" i="2"/>
  <c r="I109" i="2"/>
  <c r="I93" i="2" s="1"/>
  <c r="K93" i="2" s="1"/>
  <c r="I114" i="2"/>
  <c r="K114" i="2" s="1"/>
  <c r="J116" i="2"/>
  <c r="L118" i="2"/>
  <c r="O118" i="2" s="1"/>
  <c r="M118" i="2"/>
  <c r="P118" i="2" s="1"/>
  <c r="N118" i="2"/>
  <c r="Q118" i="2"/>
  <c r="T118" i="2" s="1"/>
  <c r="R118" i="2"/>
  <c r="S118" i="2"/>
  <c r="U118" i="2"/>
  <c r="O121" i="2"/>
  <c r="P121" i="2"/>
  <c r="T121" i="2"/>
  <c r="U121" i="2"/>
  <c r="L122" i="2"/>
  <c r="O122" i="2" s="1"/>
  <c r="M122" i="2"/>
  <c r="N122" i="2"/>
  <c r="N120" i="2" s="1"/>
  <c r="Q122" i="2"/>
  <c r="R122" i="2"/>
  <c r="R119" i="2" s="1"/>
  <c r="R117" i="2" s="1"/>
  <c r="S122" i="2"/>
  <c r="S119" i="2" s="1"/>
  <c r="Q123" i="2"/>
  <c r="T123" i="2" s="1"/>
  <c r="R123" i="2"/>
  <c r="U123" i="2" s="1"/>
  <c r="S123" i="2"/>
  <c r="O124" i="2"/>
  <c r="P124" i="2"/>
  <c r="T124" i="2"/>
  <c r="U124" i="2"/>
  <c r="L125" i="2"/>
  <c r="O125" i="2" s="1"/>
  <c r="M125" i="2"/>
  <c r="P125" i="2" s="1"/>
  <c r="N125" i="2"/>
  <c r="N123" i="2" s="1"/>
  <c r="T125" i="2"/>
  <c r="U125" i="2"/>
  <c r="I127" i="2"/>
  <c r="I116" i="2" s="1"/>
  <c r="I128" i="2"/>
  <c r="K128" i="2" s="1"/>
  <c r="I129" i="2"/>
  <c r="K129" i="2" s="1"/>
  <c r="I130" i="2"/>
  <c r="K130" i="2" s="1"/>
  <c r="J136" i="2"/>
  <c r="J137" i="2"/>
  <c r="J138" i="2"/>
  <c r="L140" i="2"/>
  <c r="M140" i="2"/>
  <c r="P140" i="2" s="1"/>
  <c r="N140" i="2"/>
  <c r="O140" i="2"/>
  <c r="Q140" i="2"/>
  <c r="T140" i="2" s="1"/>
  <c r="R140" i="2"/>
  <c r="U140" i="2" s="1"/>
  <c r="S140" i="2"/>
  <c r="O143" i="2"/>
  <c r="P143" i="2"/>
  <c r="T143" i="2"/>
  <c r="U143" i="2"/>
  <c r="L144" i="2"/>
  <c r="M144" i="2"/>
  <c r="N144" i="2"/>
  <c r="N142" i="2" s="1"/>
  <c r="Q144" i="2"/>
  <c r="Q141" i="2" s="1"/>
  <c r="T141" i="2" s="1"/>
  <c r="R144" i="2"/>
  <c r="R141" i="2" s="1"/>
  <c r="U141" i="2" s="1"/>
  <c r="S144" i="2"/>
  <c r="Q145" i="2"/>
  <c r="T145" i="2" s="1"/>
  <c r="R145" i="2"/>
  <c r="U145" i="2" s="1"/>
  <c r="S145" i="2"/>
  <c r="O146" i="2"/>
  <c r="P146" i="2"/>
  <c r="T146" i="2"/>
  <c r="U146" i="2"/>
  <c r="L147" i="2"/>
  <c r="O147" i="2" s="1"/>
  <c r="M147" i="2"/>
  <c r="P147" i="2" s="1"/>
  <c r="N147" i="2"/>
  <c r="N145" i="2" s="1"/>
  <c r="T147" i="2"/>
  <c r="U147" i="2"/>
  <c r="I150" i="2"/>
  <c r="K150" i="2" s="1"/>
  <c r="I151" i="2"/>
  <c r="K151" i="2" s="1"/>
  <c r="I152" i="2"/>
  <c r="I153" i="2"/>
  <c r="K153" i="2" s="1"/>
  <c r="I154" i="2"/>
  <c r="K154" i="2" s="1"/>
  <c r="J156" i="2"/>
  <c r="L158" i="2"/>
  <c r="O158" i="2" s="1"/>
  <c r="M158" i="2"/>
  <c r="P158" i="2" s="1"/>
  <c r="N158" i="2"/>
  <c r="Q158" i="2"/>
  <c r="R158" i="2"/>
  <c r="U158" i="2" s="1"/>
  <c r="S158" i="2"/>
  <c r="O161" i="2"/>
  <c r="P161" i="2"/>
  <c r="T161" i="2"/>
  <c r="U161" i="2"/>
  <c r="L162" i="2"/>
  <c r="L160" i="2" s="1"/>
  <c r="O160" i="2" s="1"/>
  <c r="M162" i="2"/>
  <c r="N162" i="2"/>
  <c r="N160" i="2" s="1"/>
  <c r="Q162" i="2"/>
  <c r="R162" i="2"/>
  <c r="S162" i="2"/>
  <c r="S160" i="2" s="1"/>
  <c r="Q163" i="2"/>
  <c r="R163" i="2"/>
  <c r="U163" i="2" s="1"/>
  <c r="S163" i="2"/>
  <c r="T163" i="2"/>
  <c r="O164" i="2"/>
  <c r="P164" i="2"/>
  <c r="T164" i="2"/>
  <c r="U164" i="2"/>
  <c r="L165" i="2"/>
  <c r="O165" i="2" s="1"/>
  <c r="M165" i="2"/>
  <c r="N165" i="2"/>
  <c r="N163" i="2" s="1"/>
  <c r="T165" i="2"/>
  <c r="U165" i="2"/>
  <c r="I167" i="2"/>
  <c r="K167" i="2" s="1"/>
  <c r="I168" i="2"/>
  <c r="K168" i="2" s="1"/>
  <c r="I169" i="2"/>
  <c r="I156" i="2" s="1"/>
  <c r="K156" i="2" s="1"/>
  <c r="J172" i="2"/>
  <c r="L174" i="2"/>
  <c r="O174" i="2" s="1"/>
  <c r="M174" i="2"/>
  <c r="N174" i="2"/>
  <c r="Q174" i="2"/>
  <c r="T174" i="2" s="1"/>
  <c r="R174" i="2"/>
  <c r="S174" i="2"/>
  <c r="U174" i="2"/>
  <c r="O177" i="2"/>
  <c r="P177" i="2"/>
  <c r="T177" i="2"/>
  <c r="U177" i="2"/>
  <c r="L178" i="2"/>
  <c r="M178" i="2"/>
  <c r="M176" i="2" s="1"/>
  <c r="N178" i="2"/>
  <c r="N176" i="2" s="1"/>
  <c r="Q178" i="2"/>
  <c r="T178" i="2" s="1"/>
  <c r="R178" i="2"/>
  <c r="S178" i="2"/>
  <c r="Q179" i="2"/>
  <c r="T179" i="2" s="1"/>
  <c r="R179" i="2"/>
  <c r="S179" i="2"/>
  <c r="U179" i="2"/>
  <c r="O180" i="2"/>
  <c r="P180" i="2"/>
  <c r="T180" i="2"/>
  <c r="U180" i="2"/>
  <c r="L181" i="2"/>
  <c r="L179" i="2" s="1"/>
  <c r="O179" i="2" s="1"/>
  <c r="M181" i="2"/>
  <c r="N181" i="2"/>
  <c r="N179" i="2" s="1"/>
  <c r="T181" i="2"/>
  <c r="U181" i="2"/>
  <c r="I183" i="2"/>
  <c r="K183" i="2" s="1"/>
  <c r="K184" i="2"/>
  <c r="L187" i="2"/>
  <c r="M187" i="2"/>
  <c r="N187" i="2"/>
  <c r="Q187" i="2"/>
  <c r="R187" i="2"/>
  <c r="U187" i="2" s="1"/>
  <c r="S187" i="2"/>
  <c r="O190" i="2"/>
  <c r="P190" i="2"/>
  <c r="T190" i="2"/>
  <c r="U190" i="2"/>
  <c r="L191" i="2"/>
  <c r="M191" i="2"/>
  <c r="N191" i="2"/>
  <c r="Q191" i="2"/>
  <c r="Q188" i="2" s="1"/>
  <c r="T188" i="2" s="1"/>
  <c r="R191" i="2"/>
  <c r="R188" i="2" s="1"/>
  <c r="S191" i="2"/>
  <c r="Q192" i="2"/>
  <c r="T192" i="2" s="1"/>
  <c r="R192" i="2"/>
  <c r="S192" i="2"/>
  <c r="U192" i="2"/>
  <c r="O193" i="2"/>
  <c r="P193" i="2"/>
  <c r="T193" i="2"/>
  <c r="U193" i="2"/>
  <c r="L194" i="2"/>
  <c r="M194" i="2"/>
  <c r="N194" i="2"/>
  <c r="N192" i="2" s="1"/>
  <c r="T194" i="2"/>
  <c r="U194" i="2"/>
  <c r="J195" i="2"/>
  <c r="L196" i="2"/>
  <c r="O196" i="2" s="1"/>
  <c r="P196" i="2"/>
  <c r="I198" i="2"/>
  <c r="J199" i="2"/>
  <c r="J202" i="2"/>
  <c r="N203" i="2"/>
  <c r="P203" i="2"/>
  <c r="S203" i="2"/>
  <c r="U203" i="2"/>
  <c r="L204" i="2"/>
  <c r="L205" i="2"/>
  <c r="L206" i="2"/>
  <c r="Q206" i="2"/>
  <c r="Q203" i="2" s="1"/>
  <c r="T203" i="2" s="1"/>
  <c r="L207" i="2"/>
  <c r="I209" i="2"/>
  <c r="I211" i="2"/>
  <c r="K211" i="2" s="1"/>
  <c r="I212" i="2"/>
  <c r="K212" i="2" s="1"/>
  <c r="J213" i="2"/>
  <c r="N214" i="2"/>
  <c r="P214" i="2"/>
  <c r="S214" i="2"/>
  <c r="U214" i="2"/>
  <c r="L215" i="2"/>
  <c r="L216" i="2"/>
  <c r="L217" i="2"/>
  <c r="Q217" i="2"/>
  <c r="Q214" i="2" s="1"/>
  <c r="T214" i="2" s="1"/>
  <c r="I219" i="2"/>
  <c r="K219" i="2" s="1"/>
  <c r="I220" i="2"/>
  <c r="J221" i="2"/>
  <c r="N222" i="2"/>
  <c r="P222" i="2"/>
  <c r="L223" i="2"/>
  <c r="L224" i="2"/>
  <c r="L225" i="2"/>
  <c r="I228" i="2"/>
  <c r="K228" i="2" s="1"/>
  <c r="I229" i="2"/>
  <c r="I221" i="2" s="1"/>
  <c r="K221" i="2" s="1"/>
  <c r="I230" i="2"/>
  <c r="K230" i="2" s="1"/>
  <c r="N233" i="2"/>
  <c r="N234" i="2"/>
  <c r="N235" i="2"/>
  <c r="N236" i="2"/>
  <c r="J238" i="2"/>
  <c r="I240" i="2"/>
  <c r="J240" i="2"/>
  <c r="K240" i="2"/>
  <c r="I241" i="2"/>
  <c r="K241" i="2" s="1"/>
  <c r="J241" i="2"/>
  <c r="J242" i="2"/>
  <c r="N243" i="2"/>
  <c r="P243" i="2"/>
  <c r="L244" i="2"/>
  <c r="L245" i="2"/>
  <c r="L246" i="2"/>
  <c r="L247" i="2"/>
  <c r="I249" i="2"/>
  <c r="K251" i="2"/>
  <c r="K252" i="2"/>
  <c r="J253" i="2"/>
  <c r="N254" i="2"/>
  <c r="P254" i="2"/>
  <c r="L255" i="2"/>
  <c r="L256" i="2"/>
  <c r="L257" i="2"/>
  <c r="L258" i="2"/>
  <c r="I260" i="2"/>
  <c r="K262" i="2"/>
  <c r="K263" i="2"/>
  <c r="J265" i="2"/>
  <c r="L267" i="2"/>
  <c r="M267" i="2"/>
  <c r="N267" i="2"/>
  <c r="Q267" i="2"/>
  <c r="R267" i="2"/>
  <c r="S267" i="2"/>
  <c r="O270" i="2"/>
  <c r="P270" i="2"/>
  <c r="T270" i="2"/>
  <c r="U270" i="2"/>
  <c r="L271" i="2"/>
  <c r="L269" i="2" s="1"/>
  <c r="O269" i="2" s="1"/>
  <c r="M271" i="2"/>
  <c r="N271" i="2"/>
  <c r="N269" i="2" s="1"/>
  <c r="Q271" i="2"/>
  <c r="R271" i="2"/>
  <c r="R269" i="2" s="1"/>
  <c r="S271" i="2"/>
  <c r="S269" i="2" s="1"/>
  <c r="Q272" i="2"/>
  <c r="T272" i="2" s="1"/>
  <c r="R272" i="2"/>
  <c r="U272" i="2" s="1"/>
  <c r="S272" i="2"/>
  <c r="O273" i="2"/>
  <c r="P273" i="2"/>
  <c r="T273" i="2"/>
  <c r="U273" i="2"/>
  <c r="L274" i="2"/>
  <c r="M274" i="2"/>
  <c r="P274" i="2" s="1"/>
  <c r="N274" i="2"/>
  <c r="N272" i="2" s="1"/>
  <c r="T274" i="2"/>
  <c r="U274" i="2"/>
  <c r="I276" i="2"/>
  <c r="J281" i="2"/>
  <c r="R282" i="2"/>
  <c r="U282" i="2" s="1"/>
  <c r="L283" i="2"/>
  <c r="O283" i="2" s="1"/>
  <c r="M283" i="2"/>
  <c r="N283" i="2"/>
  <c r="Q283" i="2"/>
  <c r="T283" i="2" s="1"/>
  <c r="R283" i="2"/>
  <c r="U283" i="2" s="1"/>
  <c r="S283" i="2"/>
  <c r="S282" i="2" s="1"/>
  <c r="Q284" i="2"/>
  <c r="T284" i="2" s="1"/>
  <c r="R284" i="2"/>
  <c r="S284" i="2"/>
  <c r="U284" i="2"/>
  <c r="Q285" i="2"/>
  <c r="T285" i="2" s="1"/>
  <c r="R285" i="2"/>
  <c r="U285" i="2" s="1"/>
  <c r="S285" i="2"/>
  <c r="O286" i="2"/>
  <c r="P286" i="2"/>
  <c r="T286" i="2"/>
  <c r="U286" i="2"/>
  <c r="L287" i="2"/>
  <c r="L285" i="2" s="1"/>
  <c r="M287" i="2"/>
  <c r="M285" i="2" s="1"/>
  <c r="N287" i="2"/>
  <c r="N285" i="2" s="1"/>
  <c r="T287" i="2"/>
  <c r="U287" i="2"/>
  <c r="Q288" i="2"/>
  <c r="R288" i="2"/>
  <c r="U288" i="2" s="1"/>
  <c r="S288" i="2"/>
  <c r="T288" i="2"/>
  <c r="O289" i="2"/>
  <c r="P289" i="2"/>
  <c r="T289" i="2"/>
  <c r="U289" i="2"/>
  <c r="L290" i="2"/>
  <c r="M290" i="2"/>
  <c r="N290" i="2"/>
  <c r="N288" i="2" s="1"/>
  <c r="T290" i="2"/>
  <c r="U290" i="2"/>
  <c r="I292" i="2"/>
  <c r="I293" i="2"/>
  <c r="K293" i="2" s="1"/>
  <c r="J293" i="2"/>
  <c r="J280" i="2" s="1"/>
  <c r="I295" i="2"/>
  <c r="K295" i="2" s="1"/>
  <c r="I296" i="2"/>
  <c r="K296" i="2" s="1"/>
  <c r="J302" i="2"/>
  <c r="L304" i="2"/>
  <c r="O304" i="2" s="1"/>
  <c r="M304" i="2"/>
  <c r="N304" i="2"/>
  <c r="Q304" i="2"/>
  <c r="T304" i="2" s="1"/>
  <c r="R304" i="2"/>
  <c r="U304" i="2" s="1"/>
  <c r="S304" i="2"/>
  <c r="O307" i="2"/>
  <c r="P307" i="2"/>
  <c r="T307" i="2"/>
  <c r="U307" i="2"/>
  <c r="L308" i="2"/>
  <c r="L306" i="2" s="1"/>
  <c r="M308" i="2"/>
  <c r="N308" i="2"/>
  <c r="N306" i="2" s="1"/>
  <c r="Q308" i="2"/>
  <c r="Q305" i="2" s="1"/>
  <c r="R308" i="2"/>
  <c r="R305" i="2" s="1"/>
  <c r="R303" i="2" s="1"/>
  <c r="S308" i="2"/>
  <c r="Q309" i="2"/>
  <c r="T309" i="2" s="1"/>
  <c r="R309" i="2"/>
  <c r="U309" i="2" s="1"/>
  <c r="S309" i="2"/>
  <c r="O310" i="2"/>
  <c r="P310" i="2"/>
  <c r="T310" i="2"/>
  <c r="U310" i="2"/>
  <c r="L311" i="2"/>
  <c r="L309" i="2" s="1"/>
  <c r="O309" i="2" s="1"/>
  <c r="M311" i="2"/>
  <c r="N311" i="2"/>
  <c r="N309" i="2" s="1"/>
  <c r="T311" i="2"/>
  <c r="U311" i="2"/>
  <c r="I314" i="2"/>
  <c r="J319" i="2"/>
  <c r="L321" i="2"/>
  <c r="M321" i="2"/>
  <c r="N321" i="2"/>
  <c r="P321" i="2"/>
  <c r="Q321" i="2"/>
  <c r="R321" i="2"/>
  <c r="S321" i="2"/>
  <c r="Q322" i="2"/>
  <c r="R322" i="2"/>
  <c r="U322" i="2" s="1"/>
  <c r="S322" i="2"/>
  <c r="T322" i="2"/>
  <c r="Q323" i="2"/>
  <c r="R323" i="2"/>
  <c r="U323" i="2" s="1"/>
  <c r="S323" i="2"/>
  <c r="T323" i="2"/>
  <c r="O324" i="2"/>
  <c r="P324" i="2"/>
  <c r="T324" i="2"/>
  <c r="U324" i="2"/>
  <c r="L325" i="2"/>
  <c r="M325" i="2"/>
  <c r="N325" i="2"/>
  <c r="N323" i="2" s="1"/>
  <c r="T325" i="2"/>
  <c r="U325" i="2"/>
  <c r="Q326" i="2"/>
  <c r="T326" i="2" s="1"/>
  <c r="R326" i="2"/>
  <c r="U326" i="2" s="1"/>
  <c r="S326" i="2"/>
  <c r="O327" i="2"/>
  <c r="P327" i="2"/>
  <c r="T327" i="2"/>
  <c r="U327" i="2"/>
  <c r="L328" i="2"/>
  <c r="L326" i="2" s="1"/>
  <c r="O326" i="2" s="1"/>
  <c r="M328" i="2"/>
  <c r="P328" i="2" s="1"/>
  <c r="N328" i="2"/>
  <c r="N326" i="2" s="1"/>
  <c r="T328" i="2"/>
  <c r="U328" i="2"/>
  <c r="I330" i="2"/>
  <c r="K330" i="2" s="1"/>
  <c r="L334" i="2"/>
  <c r="M334" i="2"/>
  <c r="N334" i="2"/>
  <c r="Q334" i="2"/>
  <c r="R334" i="2"/>
  <c r="S334" i="2"/>
  <c r="T334" i="2"/>
  <c r="Q335" i="2"/>
  <c r="Q333" i="2" s="1"/>
  <c r="T333" i="2" s="1"/>
  <c r="R335" i="2"/>
  <c r="S335" i="2"/>
  <c r="U335" i="2"/>
  <c r="Q336" i="2"/>
  <c r="T336" i="2" s="1"/>
  <c r="R336" i="2"/>
  <c r="U336" i="2" s="1"/>
  <c r="S336" i="2"/>
  <c r="O337" i="2"/>
  <c r="P337" i="2"/>
  <c r="T337" i="2"/>
  <c r="U337" i="2"/>
  <c r="L338" i="2"/>
  <c r="M338" i="2"/>
  <c r="M336" i="2" s="1"/>
  <c r="N338" i="2"/>
  <c r="T338" i="2"/>
  <c r="U338" i="2"/>
  <c r="Q339" i="2"/>
  <c r="T339" i="2" s="1"/>
  <c r="R339" i="2"/>
  <c r="S339" i="2"/>
  <c r="U339" i="2"/>
  <c r="O340" i="2"/>
  <c r="P340" i="2"/>
  <c r="T340" i="2"/>
  <c r="U340" i="2"/>
  <c r="L341" i="2"/>
  <c r="M341" i="2"/>
  <c r="P341" i="2" s="1"/>
  <c r="N341" i="2"/>
  <c r="N339" i="2" s="1"/>
  <c r="T341" i="2"/>
  <c r="U341" i="2"/>
  <c r="I344" i="2"/>
  <c r="J344" i="2"/>
  <c r="I346" i="2"/>
  <c r="J346" i="2"/>
  <c r="J347" i="2"/>
  <c r="J348" i="2"/>
  <c r="J349" i="2"/>
  <c r="D350" i="2"/>
  <c r="J352" i="2"/>
  <c r="J353" i="2"/>
  <c r="D354" i="2"/>
  <c r="S356" i="2"/>
  <c r="L357" i="2"/>
  <c r="M357" i="2"/>
  <c r="N357" i="2"/>
  <c r="O357" i="2"/>
  <c r="Q357" i="2"/>
  <c r="R357" i="2"/>
  <c r="S357" i="2"/>
  <c r="U357" i="2"/>
  <c r="Q358" i="2"/>
  <c r="T358" i="2" s="1"/>
  <c r="R358" i="2"/>
  <c r="U358" i="2" s="1"/>
  <c r="S358" i="2"/>
  <c r="Q359" i="2"/>
  <c r="T359" i="2" s="1"/>
  <c r="R359" i="2"/>
  <c r="S359" i="2"/>
  <c r="U359" i="2"/>
  <c r="O360" i="2"/>
  <c r="P360" i="2"/>
  <c r="T360" i="2"/>
  <c r="U360" i="2"/>
  <c r="L361" i="2"/>
  <c r="M361" i="2"/>
  <c r="N361" i="2"/>
  <c r="N359" i="2" s="1"/>
  <c r="T361" i="2"/>
  <c r="U361" i="2"/>
  <c r="Q362" i="2"/>
  <c r="T362" i="2" s="1"/>
  <c r="R362" i="2"/>
  <c r="U362" i="2" s="1"/>
  <c r="S362" i="2"/>
  <c r="O363" i="2"/>
  <c r="P363" i="2"/>
  <c r="T363" i="2"/>
  <c r="U363" i="2"/>
  <c r="L364" i="2"/>
  <c r="O364" i="2" s="1"/>
  <c r="M364" i="2"/>
  <c r="P364" i="2" s="1"/>
  <c r="N364" i="2"/>
  <c r="N362" i="2" s="1"/>
  <c r="T364" i="2"/>
  <c r="U364" i="2"/>
  <c r="J367" i="2"/>
  <c r="K367" i="2"/>
  <c r="I368" i="2"/>
  <c r="J368" i="2"/>
  <c r="I369" i="2"/>
  <c r="J369" i="2"/>
  <c r="J370" i="2"/>
  <c r="K370" i="2"/>
  <c r="I371" i="2"/>
  <c r="J371" i="2"/>
  <c r="J365" i="2" s="1"/>
  <c r="J372" i="2"/>
  <c r="K372" i="2"/>
  <c r="D373" i="2"/>
  <c r="L376" i="2"/>
  <c r="M376" i="2"/>
  <c r="N376" i="2"/>
  <c r="Q376" i="2"/>
  <c r="R376" i="2"/>
  <c r="S376" i="2"/>
  <c r="L377" i="2"/>
  <c r="M377" i="2"/>
  <c r="P377" i="2" s="1"/>
  <c r="N377" i="2"/>
  <c r="O377" i="2"/>
  <c r="L378" i="2"/>
  <c r="O378" i="2" s="1"/>
  <c r="M378" i="2"/>
  <c r="N378" i="2"/>
  <c r="P378" i="2"/>
  <c r="O379" i="2"/>
  <c r="P379" i="2"/>
  <c r="T379" i="2"/>
  <c r="U379" i="2"/>
  <c r="O380" i="2"/>
  <c r="P380" i="2"/>
  <c r="Q380" i="2"/>
  <c r="R380" i="2"/>
  <c r="R378" i="2" s="1"/>
  <c r="S380" i="2"/>
  <c r="S378" i="2" s="1"/>
  <c r="L381" i="2"/>
  <c r="O381" i="2" s="1"/>
  <c r="M381" i="2"/>
  <c r="P381" i="2" s="1"/>
  <c r="N381" i="2"/>
  <c r="Q381" i="2"/>
  <c r="R381" i="2"/>
  <c r="U381" i="2" s="1"/>
  <c r="S381" i="2"/>
  <c r="T381" i="2"/>
  <c r="O382" i="2"/>
  <c r="P382" i="2"/>
  <c r="T382" i="2"/>
  <c r="U382" i="2"/>
  <c r="O383" i="2"/>
  <c r="P383" i="2"/>
  <c r="T383" i="2"/>
  <c r="U383" i="2"/>
  <c r="J385" i="2"/>
  <c r="K385" i="2"/>
  <c r="I386" i="2"/>
  <c r="J386" i="2"/>
  <c r="J387" i="2"/>
  <c r="K387" i="2"/>
  <c r="I388" i="2"/>
  <c r="K388" i="2" s="1"/>
  <c r="J388" i="2"/>
  <c r="I391" i="2"/>
  <c r="K391" i="2" s="1"/>
  <c r="J391" i="2"/>
  <c r="L392" i="2"/>
  <c r="O392" i="2" s="1"/>
  <c r="L393" i="2"/>
  <c r="M393" i="2"/>
  <c r="N393" i="2"/>
  <c r="O393" i="2"/>
  <c r="Q393" i="2"/>
  <c r="Q392" i="2" s="1"/>
  <c r="T392" i="2" s="1"/>
  <c r="R393" i="2"/>
  <c r="S393" i="2"/>
  <c r="S392" i="2" s="1"/>
  <c r="T393" i="2"/>
  <c r="L394" i="2"/>
  <c r="O394" i="2" s="1"/>
  <c r="M394" i="2"/>
  <c r="N394" i="2"/>
  <c r="P394" i="2"/>
  <c r="Q394" i="2"/>
  <c r="T394" i="2" s="1"/>
  <c r="R394" i="2"/>
  <c r="U394" i="2" s="1"/>
  <c r="S394" i="2"/>
  <c r="L395" i="2"/>
  <c r="O395" i="2" s="1"/>
  <c r="M395" i="2"/>
  <c r="P395" i="2" s="1"/>
  <c r="N395" i="2"/>
  <c r="Q395" i="2"/>
  <c r="T395" i="2" s="1"/>
  <c r="R395" i="2"/>
  <c r="U395" i="2" s="1"/>
  <c r="S395" i="2"/>
  <c r="O396" i="2"/>
  <c r="P396" i="2"/>
  <c r="T396" i="2"/>
  <c r="U396" i="2"/>
  <c r="O397" i="2"/>
  <c r="P397" i="2"/>
  <c r="T397" i="2"/>
  <c r="U397" i="2"/>
  <c r="L398" i="2"/>
  <c r="O398" i="2" s="1"/>
  <c r="M398" i="2"/>
  <c r="P398" i="2" s="1"/>
  <c r="N398" i="2"/>
  <c r="Q398" i="2"/>
  <c r="T398" i="2" s="1"/>
  <c r="R398" i="2"/>
  <c r="U398" i="2" s="1"/>
  <c r="S398" i="2"/>
  <c r="O399" i="2"/>
  <c r="P399" i="2"/>
  <c r="T399" i="2"/>
  <c r="U399" i="2"/>
  <c r="O400" i="2"/>
  <c r="P400" i="2"/>
  <c r="T400" i="2"/>
  <c r="U400" i="2"/>
  <c r="L414" i="2"/>
  <c r="M414" i="2"/>
  <c r="P414" i="2" s="1"/>
  <c r="N414" i="2"/>
  <c r="N413" i="2" s="1"/>
  <c r="Q414" i="2"/>
  <c r="R414" i="2"/>
  <c r="S414" i="2"/>
  <c r="L415" i="2"/>
  <c r="O415" i="2" s="1"/>
  <c r="M415" i="2"/>
  <c r="P415" i="2" s="1"/>
  <c r="N415" i="2"/>
  <c r="L416" i="2"/>
  <c r="O416" i="2" s="1"/>
  <c r="M416" i="2"/>
  <c r="N416" i="2"/>
  <c r="P416" i="2"/>
  <c r="O417" i="2"/>
  <c r="P417" i="2"/>
  <c r="T417" i="2"/>
  <c r="U417" i="2"/>
  <c r="O418" i="2"/>
  <c r="P418" i="2"/>
  <c r="Q418" i="2"/>
  <c r="R418" i="2"/>
  <c r="S418" i="2"/>
  <c r="S416" i="2" s="1"/>
  <c r="L419" i="2"/>
  <c r="O419" i="2" s="1"/>
  <c r="M419" i="2"/>
  <c r="P419" i="2" s="1"/>
  <c r="N419" i="2"/>
  <c r="Q419" i="2"/>
  <c r="T419" i="2" s="1"/>
  <c r="R419" i="2"/>
  <c r="U419" i="2" s="1"/>
  <c r="S419" i="2"/>
  <c r="O420" i="2"/>
  <c r="P420" i="2"/>
  <c r="T420" i="2"/>
  <c r="U420" i="2"/>
  <c r="O421" i="2"/>
  <c r="P421" i="2"/>
  <c r="T421" i="2"/>
  <c r="U421" i="2"/>
  <c r="I424" i="2"/>
  <c r="K424" i="2" s="1"/>
  <c r="J424" i="2"/>
  <c r="I425" i="2"/>
  <c r="K425" i="2" s="1"/>
  <c r="J425" i="2"/>
  <c r="I432" i="2"/>
  <c r="K432" i="2" s="1"/>
  <c r="J432" i="2"/>
  <c r="I433" i="2"/>
  <c r="K433" i="2" s="1"/>
  <c r="J433" i="2"/>
  <c r="I440" i="2"/>
  <c r="I423" i="2" s="1"/>
  <c r="K423" i="2" s="1"/>
  <c r="I441" i="2"/>
  <c r="K441" i="2" s="1"/>
  <c r="J446" i="2"/>
  <c r="J440" i="2" s="1"/>
  <c r="J423" i="2" s="1"/>
  <c r="J412" i="2" s="1"/>
  <c r="J447" i="2"/>
  <c r="J441" i="2" s="1"/>
  <c r="I457" i="2"/>
  <c r="K457" i="2" s="1"/>
  <c r="I458" i="2"/>
  <c r="K458" i="2" s="1"/>
  <c r="J459" i="2"/>
  <c r="J460" i="2"/>
  <c r="J467" i="2"/>
  <c r="J468" i="2"/>
  <c r="J475" i="2"/>
  <c r="K475" i="2"/>
  <c r="J476" i="2"/>
  <c r="K476" i="2"/>
  <c r="J477" i="2"/>
  <c r="K477" i="2"/>
  <c r="J482" i="2"/>
  <c r="J483" i="2"/>
  <c r="I484" i="2"/>
  <c r="K484" i="2" s="1"/>
  <c r="J484" i="2"/>
  <c r="I485" i="2"/>
  <c r="K485" i="2" s="1"/>
  <c r="J485" i="2"/>
  <c r="L494" i="2"/>
  <c r="M494" i="2"/>
  <c r="N494" i="2"/>
  <c r="N493" i="2" s="1"/>
  <c r="O494" i="2"/>
  <c r="Q494" i="2"/>
  <c r="R494" i="2"/>
  <c r="S494" i="2"/>
  <c r="U494" i="2"/>
  <c r="L495" i="2"/>
  <c r="M495" i="2"/>
  <c r="P495" i="2" s="1"/>
  <c r="N495" i="2"/>
  <c r="L496" i="2"/>
  <c r="O496" i="2" s="1"/>
  <c r="M496" i="2"/>
  <c r="P496" i="2" s="1"/>
  <c r="N496" i="2"/>
  <c r="O497" i="2"/>
  <c r="P497" i="2"/>
  <c r="T497" i="2"/>
  <c r="U497" i="2"/>
  <c r="O498" i="2"/>
  <c r="P498" i="2"/>
  <c r="Q498" i="2"/>
  <c r="R498" i="2"/>
  <c r="R495" i="2" s="1"/>
  <c r="U495" i="2" s="1"/>
  <c r="S498" i="2"/>
  <c r="S495" i="2" s="1"/>
  <c r="S493" i="2" s="1"/>
  <c r="L499" i="2"/>
  <c r="M499" i="2"/>
  <c r="P499" i="2" s="1"/>
  <c r="N499" i="2"/>
  <c r="O499" i="2"/>
  <c r="Q499" i="2"/>
  <c r="T499" i="2" s="1"/>
  <c r="R499" i="2"/>
  <c r="S499" i="2"/>
  <c r="U499" i="2"/>
  <c r="O500" i="2"/>
  <c r="P500" i="2"/>
  <c r="T500" i="2"/>
  <c r="U500" i="2"/>
  <c r="O501" i="2"/>
  <c r="P501" i="2"/>
  <c r="T501" i="2"/>
  <c r="U501" i="2"/>
  <c r="I503" i="2"/>
  <c r="I492" i="2" s="1"/>
  <c r="K492" i="2" s="1"/>
  <c r="I504" i="2"/>
  <c r="I505" i="2"/>
  <c r="K505" i="2" s="1"/>
  <c r="I506" i="2"/>
  <c r="K506" i="2" s="1"/>
  <c r="I507" i="2"/>
  <c r="K507" i="2" s="1"/>
  <c r="K508" i="2"/>
  <c r="I509" i="2"/>
  <c r="K509" i="2" s="1"/>
  <c r="I512" i="2"/>
  <c r="K512" i="2" s="1"/>
  <c r="J512" i="2"/>
  <c r="L514" i="2"/>
  <c r="O514" i="2" s="1"/>
  <c r="M514" i="2"/>
  <c r="N514" i="2"/>
  <c r="Q514" i="2"/>
  <c r="R514" i="2"/>
  <c r="U514" i="2" s="1"/>
  <c r="S514" i="2"/>
  <c r="T514" i="2"/>
  <c r="Q515" i="2"/>
  <c r="R515" i="2"/>
  <c r="S515" i="2"/>
  <c r="U515" i="2"/>
  <c r="Q516" i="2"/>
  <c r="T516" i="2" s="1"/>
  <c r="R516" i="2"/>
  <c r="U516" i="2" s="1"/>
  <c r="S516" i="2"/>
  <c r="O517" i="2"/>
  <c r="P517" i="2"/>
  <c r="T517" i="2"/>
  <c r="U517" i="2"/>
  <c r="L518" i="2"/>
  <c r="L516" i="2" s="1"/>
  <c r="O516" i="2" s="1"/>
  <c r="M518" i="2"/>
  <c r="M516" i="2" s="1"/>
  <c r="P516" i="2" s="1"/>
  <c r="N518" i="2"/>
  <c r="N516" i="2" s="1"/>
  <c r="T518" i="2"/>
  <c r="U518" i="2"/>
  <c r="Q519" i="2"/>
  <c r="T519" i="2" s="1"/>
  <c r="R519" i="2"/>
  <c r="S519" i="2"/>
  <c r="U519" i="2"/>
  <c r="O520" i="2"/>
  <c r="P520" i="2"/>
  <c r="T520" i="2"/>
  <c r="U520" i="2"/>
  <c r="L521" i="2"/>
  <c r="M521" i="2"/>
  <c r="P521" i="2" s="1"/>
  <c r="N521" i="2"/>
  <c r="N519" i="2" s="1"/>
  <c r="T521" i="2"/>
  <c r="U521" i="2"/>
  <c r="K523" i="2"/>
  <c r="K524" i="2"/>
  <c r="I533" i="2"/>
  <c r="J533" i="2"/>
  <c r="K533" i="2"/>
  <c r="R534" i="2"/>
  <c r="U534" i="2" s="1"/>
  <c r="L535" i="2"/>
  <c r="M535" i="2"/>
  <c r="P535" i="2" s="1"/>
  <c r="N535" i="2"/>
  <c r="N534" i="2" s="1"/>
  <c r="Q535" i="2"/>
  <c r="T535" i="2" s="1"/>
  <c r="R535" i="2"/>
  <c r="S535" i="2"/>
  <c r="S534" i="2" s="1"/>
  <c r="U535" i="2"/>
  <c r="L536" i="2"/>
  <c r="M536" i="2"/>
  <c r="P536" i="2" s="1"/>
  <c r="N536" i="2"/>
  <c r="O536" i="2"/>
  <c r="Q536" i="2"/>
  <c r="T536" i="2" s="1"/>
  <c r="R536" i="2"/>
  <c r="U536" i="2" s="1"/>
  <c r="S536" i="2"/>
  <c r="L537" i="2"/>
  <c r="O537" i="2" s="1"/>
  <c r="M537" i="2"/>
  <c r="P537" i="2" s="1"/>
  <c r="N537" i="2"/>
  <c r="Q537" i="2"/>
  <c r="T537" i="2" s="1"/>
  <c r="R537" i="2"/>
  <c r="U537" i="2" s="1"/>
  <c r="S537" i="2"/>
  <c r="O538" i="2"/>
  <c r="P538" i="2"/>
  <c r="T538" i="2"/>
  <c r="U538" i="2"/>
  <c r="O539" i="2"/>
  <c r="P539" i="2"/>
  <c r="T539" i="2"/>
  <c r="U539" i="2"/>
  <c r="L540" i="2"/>
  <c r="O540" i="2" s="1"/>
  <c r="M540" i="2"/>
  <c r="P540" i="2" s="1"/>
  <c r="N540" i="2"/>
  <c r="Q540" i="2"/>
  <c r="T540" i="2" s="1"/>
  <c r="R540" i="2"/>
  <c r="U540" i="2" s="1"/>
  <c r="S540" i="2"/>
  <c r="O541" i="2"/>
  <c r="P541" i="2"/>
  <c r="T541" i="2"/>
  <c r="U541" i="2"/>
  <c r="O542" i="2"/>
  <c r="P542" i="2"/>
  <c r="T542" i="2"/>
  <c r="U542" i="2"/>
  <c r="I554" i="2"/>
  <c r="K554" i="2" s="1"/>
  <c r="J554" i="2"/>
  <c r="L556" i="2"/>
  <c r="M556" i="2"/>
  <c r="N556" i="2"/>
  <c r="P556" i="2"/>
  <c r="Q556" i="2"/>
  <c r="T556" i="2" s="1"/>
  <c r="R556" i="2"/>
  <c r="S556" i="2"/>
  <c r="L557" i="2"/>
  <c r="O557" i="2" s="1"/>
  <c r="M557" i="2"/>
  <c r="P557" i="2" s="1"/>
  <c r="N557" i="2"/>
  <c r="N555" i="2" s="1"/>
  <c r="Q557" i="2"/>
  <c r="T557" i="2" s="1"/>
  <c r="R557" i="2"/>
  <c r="S557" i="2"/>
  <c r="U557" i="2"/>
  <c r="L558" i="2"/>
  <c r="M558" i="2"/>
  <c r="P558" i="2" s="1"/>
  <c r="N558" i="2"/>
  <c r="O558" i="2"/>
  <c r="Q558" i="2"/>
  <c r="T558" i="2" s="1"/>
  <c r="R558" i="2"/>
  <c r="S558" i="2"/>
  <c r="U558" i="2"/>
  <c r="O559" i="2"/>
  <c r="P559" i="2"/>
  <c r="T559" i="2"/>
  <c r="U559" i="2"/>
  <c r="O560" i="2"/>
  <c r="P560" i="2"/>
  <c r="T560" i="2"/>
  <c r="U560" i="2"/>
  <c r="L561" i="2"/>
  <c r="O561" i="2" s="1"/>
  <c r="M561" i="2"/>
  <c r="N561" i="2"/>
  <c r="P561" i="2"/>
  <c r="Q561" i="2"/>
  <c r="T561" i="2" s="1"/>
  <c r="R561" i="2"/>
  <c r="S561" i="2"/>
  <c r="U561" i="2"/>
  <c r="O562" i="2"/>
  <c r="P562" i="2"/>
  <c r="T562" i="2"/>
  <c r="U562" i="2"/>
  <c r="O563" i="2"/>
  <c r="P563" i="2"/>
  <c r="T563" i="2"/>
  <c r="U563" i="2"/>
  <c r="I575" i="2"/>
  <c r="K575" i="2" s="1"/>
  <c r="J575" i="2"/>
  <c r="L576" i="2"/>
  <c r="O576" i="2" s="1"/>
  <c r="L577" i="2"/>
  <c r="O577" i="2" s="1"/>
  <c r="M577" i="2"/>
  <c r="P577" i="2" s="1"/>
  <c r="N577" i="2"/>
  <c r="N576" i="2" s="1"/>
  <c r="Q577" i="2"/>
  <c r="R577" i="2"/>
  <c r="R576" i="2" s="1"/>
  <c r="U576" i="2" s="1"/>
  <c r="S577" i="2"/>
  <c r="S576" i="2" s="1"/>
  <c r="U577" i="2"/>
  <c r="L578" i="2"/>
  <c r="M578" i="2"/>
  <c r="P578" i="2" s="1"/>
  <c r="N578" i="2"/>
  <c r="O578" i="2"/>
  <c r="Q578" i="2"/>
  <c r="T578" i="2" s="1"/>
  <c r="R578" i="2"/>
  <c r="S578" i="2"/>
  <c r="U578" i="2"/>
  <c r="L579" i="2"/>
  <c r="O579" i="2" s="1"/>
  <c r="M579" i="2"/>
  <c r="P579" i="2" s="1"/>
  <c r="N579" i="2"/>
  <c r="Q579" i="2"/>
  <c r="R579" i="2"/>
  <c r="U579" i="2" s="1"/>
  <c r="S579" i="2"/>
  <c r="T579" i="2"/>
  <c r="O580" i="2"/>
  <c r="P580" i="2"/>
  <c r="T580" i="2"/>
  <c r="U580" i="2"/>
  <c r="O581" i="2"/>
  <c r="P581" i="2"/>
  <c r="T581" i="2"/>
  <c r="U581" i="2"/>
  <c r="L582" i="2"/>
  <c r="O582" i="2" s="1"/>
  <c r="M582" i="2"/>
  <c r="P582" i="2" s="1"/>
  <c r="N582" i="2"/>
  <c r="Q582" i="2"/>
  <c r="T582" i="2" s="1"/>
  <c r="R582" i="2"/>
  <c r="U582" i="2" s="1"/>
  <c r="S582" i="2"/>
  <c r="O583" i="2"/>
  <c r="P583" i="2"/>
  <c r="T583" i="2"/>
  <c r="U583" i="2"/>
  <c r="O584" i="2"/>
  <c r="P584" i="2"/>
  <c r="T584" i="2"/>
  <c r="U584" i="2"/>
  <c r="L600" i="2"/>
  <c r="M600" i="2"/>
  <c r="N600" i="2"/>
  <c r="N599" i="2" s="1"/>
  <c r="Q600" i="2"/>
  <c r="T600" i="2" s="1"/>
  <c r="R600" i="2"/>
  <c r="R599" i="2" s="1"/>
  <c r="U599" i="2" s="1"/>
  <c r="S600" i="2"/>
  <c r="S599" i="2" s="1"/>
  <c r="U600" i="2"/>
  <c r="L601" i="2"/>
  <c r="M601" i="2"/>
  <c r="P601" i="2" s="1"/>
  <c r="N601" i="2"/>
  <c r="O601" i="2"/>
  <c r="Q601" i="2"/>
  <c r="T601" i="2" s="1"/>
  <c r="R601" i="2"/>
  <c r="U601" i="2" s="1"/>
  <c r="S601" i="2"/>
  <c r="L602" i="2"/>
  <c r="O602" i="2" s="1"/>
  <c r="M602" i="2"/>
  <c r="P602" i="2" s="1"/>
  <c r="N602" i="2"/>
  <c r="Q602" i="2"/>
  <c r="T602" i="2" s="1"/>
  <c r="R602" i="2"/>
  <c r="U602" i="2" s="1"/>
  <c r="S602" i="2"/>
  <c r="O603" i="2"/>
  <c r="P603" i="2"/>
  <c r="T603" i="2"/>
  <c r="U603" i="2"/>
  <c r="O604" i="2"/>
  <c r="P604" i="2"/>
  <c r="T604" i="2"/>
  <c r="U604" i="2"/>
  <c r="L605" i="2"/>
  <c r="O605" i="2" s="1"/>
  <c r="M605" i="2"/>
  <c r="P605" i="2" s="1"/>
  <c r="N605" i="2"/>
  <c r="Q605" i="2"/>
  <c r="T605" i="2" s="1"/>
  <c r="R605" i="2"/>
  <c r="U605" i="2" s="1"/>
  <c r="S605" i="2"/>
  <c r="O606" i="2"/>
  <c r="P606" i="2"/>
  <c r="T606" i="2"/>
  <c r="U606" i="2"/>
  <c r="O607" i="2"/>
  <c r="P607" i="2"/>
  <c r="T607" i="2"/>
  <c r="U607" i="2"/>
  <c r="L617" i="2"/>
  <c r="L616" i="2" s="1"/>
  <c r="O616" i="2" s="1"/>
  <c r="M617" i="2"/>
  <c r="N617" i="2"/>
  <c r="N616" i="2" s="1"/>
  <c r="P617" i="2"/>
  <c r="Q617" i="2"/>
  <c r="R617" i="2"/>
  <c r="S617" i="2"/>
  <c r="L618" i="2"/>
  <c r="O618" i="2" s="1"/>
  <c r="M618" i="2"/>
  <c r="P618" i="2" s="1"/>
  <c r="N618" i="2"/>
  <c r="L619" i="2"/>
  <c r="O619" i="2" s="1"/>
  <c r="M619" i="2"/>
  <c r="N619" i="2"/>
  <c r="P619" i="2"/>
  <c r="O620" i="2"/>
  <c r="P620" i="2"/>
  <c r="T620" i="2"/>
  <c r="U620" i="2"/>
  <c r="O621" i="2"/>
  <c r="P621" i="2"/>
  <c r="Q621" i="2"/>
  <c r="Q619" i="2" s="1"/>
  <c r="R621" i="2"/>
  <c r="R619" i="2" s="1"/>
  <c r="S621" i="2"/>
  <c r="S618" i="2" s="1"/>
  <c r="L622" i="2"/>
  <c r="O622" i="2" s="1"/>
  <c r="M622" i="2"/>
  <c r="P622" i="2" s="1"/>
  <c r="N622" i="2"/>
  <c r="Q622" i="2"/>
  <c r="T622" i="2" s="1"/>
  <c r="R622" i="2"/>
  <c r="U622" i="2" s="1"/>
  <c r="S622" i="2"/>
  <c r="O623" i="2"/>
  <c r="P623" i="2"/>
  <c r="T623" i="2"/>
  <c r="U623" i="2"/>
  <c r="O624" i="2"/>
  <c r="P624" i="2"/>
  <c r="T624" i="2"/>
  <c r="U624" i="2"/>
  <c r="I626" i="2"/>
  <c r="K632" i="2" s="1"/>
  <c r="J626" i="2"/>
  <c r="J615" i="2" s="1"/>
  <c r="I627" i="2"/>
  <c r="K627" i="2" s="1"/>
  <c r="I628" i="2"/>
  <c r="K628" i="2" s="1"/>
  <c r="J632" i="2"/>
  <c r="I635" i="2"/>
  <c r="K635" i="2" s="1"/>
  <c r="J636" i="2"/>
  <c r="J635" i="2" s="1"/>
  <c r="N642" i="2"/>
  <c r="L643" i="2"/>
  <c r="L642" i="2" s="1"/>
  <c r="O642" i="2" s="1"/>
  <c r="M643" i="2"/>
  <c r="M642" i="2" s="1"/>
  <c r="P642" i="2" s="1"/>
  <c r="N643" i="2"/>
  <c r="P643" i="2"/>
  <c r="Q643" i="2"/>
  <c r="R643" i="2"/>
  <c r="S643" i="2"/>
  <c r="U643" i="2"/>
  <c r="L644" i="2"/>
  <c r="O644" i="2" s="1"/>
  <c r="M644" i="2"/>
  <c r="P644" i="2" s="1"/>
  <c r="N644" i="2"/>
  <c r="L645" i="2"/>
  <c r="M645" i="2"/>
  <c r="P645" i="2" s="1"/>
  <c r="N645" i="2"/>
  <c r="O645" i="2"/>
  <c r="O646" i="2"/>
  <c r="P646" i="2"/>
  <c r="T646" i="2"/>
  <c r="U646" i="2"/>
  <c r="O647" i="2"/>
  <c r="P647" i="2"/>
  <c r="Q647" i="2"/>
  <c r="Q645" i="2" s="1"/>
  <c r="R647" i="2"/>
  <c r="R645" i="2" s="1"/>
  <c r="S647" i="2"/>
  <c r="L648" i="2"/>
  <c r="O648" i="2" s="1"/>
  <c r="M648" i="2"/>
  <c r="N648" i="2"/>
  <c r="P648" i="2"/>
  <c r="Q648" i="2"/>
  <c r="T648" i="2" s="1"/>
  <c r="R648" i="2"/>
  <c r="U648" i="2" s="1"/>
  <c r="S648" i="2"/>
  <c r="O649" i="2"/>
  <c r="P649" i="2"/>
  <c r="T649" i="2"/>
  <c r="U649" i="2"/>
  <c r="O650" i="2"/>
  <c r="P650" i="2"/>
  <c r="T650" i="2"/>
  <c r="U650" i="2"/>
  <c r="I652" i="2"/>
  <c r="K652" i="2" s="1"/>
  <c r="J652" i="2"/>
  <c r="I653" i="2"/>
  <c r="K653" i="2" s="1"/>
  <c r="J653" i="2"/>
  <c r="I654" i="2"/>
  <c r="J654" i="2"/>
  <c r="I657" i="2"/>
  <c r="I660" i="2"/>
  <c r="I661" i="2"/>
  <c r="K661" i="2" s="1"/>
  <c r="J661" i="2"/>
  <c r="J671" i="2"/>
  <c r="J672" i="2"/>
  <c r="I673" i="2"/>
  <c r="K673" i="2" s="1"/>
  <c r="J673" i="2"/>
  <c r="I674" i="2"/>
  <c r="I675" i="2"/>
  <c r="I676" i="2"/>
  <c r="J676" i="2"/>
  <c r="J677" i="2"/>
  <c r="I678" i="2"/>
  <c r="J678" i="2"/>
  <c r="I679" i="2"/>
  <c r="K679" i="2" s="1"/>
  <c r="J679" i="2"/>
  <c r="J680" i="2"/>
  <c r="I681" i="2"/>
  <c r="K681" i="2" s="1"/>
  <c r="J681" i="2"/>
  <c r="I682" i="2"/>
  <c r="K682" i="2" s="1"/>
  <c r="J682" i="2"/>
  <c r="L691" i="2"/>
  <c r="M691" i="2"/>
  <c r="N691" i="2"/>
  <c r="O691" i="2"/>
  <c r="Q691" i="2"/>
  <c r="R691" i="2"/>
  <c r="U691" i="2" s="1"/>
  <c r="S691" i="2"/>
  <c r="L692" i="2"/>
  <c r="O692" i="2" s="1"/>
  <c r="M692" i="2"/>
  <c r="P692" i="2" s="1"/>
  <c r="N692" i="2"/>
  <c r="N690" i="2" s="1"/>
  <c r="L693" i="2"/>
  <c r="O693" i="2" s="1"/>
  <c r="M693" i="2"/>
  <c r="P693" i="2" s="1"/>
  <c r="N693" i="2"/>
  <c r="O694" i="2"/>
  <c r="P694" i="2"/>
  <c r="T694" i="2"/>
  <c r="U694" i="2"/>
  <c r="O695" i="2"/>
  <c r="P695" i="2"/>
  <c r="Q695" i="2"/>
  <c r="Q693" i="2" s="1"/>
  <c r="R695" i="2"/>
  <c r="R693" i="2" s="1"/>
  <c r="S695" i="2"/>
  <c r="S692" i="2" s="1"/>
  <c r="L696" i="2"/>
  <c r="O696" i="2" s="1"/>
  <c r="M696" i="2"/>
  <c r="N696" i="2"/>
  <c r="P696" i="2"/>
  <c r="Q696" i="2"/>
  <c r="T696" i="2" s="1"/>
  <c r="R696" i="2"/>
  <c r="U696" i="2" s="1"/>
  <c r="S696" i="2"/>
  <c r="O697" i="2"/>
  <c r="P697" i="2"/>
  <c r="T697" i="2"/>
  <c r="U697" i="2"/>
  <c r="O698" i="2"/>
  <c r="P698" i="2"/>
  <c r="T698" i="2"/>
  <c r="U698" i="2"/>
  <c r="I700" i="2"/>
  <c r="K700" i="2" s="1"/>
  <c r="K702" i="2"/>
  <c r="I703" i="2"/>
  <c r="J703" i="2"/>
  <c r="J704" i="2"/>
  <c r="K704" i="2"/>
  <c r="I705" i="2"/>
  <c r="J705" i="2"/>
  <c r="J706" i="2"/>
  <c r="K706" i="2"/>
  <c r="I707" i="2"/>
  <c r="J707" i="2"/>
  <c r="J689" i="2" s="1"/>
  <c r="J708" i="2"/>
  <c r="K708" i="2"/>
  <c r="I709" i="2"/>
  <c r="J709" i="2"/>
  <c r="J710" i="2"/>
  <c r="K710" i="2"/>
  <c r="J712" i="2"/>
  <c r="K712" i="2"/>
  <c r="L715" i="2"/>
  <c r="L714" i="2" s="1"/>
  <c r="O714" i="2" s="1"/>
  <c r="M715" i="2"/>
  <c r="N715" i="2"/>
  <c r="N714" i="2" s="1"/>
  <c r="Q715" i="2"/>
  <c r="Q714" i="2" s="1"/>
  <c r="T714" i="2" s="1"/>
  <c r="R715" i="2"/>
  <c r="R714" i="2" s="1"/>
  <c r="U714" i="2" s="1"/>
  <c r="S715" i="2"/>
  <c r="T715" i="2"/>
  <c r="U715" i="2"/>
  <c r="L716" i="2"/>
  <c r="M716" i="2"/>
  <c r="N716" i="2"/>
  <c r="O716" i="2"/>
  <c r="P716" i="2"/>
  <c r="Q716" i="2"/>
  <c r="T716" i="2" s="1"/>
  <c r="R716" i="2"/>
  <c r="U716" i="2" s="1"/>
  <c r="S716" i="2"/>
  <c r="L717" i="2"/>
  <c r="O717" i="2" s="1"/>
  <c r="M717" i="2"/>
  <c r="P717" i="2" s="1"/>
  <c r="N717" i="2"/>
  <c r="Q717" i="2"/>
  <c r="T717" i="2" s="1"/>
  <c r="R717" i="2"/>
  <c r="U717" i="2" s="1"/>
  <c r="S717" i="2"/>
  <c r="O718" i="2"/>
  <c r="P718" i="2"/>
  <c r="T718" i="2"/>
  <c r="U718" i="2"/>
  <c r="O719" i="2"/>
  <c r="P719" i="2"/>
  <c r="T719" i="2"/>
  <c r="U719" i="2"/>
  <c r="L720" i="2"/>
  <c r="O720" i="2" s="1"/>
  <c r="M720" i="2"/>
  <c r="P720" i="2" s="1"/>
  <c r="N720" i="2"/>
  <c r="Q720" i="2"/>
  <c r="T720" i="2" s="1"/>
  <c r="R720" i="2"/>
  <c r="U720" i="2" s="1"/>
  <c r="S720" i="2"/>
  <c r="O721" i="2"/>
  <c r="P721" i="2"/>
  <c r="T721" i="2"/>
  <c r="U721" i="2"/>
  <c r="O722" i="2"/>
  <c r="P722" i="2"/>
  <c r="T722" i="2"/>
  <c r="U722" i="2"/>
  <c r="I726" i="2"/>
  <c r="K726" i="2" s="1"/>
  <c r="J726" i="2"/>
  <c r="I727" i="2"/>
  <c r="K727" i="2" s="1"/>
  <c r="J727" i="2"/>
  <c r="L729" i="2"/>
  <c r="M729" i="2"/>
  <c r="N729" i="2"/>
  <c r="O729" i="2"/>
  <c r="Q729" i="2"/>
  <c r="R729" i="2"/>
  <c r="S729" i="2"/>
  <c r="U729" i="2"/>
  <c r="L730" i="2"/>
  <c r="O730" i="2" s="1"/>
  <c r="M730" i="2"/>
  <c r="N730" i="2"/>
  <c r="P730" i="2"/>
  <c r="L731" i="2"/>
  <c r="O731" i="2" s="1"/>
  <c r="M731" i="2"/>
  <c r="P731" i="2" s="1"/>
  <c r="N731" i="2"/>
  <c r="O732" i="2"/>
  <c r="P732" i="2"/>
  <c r="T732" i="2"/>
  <c r="U732" i="2"/>
  <c r="O733" i="2"/>
  <c r="P733" i="2"/>
  <c r="Q733" i="2"/>
  <c r="Q731" i="2" s="1"/>
  <c r="R733" i="2"/>
  <c r="R731" i="2" s="1"/>
  <c r="S733" i="2"/>
  <c r="L734" i="2"/>
  <c r="M734" i="2"/>
  <c r="N734" i="2"/>
  <c r="O734" i="2"/>
  <c r="P734" i="2"/>
  <c r="Q734" i="2"/>
  <c r="T734" i="2" s="1"/>
  <c r="R734" i="2"/>
  <c r="S734" i="2"/>
  <c r="U734" i="2"/>
  <c r="O735" i="2"/>
  <c r="P735" i="2"/>
  <c r="T735" i="2"/>
  <c r="U735" i="2"/>
  <c r="O736" i="2"/>
  <c r="P736" i="2"/>
  <c r="T736" i="2"/>
  <c r="U736" i="2"/>
  <c r="I740" i="2"/>
  <c r="K740" i="2" s="1"/>
  <c r="I742" i="2"/>
  <c r="K742" i="2" s="1"/>
  <c r="I744" i="2"/>
  <c r="K744" i="2" s="1"/>
  <c r="I746" i="2"/>
  <c r="K746" i="2" s="1"/>
  <c r="I749" i="2"/>
  <c r="K749" i="2" s="1"/>
  <c r="I752" i="2"/>
  <c r="K752" i="2" s="1"/>
  <c r="I755" i="2"/>
  <c r="K755" i="2" s="1"/>
  <c r="J758" i="2"/>
  <c r="J759" i="2"/>
  <c r="L761" i="2"/>
  <c r="M761" i="2"/>
  <c r="N761" i="2"/>
  <c r="O761" i="2"/>
  <c r="P761" i="2"/>
  <c r="Q761" i="2"/>
  <c r="T761" i="2" s="1"/>
  <c r="R761" i="2"/>
  <c r="S761" i="2"/>
  <c r="U761" i="2"/>
  <c r="L762" i="2"/>
  <c r="M762" i="2"/>
  <c r="N762" i="2"/>
  <c r="L763" i="2"/>
  <c r="O763" i="2" s="1"/>
  <c r="M763" i="2"/>
  <c r="P763" i="2" s="1"/>
  <c r="N763" i="2"/>
  <c r="O764" i="2"/>
  <c r="P764" i="2"/>
  <c r="T764" i="2"/>
  <c r="U764" i="2"/>
  <c r="O765" i="2"/>
  <c r="P765" i="2"/>
  <c r="Q765" i="2"/>
  <c r="R765" i="2"/>
  <c r="R763" i="2" s="1"/>
  <c r="S765" i="2"/>
  <c r="S763" i="2" s="1"/>
  <c r="L766" i="2"/>
  <c r="M766" i="2"/>
  <c r="N766" i="2"/>
  <c r="O766" i="2"/>
  <c r="P766" i="2"/>
  <c r="Q766" i="2"/>
  <c r="T766" i="2" s="1"/>
  <c r="R766" i="2"/>
  <c r="S766" i="2"/>
  <c r="U766" i="2"/>
  <c r="O767" i="2"/>
  <c r="P767" i="2"/>
  <c r="T767" i="2"/>
  <c r="U767" i="2"/>
  <c r="O768" i="2"/>
  <c r="P768" i="2"/>
  <c r="T768" i="2"/>
  <c r="U768" i="2"/>
  <c r="I770" i="2"/>
  <c r="K770" i="2" s="1"/>
  <c r="I772" i="2"/>
  <c r="I758" i="2" s="1"/>
  <c r="I774" i="2"/>
  <c r="I775" i="2"/>
  <c r="I776" i="2"/>
  <c r="H777" i="2"/>
  <c r="I778" i="2"/>
  <c r="J778" i="2"/>
  <c r="I779" i="2"/>
  <c r="J779" i="2"/>
  <c r="I780" i="2"/>
  <c r="J780" i="2"/>
  <c r="I781" i="2"/>
  <c r="J781" i="2"/>
  <c r="I782" i="2"/>
  <c r="J782" i="2"/>
  <c r="I783" i="2"/>
  <c r="J783" i="2"/>
  <c r="I784" i="2"/>
  <c r="J784" i="2"/>
  <c r="I785" i="2"/>
  <c r="J785" i="2"/>
  <c r="A788" i="2"/>
  <c r="A789" i="2"/>
  <c r="A789" i="1"/>
  <c r="A788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J759" i="1" s="1"/>
  <c r="I774" i="1"/>
  <c r="J772" i="1"/>
  <c r="I772" i="1"/>
  <c r="I758" i="1" s="1"/>
  <c r="J770" i="1"/>
  <c r="I770" i="1"/>
  <c r="K770" i="1" s="1"/>
  <c r="S768" i="1"/>
  <c r="R768" i="1"/>
  <c r="U768" i="1" s="1"/>
  <c r="Q768" i="1"/>
  <c r="T768" i="1" s="1"/>
  <c r="N768" i="1"/>
  <c r="M768" i="1"/>
  <c r="P768" i="1" s="1"/>
  <c r="L768" i="1"/>
  <c r="O768" i="1" s="1"/>
  <c r="S767" i="1"/>
  <c r="R767" i="1"/>
  <c r="Q767" i="1"/>
  <c r="N767" i="1"/>
  <c r="M767" i="1"/>
  <c r="P767" i="1" s="1"/>
  <c r="L767" i="1"/>
  <c r="S765" i="1"/>
  <c r="R765" i="1"/>
  <c r="Q765" i="1"/>
  <c r="Q762" i="1" s="1"/>
  <c r="N765" i="1"/>
  <c r="M765" i="1"/>
  <c r="L765" i="1"/>
  <c r="O765" i="1" s="1"/>
  <c r="S764" i="1"/>
  <c r="S761" i="1" s="1"/>
  <c r="R764" i="1"/>
  <c r="Q764" i="1"/>
  <c r="T764" i="1" s="1"/>
  <c r="N764" i="1"/>
  <c r="M764" i="1"/>
  <c r="P764" i="1" s="1"/>
  <c r="L764" i="1"/>
  <c r="J757" i="1"/>
  <c r="J756" i="1"/>
  <c r="J755" i="1"/>
  <c r="I755" i="1"/>
  <c r="J753" i="1"/>
  <c r="J752" i="1"/>
  <c r="I752" i="1"/>
  <c r="J749" i="1"/>
  <c r="I749" i="1"/>
  <c r="J748" i="1"/>
  <c r="J746" i="1"/>
  <c r="I746" i="1"/>
  <c r="J745" i="1"/>
  <c r="J744" i="1"/>
  <c r="I744" i="1"/>
  <c r="J742" i="1"/>
  <c r="I742" i="1"/>
  <c r="J741" i="1"/>
  <c r="J740" i="1"/>
  <c r="I740" i="1"/>
  <c r="S736" i="1"/>
  <c r="R736" i="1"/>
  <c r="Q736" i="1"/>
  <c r="T736" i="1" s="1"/>
  <c r="N736" i="1"/>
  <c r="M736" i="1"/>
  <c r="P736" i="1" s="1"/>
  <c r="L736" i="1"/>
  <c r="S735" i="1"/>
  <c r="R735" i="1"/>
  <c r="U735" i="1" s="1"/>
  <c r="Q735" i="1"/>
  <c r="T735" i="1" s="1"/>
  <c r="N735" i="1"/>
  <c r="M735" i="1"/>
  <c r="P735" i="1" s="1"/>
  <c r="L735" i="1"/>
  <c r="O735" i="1" s="1"/>
  <c r="S733" i="1"/>
  <c r="S730" i="1" s="1"/>
  <c r="R733" i="1"/>
  <c r="Q733" i="1"/>
  <c r="N733" i="1"/>
  <c r="N730" i="1" s="1"/>
  <c r="M733" i="1"/>
  <c r="P733" i="1" s="1"/>
  <c r="L733" i="1"/>
  <c r="S732" i="1"/>
  <c r="S731" i="1" s="1"/>
  <c r="R732" i="1"/>
  <c r="U732" i="1" s="1"/>
  <c r="Q732" i="1"/>
  <c r="T732" i="1" s="1"/>
  <c r="N732" i="1"/>
  <c r="M732" i="1"/>
  <c r="P732" i="1" s="1"/>
  <c r="L732" i="1"/>
  <c r="O732" i="1" s="1"/>
  <c r="I727" i="1"/>
  <c r="I726" i="1"/>
  <c r="S722" i="1"/>
  <c r="R722" i="1"/>
  <c r="Q722" i="1"/>
  <c r="T722" i="1" s="1"/>
  <c r="N722" i="1"/>
  <c r="M722" i="1"/>
  <c r="P722" i="1" s="1"/>
  <c r="L722" i="1"/>
  <c r="S721" i="1"/>
  <c r="R721" i="1"/>
  <c r="U721" i="1" s="1"/>
  <c r="Q721" i="1"/>
  <c r="T721" i="1" s="1"/>
  <c r="N721" i="1"/>
  <c r="M721" i="1"/>
  <c r="P721" i="1" s="1"/>
  <c r="L721" i="1"/>
  <c r="O721" i="1" s="1"/>
  <c r="S719" i="1"/>
  <c r="R719" i="1"/>
  <c r="R716" i="1" s="1"/>
  <c r="Q719" i="1"/>
  <c r="T719" i="1" s="1"/>
  <c r="N719" i="1"/>
  <c r="M719" i="1"/>
  <c r="P719" i="1" s="1"/>
  <c r="L719" i="1"/>
  <c r="S718" i="1"/>
  <c r="S715" i="1" s="1"/>
  <c r="R718" i="1"/>
  <c r="U718" i="1" s="1"/>
  <c r="Q718" i="1"/>
  <c r="T718" i="1" s="1"/>
  <c r="N718" i="1"/>
  <c r="N717" i="1" s="1"/>
  <c r="M718" i="1"/>
  <c r="P718" i="1" s="1"/>
  <c r="L718" i="1"/>
  <c r="K712" i="1"/>
  <c r="J712" i="1"/>
  <c r="K710" i="1"/>
  <c r="J710" i="1"/>
  <c r="J709" i="1"/>
  <c r="I709" i="1"/>
  <c r="K708" i="1"/>
  <c r="J708" i="1"/>
  <c r="J707" i="1"/>
  <c r="I707" i="1"/>
  <c r="I689" i="1" s="1"/>
  <c r="K706" i="1"/>
  <c r="J706" i="1"/>
  <c r="J705" i="1"/>
  <c r="I705" i="1"/>
  <c r="K704" i="1"/>
  <c r="J704" i="1"/>
  <c r="J703" i="1"/>
  <c r="I703" i="1"/>
  <c r="K702" i="1"/>
  <c r="J700" i="1"/>
  <c r="I700" i="1"/>
  <c r="S698" i="1"/>
  <c r="R698" i="1"/>
  <c r="Q698" i="1"/>
  <c r="T698" i="1" s="1"/>
  <c r="N698" i="1"/>
  <c r="M698" i="1"/>
  <c r="P698" i="1" s="1"/>
  <c r="L698" i="1"/>
  <c r="S697" i="1"/>
  <c r="R697" i="1"/>
  <c r="U697" i="1" s="1"/>
  <c r="Q697" i="1"/>
  <c r="T697" i="1" s="1"/>
  <c r="N697" i="1"/>
  <c r="N696" i="1" s="1"/>
  <c r="M697" i="1"/>
  <c r="L697" i="1"/>
  <c r="O697" i="1" s="1"/>
  <c r="S695" i="1"/>
  <c r="S692" i="1" s="1"/>
  <c r="R695" i="1"/>
  <c r="Q695" i="1"/>
  <c r="Q692" i="1" s="1"/>
  <c r="N695" i="1"/>
  <c r="N692" i="1" s="1"/>
  <c r="M695" i="1"/>
  <c r="P695" i="1" s="1"/>
  <c r="L695" i="1"/>
  <c r="L692" i="1" s="1"/>
  <c r="S694" i="1"/>
  <c r="R694" i="1"/>
  <c r="U694" i="1" s="1"/>
  <c r="Q694" i="1"/>
  <c r="T694" i="1" s="1"/>
  <c r="N694" i="1"/>
  <c r="M694" i="1"/>
  <c r="L694" i="1"/>
  <c r="O694" i="1" s="1"/>
  <c r="J688" i="1"/>
  <c r="J687" i="1"/>
  <c r="J686" i="1"/>
  <c r="J685" i="1"/>
  <c r="J684" i="1"/>
  <c r="J683" i="1"/>
  <c r="I682" i="1"/>
  <c r="J681" i="1"/>
  <c r="I681" i="1"/>
  <c r="J680" i="1"/>
  <c r="J679" i="1"/>
  <c r="I679" i="1"/>
  <c r="J678" i="1"/>
  <c r="I678" i="1"/>
  <c r="J677" i="1"/>
  <c r="J676" i="1"/>
  <c r="I676" i="1"/>
  <c r="I675" i="1"/>
  <c r="I674" i="1"/>
  <c r="J673" i="1"/>
  <c r="I673" i="1"/>
  <c r="J672" i="1"/>
  <c r="J671" i="1"/>
  <c r="J670" i="1"/>
  <c r="J669" i="1"/>
  <c r="J668" i="1"/>
  <c r="J667" i="1"/>
  <c r="J666" i="1"/>
  <c r="J665" i="1"/>
  <c r="J663" i="1"/>
  <c r="J662" i="1"/>
  <c r="I661" i="1"/>
  <c r="J660" i="1"/>
  <c r="I660" i="1"/>
  <c r="J659" i="1"/>
  <c r="J658" i="1"/>
  <c r="J657" i="1"/>
  <c r="I657" i="1"/>
  <c r="J656" i="1"/>
  <c r="J655" i="1"/>
  <c r="I654" i="1"/>
  <c r="J653" i="1"/>
  <c r="I653" i="1"/>
  <c r="J652" i="1"/>
  <c r="I652" i="1"/>
  <c r="K652" i="1" s="1"/>
  <c r="S650" i="1"/>
  <c r="R650" i="1"/>
  <c r="U650" i="1" s="1"/>
  <c r="Q650" i="1"/>
  <c r="T650" i="1" s="1"/>
  <c r="N650" i="1"/>
  <c r="M650" i="1"/>
  <c r="P650" i="1" s="1"/>
  <c r="L650" i="1"/>
  <c r="O650" i="1" s="1"/>
  <c r="S649" i="1"/>
  <c r="R649" i="1"/>
  <c r="U649" i="1" s="1"/>
  <c r="Q649" i="1"/>
  <c r="N649" i="1"/>
  <c r="M649" i="1"/>
  <c r="P649" i="1" s="1"/>
  <c r="L649" i="1"/>
  <c r="O649" i="1" s="1"/>
  <c r="S647" i="1"/>
  <c r="R647" i="1"/>
  <c r="Q647" i="1"/>
  <c r="N647" i="1"/>
  <c r="M647" i="1"/>
  <c r="P647" i="1" s="1"/>
  <c r="L647" i="1"/>
  <c r="O647" i="1" s="1"/>
  <c r="S646" i="1"/>
  <c r="R646" i="1"/>
  <c r="U646" i="1" s="1"/>
  <c r="Q646" i="1"/>
  <c r="T646" i="1" s="1"/>
  <c r="N646" i="1"/>
  <c r="M646" i="1"/>
  <c r="M645" i="1" s="1"/>
  <c r="P645" i="1" s="1"/>
  <c r="L646" i="1"/>
  <c r="J640" i="1"/>
  <c r="J639" i="1"/>
  <c r="J638" i="1"/>
  <c r="J637" i="1"/>
  <c r="I635" i="1"/>
  <c r="K635" i="1" s="1"/>
  <c r="J634" i="1"/>
  <c r="J633" i="1"/>
  <c r="J631" i="1"/>
  <c r="J630" i="1"/>
  <c r="J629" i="1"/>
  <c r="J628" i="1"/>
  <c r="I628" i="1"/>
  <c r="J627" i="1"/>
  <c r="I627" i="1"/>
  <c r="I626" i="1"/>
  <c r="S624" i="1"/>
  <c r="R624" i="1"/>
  <c r="Q624" i="1"/>
  <c r="T624" i="1" s="1"/>
  <c r="N624" i="1"/>
  <c r="M624" i="1"/>
  <c r="P624" i="1" s="1"/>
  <c r="L624" i="1"/>
  <c r="O624" i="1" s="1"/>
  <c r="S623" i="1"/>
  <c r="R623" i="1"/>
  <c r="U623" i="1" s="1"/>
  <c r="Q623" i="1"/>
  <c r="N623" i="1"/>
  <c r="M623" i="1"/>
  <c r="P623" i="1" s="1"/>
  <c r="L623" i="1"/>
  <c r="O623" i="1" s="1"/>
  <c r="S621" i="1"/>
  <c r="R621" i="1"/>
  <c r="Q621" i="1"/>
  <c r="N621" i="1"/>
  <c r="M621" i="1"/>
  <c r="L621" i="1"/>
  <c r="O621" i="1" s="1"/>
  <c r="S620" i="1"/>
  <c r="R620" i="1"/>
  <c r="U620" i="1" s="1"/>
  <c r="Q620" i="1"/>
  <c r="N620" i="1"/>
  <c r="N619" i="1" s="1"/>
  <c r="M620" i="1"/>
  <c r="P620" i="1" s="1"/>
  <c r="L620" i="1"/>
  <c r="O620" i="1" s="1"/>
  <c r="S607" i="1"/>
  <c r="R607" i="1"/>
  <c r="U607" i="1" s="1"/>
  <c r="Q607" i="1"/>
  <c r="T607" i="1" s="1"/>
  <c r="N607" i="1"/>
  <c r="M607" i="1"/>
  <c r="P607" i="1" s="1"/>
  <c r="L607" i="1"/>
  <c r="O607" i="1" s="1"/>
  <c r="S606" i="1"/>
  <c r="R606" i="1"/>
  <c r="U606" i="1" s="1"/>
  <c r="Q606" i="1"/>
  <c r="T606" i="1" s="1"/>
  <c r="N606" i="1"/>
  <c r="M606" i="1"/>
  <c r="L606" i="1"/>
  <c r="S604" i="1"/>
  <c r="R604" i="1"/>
  <c r="U604" i="1" s="1"/>
  <c r="Q604" i="1"/>
  <c r="T604" i="1" s="1"/>
  <c r="N604" i="1"/>
  <c r="M604" i="1"/>
  <c r="L604" i="1"/>
  <c r="O604" i="1" s="1"/>
  <c r="S603" i="1"/>
  <c r="R603" i="1"/>
  <c r="U603" i="1" s="1"/>
  <c r="Q603" i="1"/>
  <c r="Q602" i="1" s="1"/>
  <c r="T602" i="1" s="1"/>
  <c r="N603" i="1"/>
  <c r="M603" i="1"/>
  <c r="P603" i="1" s="1"/>
  <c r="L603" i="1"/>
  <c r="O603" i="1" s="1"/>
  <c r="S584" i="1"/>
  <c r="R584" i="1"/>
  <c r="U584" i="1" s="1"/>
  <c r="Q584" i="1"/>
  <c r="T584" i="1" s="1"/>
  <c r="N584" i="1"/>
  <c r="M584" i="1"/>
  <c r="P584" i="1" s="1"/>
  <c r="L584" i="1"/>
  <c r="S583" i="1"/>
  <c r="R583" i="1"/>
  <c r="U583" i="1" s="1"/>
  <c r="Q583" i="1"/>
  <c r="T583" i="1" s="1"/>
  <c r="N583" i="1"/>
  <c r="M583" i="1"/>
  <c r="P583" i="1" s="1"/>
  <c r="L583" i="1"/>
  <c r="S581" i="1"/>
  <c r="R581" i="1"/>
  <c r="Q581" i="1"/>
  <c r="N581" i="1"/>
  <c r="M581" i="1"/>
  <c r="L581" i="1"/>
  <c r="S580" i="1"/>
  <c r="S577" i="1" s="1"/>
  <c r="R580" i="1"/>
  <c r="U580" i="1" s="1"/>
  <c r="Q580" i="1"/>
  <c r="T580" i="1" s="1"/>
  <c r="N580" i="1"/>
  <c r="M580" i="1"/>
  <c r="P580" i="1" s="1"/>
  <c r="L580" i="1"/>
  <c r="O580" i="1" s="1"/>
  <c r="J575" i="1"/>
  <c r="I575" i="1"/>
  <c r="K575" i="1" s="1"/>
  <c r="S563" i="1"/>
  <c r="R563" i="1"/>
  <c r="U563" i="1" s="1"/>
  <c r="Q563" i="1"/>
  <c r="T563" i="1" s="1"/>
  <c r="N563" i="1"/>
  <c r="M563" i="1"/>
  <c r="P563" i="1" s="1"/>
  <c r="L563" i="1"/>
  <c r="O563" i="1" s="1"/>
  <c r="S562" i="1"/>
  <c r="R562" i="1"/>
  <c r="U562" i="1" s="1"/>
  <c r="Q562" i="1"/>
  <c r="Q561" i="1" s="1"/>
  <c r="T561" i="1" s="1"/>
  <c r="N562" i="1"/>
  <c r="M562" i="1"/>
  <c r="L562" i="1"/>
  <c r="S560" i="1"/>
  <c r="R560" i="1"/>
  <c r="Q560" i="1"/>
  <c r="N560" i="1"/>
  <c r="M560" i="1"/>
  <c r="P560" i="1" s="1"/>
  <c r="L560" i="1"/>
  <c r="O560" i="1" s="1"/>
  <c r="S559" i="1"/>
  <c r="R559" i="1"/>
  <c r="Q559" i="1"/>
  <c r="T559" i="1" s="1"/>
  <c r="N559" i="1"/>
  <c r="M559" i="1"/>
  <c r="L559" i="1"/>
  <c r="O559" i="1" s="1"/>
  <c r="J554" i="1"/>
  <c r="I554" i="1"/>
  <c r="K554" i="1" s="1"/>
  <c r="S542" i="1"/>
  <c r="R542" i="1"/>
  <c r="Q542" i="1"/>
  <c r="T542" i="1" s="1"/>
  <c r="N542" i="1"/>
  <c r="M542" i="1"/>
  <c r="P542" i="1" s="1"/>
  <c r="L542" i="1"/>
  <c r="S541" i="1"/>
  <c r="R541" i="1"/>
  <c r="U541" i="1" s="1"/>
  <c r="Q541" i="1"/>
  <c r="N541" i="1"/>
  <c r="M541" i="1"/>
  <c r="L541" i="1"/>
  <c r="O541" i="1" s="1"/>
  <c r="S539" i="1"/>
  <c r="R539" i="1"/>
  <c r="Q539" i="1"/>
  <c r="T539" i="1" s="1"/>
  <c r="N539" i="1"/>
  <c r="M539" i="1"/>
  <c r="P539" i="1" s="1"/>
  <c r="L539" i="1"/>
  <c r="S538" i="1"/>
  <c r="R538" i="1"/>
  <c r="U538" i="1" s="1"/>
  <c r="Q538" i="1"/>
  <c r="N538" i="1"/>
  <c r="M538" i="1"/>
  <c r="P538" i="1" s="1"/>
  <c r="L538" i="1"/>
  <c r="O538" i="1" s="1"/>
  <c r="J533" i="1"/>
  <c r="I533" i="1"/>
  <c r="K533" i="1" s="1"/>
  <c r="K524" i="1"/>
  <c r="K523" i="1"/>
  <c r="S521" i="1"/>
  <c r="R521" i="1"/>
  <c r="Q521" i="1"/>
  <c r="N521" i="1"/>
  <c r="M521" i="1"/>
  <c r="P521" i="1" s="1"/>
  <c r="L521" i="1"/>
  <c r="O521" i="1" s="1"/>
  <c r="S520" i="1"/>
  <c r="R520" i="1"/>
  <c r="U520" i="1" s="1"/>
  <c r="Q520" i="1"/>
  <c r="T520" i="1" s="1"/>
  <c r="N520" i="1"/>
  <c r="M520" i="1"/>
  <c r="L520" i="1"/>
  <c r="O520" i="1" s="1"/>
  <c r="S518" i="1"/>
  <c r="R518" i="1"/>
  <c r="U518" i="1" s="1"/>
  <c r="Q518" i="1"/>
  <c r="N518" i="1"/>
  <c r="M518" i="1"/>
  <c r="L518" i="1"/>
  <c r="O518" i="1" s="1"/>
  <c r="S517" i="1"/>
  <c r="S516" i="1" s="1"/>
  <c r="R517" i="1"/>
  <c r="Q517" i="1"/>
  <c r="N517" i="1"/>
  <c r="M517" i="1"/>
  <c r="P517" i="1" s="1"/>
  <c r="L517" i="1"/>
  <c r="O517" i="1" s="1"/>
  <c r="J512" i="1"/>
  <c r="I512" i="1"/>
  <c r="K512" i="1" s="1"/>
  <c r="J509" i="1"/>
  <c r="I509" i="1"/>
  <c r="K509" i="1" s="1"/>
  <c r="K508" i="1"/>
  <c r="J507" i="1"/>
  <c r="I507" i="1"/>
  <c r="K507" i="1" s="1"/>
  <c r="J506" i="1"/>
  <c r="I506" i="1"/>
  <c r="K506" i="1" s="1"/>
  <c r="J505" i="1"/>
  <c r="I505" i="1"/>
  <c r="K505" i="1" s="1"/>
  <c r="J504" i="1"/>
  <c r="I504" i="1"/>
  <c r="K504" i="1" s="1"/>
  <c r="J503" i="1"/>
  <c r="J492" i="1" s="1"/>
  <c r="I503" i="1"/>
  <c r="S501" i="1"/>
  <c r="R501" i="1"/>
  <c r="U501" i="1" s="1"/>
  <c r="Q501" i="1"/>
  <c r="N501" i="1"/>
  <c r="M501" i="1"/>
  <c r="P501" i="1" s="1"/>
  <c r="L501" i="1"/>
  <c r="O501" i="1" s="1"/>
  <c r="S500" i="1"/>
  <c r="R500" i="1"/>
  <c r="U500" i="1" s="1"/>
  <c r="Q500" i="1"/>
  <c r="T500" i="1" s="1"/>
  <c r="N500" i="1"/>
  <c r="M500" i="1"/>
  <c r="L500" i="1"/>
  <c r="S498" i="1"/>
  <c r="S495" i="1" s="1"/>
  <c r="R498" i="1"/>
  <c r="Q498" i="1"/>
  <c r="N498" i="1"/>
  <c r="M498" i="1"/>
  <c r="L498" i="1"/>
  <c r="S497" i="1"/>
  <c r="S494" i="1" s="1"/>
  <c r="R497" i="1"/>
  <c r="Q497" i="1"/>
  <c r="T497" i="1" s="1"/>
  <c r="N497" i="1"/>
  <c r="M497" i="1"/>
  <c r="M494" i="1" s="1"/>
  <c r="L497" i="1"/>
  <c r="O497" i="1" s="1"/>
  <c r="J491" i="1"/>
  <c r="J490" i="1"/>
  <c r="J489" i="1"/>
  <c r="J488" i="1"/>
  <c r="J487" i="1"/>
  <c r="J486" i="1"/>
  <c r="J483" i="1"/>
  <c r="J482" i="1"/>
  <c r="J481" i="1"/>
  <c r="I485" i="1" s="1"/>
  <c r="K485" i="1" s="1"/>
  <c r="J480" i="1"/>
  <c r="J479" i="1"/>
  <c r="J478" i="1"/>
  <c r="K477" i="1"/>
  <c r="K476" i="1"/>
  <c r="K475" i="1"/>
  <c r="J474" i="1"/>
  <c r="J473" i="1"/>
  <c r="J472" i="1"/>
  <c r="J471" i="1"/>
  <c r="J470" i="1"/>
  <c r="J469" i="1"/>
  <c r="J466" i="1"/>
  <c r="J465" i="1"/>
  <c r="J464" i="1"/>
  <c r="J463" i="1"/>
  <c r="J462" i="1"/>
  <c r="J461" i="1"/>
  <c r="I458" i="1"/>
  <c r="K458" i="1" s="1"/>
  <c r="I457" i="1"/>
  <c r="J455" i="1"/>
  <c r="J454" i="1"/>
  <c r="J453" i="1"/>
  <c r="J452" i="1"/>
  <c r="J451" i="1"/>
  <c r="J450" i="1"/>
  <c r="J449" i="1"/>
  <c r="J448" i="1"/>
  <c r="J445" i="1"/>
  <c r="J444" i="1"/>
  <c r="J443" i="1"/>
  <c r="J442" i="1"/>
  <c r="I441" i="1"/>
  <c r="K441" i="1" s="1"/>
  <c r="I440" i="1"/>
  <c r="J439" i="1"/>
  <c r="J438" i="1"/>
  <c r="J437" i="1"/>
  <c r="J436" i="1"/>
  <c r="J435" i="1"/>
  <c r="J434" i="1"/>
  <c r="I433" i="1"/>
  <c r="K433" i="1" s="1"/>
  <c r="I432" i="1"/>
  <c r="K432" i="1" s="1"/>
  <c r="J431" i="1"/>
  <c r="J430" i="1"/>
  <c r="J429" i="1"/>
  <c r="J428" i="1"/>
  <c r="J427" i="1"/>
  <c r="J426" i="1"/>
  <c r="I425" i="1"/>
  <c r="K425" i="1" s="1"/>
  <c r="I424" i="1"/>
  <c r="K424" i="1" s="1"/>
  <c r="S421" i="1"/>
  <c r="R421" i="1"/>
  <c r="U421" i="1" s="1"/>
  <c r="Q421" i="1"/>
  <c r="T421" i="1" s="1"/>
  <c r="N421" i="1"/>
  <c r="M421" i="1"/>
  <c r="L421" i="1"/>
  <c r="O421" i="1" s="1"/>
  <c r="S420" i="1"/>
  <c r="R420" i="1"/>
  <c r="U420" i="1" s="1"/>
  <c r="Q420" i="1"/>
  <c r="N420" i="1"/>
  <c r="M420" i="1"/>
  <c r="P420" i="1" s="1"/>
  <c r="L420" i="1"/>
  <c r="O420" i="1" s="1"/>
  <c r="S418" i="1"/>
  <c r="R418" i="1"/>
  <c r="Q418" i="1"/>
  <c r="T418" i="1" s="1"/>
  <c r="N418" i="1"/>
  <c r="M418" i="1"/>
  <c r="P418" i="1" s="1"/>
  <c r="L418" i="1"/>
  <c r="O418" i="1" s="1"/>
  <c r="S417" i="1"/>
  <c r="R417" i="1"/>
  <c r="Q417" i="1"/>
  <c r="N417" i="1"/>
  <c r="M417" i="1"/>
  <c r="P417" i="1" s="1"/>
  <c r="L417" i="1"/>
  <c r="O417" i="1" s="1"/>
  <c r="S400" i="1"/>
  <c r="R400" i="1"/>
  <c r="Q400" i="1"/>
  <c r="N400" i="1"/>
  <c r="M400" i="1"/>
  <c r="P400" i="1" s="1"/>
  <c r="L400" i="1"/>
  <c r="O400" i="1" s="1"/>
  <c r="S399" i="1"/>
  <c r="R399" i="1"/>
  <c r="U399" i="1" s="1"/>
  <c r="Q399" i="1"/>
  <c r="T399" i="1" s="1"/>
  <c r="N399" i="1"/>
  <c r="M399" i="1"/>
  <c r="L399" i="1"/>
  <c r="O399" i="1" s="1"/>
  <c r="S397" i="1"/>
  <c r="R397" i="1"/>
  <c r="R394" i="1" s="1"/>
  <c r="U394" i="1" s="1"/>
  <c r="Q397" i="1"/>
  <c r="T397" i="1" s="1"/>
  <c r="N397" i="1"/>
  <c r="M397" i="1"/>
  <c r="L397" i="1"/>
  <c r="S396" i="1"/>
  <c r="R396" i="1"/>
  <c r="U396" i="1" s="1"/>
  <c r="Q396" i="1"/>
  <c r="N396" i="1"/>
  <c r="N393" i="1" s="1"/>
  <c r="M396" i="1"/>
  <c r="P396" i="1" s="1"/>
  <c r="L396" i="1"/>
  <c r="O396" i="1" s="1"/>
  <c r="J391" i="1"/>
  <c r="I391" i="1"/>
  <c r="K391" i="1" s="1"/>
  <c r="J388" i="1"/>
  <c r="I388" i="1"/>
  <c r="J387" i="1"/>
  <c r="I387" i="1"/>
  <c r="K387" i="1" s="1"/>
  <c r="J386" i="1"/>
  <c r="I386" i="1"/>
  <c r="J385" i="1"/>
  <c r="I385" i="1"/>
  <c r="S383" i="1"/>
  <c r="R383" i="1"/>
  <c r="U383" i="1" s="1"/>
  <c r="Q383" i="1"/>
  <c r="T383" i="1" s="1"/>
  <c r="N383" i="1"/>
  <c r="M383" i="1"/>
  <c r="P383" i="1" s="1"/>
  <c r="L383" i="1"/>
  <c r="S382" i="1"/>
  <c r="R382" i="1"/>
  <c r="U382" i="1" s="1"/>
  <c r="Q382" i="1"/>
  <c r="T382" i="1" s="1"/>
  <c r="N382" i="1"/>
  <c r="M382" i="1"/>
  <c r="L382" i="1"/>
  <c r="O382" i="1" s="1"/>
  <c r="S380" i="1"/>
  <c r="R380" i="1"/>
  <c r="Q380" i="1"/>
  <c r="N380" i="1"/>
  <c r="N377" i="1" s="1"/>
  <c r="M380" i="1"/>
  <c r="L380" i="1"/>
  <c r="S379" i="1"/>
  <c r="R379" i="1"/>
  <c r="U379" i="1" s="1"/>
  <c r="Q379" i="1"/>
  <c r="N379" i="1"/>
  <c r="M379" i="1"/>
  <c r="L379" i="1"/>
  <c r="O379" i="1" s="1"/>
  <c r="D373" i="1"/>
  <c r="K372" i="1"/>
  <c r="J372" i="1"/>
  <c r="J371" i="1"/>
  <c r="I371" i="1"/>
  <c r="I365" i="1" s="1"/>
  <c r="K370" i="1"/>
  <c r="J370" i="1"/>
  <c r="J369" i="1"/>
  <c r="I369" i="1"/>
  <c r="J368" i="1"/>
  <c r="I368" i="1"/>
  <c r="K367" i="1"/>
  <c r="J367" i="1"/>
  <c r="S364" i="1"/>
  <c r="R364" i="1"/>
  <c r="U364" i="1" s="1"/>
  <c r="Q364" i="1"/>
  <c r="T364" i="1" s="1"/>
  <c r="N364" i="1"/>
  <c r="M364" i="1"/>
  <c r="L364" i="1"/>
  <c r="O364" i="1" s="1"/>
  <c r="S363" i="1"/>
  <c r="R363" i="1"/>
  <c r="Q363" i="1"/>
  <c r="N363" i="1"/>
  <c r="M363" i="1"/>
  <c r="L363" i="1"/>
  <c r="O363" i="1" s="1"/>
  <c r="S361" i="1"/>
  <c r="R361" i="1"/>
  <c r="U361" i="1" s="1"/>
  <c r="Q361" i="1"/>
  <c r="N361" i="1"/>
  <c r="M361" i="1"/>
  <c r="L361" i="1"/>
  <c r="S360" i="1"/>
  <c r="R360" i="1"/>
  <c r="Q360" i="1"/>
  <c r="T360" i="1" s="1"/>
  <c r="N360" i="1"/>
  <c r="M360" i="1"/>
  <c r="L360" i="1"/>
  <c r="D354" i="1"/>
  <c r="J353" i="1"/>
  <c r="J352" i="1"/>
  <c r="D350" i="1"/>
  <c r="J349" i="1"/>
  <c r="J348" i="1"/>
  <c r="J347" i="1"/>
  <c r="J346" i="1"/>
  <c r="I346" i="1"/>
  <c r="J344" i="1"/>
  <c r="I344" i="1"/>
  <c r="I332" i="1" s="1"/>
  <c r="S341" i="1"/>
  <c r="R341" i="1"/>
  <c r="U341" i="1" s="1"/>
  <c r="Q341" i="1"/>
  <c r="T341" i="1" s="1"/>
  <c r="N341" i="1"/>
  <c r="M341" i="1"/>
  <c r="P341" i="1" s="1"/>
  <c r="L341" i="1"/>
  <c r="O341" i="1" s="1"/>
  <c r="S340" i="1"/>
  <c r="R340" i="1"/>
  <c r="Q340" i="1"/>
  <c r="T340" i="1" s="1"/>
  <c r="N340" i="1"/>
  <c r="M340" i="1"/>
  <c r="L340" i="1"/>
  <c r="S338" i="1"/>
  <c r="R338" i="1"/>
  <c r="Q338" i="1"/>
  <c r="T338" i="1" s="1"/>
  <c r="N338" i="1"/>
  <c r="N335" i="1" s="1"/>
  <c r="M338" i="1"/>
  <c r="L338" i="1"/>
  <c r="S337" i="1"/>
  <c r="R337" i="1"/>
  <c r="U337" i="1" s="1"/>
  <c r="Q337" i="1"/>
  <c r="T337" i="1" s="1"/>
  <c r="N337" i="1"/>
  <c r="N334" i="1" s="1"/>
  <c r="M337" i="1"/>
  <c r="L337" i="1"/>
  <c r="O337" i="1" s="1"/>
  <c r="J330" i="1"/>
  <c r="J319" i="1" s="1"/>
  <c r="I330" i="1"/>
  <c r="I319" i="1" s="1"/>
  <c r="S328" i="1"/>
  <c r="R328" i="1"/>
  <c r="U328" i="1" s="1"/>
  <c r="Q328" i="1"/>
  <c r="N328" i="1"/>
  <c r="M328" i="1"/>
  <c r="P328" i="1" s="1"/>
  <c r="L328" i="1"/>
  <c r="O328" i="1" s="1"/>
  <c r="S327" i="1"/>
  <c r="R327" i="1"/>
  <c r="U327" i="1" s="1"/>
  <c r="Q327" i="1"/>
  <c r="T327" i="1" s="1"/>
  <c r="N327" i="1"/>
  <c r="N326" i="1" s="1"/>
  <c r="M327" i="1"/>
  <c r="L327" i="1"/>
  <c r="S325" i="1"/>
  <c r="R325" i="1"/>
  <c r="Q325" i="1"/>
  <c r="N325" i="1"/>
  <c r="M325" i="1"/>
  <c r="L325" i="1"/>
  <c r="S324" i="1"/>
  <c r="R324" i="1"/>
  <c r="U324" i="1" s="1"/>
  <c r="Q324" i="1"/>
  <c r="T324" i="1" s="1"/>
  <c r="N324" i="1"/>
  <c r="N321" i="1" s="1"/>
  <c r="M324" i="1"/>
  <c r="P324" i="1" s="1"/>
  <c r="L324" i="1"/>
  <c r="J317" i="1"/>
  <c r="I317" i="1"/>
  <c r="K317" i="1" s="1"/>
  <c r="J316" i="1"/>
  <c r="I316" i="1"/>
  <c r="K316" i="1" s="1"/>
  <c r="J315" i="1"/>
  <c r="I315" i="1"/>
  <c r="K315" i="1" s="1"/>
  <c r="J314" i="1"/>
  <c r="J302" i="1" s="1"/>
  <c r="I314" i="1"/>
  <c r="I302" i="1" s="1"/>
  <c r="J313" i="1"/>
  <c r="S311" i="1"/>
  <c r="R311" i="1"/>
  <c r="U311" i="1" s="1"/>
  <c r="Q311" i="1"/>
  <c r="T311" i="1" s="1"/>
  <c r="N311" i="1"/>
  <c r="M311" i="1"/>
  <c r="P311" i="1" s="1"/>
  <c r="L311" i="1"/>
  <c r="O311" i="1" s="1"/>
  <c r="S310" i="1"/>
  <c r="R310" i="1"/>
  <c r="U310" i="1" s="1"/>
  <c r="Q310" i="1"/>
  <c r="T310" i="1" s="1"/>
  <c r="N310" i="1"/>
  <c r="M310" i="1"/>
  <c r="L310" i="1"/>
  <c r="O310" i="1" s="1"/>
  <c r="S308" i="1"/>
  <c r="R308" i="1"/>
  <c r="Q308" i="1"/>
  <c r="N308" i="1"/>
  <c r="M308" i="1"/>
  <c r="L308" i="1"/>
  <c r="S307" i="1"/>
  <c r="R307" i="1"/>
  <c r="U307" i="1" s="1"/>
  <c r="Q307" i="1"/>
  <c r="N307" i="1"/>
  <c r="N306" i="1" s="1"/>
  <c r="M307" i="1"/>
  <c r="P307" i="1" s="1"/>
  <c r="L307" i="1"/>
  <c r="O307" i="1" s="1"/>
  <c r="J296" i="1"/>
  <c r="I296" i="1"/>
  <c r="J295" i="1"/>
  <c r="I295" i="1"/>
  <c r="J293" i="1"/>
  <c r="J280" i="1" s="1"/>
  <c r="I293" i="1"/>
  <c r="J292" i="1"/>
  <c r="J281" i="1" s="1"/>
  <c r="I292" i="1"/>
  <c r="S290" i="1"/>
  <c r="R290" i="1"/>
  <c r="U290" i="1" s="1"/>
  <c r="Q290" i="1"/>
  <c r="T290" i="1" s="1"/>
  <c r="N290" i="1"/>
  <c r="M290" i="1"/>
  <c r="P290" i="1" s="1"/>
  <c r="L290" i="1"/>
  <c r="O290" i="1" s="1"/>
  <c r="S289" i="1"/>
  <c r="R289" i="1"/>
  <c r="Q289" i="1"/>
  <c r="N289" i="1"/>
  <c r="M289" i="1"/>
  <c r="P289" i="1" s="1"/>
  <c r="L289" i="1"/>
  <c r="S287" i="1"/>
  <c r="R287" i="1"/>
  <c r="U287" i="1" s="1"/>
  <c r="Q287" i="1"/>
  <c r="T287" i="1" s="1"/>
  <c r="N287" i="1"/>
  <c r="M287" i="1"/>
  <c r="L287" i="1"/>
  <c r="S286" i="1"/>
  <c r="R286" i="1"/>
  <c r="Q286" i="1"/>
  <c r="Q283" i="1" s="1"/>
  <c r="N286" i="1"/>
  <c r="M286" i="1"/>
  <c r="M283" i="1" s="1"/>
  <c r="P283" i="1" s="1"/>
  <c r="L286" i="1"/>
  <c r="J276" i="1"/>
  <c r="I276" i="1"/>
  <c r="S274" i="1"/>
  <c r="R274" i="1"/>
  <c r="Q274" i="1"/>
  <c r="T274" i="1" s="1"/>
  <c r="N274" i="1"/>
  <c r="M274" i="1"/>
  <c r="P274" i="1" s="1"/>
  <c r="L274" i="1"/>
  <c r="O274" i="1" s="1"/>
  <c r="S273" i="1"/>
  <c r="R273" i="1"/>
  <c r="U273" i="1" s="1"/>
  <c r="Q273" i="1"/>
  <c r="T273" i="1" s="1"/>
  <c r="N273" i="1"/>
  <c r="M273" i="1"/>
  <c r="L273" i="1"/>
  <c r="O273" i="1" s="1"/>
  <c r="S271" i="1"/>
  <c r="R271" i="1"/>
  <c r="Q271" i="1"/>
  <c r="N271" i="1"/>
  <c r="N268" i="1" s="1"/>
  <c r="M271" i="1"/>
  <c r="L271" i="1"/>
  <c r="O271" i="1" s="1"/>
  <c r="S270" i="1"/>
  <c r="R270" i="1"/>
  <c r="Q270" i="1"/>
  <c r="N270" i="1"/>
  <c r="M270" i="1"/>
  <c r="P270" i="1" s="1"/>
  <c r="L270" i="1"/>
  <c r="O270" i="1" s="1"/>
  <c r="J265" i="1"/>
  <c r="I265" i="1"/>
  <c r="K241" i="1"/>
  <c r="J241" i="1"/>
  <c r="K240" i="1"/>
  <c r="J240" i="1"/>
  <c r="J238" i="1"/>
  <c r="I238" i="1"/>
  <c r="S236" i="1"/>
  <c r="R236" i="1"/>
  <c r="Q236" i="1"/>
  <c r="N236" i="1"/>
  <c r="M236" i="1"/>
  <c r="L236" i="1"/>
  <c r="S235" i="1"/>
  <c r="R235" i="1"/>
  <c r="Q235" i="1"/>
  <c r="N235" i="1"/>
  <c r="M235" i="1"/>
  <c r="L235" i="1"/>
  <c r="S234" i="1"/>
  <c r="R234" i="1"/>
  <c r="Q234" i="1"/>
  <c r="N234" i="1"/>
  <c r="M234" i="1"/>
  <c r="L234" i="1"/>
  <c r="S233" i="1"/>
  <c r="S232" i="1" s="1"/>
  <c r="R233" i="1"/>
  <c r="Q233" i="1"/>
  <c r="Q232" i="1" s="1"/>
  <c r="N233" i="1"/>
  <c r="M233" i="1"/>
  <c r="M232" i="1" s="1"/>
  <c r="L233" i="1"/>
  <c r="J231" i="1"/>
  <c r="I231" i="1"/>
  <c r="K231" i="1" s="1"/>
  <c r="J230" i="1"/>
  <c r="J185" i="1" s="1"/>
  <c r="I230" i="1"/>
  <c r="K230" i="1" s="1"/>
  <c r="J229" i="1"/>
  <c r="J221" i="1" s="1"/>
  <c r="I229" i="1"/>
  <c r="I221" i="1" s="1"/>
  <c r="J228" i="1"/>
  <c r="I228" i="1"/>
  <c r="S224" i="1"/>
  <c r="R224" i="1"/>
  <c r="Q224" i="1"/>
  <c r="N224" i="1"/>
  <c r="M224" i="1"/>
  <c r="L224" i="1"/>
  <c r="S223" i="1"/>
  <c r="R223" i="1"/>
  <c r="Q223" i="1"/>
  <c r="Q222" i="1" s="1"/>
  <c r="N223" i="1"/>
  <c r="N222" i="1" s="1"/>
  <c r="M223" i="1"/>
  <c r="L223" i="1"/>
  <c r="J220" i="1"/>
  <c r="J213" i="1" s="1"/>
  <c r="I220" i="1"/>
  <c r="I213" i="1" s="1"/>
  <c r="J219" i="1"/>
  <c r="I219" i="1"/>
  <c r="S217" i="1"/>
  <c r="R217" i="1"/>
  <c r="Q217" i="1"/>
  <c r="N217" i="1"/>
  <c r="M217" i="1"/>
  <c r="L217" i="1"/>
  <c r="S216" i="1"/>
  <c r="R216" i="1"/>
  <c r="Q216" i="1"/>
  <c r="N216" i="1"/>
  <c r="M216" i="1"/>
  <c r="L216" i="1"/>
  <c r="S215" i="1"/>
  <c r="S214" i="1" s="1"/>
  <c r="R215" i="1"/>
  <c r="Q215" i="1"/>
  <c r="N215" i="1"/>
  <c r="N214" i="1" s="1"/>
  <c r="M215" i="1"/>
  <c r="L215" i="1"/>
  <c r="K212" i="1"/>
  <c r="J212" i="1"/>
  <c r="K211" i="1"/>
  <c r="J211" i="1"/>
  <c r="J209" i="1"/>
  <c r="I209" i="1"/>
  <c r="I202" i="1" s="1"/>
  <c r="S207" i="1"/>
  <c r="R207" i="1"/>
  <c r="Q207" i="1"/>
  <c r="N207" i="1"/>
  <c r="M207" i="1"/>
  <c r="L207" i="1"/>
  <c r="S206" i="1"/>
  <c r="R206" i="1"/>
  <c r="Q206" i="1"/>
  <c r="N206" i="1"/>
  <c r="M206" i="1"/>
  <c r="L206" i="1"/>
  <c r="S204" i="1"/>
  <c r="R204" i="1"/>
  <c r="R203" i="1" s="1"/>
  <c r="Q204" i="1"/>
  <c r="N204" i="1"/>
  <c r="M204" i="1"/>
  <c r="M203" i="1" s="1"/>
  <c r="L204" i="1"/>
  <c r="L203" i="1" s="1"/>
  <c r="J201" i="1"/>
  <c r="J200" i="1"/>
  <c r="J198" i="1"/>
  <c r="J195" i="1" s="1"/>
  <c r="I198" i="1"/>
  <c r="S196" i="1"/>
  <c r="R196" i="1"/>
  <c r="Q196" i="1"/>
  <c r="N196" i="1"/>
  <c r="M196" i="1"/>
  <c r="L196" i="1"/>
  <c r="S194" i="1"/>
  <c r="R194" i="1"/>
  <c r="U194" i="1" s="1"/>
  <c r="Q194" i="1"/>
  <c r="T194" i="1" s="1"/>
  <c r="N194" i="1"/>
  <c r="M194" i="1"/>
  <c r="P194" i="1" s="1"/>
  <c r="L194" i="1"/>
  <c r="O194" i="1" s="1"/>
  <c r="S193" i="1"/>
  <c r="R193" i="1"/>
  <c r="Q193" i="1"/>
  <c r="T193" i="1" s="1"/>
  <c r="N193" i="1"/>
  <c r="M193" i="1"/>
  <c r="L193" i="1"/>
  <c r="S191" i="1"/>
  <c r="R191" i="1"/>
  <c r="Q191" i="1"/>
  <c r="N191" i="1"/>
  <c r="M191" i="1"/>
  <c r="M188" i="1" s="1"/>
  <c r="L191" i="1"/>
  <c r="L188" i="1" s="1"/>
  <c r="S190" i="1"/>
  <c r="R190" i="1"/>
  <c r="Q190" i="1"/>
  <c r="T190" i="1" s="1"/>
  <c r="N190" i="1"/>
  <c r="M190" i="1"/>
  <c r="L190" i="1"/>
  <c r="L187" i="1" s="1"/>
  <c r="K184" i="1"/>
  <c r="J183" i="1"/>
  <c r="J172" i="1" s="1"/>
  <c r="I183" i="1"/>
  <c r="S181" i="1"/>
  <c r="R181" i="1"/>
  <c r="U181" i="1" s="1"/>
  <c r="Q181" i="1"/>
  <c r="T181" i="1" s="1"/>
  <c r="N181" i="1"/>
  <c r="M181" i="1"/>
  <c r="P181" i="1" s="1"/>
  <c r="L181" i="1"/>
  <c r="O181" i="1" s="1"/>
  <c r="S180" i="1"/>
  <c r="R180" i="1"/>
  <c r="U180" i="1" s="1"/>
  <c r="Q180" i="1"/>
  <c r="N180" i="1"/>
  <c r="M180" i="1"/>
  <c r="L180" i="1"/>
  <c r="O180" i="1" s="1"/>
  <c r="S178" i="1"/>
  <c r="R178" i="1"/>
  <c r="U178" i="1" s="1"/>
  <c r="Q178" i="1"/>
  <c r="Q175" i="1" s="1"/>
  <c r="T175" i="1" s="1"/>
  <c r="N178" i="1"/>
  <c r="M178" i="1"/>
  <c r="L178" i="1"/>
  <c r="S177" i="1"/>
  <c r="R177" i="1"/>
  <c r="Q177" i="1"/>
  <c r="Q174" i="1" s="1"/>
  <c r="N177" i="1"/>
  <c r="M177" i="1"/>
  <c r="L177" i="1"/>
  <c r="J167" i="1"/>
  <c r="I167" i="1"/>
  <c r="S165" i="1"/>
  <c r="R165" i="1"/>
  <c r="U165" i="1" s="1"/>
  <c r="Q165" i="1"/>
  <c r="T165" i="1" s="1"/>
  <c r="N165" i="1"/>
  <c r="M165" i="1"/>
  <c r="P165" i="1" s="1"/>
  <c r="L165" i="1"/>
  <c r="O165" i="1" s="1"/>
  <c r="S164" i="1"/>
  <c r="R164" i="1"/>
  <c r="Q164" i="1"/>
  <c r="T164" i="1" s="1"/>
  <c r="N164" i="1"/>
  <c r="M164" i="1"/>
  <c r="P164" i="1" s="1"/>
  <c r="L164" i="1"/>
  <c r="S162" i="1"/>
  <c r="R162" i="1"/>
  <c r="Q162" i="1"/>
  <c r="T162" i="1" s="1"/>
  <c r="N162" i="1"/>
  <c r="M162" i="1"/>
  <c r="L162" i="1"/>
  <c r="S161" i="1"/>
  <c r="R161" i="1"/>
  <c r="U161" i="1" s="1"/>
  <c r="Q161" i="1"/>
  <c r="T161" i="1" s="1"/>
  <c r="N161" i="1"/>
  <c r="M161" i="1"/>
  <c r="M158" i="1" s="1"/>
  <c r="P158" i="1" s="1"/>
  <c r="L161" i="1"/>
  <c r="O161" i="1" s="1"/>
  <c r="J156" i="1"/>
  <c r="J154" i="1"/>
  <c r="J136" i="1" s="1"/>
  <c r="I154" i="1"/>
  <c r="J153" i="1"/>
  <c r="J138" i="1" s="1"/>
  <c r="I153" i="1"/>
  <c r="J152" i="1"/>
  <c r="J137" i="1" s="1"/>
  <c r="I152" i="1"/>
  <c r="I137" i="1" s="1"/>
  <c r="J151" i="1"/>
  <c r="I151" i="1"/>
  <c r="J150" i="1"/>
  <c r="I150" i="1"/>
  <c r="J149" i="1"/>
  <c r="S147" i="1"/>
  <c r="R147" i="1"/>
  <c r="U147" i="1" s="1"/>
  <c r="Q147" i="1"/>
  <c r="T147" i="1" s="1"/>
  <c r="N147" i="1"/>
  <c r="M147" i="1"/>
  <c r="L147" i="1"/>
  <c r="O147" i="1" s="1"/>
  <c r="S146" i="1"/>
  <c r="R146" i="1"/>
  <c r="U146" i="1" s="1"/>
  <c r="Q146" i="1"/>
  <c r="N146" i="1"/>
  <c r="M146" i="1"/>
  <c r="P146" i="1" s="1"/>
  <c r="L146" i="1"/>
  <c r="O146" i="1" s="1"/>
  <c r="S144" i="1"/>
  <c r="R144" i="1"/>
  <c r="U144" i="1" s="1"/>
  <c r="Q144" i="1"/>
  <c r="N144" i="1"/>
  <c r="M144" i="1"/>
  <c r="L144" i="1"/>
  <c r="S143" i="1"/>
  <c r="R143" i="1"/>
  <c r="U143" i="1" s="1"/>
  <c r="Q143" i="1"/>
  <c r="N143" i="1"/>
  <c r="N142" i="1" s="1"/>
  <c r="M143" i="1"/>
  <c r="M140" i="1" s="1"/>
  <c r="P140" i="1" s="1"/>
  <c r="L143" i="1"/>
  <c r="O143" i="1" s="1"/>
  <c r="J130" i="1"/>
  <c r="I130" i="1"/>
  <c r="K130" i="1" s="1"/>
  <c r="J129" i="1"/>
  <c r="I129" i="1"/>
  <c r="J128" i="1"/>
  <c r="I128" i="1"/>
  <c r="K128" i="1" s="1"/>
  <c r="J127" i="1"/>
  <c r="J116" i="1" s="1"/>
  <c r="I127" i="1"/>
  <c r="S125" i="1"/>
  <c r="R125" i="1"/>
  <c r="Q125" i="1"/>
  <c r="T125" i="1" s="1"/>
  <c r="N125" i="1"/>
  <c r="M125" i="1"/>
  <c r="P125" i="1" s="1"/>
  <c r="L125" i="1"/>
  <c r="O125" i="1" s="1"/>
  <c r="S124" i="1"/>
  <c r="R124" i="1"/>
  <c r="U124" i="1" s="1"/>
  <c r="Q124" i="1"/>
  <c r="T124" i="1" s="1"/>
  <c r="N124" i="1"/>
  <c r="M124" i="1"/>
  <c r="L124" i="1"/>
  <c r="O124" i="1" s="1"/>
  <c r="S122" i="1"/>
  <c r="R122" i="1"/>
  <c r="Q122" i="1"/>
  <c r="N122" i="1"/>
  <c r="M122" i="1"/>
  <c r="P122" i="1" s="1"/>
  <c r="L122" i="1"/>
  <c r="S121" i="1"/>
  <c r="R121" i="1"/>
  <c r="U121" i="1" s="1"/>
  <c r="Q121" i="1"/>
  <c r="T121" i="1" s="1"/>
  <c r="N121" i="1"/>
  <c r="M121" i="1"/>
  <c r="L121" i="1"/>
  <c r="J114" i="1"/>
  <c r="I114" i="1"/>
  <c r="J113" i="1"/>
  <c r="I113" i="1"/>
  <c r="J109" i="1"/>
  <c r="J93" i="1" s="1"/>
  <c r="I109" i="1"/>
  <c r="J108" i="1"/>
  <c r="J92" i="1" s="1"/>
  <c r="I108" i="1"/>
  <c r="I92" i="1" s="1"/>
  <c r="S102" i="1"/>
  <c r="R102" i="1"/>
  <c r="Q102" i="1"/>
  <c r="T102" i="1" s="1"/>
  <c r="N102" i="1"/>
  <c r="M102" i="1"/>
  <c r="L102" i="1"/>
  <c r="S101" i="1"/>
  <c r="R101" i="1"/>
  <c r="U101" i="1" s="1"/>
  <c r="Q101" i="1"/>
  <c r="N101" i="1"/>
  <c r="M101" i="1"/>
  <c r="P101" i="1" s="1"/>
  <c r="L101" i="1"/>
  <c r="O101" i="1" s="1"/>
  <c r="S99" i="1"/>
  <c r="R99" i="1"/>
  <c r="Q99" i="1"/>
  <c r="N99" i="1"/>
  <c r="M99" i="1"/>
  <c r="L99" i="1"/>
  <c r="S98" i="1"/>
  <c r="R98" i="1"/>
  <c r="U98" i="1" s="1"/>
  <c r="Q98" i="1"/>
  <c r="Q95" i="1" s="1"/>
  <c r="N98" i="1"/>
  <c r="M98" i="1"/>
  <c r="M95" i="1" s="1"/>
  <c r="P95" i="1" s="1"/>
  <c r="L98" i="1"/>
  <c r="O98" i="1" s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S80" i="1"/>
  <c r="R80" i="1"/>
  <c r="U80" i="1" s="1"/>
  <c r="Q80" i="1"/>
  <c r="T80" i="1" s="1"/>
  <c r="N80" i="1"/>
  <c r="M80" i="1"/>
  <c r="P80" i="1" s="1"/>
  <c r="L80" i="1"/>
  <c r="O80" i="1" s="1"/>
  <c r="S79" i="1"/>
  <c r="R79" i="1"/>
  <c r="U79" i="1" s="1"/>
  <c r="Q79" i="1"/>
  <c r="T79" i="1" s="1"/>
  <c r="N79" i="1"/>
  <c r="M79" i="1"/>
  <c r="L79" i="1"/>
  <c r="O79" i="1" s="1"/>
  <c r="S77" i="1"/>
  <c r="R77" i="1"/>
  <c r="R74" i="1" s="1"/>
  <c r="Q77" i="1"/>
  <c r="N77" i="1"/>
  <c r="M77" i="1"/>
  <c r="L77" i="1"/>
  <c r="L74" i="1" s="1"/>
  <c r="S76" i="1"/>
  <c r="R76" i="1"/>
  <c r="Q76" i="1"/>
  <c r="T76" i="1" s="1"/>
  <c r="N76" i="1"/>
  <c r="M76" i="1"/>
  <c r="L76" i="1"/>
  <c r="O76" i="1" s="1"/>
  <c r="S67" i="1"/>
  <c r="R67" i="1"/>
  <c r="Q67" i="1"/>
  <c r="T67" i="1" s="1"/>
  <c r="N67" i="1"/>
  <c r="M67" i="1"/>
  <c r="P67" i="1" s="1"/>
  <c r="L67" i="1"/>
  <c r="O67" i="1" s="1"/>
  <c r="S66" i="1"/>
  <c r="R66" i="1"/>
  <c r="U66" i="1" s="1"/>
  <c r="Q66" i="1"/>
  <c r="T66" i="1" s="1"/>
  <c r="N66" i="1"/>
  <c r="M66" i="1"/>
  <c r="L66" i="1"/>
  <c r="S64" i="1"/>
  <c r="R64" i="1"/>
  <c r="Q64" i="1"/>
  <c r="T64" i="1" s="1"/>
  <c r="N64" i="1"/>
  <c r="M64" i="1"/>
  <c r="L64" i="1"/>
  <c r="S63" i="1"/>
  <c r="R63" i="1"/>
  <c r="Q63" i="1"/>
  <c r="T63" i="1" s="1"/>
  <c r="N63" i="1"/>
  <c r="M63" i="1"/>
  <c r="L63" i="1"/>
  <c r="O63" i="1" s="1"/>
  <c r="S52" i="1"/>
  <c r="R52" i="1"/>
  <c r="R50" i="1" s="1"/>
  <c r="U50" i="1" s="1"/>
  <c r="Q52" i="1"/>
  <c r="N52" i="1"/>
  <c r="N50" i="1" s="1"/>
  <c r="M52" i="1"/>
  <c r="P52" i="1" s="1"/>
  <c r="L52" i="1"/>
  <c r="L50" i="1" s="1"/>
  <c r="O50" i="1" s="1"/>
  <c r="U51" i="1"/>
  <c r="T51" i="1"/>
  <c r="P51" i="1"/>
  <c r="O51" i="1"/>
  <c r="S49" i="1"/>
  <c r="S47" i="1" s="1"/>
  <c r="R49" i="1"/>
  <c r="U49" i="1" s="1"/>
  <c r="Q49" i="1"/>
  <c r="T49" i="1" s="1"/>
  <c r="N49" i="1"/>
  <c r="M49" i="1"/>
  <c r="L49" i="1"/>
  <c r="L47" i="1" s="1"/>
  <c r="U48" i="1"/>
  <c r="T48" i="1"/>
  <c r="P48" i="1"/>
  <c r="O48" i="1"/>
  <c r="T45" i="1"/>
  <c r="S45" i="1"/>
  <c r="R45" i="1"/>
  <c r="U45" i="1" s="1"/>
  <c r="Q45" i="1"/>
  <c r="N45" i="1"/>
  <c r="M45" i="1"/>
  <c r="L45" i="1"/>
  <c r="O45" i="1" s="1"/>
  <c r="S306" i="1" l="1"/>
  <c r="N622" i="1"/>
  <c r="L761" i="1"/>
  <c r="N618" i="1"/>
  <c r="S120" i="1"/>
  <c r="M187" i="1"/>
  <c r="P187" i="1" s="1"/>
  <c r="L214" i="1"/>
  <c r="O214" i="1" s="1"/>
  <c r="M268" i="1"/>
  <c r="S393" i="1"/>
  <c r="Q214" i="1"/>
  <c r="N729" i="1"/>
  <c r="R762" i="1"/>
  <c r="N720" i="1"/>
  <c r="N716" i="1"/>
  <c r="L730" i="1"/>
  <c r="O730" i="1" s="1"/>
  <c r="L495" i="1"/>
  <c r="O495" i="1" s="1"/>
  <c r="S602" i="1"/>
  <c r="S222" i="1"/>
  <c r="R761" i="1"/>
  <c r="U761" i="1" s="1"/>
  <c r="Q203" i="1"/>
  <c r="S693" i="1"/>
  <c r="S285" i="1"/>
  <c r="L605" i="1"/>
  <c r="O605" i="1" s="1"/>
  <c r="L222" i="1"/>
  <c r="O222" i="1" s="1"/>
  <c r="O75" i="18"/>
  <c r="P47" i="18"/>
  <c r="P521" i="18"/>
  <c r="O160" i="18"/>
  <c r="O49" i="18"/>
  <c r="I374" i="18"/>
  <c r="P189" i="18"/>
  <c r="O147" i="18"/>
  <c r="T144" i="17"/>
  <c r="Q645" i="17"/>
  <c r="I213" i="18"/>
  <c r="K213" i="18" s="1"/>
  <c r="O191" i="18"/>
  <c r="K772" i="17"/>
  <c r="S693" i="14"/>
  <c r="T693" i="14" s="1"/>
  <c r="J701" i="18"/>
  <c r="T418" i="18"/>
  <c r="I238" i="18"/>
  <c r="K238" i="18" s="1"/>
  <c r="I242" i="18"/>
  <c r="K242" i="18" s="1"/>
  <c r="U77" i="18"/>
  <c r="K779" i="18"/>
  <c r="L119" i="18"/>
  <c r="O119" i="18" s="1"/>
  <c r="K782" i="16"/>
  <c r="J351" i="17"/>
  <c r="P311" i="17"/>
  <c r="K784" i="18"/>
  <c r="K781" i="18"/>
  <c r="K778" i="18"/>
  <c r="K676" i="18"/>
  <c r="L222" i="18"/>
  <c r="O222" i="18" s="1"/>
  <c r="R120" i="18"/>
  <c r="P49" i="18"/>
  <c r="K626" i="18"/>
  <c r="K783" i="18"/>
  <c r="M358" i="18"/>
  <c r="M356" i="18" s="1"/>
  <c r="J675" i="17"/>
  <c r="K675" i="17" s="1"/>
  <c r="P518" i="17"/>
  <c r="M305" i="17"/>
  <c r="M303" i="17" s="1"/>
  <c r="S306" i="17"/>
  <c r="U99" i="17"/>
  <c r="K678" i="18"/>
  <c r="L203" i="18"/>
  <c r="O203" i="18" s="1"/>
  <c r="K673" i="17"/>
  <c r="M322" i="17"/>
  <c r="P322" i="17" s="1"/>
  <c r="K785" i="18"/>
  <c r="K673" i="18"/>
  <c r="J351" i="18"/>
  <c r="K314" i="18"/>
  <c r="T119" i="18"/>
  <c r="R644" i="18"/>
  <c r="R642" i="18" s="1"/>
  <c r="M97" i="18"/>
  <c r="P97" i="18" s="1"/>
  <c r="U96" i="15"/>
  <c r="P361" i="16"/>
  <c r="K781" i="17"/>
  <c r="S75" i="17"/>
  <c r="I701" i="18"/>
  <c r="K440" i="18"/>
  <c r="U418" i="18"/>
  <c r="P287" i="18"/>
  <c r="S159" i="18"/>
  <c r="S157" i="18" s="1"/>
  <c r="I92" i="18"/>
  <c r="K92" i="18" s="1"/>
  <c r="O77" i="18"/>
  <c r="T96" i="15"/>
  <c r="M515" i="16"/>
  <c r="P515" i="16" s="1"/>
  <c r="M326" i="17"/>
  <c r="P326" i="17" s="1"/>
  <c r="O122" i="17"/>
  <c r="Q495" i="18"/>
  <c r="Q493" i="18" s="1"/>
  <c r="M362" i="18"/>
  <c r="P362" i="18" s="1"/>
  <c r="T188" i="14"/>
  <c r="O518" i="18"/>
  <c r="K346" i="18"/>
  <c r="M309" i="18"/>
  <c r="P309" i="18" s="1"/>
  <c r="S306" i="18"/>
  <c r="N268" i="18"/>
  <c r="N266" i="18" s="1"/>
  <c r="R173" i="18"/>
  <c r="U173" i="18" s="1"/>
  <c r="O144" i="18"/>
  <c r="M123" i="18"/>
  <c r="P123" i="18" s="1"/>
  <c r="O147" i="15"/>
  <c r="S97" i="15"/>
  <c r="R763" i="17"/>
  <c r="L233" i="17"/>
  <c r="Q618" i="18"/>
  <c r="Q616" i="18" s="1"/>
  <c r="R415" i="18"/>
  <c r="U415" i="18" s="1"/>
  <c r="J332" i="18"/>
  <c r="P338" i="18"/>
  <c r="L309" i="18"/>
  <c r="O309" i="18" s="1"/>
  <c r="M285" i="18"/>
  <c r="P285" i="18" s="1"/>
  <c r="S269" i="18"/>
  <c r="U269" i="18" s="1"/>
  <c r="P77" i="18"/>
  <c r="K785" i="17"/>
  <c r="K779" i="17"/>
  <c r="K727" i="17"/>
  <c r="U619" i="17"/>
  <c r="N305" i="17"/>
  <c r="N303" i="17" s="1"/>
  <c r="U271" i="17"/>
  <c r="K249" i="17"/>
  <c r="J702" i="18"/>
  <c r="R693" i="18"/>
  <c r="K368" i="18"/>
  <c r="N358" i="18"/>
  <c r="P147" i="18"/>
  <c r="S142" i="18"/>
  <c r="K726" i="18"/>
  <c r="L268" i="18"/>
  <c r="O268" i="18" s="1"/>
  <c r="L269" i="18"/>
  <c r="O269" i="18" s="1"/>
  <c r="O271" i="18"/>
  <c r="Q24" i="18"/>
  <c r="T24" i="18" s="1"/>
  <c r="T25" i="18"/>
  <c r="O189" i="16"/>
  <c r="O67" i="16"/>
  <c r="T765" i="17"/>
  <c r="K386" i="17"/>
  <c r="M288" i="17"/>
  <c r="P288" i="17" s="1"/>
  <c r="K782" i="18"/>
  <c r="J675" i="18"/>
  <c r="K675" i="18" s="1"/>
  <c r="N616" i="18"/>
  <c r="M555" i="18"/>
  <c r="P555" i="18" s="1"/>
  <c r="P556" i="18"/>
  <c r="O521" i="18"/>
  <c r="L519" i="18"/>
  <c r="O519" i="18" s="1"/>
  <c r="K423" i="18"/>
  <c r="M413" i="18"/>
  <c r="P413" i="18" s="1"/>
  <c r="L362" i="18"/>
  <c r="O362" i="18" s="1"/>
  <c r="O364" i="18"/>
  <c r="M305" i="18"/>
  <c r="P308" i="18"/>
  <c r="M306" i="18"/>
  <c r="K293" i="18"/>
  <c r="I280" i="18"/>
  <c r="K280" i="18" s="1"/>
  <c r="L288" i="18"/>
  <c r="O288" i="18" s="1"/>
  <c r="O290" i="18"/>
  <c r="O102" i="18"/>
  <c r="L100" i="18"/>
  <c r="O100" i="18" s="1"/>
  <c r="Q74" i="18"/>
  <c r="Q72" i="18" s="1"/>
  <c r="Q75" i="18"/>
  <c r="T75" i="18" s="1"/>
  <c r="O64" i="18"/>
  <c r="L62" i="18"/>
  <c r="O62" i="18" s="1"/>
  <c r="Q59" i="18"/>
  <c r="T59" i="18" s="1"/>
  <c r="M268" i="18"/>
  <c r="M266" i="18" s="1"/>
  <c r="M269" i="18"/>
  <c r="P269" i="18" s="1"/>
  <c r="P271" i="18"/>
  <c r="Q644" i="18"/>
  <c r="Q642" i="18" s="1"/>
  <c r="Q392" i="18"/>
  <c r="T392" i="18" s="1"/>
  <c r="N305" i="18"/>
  <c r="N303" i="18" s="1"/>
  <c r="N306" i="18"/>
  <c r="O306" i="18" s="1"/>
  <c r="M100" i="18"/>
  <c r="P100" i="18" s="1"/>
  <c r="P102" i="18"/>
  <c r="O194" i="16"/>
  <c r="O47" i="16"/>
  <c r="I701" i="17"/>
  <c r="L555" i="18"/>
  <c r="O555" i="18" s="1"/>
  <c r="O556" i="18"/>
  <c r="Q534" i="18"/>
  <c r="T534" i="18" s="1"/>
  <c r="S416" i="18"/>
  <c r="S415" i="18"/>
  <c r="S413" i="18" s="1"/>
  <c r="O285" i="18"/>
  <c r="R268" i="18"/>
  <c r="R266" i="18" s="1"/>
  <c r="U271" i="18"/>
  <c r="Q141" i="18"/>
  <c r="Q142" i="18"/>
  <c r="T142" i="18" s="1"/>
  <c r="T144" i="18"/>
  <c r="O80" i="18"/>
  <c r="L78" i="18"/>
  <c r="O78" i="18" s="1"/>
  <c r="S618" i="18"/>
  <c r="S616" i="18" s="1"/>
  <c r="S619" i="18"/>
  <c r="T619" i="18" s="1"/>
  <c r="Q320" i="18"/>
  <c r="T320" i="18" s="1"/>
  <c r="T321" i="18"/>
  <c r="L272" i="18"/>
  <c r="O272" i="18" s="1"/>
  <c r="O274" i="18"/>
  <c r="R159" i="18"/>
  <c r="R160" i="18"/>
  <c r="U160" i="18" s="1"/>
  <c r="K780" i="18"/>
  <c r="I615" i="18"/>
  <c r="K615" i="18" s="1"/>
  <c r="K632" i="18"/>
  <c r="K629" i="18"/>
  <c r="L254" i="18"/>
  <c r="O254" i="18" s="1"/>
  <c r="O165" i="18"/>
  <c r="L163" i="18"/>
  <c r="O163" i="18" s="1"/>
  <c r="M62" i="18"/>
  <c r="P62" i="18" s="1"/>
  <c r="P64" i="18"/>
  <c r="L339" i="17"/>
  <c r="O339" i="17" s="1"/>
  <c r="O274" i="17"/>
  <c r="M268" i="17"/>
  <c r="M266" i="17" s="1"/>
  <c r="R269" i="17"/>
  <c r="Q763" i="18"/>
  <c r="Q714" i="18"/>
  <c r="T714" i="18" s="1"/>
  <c r="M690" i="18"/>
  <c r="P690" i="18" s="1"/>
  <c r="K681" i="18"/>
  <c r="L616" i="18"/>
  <c r="O616" i="18" s="1"/>
  <c r="O617" i="18"/>
  <c r="O336" i="18"/>
  <c r="L322" i="18"/>
  <c r="L320" i="18" s="1"/>
  <c r="L323" i="18"/>
  <c r="O325" i="18"/>
  <c r="U117" i="18"/>
  <c r="R97" i="18"/>
  <c r="U97" i="18" s="1"/>
  <c r="U96" i="18"/>
  <c r="R94" i="18"/>
  <c r="U94" i="18" s="1"/>
  <c r="U498" i="16"/>
  <c r="L236" i="16"/>
  <c r="J702" i="17"/>
  <c r="P287" i="17"/>
  <c r="L254" i="17"/>
  <c r="O254" i="17" s="1"/>
  <c r="O99" i="17"/>
  <c r="I689" i="18"/>
  <c r="K689" i="18" s="1"/>
  <c r="K707" i="18"/>
  <c r="L690" i="18"/>
  <c r="O690" i="18" s="1"/>
  <c r="O691" i="18"/>
  <c r="T621" i="18"/>
  <c r="R555" i="18"/>
  <c r="U555" i="18" s="1"/>
  <c r="U556" i="18"/>
  <c r="K369" i="18"/>
  <c r="N359" i="18"/>
  <c r="M326" i="18"/>
  <c r="P326" i="18" s="1"/>
  <c r="R282" i="18"/>
  <c r="U282" i="18" s="1"/>
  <c r="L233" i="18"/>
  <c r="S96" i="18"/>
  <c r="S94" i="18" s="1"/>
  <c r="S97" i="18"/>
  <c r="L96" i="18"/>
  <c r="O96" i="18" s="1"/>
  <c r="L97" i="18"/>
  <c r="O97" i="18" s="1"/>
  <c r="S714" i="18"/>
  <c r="K709" i="18"/>
  <c r="K703" i="18"/>
  <c r="T695" i="18"/>
  <c r="P691" i="18"/>
  <c r="P617" i="18"/>
  <c r="T600" i="18"/>
  <c r="N515" i="18"/>
  <c r="N513" i="18" s="1"/>
  <c r="K457" i="18"/>
  <c r="S392" i="18"/>
  <c r="K365" i="18"/>
  <c r="O338" i="18"/>
  <c r="P336" i="18"/>
  <c r="U334" i="18"/>
  <c r="K302" i="18"/>
  <c r="S303" i="18"/>
  <c r="U303" i="18" s="1"/>
  <c r="L305" i="18"/>
  <c r="L303" i="18" s="1"/>
  <c r="R306" i="18"/>
  <c r="P274" i="18"/>
  <c r="Q266" i="18"/>
  <c r="Q269" i="18"/>
  <c r="O194" i="18"/>
  <c r="R189" i="18"/>
  <c r="U189" i="18" s="1"/>
  <c r="U144" i="18"/>
  <c r="S139" i="18"/>
  <c r="L123" i="18"/>
  <c r="O123" i="18" s="1"/>
  <c r="M119" i="18"/>
  <c r="S120" i="18"/>
  <c r="I83" i="18"/>
  <c r="I71" i="18" s="1"/>
  <c r="K71" i="18" s="1"/>
  <c r="P80" i="18"/>
  <c r="U60" i="18"/>
  <c r="Q19" i="18"/>
  <c r="T19" i="18" s="1"/>
  <c r="K679" i="18"/>
  <c r="S599" i="18"/>
  <c r="S576" i="18"/>
  <c r="N493" i="18"/>
  <c r="J343" i="18"/>
  <c r="N322" i="18"/>
  <c r="N320" i="18" s="1"/>
  <c r="N284" i="18"/>
  <c r="N282" i="18" s="1"/>
  <c r="N232" i="18"/>
  <c r="L188" i="18"/>
  <c r="L186" i="18" s="1"/>
  <c r="L179" i="18"/>
  <c r="O179" i="18" s="1"/>
  <c r="L175" i="18"/>
  <c r="L173" i="18" s="1"/>
  <c r="R176" i="18"/>
  <c r="U176" i="18" s="1"/>
  <c r="M141" i="18"/>
  <c r="M139" i="18" s="1"/>
  <c r="N19" i="18"/>
  <c r="Q692" i="18"/>
  <c r="Q690" i="18" s="1"/>
  <c r="N690" i="18"/>
  <c r="T647" i="18"/>
  <c r="L515" i="18"/>
  <c r="O515" i="18" s="1"/>
  <c r="N392" i="18"/>
  <c r="S333" i="18"/>
  <c r="L236" i="18"/>
  <c r="L189" i="18"/>
  <c r="O189" i="18" s="1"/>
  <c r="L176" i="18"/>
  <c r="O176" i="18" s="1"/>
  <c r="L159" i="18"/>
  <c r="L157" i="18" s="1"/>
  <c r="K153" i="18"/>
  <c r="M120" i="18"/>
  <c r="P120" i="18" s="1"/>
  <c r="K109" i="18"/>
  <c r="P75" i="18"/>
  <c r="R75" i="18"/>
  <c r="U75" i="18" s="1"/>
  <c r="S59" i="18"/>
  <c r="S24" i="18"/>
  <c r="M19" i="18"/>
  <c r="P19" i="18" s="1"/>
  <c r="K705" i="18"/>
  <c r="S693" i="18"/>
  <c r="T693" i="18" s="1"/>
  <c r="U621" i="18"/>
  <c r="R618" i="18"/>
  <c r="R616" i="18" s="1"/>
  <c r="N599" i="18"/>
  <c r="N576" i="18"/>
  <c r="S513" i="18"/>
  <c r="Q415" i="18"/>
  <c r="Q413" i="18" s="1"/>
  <c r="T413" i="18" s="1"/>
  <c r="J374" i="18"/>
  <c r="L335" i="18"/>
  <c r="L333" i="18" s="1"/>
  <c r="M322" i="18"/>
  <c r="M320" i="18" s="1"/>
  <c r="S320" i="18"/>
  <c r="L284" i="18"/>
  <c r="L282" i="18" s="1"/>
  <c r="K265" i="18"/>
  <c r="I253" i="18"/>
  <c r="K253" i="18" s="1"/>
  <c r="L235" i="18"/>
  <c r="L214" i="18"/>
  <c r="O214" i="18" s="1"/>
  <c r="M142" i="18"/>
  <c r="L120" i="18"/>
  <c r="O120" i="18" s="1"/>
  <c r="M96" i="18"/>
  <c r="L74" i="18"/>
  <c r="L72" i="18" s="1"/>
  <c r="M392" i="18"/>
  <c r="P392" i="18" s="1"/>
  <c r="P393" i="18"/>
  <c r="S188" i="17"/>
  <c r="U188" i="17" s="1"/>
  <c r="S189" i="17"/>
  <c r="S763" i="18"/>
  <c r="U763" i="18" s="1"/>
  <c r="S762" i="18"/>
  <c r="S760" i="18" s="1"/>
  <c r="T760" i="18" s="1"/>
  <c r="R731" i="18"/>
  <c r="U731" i="18" s="1"/>
  <c r="R730" i="18"/>
  <c r="U733" i="18"/>
  <c r="K682" i="18"/>
  <c r="R534" i="18"/>
  <c r="U534" i="18" s="1"/>
  <c r="U535" i="18"/>
  <c r="Q513" i="18"/>
  <c r="T513" i="18" s="1"/>
  <c r="T514" i="18"/>
  <c r="L392" i="18"/>
  <c r="O392" i="18" s="1"/>
  <c r="O393" i="18"/>
  <c r="L243" i="18"/>
  <c r="P271" i="16"/>
  <c r="L141" i="16"/>
  <c r="L139" i="16" s="1"/>
  <c r="O139" i="16" s="1"/>
  <c r="N284" i="17"/>
  <c r="N282" i="17" s="1"/>
  <c r="K169" i="17"/>
  <c r="R762" i="18"/>
  <c r="U765" i="18"/>
  <c r="Q730" i="18"/>
  <c r="T733" i="18"/>
  <c r="M728" i="18"/>
  <c r="P728" i="18" s="1"/>
  <c r="P729" i="18"/>
  <c r="S496" i="18"/>
  <c r="T496" i="18" s="1"/>
  <c r="T498" i="18"/>
  <c r="S495" i="18"/>
  <c r="S493" i="18" s="1"/>
  <c r="S176" i="18"/>
  <c r="S175" i="18"/>
  <c r="S173" i="18" s="1"/>
  <c r="I758" i="18"/>
  <c r="K758" i="18" s="1"/>
  <c r="R599" i="18"/>
  <c r="U599" i="18" s="1"/>
  <c r="U600" i="18"/>
  <c r="M493" i="18"/>
  <c r="P493" i="18" s="1"/>
  <c r="P494" i="18"/>
  <c r="U733" i="15"/>
  <c r="U189" i="16"/>
  <c r="U645" i="18"/>
  <c r="R576" i="18"/>
  <c r="U576" i="18" s="1"/>
  <c r="U577" i="18"/>
  <c r="L335" i="16"/>
  <c r="L333" i="16" s="1"/>
  <c r="M305" i="16"/>
  <c r="M303" i="16" s="1"/>
  <c r="P303" i="16" s="1"/>
  <c r="L272" i="16"/>
  <c r="O272" i="16" s="1"/>
  <c r="U765" i="17"/>
  <c r="S693" i="17"/>
  <c r="U693" i="17" s="1"/>
  <c r="T647" i="17"/>
  <c r="U418" i="17"/>
  <c r="S378" i="17"/>
  <c r="L362" i="17"/>
  <c r="O362" i="17" s="1"/>
  <c r="R141" i="17"/>
  <c r="U141" i="17" s="1"/>
  <c r="R142" i="17"/>
  <c r="U142" i="17" s="1"/>
  <c r="U144" i="17"/>
  <c r="T731" i="18"/>
  <c r="L728" i="18"/>
  <c r="O728" i="18" s="1"/>
  <c r="O729" i="18"/>
  <c r="U695" i="18"/>
  <c r="S692" i="18"/>
  <c r="S690" i="18" s="1"/>
  <c r="U690" i="18" s="1"/>
  <c r="U647" i="18"/>
  <c r="S644" i="18"/>
  <c r="S642" i="18" s="1"/>
  <c r="M599" i="18"/>
  <c r="P599" i="18" s="1"/>
  <c r="P600" i="18"/>
  <c r="P518" i="18"/>
  <c r="M516" i="18"/>
  <c r="P516" i="18" s="1"/>
  <c r="R495" i="18"/>
  <c r="U498" i="18"/>
  <c r="R392" i="18"/>
  <c r="U392" i="18" s="1"/>
  <c r="U393" i="18"/>
  <c r="S378" i="18"/>
  <c r="T378" i="18" s="1"/>
  <c r="S377" i="18"/>
  <c r="S375" i="18" s="1"/>
  <c r="K195" i="18"/>
  <c r="O52" i="18"/>
  <c r="L26" i="18"/>
  <c r="O26" i="18" s="1"/>
  <c r="L50" i="18"/>
  <c r="O50" i="18" s="1"/>
  <c r="Q415" i="17"/>
  <c r="T415" i="17" s="1"/>
  <c r="L78" i="17"/>
  <c r="O78" i="17" s="1"/>
  <c r="O80" i="17"/>
  <c r="O361" i="18"/>
  <c r="L359" i="18"/>
  <c r="L254" i="16"/>
  <c r="O254" i="16" s="1"/>
  <c r="U380" i="17"/>
  <c r="K346" i="17"/>
  <c r="O321" i="18"/>
  <c r="T695" i="16"/>
  <c r="Q644" i="16"/>
  <c r="T644" i="16" s="1"/>
  <c r="S415" i="16"/>
  <c r="S413" i="16" s="1"/>
  <c r="L358" i="16"/>
  <c r="L356" i="16" s="1"/>
  <c r="J343" i="16"/>
  <c r="P311" i="16"/>
  <c r="U695" i="17"/>
  <c r="Q693" i="17"/>
  <c r="R692" i="17"/>
  <c r="U692" i="17" s="1"/>
  <c r="S690" i="17"/>
  <c r="M515" i="17"/>
  <c r="P515" i="17" s="1"/>
  <c r="K503" i="17"/>
  <c r="K314" i="17"/>
  <c r="S303" i="17"/>
  <c r="R176" i="17"/>
  <c r="U176" i="17" s="1"/>
  <c r="R175" i="17"/>
  <c r="U175" i="17" s="1"/>
  <c r="U178" i="17"/>
  <c r="M145" i="17"/>
  <c r="P145" i="17" s="1"/>
  <c r="P147" i="17"/>
  <c r="M760" i="18"/>
  <c r="P760" i="18" s="1"/>
  <c r="P761" i="18"/>
  <c r="M714" i="18"/>
  <c r="P714" i="18" s="1"/>
  <c r="P715" i="18"/>
  <c r="L599" i="18"/>
  <c r="O599" i="18" s="1"/>
  <c r="O600" i="18"/>
  <c r="M576" i="18"/>
  <c r="P576" i="18" s="1"/>
  <c r="P577" i="18"/>
  <c r="M534" i="18"/>
  <c r="P534" i="18" s="1"/>
  <c r="P535" i="18"/>
  <c r="M515" i="18"/>
  <c r="O514" i="18"/>
  <c r="L413" i="18"/>
  <c r="O413" i="18" s="1"/>
  <c r="R377" i="18"/>
  <c r="R375" i="18" s="1"/>
  <c r="U380" i="18"/>
  <c r="R378" i="18"/>
  <c r="L358" i="18"/>
  <c r="N335" i="18"/>
  <c r="S266" i="18"/>
  <c r="T187" i="18"/>
  <c r="R24" i="18"/>
  <c r="U24" i="18" s="1"/>
  <c r="U25" i="18"/>
  <c r="S375" i="17"/>
  <c r="R513" i="18"/>
  <c r="U513" i="18" s="1"/>
  <c r="U514" i="18"/>
  <c r="U376" i="18"/>
  <c r="P321" i="18"/>
  <c r="M142" i="16"/>
  <c r="P142" i="16" s="1"/>
  <c r="R714" i="18"/>
  <c r="U714" i="18" s="1"/>
  <c r="U715" i="18"/>
  <c r="J674" i="18"/>
  <c r="K674" i="18" s="1"/>
  <c r="Q692" i="16"/>
  <c r="Q690" i="16" s="1"/>
  <c r="P49" i="16"/>
  <c r="K780" i="17"/>
  <c r="T695" i="17"/>
  <c r="K676" i="17"/>
  <c r="R644" i="17"/>
  <c r="R642" i="17" s="1"/>
  <c r="T498" i="17"/>
  <c r="P308" i="17"/>
  <c r="K292" i="17"/>
  <c r="U729" i="18"/>
  <c r="L714" i="18"/>
  <c r="O714" i="18" s="1"/>
  <c r="O715" i="18"/>
  <c r="T645" i="18"/>
  <c r="L576" i="18"/>
  <c r="O576" i="18" s="1"/>
  <c r="O577" i="18"/>
  <c r="T557" i="18"/>
  <c r="Q555" i="18"/>
  <c r="T555" i="18" s="1"/>
  <c r="L534" i="18"/>
  <c r="O534" i="18" s="1"/>
  <c r="O535" i="18"/>
  <c r="R496" i="18"/>
  <c r="P341" i="18"/>
  <c r="M339" i="18"/>
  <c r="P339" i="18" s="1"/>
  <c r="L234" i="18"/>
  <c r="N192" i="18"/>
  <c r="N188" i="18"/>
  <c r="N186" i="18" s="1"/>
  <c r="M192" i="18"/>
  <c r="P192" i="18" s="1"/>
  <c r="I156" i="18"/>
  <c r="K156" i="18" s="1"/>
  <c r="K167" i="18"/>
  <c r="I168" i="18"/>
  <c r="K168" i="18" s="1"/>
  <c r="I169" i="18"/>
  <c r="K169" i="18" s="1"/>
  <c r="P162" i="17"/>
  <c r="P80" i="17"/>
  <c r="S730" i="18"/>
  <c r="S728" i="18" s="1"/>
  <c r="K631" i="18"/>
  <c r="J503" i="18"/>
  <c r="K386" i="18"/>
  <c r="Q377" i="18"/>
  <c r="T380" i="18"/>
  <c r="N375" i="18"/>
  <c r="L375" i="18"/>
  <c r="O375" i="18" s="1"/>
  <c r="K371" i="18"/>
  <c r="S356" i="18"/>
  <c r="O357" i="18"/>
  <c r="I332" i="18"/>
  <c r="K344" i="18"/>
  <c r="O341" i="18"/>
  <c r="L339" i="18"/>
  <c r="O339" i="18" s="1"/>
  <c r="M335" i="18"/>
  <c r="M333" i="18" s="1"/>
  <c r="O328" i="18"/>
  <c r="L326" i="18"/>
  <c r="O326" i="18" s="1"/>
  <c r="U305" i="18"/>
  <c r="M284" i="18"/>
  <c r="K260" i="18"/>
  <c r="K198" i="18"/>
  <c r="K183" i="18"/>
  <c r="I172" i="18"/>
  <c r="K172" i="18" s="1"/>
  <c r="M160" i="18"/>
  <c r="P160" i="18" s="1"/>
  <c r="P162" i="18"/>
  <c r="M159" i="18"/>
  <c r="N145" i="18"/>
  <c r="N26" i="18"/>
  <c r="N24" i="18" s="1"/>
  <c r="P144" i="18"/>
  <c r="N142" i="18"/>
  <c r="O142" i="18" s="1"/>
  <c r="N23" i="18"/>
  <c r="N141" i="18"/>
  <c r="Q117" i="18"/>
  <c r="T117" i="18" s="1"/>
  <c r="R72" i="18"/>
  <c r="O22" i="18"/>
  <c r="L19" i="18"/>
  <c r="N268" i="17"/>
  <c r="N160" i="17"/>
  <c r="P160" i="17" s="1"/>
  <c r="I759" i="18"/>
  <c r="K759" i="18" s="1"/>
  <c r="M375" i="18"/>
  <c r="P375" i="18" s="1"/>
  <c r="P376" i="18"/>
  <c r="R356" i="18"/>
  <c r="U356" i="18" s="1"/>
  <c r="U357" i="18"/>
  <c r="P334" i="18"/>
  <c r="R320" i="18"/>
  <c r="U320" i="18" s="1"/>
  <c r="U321" i="18"/>
  <c r="T308" i="18"/>
  <c r="Q306" i="18"/>
  <c r="K292" i="18"/>
  <c r="P290" i="18"/>
  <c r="M288" i="18"/>
  <c r="P288" i="18" s="1"/>
  <c r="T268" i="18"/>
  <c r="Q189" i="18"/>
  <c r="T189" i="18" s="1"/>
  <c r="Q188" i="18"/>
  <c r="Q186" i="18" s="1"/>
  <c r="T191" i="18"/>
  <c r="L175" i="17"/>
  <c r="L173" i="17" s="1"/>
  <c r="M141" i="17"/>
  <c r="M139" i="17" s="1"/>
  <c r="N74" i="17"/>
  <c r="N72" i="17" s="1"/>
  <c r="Q356" i="18"/>
  <c r="T356" i="18" s="1"/>
  <c r="T357" i="18"/>
  <c r="M176" i="18"/>
  <c r="P176" i="18" s="1"/>
  <c r="P178" i="18"/>
  <c r="M175" i="18"/>
  <c r="U140" i="18"/>
  <c r="Q142" i="17"/>
  <c r="T142" i="17" s="1"/>
  <c r="T765" i="18"/>
  <c r="P361" i="18"/>
  <c r="M359" i="18"/>
  <c r="P325" i="18"/>
  <c r="N323" i="18"/>
  <c r="P323" i="18" s="1"/>
  <c r="Q305" i="18"/>
  <c r="T305" i="18" s="1"/>
  <c r="Q282" i="18"/>
  <c r="T282" i="18" s="1"/>
  <c r="P267" i="18"/>
  <c r="K209" i="18"/>
  <c r="I202" i="18"/>
  <c r="K202" i="18" s="1"/>
  <c r="P73" i="18"/>
  <c r="L46" i="18"/>
  <c r="S19" i="18"/>
  <c r="I319" i="18"/>
  <c r="K319" i="18" s="1"/>
  <c r="U308" i="18"/>
  <c r="O308" i="18"/>
  <c r="O287" i="18"/>
  <c r="K276" i="18"/>
  <c r="T271" i="18"/>
  <c r="K230" i="18"/>
  <c r="P191" i="18"/>
  <c r="M188" i="18"/>
  <c r="M186" i="18" s="1"/>
  <c r="Q173" i="18"/>
  <c r="T173" i="18" s="1"/>
  <c r="Q157" i="18"/>
  <c r="T157" i="18" s="1"/>
  <c r="K154" i="18"/>
  <c r="I136" i="18"/>
  <c r="K136" i="18" s="1"/>
  <c r="I82" i="18"/>
  <c r="O47" i="18"/>
  <c r="U22" i="18"/>
  <c r="R19" i="18"/>
  <c r="U191" i="18"/>
  <c r="P181" i="18"/>
  <c r="T178" i="18"/>
  <c r="Q176" i="18"/>
  <c r="T176" i="18" s="1"/>
  <c r="P165" i="18"/>
  <c r="T162" i="18"/>
  <c r="Q160" i="18"/>
  <c r="T160" i="18" s="1"/>
  <c r="P140" i="18"/>
  <c r="P60" i="18"/>
  <c r="K229" i="18"/>
  <c r="O140" i="18"/>
  <c r="U119" i="18"/>
  <c r="T99" i="18"/>
  <c r="Q97" i="18"/>
  <c r="T97" i="18" s="1"/>
  <c r="P67" i="18"/>
  <c r="M65" i="18"/>
  <c r="P65" i="18" s="1"/>
  <c r="P45" i="18"/>
  <c r="P25" i="18"/>
  <c r="S188" i="18"/>
  <c r="S186" i="18" s="1"/>
  <c r="R186" i="18"/>
  <c r="T122" i="18"/>
  <c r="Q120" i="18"/>
  <c r="Q94" i="18"/>
  <c r="T94" i="18" s="1"/>
  <c r="O67" i="18"/>
  <c r="L65" i="18"/>
  <c r="O65" i="18" s="1"/>
  <c r="L61" i="18"/>
  <c r="P52" i="18"/>
  <c r="M26" i="18"/>
  <c r="P26" i="18" s="1"/>
  <c r="M50" i="18"/>
  <c r="P50" i="18" s="1"/>
  <c r="O25" i="18"/>
  <c r="P22" i="18"/>
  <c r="P187" i="18"/>
  <c r="U178" i="18"/>
  <c r="O178" i="18"/>
  <c r="U162" i="18"/>
  <c r="O162" i="18"/>
  <c r="U122" i="18"/>
  <c r="O122" i="18"/>
  <c r="U99" i="18"/>
  <c r="O99" i="18"/>
  <c r="K84" i="18"/>
  <c r="T77" i="18"/>
  <c r="N74" i="18"/>
  <c r="N72" i="18" s="1"/>
  <c r="N61" i="18"/>
  <c r="N59" i="18" s="1"/>
  <c r="N46" i="18"/>
  <c r="N44" i="18" s="1"/>
  <c r="S23" i="18"/>
  <c r="S20" i="18" s="1"/>
  <c r="M23" i="18"/>
  <c r="N175" i="18"/>
  <c r="N173" i="18" s="1"/>
  <c r="N159" i="18"/>
  <c r="N157" i="18" s="1"/>
  <c r="K152" i="18"/>
  <c r="R141" i="18"/>
  <c r="U141" i="18" s="1"/>
  <c r="L141" i="18"/>
  <c r="L139" i="18" s="1"/>
  <c r="K127" i="18"/>
  <c r="N119" i="18"/>
  <c r="N117" i="18" s="1"/>
  <c r="N96" i="18"/>
  <c r="N94" i="18" s="1"/>
  <c r="S74" i="18"/>
  <c r="U74" i="18" s="1"/>
  <c r="M74" i="18"/>
  <c r="M61" i="18"/>
  <c r="M59" i="18" s="1"/>
  <c r="M46" i="18"/>
  <c r="R23" i="18"/>
  <c r="L23" i="18"/>
  <c r="L21" i="18" s="1"/>
  <c r="Q23" i="18"/>
  <c r="L176" i="17"/>
  <c r="O176" i="17" s="1"/>
  <c r="J675" i="14"/>
  <c r="K661" i="15"/>
  <c r="P162" i="15"/>
  <c r="P97" i="15"/>
  <c r="K784" i="16"/>
  <c r="K705" i="16"/>
  <c r="L515" i="16"/>
  <c r="O515" i="16" s="1"/>
  <c r="L362" i="16"/>
  <c r="O362" i="16" s="1"/>
  <c r="R760" i="17"/>
  <c r="R731" i="17"/>
  <c r="U731" i="17" s="1"/>
  <c r="T692" i="17"/>
  <c r="K654" i="17"/>
  <c r="Q642" i="17"/>
  <c r="T619" i="17"/>
  <c r="S618" i="17"/>
  <c r="S616" i="17" s="1"/>
  <c r="L616" i="17"/>
  <c r="O616" i="17" s="1"/>
  <c r="Q576" i="17"/>
  <c r="T576" i="17" s="1"/>
  <c r="T578" i="17"/>
  <c r="S576" i="17"/>
  <c r="R496" i="17"/>
  <c r="U496" i="17" s="1"/>
  <c r="U498" i="17"/>
  <c r="R495" i="17"/>
  <c r="U495" i="17" s="1"/>
  <c r="S416" i="17"/>
  <c r="S415" i="17"/>
  <c r="S413" i="17" s="1"/>
  <c r="L392" i="17"/>
  <c r="O392" i="17" s="1"/>
  <c r="O393" i="17"/>
  <c r="M336" i="17"/>
  <c r="P336" i="17" s="1"/>
  <c r="P338" i="17"/>
  <c r="L284" i="17"/>
  <c r="L285" i="17"/>
  <c r="S175" i="17"/>
  <c r="S173" i="17" s="1"/>
  <c r="S176" i="17"/>
  <c r="L145" i="17"/>
  <c r="O145" i="17" s="1"/>
  <c r="O147" i="17"/>
  <c r="M123" i="17"/>
  <c r="P123" i="17" s="1"/>
  <c r="P125" i="17"/>
  <c r="M100" i="17"/>
  <c r="P100" i="17" s="1"/>
  <c r="P102" i="17"/>
  <c r="S605" i="1"/>
  <c r="Q730" i="17"/>
  <c r="Q728" i="17" s="1"/>
  <c r="T645" i="15"/>
  <c r="K676" i="16"/>
  <c r="K654" i="16"/>
  <c r="R644" i="16"/>
  <c r="U644" i="16" s="1"/>
  <c r="K369" i="16"/>
  <c r="I83" i="16"/>
  <c r="K83" i="16" s="1"/>
  <c r="K782" i="17"/>
  <c r="P761" i="17"/>
  <c r="Q690" i="17"/>
  <c r="P643" i="17"/>
  <c r="R618" i="17"/>
  <c r="O521" i="17"/>
  <c r="L519" i="17"/>
  <c r="O519" i="17" s="1"/>
  <c r="N493" i="17"/>
  <c r="T380" i="17"/>
  <c r="Q377" i="17"/>
  <c r="T377" i="17" s="1"/>
  <c r="Q378" i="17"/>
  <c r="O359" i="17"/>
  <c r="L335" i="17"/>
  <c r="L333" i="17" s="1"/>
  <c r="O338" i="17"/>
  <c r="N322" i="17"/>
  <c r="N320" i="17" s="1"/>
  <c r="R305" i="17"/>
  <c r="U305" i="17" s="1"/>
  <c r="R306" i="17"/>
  <c r="U308" i="17"/>
  <c r="I265" i="17"/>
  <c r="K265" i="17" s="1"/>
  <c r="I138" i="17"/>
  <c r="K138" i="17" s="1"/>
  <c r="M74" i="17"/>
  <c r="P74" i="17" s="1"/>
  <c r="M75" i="17"/>
  <c r="P75" i="17" s="1"/>
  <c r="P77" i="17"/>
  <c r="N516" i="1"/>
  <c r="O267" i="17"/>
  <c r="Q74" i="17"/>
  <c r="T77" i="17"/>
  <c r="K681" i="15"/>
  <c r="K783" i="16"/>
  <c r="S645" i="16"/>
  <c r="U645" i="16" s="1"/>
  <c r="I221" i="16"/>
  <c r="K221" i="16" s="1"/>
  <c r="O165" i="16"/>
  <c r="O761" i="17"/>
  <c r="K726" i="17"/>
  <c r="J701" i="17"/>
  <c r="P691" i="17"/>
  <c r="K678" i="17"/>
  <c r="O643" i="17"/>
  <c r="U621" i="17"/>
  <c r="Q618" i="17"/>
  <c r="Q616" i="17" s="1"/>
  <c r="T601" i="17"/>
  <c r="N599" i="17"/>
  <c r="R415" i="17"/>
  <c r="U415" i="17" s="1"/>
  <c r="K293" i="17"/>
  <c r="M269" i="17"/>
  <c r="P271" i="17"/>
  <c r="K195" i="17"/>
  <c r="L179" i="17"/>
  <c r="O179" i="17" s="1"/>
  <c r="O181" i="17"/>
  <c r="S159" i="17"/>
  <c r="S157" i="17" s="1"/>
  <c r="S160" i="17"/>
  <c r="S117" i="17"/>
  <c r="K108" i="17"/>
  <c r="I92" i="17"/>
  <c r="K92" i="17" s="1"/>
  <c r="L74" i="17"/>
  <c r="O74" i="17" s="1"/>
  <c r="L75" i="17"/>
  <c r="O75" i="17" s="1"/>
  <c r="O77" i="17"/>
  <c r="L62" i="17"/>
  <c r="O64" i="17"/>
  <c r="M46" i="17"/>
  <c r="M44" i="17" s="1"/>
  <c r="M47" i="17"/>
  <c r="S601" i="1"/>
  <c r="P393" i="17"/>
  <c r="M392" i="17"/>
  <c r="P392" i="17" s="1"/>
  <c r="K276" i="15"/>
  <c r="J701" i="16"/>
  <c r="U647" i="16"/>
  <c r="K365" i="16"/>
  <c r="M335" i="16"/>
  <c r="M333" i="16" s="1"/>
  <c r="M119" i="16"/>
  <c r="P119" i="16" s="1"/>
  <c r="K784" i="17"/>
  <c r="K778" i="17"/>
  <c r="S763" i="17"/>
  <c r="T763" i="17" s="1"/>
  <c r="Q762" i="17"/>
  <c r="Q760" i="17" s="1"/>
  <c r="T761" i="17"/>
  <c r="N760" i="17"/>
  <c r="O715" i="17"/>
  <c r="K709" i="17"/>
  <c r="O691" i="17"/>
  <c r="U647" i="17"/>
  <c r="S645" i="17"/>
  <c r="S644" i="17"/>
  <c r="S642" i="17" s="1"/>
  <c r="U643" i="17"/>
  <c r="T621" i="17"/>
  <c r="S555" i="17"/>
  <c r="L515" i="17"/>
  <c r="O515" i="17" s="1"/>
  <c r="O518" i="17"/>
  <c r="M413" i="17"/>
  <c r="P413" i="17" s="1"/>
  <c r="Q392" i="17"/>
  <c r="T392" i="17" s="1"/>
  <c r="K368" i="17"/>
  <c r="R356" i="17"/>
  <c r="U356" i="17" s="1"/>
  <c r="L309" i="17"/>
  <c r="O309" i="17" s="1"/>
  <c r="O311" i="17"/>
  <c r="I280" i="17"/>
  <c r="K280" i="17" s="1"/>
  <c r="M272" i="17"/>
  <c r="P272" i="17" s="1"/>
  <c r="P274" i="17"/>
  <c r="K183" i="17"/>
  <c r="I172" i="17"/>
  <c r="K172" i="17" s="1"/>
  <c r="L123" i="17"/>
  <c r="O123" i="17" s="1"/>
  <c r="N119" i="17"/>
  <c r="N117" i="17" s="1"/>
  <c r="N120" i="17"/>
  <c r="L100" i="17"/>
  <c r="O100" i="17" s="1"/>
  <c r="N96" i="17"/>
  <c r="N94" i="17" s="1"/>
  <c r="N97" i="17"/>
  <c r="R94" i="17"/>
  <c r="U94" i="17" s="1"/>
  <c r="Q75" i="17"/>
  <c r="T75" i="17" s="1"/>
  <c r="M65" i="17"/>
  <c r="P65" i="17" s="1"/>
  <c r="L47" i="17"/>
  <c r="O49" i="17"/>
  <c r="P321" i="17"/>
  <c r="T647" i="16"/>
  <c r="M306" i="16"/>
  <c r="P306" i="16" s="1"/>
  <c r="L269" i="16"/>
  <c r="O269" i="16" s="1"/>
  <c r="I168" i="16"/>
  <c r="K168" i="16" s="1"/>
  <c r="K783" i="17"/>
  <c r="J674" i="17"/>
  <c r="K674" i="17" s="1"/>
  <c r="M576" i="17"/>
  <c r="P576" i="17" s="1"/>
  <c r="P577" i="17"/>
  <c r="K457" i="17"/>
  <c r="M375" i="17"/>
  <c r="P375" i="17" s="1"/>
  <c r="P376" i="17"/>
  <c r="K371" i="17"/>
  <c r="I365" i="17"/>
  <c r="K365" i="17" s="1"/>
  <c r="Q356" i="17"/>
  <c r="T356" i="17" s="1"/>
  <c r="O336" i="17"/>
  <c r="K229" i="17"/>
  <c r="T162" i="17"/>
  <c r="Q159" i="17"/>
  <c r="T159" i="17" s="1"/>
  <c r="L141" i="17"/>
  <c r="L139" i="17" s="1"/>
  <c r="L142" i="17"/>
  <c r="U122" i="17"/>
  <c r="M119" i="17"/>
  <c r="P119" i="17" s="1"/>
  <c r="P122" i="17"/>
  <c r="S120" i="17"/>
  <c r="M96" i="17"/>
  <c r="P96" i="17" s="1"/>
  <c r="P99" i="17"/>
  <c r="S97" i="17"/>
  <c r="Q94" i="17"/>
  <c r="T94" i="17" s="1"/>
  <c r="R74" i="17"/>
  <c r="U74" i="17" s="1"/>
  <c r="U77" i="17"/>
  <c r="Q59" i="17"/>
  <c r="T59" i="17" s="1"/>
  <c r="T60" i="17"/>
  <c r="M50" i="17"/>
  <c r="P50" i="17" s="1"/>
  <c r="Q44" i="17"/>
  <c r="T44" i="17" s="1"/>
  <c r="S19" i="17"/>
  <c r="Q555" i="17"/>
  <c r="T555" i="17" s="1"/>
  <c r="L493" i="17"/>
  <c r="O493" i="17" s="1"/>
  <c r="M493" i="17"/>
  <c r="P493" i="17" s="1"/>
  <c r="R392" i="17"/>
  <c r="U392" i="17" s="1"/>
  <c r="J374" i="17"/>
  <c r="K330" i="17"/>
  <c r="L268" i="17"/>
  <c r="O268" i="17" s="1"/>
  <c r="Q269" i="17"/>
  <c r="R266" i="17"/>
  <c r="L214" i="17"/>
  <c r="O214" i="17" s="1"/>
  <c r="M192" i="17"/>
  <c r="P192" i="17" s="1"/>
  <c r="O191" i="17"/>
  <c r="L189" i="17"/>
  <c r="O189" i="17" s="1"/>
  <c r="R117" i="17"/>
  <c r="L119" i="17"/>
  <c r="O119" i="17" s="1"/>
  <c r="R120" i="17"/>
  <c r="L96" i="17"/>
  <c r="L94" i="17" s="1"/>
  <c r="O94" i="17" s="1"/>
  <c r="R97" i="17"/>
  <c r="U97" i="17" s="1"/>
  <c r="N19" i="17"/>
  <c r="N576" i="17"/>
  <c r="N375" i="17"/>
  <c r="L305" i="17"/>
  <c r="L303" i="17" s="1"/>
  <c r="L203" i="17"/>
  <c r="O203" i="17" s="1"/>
  <c r="N175" i="17"/>
  <c r="N173" i="17" s="1"/>
  <c r="N159" i="17"/>
  <c r="N157" i="17" s="1"/>
  <c r="T119" i="17"/>
  <c r="Q120" i="17"/>
  <c r="Q97" i="17"/>
  <c r="T97" i="17" s="1"/>
  <c r="S59" i="17"/>
  <c r="M19" i="17"/>
  <c r="S599" i="17"/>
  <c r="S513" i="17"/>
  <c r="Q496" i="17"/>
  <c r="T496" i="17" s="1"/>
  <c r="S493" i="17"/>
  <c r="N323" i="17"/>
  <c r="K302" i="17"/>
  <c r="M306" i="17"/>
  <c r="L269" i="17"/>
  <c r="O269" i="17" s="1"/>
  <c r="Q266" i="17"/>
  <c r="L236" i="17"/>
  <c r="L222" i="17"/>
  <c r="O222" i="17" s="1"/>
  <c r="U191" i="17"/>
  <c r="L188" i="17"/>
  <c r="L186" i="17" s="1"/>
  <c r="P176" i="17"/>
  <c r="M163" i="17"/>
  <c r="P163" i="17" s="1"/>
  <c r="M159" i="17"/>
  <c r="M61" i="17"/>
  <c r="M59" i="17" s="1"/>
  <c r="L19" i="17"/>
  <c r="R728" i="17"/>
  <c r="K615" i="17"/>
  <c r="T731" i="17"/>
  <c r="T414" i="17"/>
  <c r="T22" i="17"/>
  <c r="Q19" i="17"/>
  <c r="K679" i="15"/>
  <c r="R416" i="15"/>
  <c r="U416" i="15" s="1"/>
  <c r="Q176" i="15"/>
  <c r="T176" i="15" s="1"/>
  <c r="T733" i="16"/>
  <c r="S618" i="16"/>
  <c r="S616" i="16" s="1"/>
  <c r="T498" i="16"/>
  <c r="J351" i="16"/>
  <c r="K346" i="16"/>
  <c r="U308" i="16"/>
  <c r="O290" i="16"/>
  <c r="I242" i="16"/>
  <c r="K242" i="16" s="1"/>
  <c r="O191" i="16"/>
  <c r="I169" i="16"/>
  <c r="K169" i="16" s="1"/>
  <c r="T162" i="16"/>
  <c r="T691" i="17"/>
  <c r="T643" i="17"/>
  <c r="R555" i="17"/>
  <c r="U555" i="17" s="1"/>
  <c r="L555" i="17"/>
  <c r="O555" i="17" s="1"/>
  <c r="M555" i="17"/>
  <c r="P555" i="17" s="1"/>
  <c r="M519" i="17"/>
  <c r="P519" i="17" s="1"/>
  <c r="T514" i="17"/>
  <c r="J503" i="17"/>
  <c r="J492" i="17" s="1"/>
  <c r="K504" i="17"/>
  <c r="Q493" i="17"/>
  <c r="T493" i="17" s="1"/>
  <c r="N392" i="17"/>
  <c r="O361" i="17"/>
  <c r="L326" i="17"/>
  <c r="O326" i="17" s="1"/>
  <c r="Q282" i="17"/>
  <c r="T282" i="17" s="1"/>
  <c r="T284" i="17"/>
  <c r="P267" i="17"/>
  <c r="L234" i="17"/>
  <c r="L243" i="17"/>
  <c r="Q72" i="16"/>
  <c r="Q534" i="17"/>
  <c r="T534" i="17" s="1"/>
  <c r="K709" i="16"/>
  <c r="K368" i="16"/>
  <c r="M616" i="17"/>
  <c r="P616" i="17" s="1"/>
  <c r="M599" i="17"/>
  <c r="P599" i="17" s="1"/>
  <c r="S356" i="17"/>
  <c r="K783" i="15"/>
  <c r="L234" i="15"/>
  <c r="M179" i="15"/>
  <c r="P179" i="15" s="1"/>
  <c r="R618" i="16"/>
  <c r="R616" i="16" s="1"/>
  <c r="L234" i="16"/>
  <c r="M175" i="16"/>
  <c r="M173" i="16" s="1"/>
  <c r="S176" i="16"/>
  <c r="P147" i="16"/>
  <c r="O144" i="16"/>
  <c r="L74" i="16"/>
  <c r="L72" i="16" s="1"/>
  <c r="S730" i="17"/>
  <c r="U730" i="17" s="1"/>
  <c r="K705" i="17"/>
  <c r="K631" i="17"/>
  <c r="R534" i="17"/>
  <c r="U534" i="17" s="1"/>
  <c r="L534" i="17"/>
  <c r="O534" i="17" s="1"/>
  <c r="P494" i="17"/>
  <c r="O415" i="17"/>
  <c r="L413" i="17"/>
  <c r="O413" i="17" s="1"/>
  <c r="R378" i="17"/>
  <c r="R377" i="17"/>
  <c r="U377" i="17" s="1"/>
  <c r="P364" i="17"/>
  <c r="P341" i="17"/>
  <c r="M339" i="17"/>
  <c r="P339" i="17" s="1"/>
  <c r="M335" i="17"/>
  <c r="P334" i="17"/>
  <c r="U283" i="17"/>
  <c r="R282" i="17"/>
  <c r="U282" i="17" s="1"/>
  <c r="L306" i="16"/>
  <c r="O306" i="16" s="1"/>
  <c r="I213" i="17"/>
  <c r="K213" i="17" s="1"/>
  <c r="K220" i="17"/>
  <c r="K785" i="16"/>
  <c r="K780" i="16"/>
  <c r="Q495" i="16"/>
  <c r="T495" i="16" s="1"/>
  <c r="N358" i="16"/>
  <c r="N356" i="16" s="1"/>
  <c r="P274" i="16"/>
  <c r="S266" i="16"/>
  <c r="L203" i="16"/>
  <c r="O203" i="16" s="1"/>
  <c r="L188" i="16"/>
  <c r="L186" i="16" s="1"/>
  <c r="O147" i="16"/>
  <c r="M100" i="16"/>
  <c r="P100" i="16" s="1"/>
  <c r="L96" i="16"/>
  <c r="O96" i="16" s="1"/>
  <c r="S762" i="17"/>
  <c r="S760" i="17" s="1"/>
  <c r="I759" i="17"/>
  <c r="K759" i="17" s="1"/>
  <c r="U733" i="17"/>
  <c r="P729" i="17"/>
  <c r="P715" i="17"/>
  <c r="K707" i="17"/>
  <c r="K630" i="17"/>
  <c r="K626" i="17"/>
  <c r="O617" i="17"/>
  <c r="U600" i="17"/>
  <c r="O600" i="17"/>
  <c r="T557" i="17"/>
  <c r="I423" i="17"/>
  <c r="I374" i="17"/>
  <c r="M358" i="17"/>
  <c r="M356" i="17" s="1"/>
  <c r="P361" i="17"/>
  <c r="M359" i="17"/>
  <c r="P359" i="17" s="1"/>
  <c r="L358" i="17"/>
  <c r="P357" i="17"/>
  <c r="K344" i="17"/>
  <c r="J332" i="17"/>
  <c r="K332" i="17" s="1"/>
  <c r="J343" i="17"/>
  <c r="Q320" i="17"/>
  <c r="T320" i="17" s="1"/>
  <c r="O283" i="17"/>
  <c r="Q188" i="17"/>
  <c r="T191" i="17"/>
  <c r="Q189" i="17"/>
  <c r="I213" i="16"/>
  <c r="K213" i="16" s="1"/>
  <c r="K632" i="17"/>
  <c r="L323" i="17"/>
  <c r="O323" i="17" s="1"/>
  <c r="L322" i="17"/>
  <c r="O322" i="17" s="1"/>
  <c r="O325" i="17"/>
  <c r="T178" i="17"/>
  <c r="Q175" i="17"/>
  <c r="Q176" i="17"/>
  <c r="T176" i="17" s="1"/>
  <c r="K673" i="15"/>
  <c r="J351" i="15"/>
  <c r="K371" i="16"/>
  <c r="S306" i="16"/>
  <c r="M141" i="16"/>
  <c r="P141" i="16" s="1"/>
  <c r="M120" i="16"/>
  <c r="P120" i="16" s="1"/>
  <c r="T733" i="17"/>
  <c r="K629" i="17"/>
  <c r="U617" i="17"/>
  <c r="R576" i="17"/>
  <c r="U576" i="17" s="1"/>
  <c r="L576" i="17"/>
  <c r="O576" i="17" s="1"/>
  <c r="N515" i="17"/>
  <c r="N513" i="17" s="1"/>
  <c r="S496" i="17"/>
  <c r="T376" i="17"/>
  <c r="Q306" i="17"/>
  <c r="T306" i="17" s="1"/>
  <c r="Q305" i="17"/>
  <c r="T308" i="17"/>
  <c r="K369" i="17"/>
  <c r="S333" i="17"/>
  <c r="O287" i="17"/>
  <c r="N285" i="17"/>
  <c r="P285" i="17" s="1"/>
  <c r="I238" i="17"/>
  <c r="K238" i="17" s="1"/>
  <c r="I253" i="17"/>
  <c r="K253" i="17" s="1"/>
  <c r="K230" i="17"/>
  <c r="P189" i="17"/>
  <c r="K154" i="17"/>
  <c r="I136" i="17"/>
  <c r="K136" i="17" s="1"/>
  <c r="N145" i="17"/>
  <c r="N141" i="17"/>
  <c r="N139" i="17" s="1"/>
  <c r="P73" i="17"/>
  <c r="R333" i="17"/>
  <c r="U333" i="17" s="1"/>
  <c r="O308" i="17"/>
  <c r="N306" i="17"/>
  <c r="M284" i="17"/>
  <c r="U187" i="17"/>
  <c r="R186" i="17"/>
  <c r="P158" i="17"/>
  <c r="O19" i="17"/>
  <c r="O321" i="17"/>
  <c r="T271" i="17"/>
  <c r="S269" i="17"/>
  <c r="S268" i="17"/>
  <c r="U268" i="17" s="1"/>
  <c r="P181" i="17"/>
  <c r="M179" i="17"/>
  <c r="P179" i="17" s="1"/>
  <c r="O165" i="17"/>
  <c r="L163" i="17"/>
  <c r="O163" i="17" s="1"/>
  <c r="L159" i="17"/>
  <c r="N78" i="17"/>
  <c r="N26" i="17"/>
  <c r="N24" i="17" s="1"/>
  <c r="U494" i="17"/>
  <c r="T418" i="17"/>
  <c r="L375" i="17"/>
  <c r="O375" i="17" s="1"/>
  <c r="N358" i="17"/>
  <c r="N356" i="17" s="1"/>
  <c r="N335" i="17"/>
  <c r="P325" i="17"/>
  <c r="M323" i="17"/>
  <c r="P323" i="17" s="1"/>
  <c r="R320" i="17"/>
  <c r="U320" i="17" s="1"/>
  <c r="U321" i="17"/>
  <c r="K281" i="17"/>
  <c r="L235" i="17"/>
  <c r="R157" i="17"/>
  <c r="U157" i="17" s="1"/>
  <c r="U159" i="17"/>
  <c r="P118" i="17"/>
  <c r="L288" i="17"/>
  <c r="O288" i="17" s="1"/>
  <c r="N269" i="17"/>
  <c r="I202" i="17"/>
  <c r="K202" i="17" s="1"/>
  <c r="L192" i="17"/>
  <c r="O192" i="17" s="1"/>
  <c r="P191" i="17"/>
  <c r="R189" i="17"/>
  <c r="N188" i="17"/>
  <c r="P178" i="17"/>
  <c r="M175" i="17"/>
  <c r="M173" i="17" s="1"/>
  <c r="O162" i="17"/>
  <c r="O144" i="17"/>
  <c r="N142" i="17"/>
  <c r="U140" i="17"/>
  <c r="O73" i="17"/>
  <c r="P64" i="17"/>
  <c r="N62" i="17"/>
  <c r="P62" i="17" s="1"/>
  <c r="P49" i="17"/>
  <c r="N47" i="17"/>
  <c r="S23" i="17"/>
  <c r="S20" i="17" s="1"/>
  <c r="S18" i="17" s="1"/>
  <c r="M188" i="17"/>
  <c r="M186" i="17" s="1"/>
  <c r="O178" i="17"/>
  <c r="P174" i="17"/>
  <c r="U162" i="17"/>
  <c r="P144" i="17"/>
  <c r="M142" i="17"/>
  <c r="Q139" i="17"/>
  <c r="T139" i="17" s="1"/>
  <c r="T140" i="17"/>
  <c r="U119" i="17"/>
  <c r="I83" i="17"/>
  <c r="K85" i="17"/>
  <c r="S72" i="17"/>
  <c r="N61" i="17"/>
  <c r="N59" i="17" s="1"/>
  <c r="P60" i="17"/>
  <c r="N46" i="17"/>
  <c r="P45" i="17"/>
  <c r="M26" i="17"/>
  <c r="P26" i="17" s="1"/>
  <c r="O25" i="17"/>
  <c r="N23" i="17"/>
  <c r="P19" i="17"/>
  <c r="K198" i="17"/>
  <c r="L160" i="17"/>
  <c r="O160" i="17" s="1"/>
  <c r="S141" i="17"/>
  <c r="S139" i="17" s="1"/>
  <c r="Q117" i="17"/>
  <c r="K109" i="17"/>
  <c r="U73" i="17"/>
  <c r="L61" i="17"/>
  <c r="L59" i="17" s="1"/>
  <c r="O60" i="17"/>
  <c r="L46" i="17"/>
  <c r="L44" i="17" s="1"/>
  <c r="O45" i="17"/>
  <c r="S24" i="17"/>
  <c r="M23" i="17"/>
  <c r="O22" i="17"/>
  <c r="P95" i="17"/>
  <c r="I82" i="17"/>
  <c r="O67" i="17"/>
  <c r="L65" i="17"/>
  <c r="O65" i="17" s="1"/>
  <c r="O52" i="17"/>
  <c r="L26" i="17"/>
  <c r="O26" i="17" s="1"/>
  <c r="L50" i="17"/>
  <c r="O50" i="17" s="1"/>
  <c r="R24" i="17"/>
  <c r="U24" i="17" s="1"/>
  <c r="U25" i="17"/>
  <c r="R160" i="17"/>
  <c r="U160" i="17" s="1"/>
  <c r="O140" i="17"/>
  <c r="S94" i="17"/>
  <c r="R59" i="17"/>
  <c r="U59" i="17" s="1"/>
  <c r="U60" i="17"/>
  <c r="R44" i="17"/>
  <c r="U44" i="17" s="1"/>
  <c r="U45" i="17"/>
  <c r="Q24" i="17"/>
  <c r="T24" i="17" s="1"/>
  <c r="T25" i="17"/>
  <c r="U22" i="17"/>
  <c r="R19" i="17"/>
  <c r="K152" i="17"/>
  <c r="P140" i="17"/>
  <c r="K127" i="17"/>
  <c r="T122" i="17"/>
  <c r="T99" i="17"/>
  <c r="P25" i="17"/>
  <c r="R23" i="17"/>
  <c r="R21" i="17" s="1"/>
  <c r="L23" i="17"/>
  <c r="P22" i="17"/>
  <c r="Q23" i="17"/>
  <c r="M179" i="16"/>
  <c r="P179" i="16" s="1"/>
  <c r="U268" i="15"/>
  <c r="R762" i="16"/>
  <c r="U762" i="16" s="1"/>
  <c r="L233" i="16"/>
  <c r="P62" i="16"/>
  <c r="O147" i="13"/>
  <c r="K785" i="15"/>
  <c r="K782" i="15"/>
  <c r="K779" i="15"/>
  <c r="K654" i="15"/>
  <c r="K198" i="15"/>
  <c r="R142" i="15"/>
  <c r="U142" i="15" s="1"/>
  <c r="K779" i="16"/>
  <c r="K774" i="16"/>
  <c r="Q762" i="16"/>
  <c r="T762" i="16" s="1"/>
  <c r="K689" i="16"/>
  <c r="J702" i="16"/>
  <c r="S692" i="16"/>
  <c r="S690" i="16" s="1"/>
  <c r="J674" i="16"/>
  <c r="K674" i="16" s="1"/>
  <c r="P325" i="16"/>
  <c r="L323" i="16"/>
  <c r="O323" i="16" s="1"/>
  <c r="P308" i="16"/>
  <c r="P287" i="16"/>
  <c r="K276" i="16"/>
  <c r="U271" i="16"/>
  <c r="I238" i="16"/>
  <c r="K238" i="16" s="1"/>
  <c r="Q189" i="16"/>
  <c r="T189" i="16" s="1"/>
  <c r="N175" i="16"/>
  <c r="N173" i="16" s="1"/>
  <c r="K167" i="16"/>
  <c r="K154" i="16"/>
  <c r="U144" i="16"/>
  <c r="N141" i="16"/>
  <c r="N139" i="16" s="1"/>
  <c r="L142" i="16"/>
  <c r="O142" i="16" s="1"/>
  <c r="L61" i="16"/>
  <c r="L59" i="16" s="1"/>
  <c r="R731" i="13"/>
  <c r="S97" i="14"/>
  <c r="I92" i="14"/>
  <c r="K92" i="14" s="1"/>
  <c r="T731" i="15"/>
  <c r="S730" i="15"/>
  <c r="S728" i="15" s="1"/>
  <c r="J702" i="15"/>
  <c r="R495" i="15"/>
  <c r="U495" i="15" s="1"/>
  <c r="I172" i="15"/>
  <c r="K172" i="15" s="1"/>
  <c r="Q730" i="16"/>
  <c r="Q728" i="16" s="1"/>
  <c r="S693" i="16"/>
  <c r="T693" i="16" s="1"/>
  <c r="R692" i="16"/>
  <c r="U621" i="16"/>
  <c r="P518" i="16"/>
  <c r="N359" i="16"/>
  <c r="P338" i="16"/>
  <c r="M336" i="16"/>
  <c r="P336" i="16" s="1"/>
  <c r="N305" i="16"/>
  <c r="N303" i="16" s="1"/>
  <c r="L305" i="16"/>
  <c r="L303" i="16" s="1"/>
  <c r="O303" i="16" s="1"/>
  <c r="M268" i="16"/>
  <c r="M266" i="16" s="1"/>
  <c r="S269" i="16"/>
  <c r="Q159" i="16"/>
  <c r="T159" i="16" s="1"/>
  <c r="S142" i="16"/>
  <c r="N119" i="16"/>
  <c r="N117" i="16" s="1"/>
  <c r="P77" i="16"/>
  <c r="O52" i="16"/>
  <c r="M141" i="14"/>
  <c r="M139" i="14" s="1"/>
  <c r="L326" i="15"/>
  <c r="O326" i="15" s="1"/>
  <c r="P290" i="15"/>
  <c r="K781" i="16"/>
  <c r="K778" i="16"/>
  <c r="K772" i="16"/>
  <c r="U695" i="16"/>
  <c r="O518" i="16"/>
  <c r="M516" i="16"/>
  <c r="P516" i="16" s="1"/>
  <c r="S495" i="16"/>
  <c r="S493" i="16" s="1"/>
  <c r="J374" i="16"/>
  <c r="P364" i="16"/>
  <c r="M359" i="16"/>
  <c r="M358" i="16"/>
  <c r="M356" i="16" s="1"/>
  <c r="O338" i="16"/>
  <c r="L336" i="16"/>
  <c r="O336" i="16" s="1"/>
  <c r="L268" i="16"/>
  <c r="O268" i="16" s="1"/>
  <c r="R269" i="16"/>
  <c r="L222" i="16"/>
  <c r="O222" i="16" s="1"/>
  <c r="O178" i="16"/>
  <c r="L175" i="16"/>
  <c r="R142" i="16"/>
  <c r="U142" i="16" s="1"/>
  <c r="S120" i="16"/>
  <c r="I82" i="16"/>
  <c r="K82" i="16" s="1"/>
  <c r="P80" i="16"/>
  <c r="L78" i="16"/>
  <c r="O78" i="16" s="1"/>
  <c r="L46" i="16"/>
  <c r="L44" i="16" s="1"/>
  <c r="M516" i="13"/>
  <c r="P516" i="13" s="1"/>
  <c r="M515" i="14"/>
  <c r="P515" i="14" s="1"/>
  <c r="K709" i="15"/>
  <c r="K457" i="15"/>
  <c r="I83" i="15"/>
  <c r="K83" i="15" s="1"/>
  <c r="S728" i="16"/>
  <c r="J675" i="16"/>
  <c r="K675" i="16" s="1"/>
  <c r="U619" i="16"/>
  <c r="N515" i="16"/>
  <c r="N513" i="16" s="1"/>
  <c r="L516" i="16"/>
  <c r="O516" i="16" s="1"/>
  <c r="R495" i="16"/>
  <c r="U495" i="16" s="1"/>
  <c r="I423" i="16"/>
  <c r="K314" i="16"/>
  <c r="N306" i="16"/>
  <c r="O287" i="16"/>
  <c r="T271" i="16"/>
  <c r="M269" i="16"/>
  <c r="P269" i="16" s="1"/>
  <c r="I253" i="16"/>
  <c r="O176" i="16"/>
  <c r="Q142" i="16"/>
  <c r="T142" i="16" s="1"/>
  <c r="S139" i="16"/>
  <c r="M123" i="16"/>
  <c r="P123" i="16" s="1"/>
  <c r="L119" i="16"/>
  <c r="O119" i="16" s="1"/>
  <c r="N120" i="16"/>
  <c r="M96" i="16"/>
  <c r="P96" i="16" s="1"/>
  <c r="S97" i="16"/>
  <c r="T77" i="16"/>
  <c r="R75" i="16"/>
  <c r="U75" i="16" s="1"/>
  <c r="P64" i="16"/>
  <c r="O62" i="16"/>
  <c r="I332" i="16"/>
  <c r="K344" i="16"/>
  <c r="R266" i="16"/>
  <c r="U268" i="16"/>
  <c r="K705" i="14"/>
  <c r="K631" i="14"/>
  <c r="K369" i="14"/>
  <c r="O47" i="14"/>
  <c r="K784" i="15"/>
  <c r="K781" i="15"/>
  <c r="K705" i="15"/>
  <c r="U693" i="15"/>
  <c r="K678" i="15"/>
  <c r="P521" i="15"/>
  <c r="S378" i="15"/>
  <c r="T378" i="15" s="1"/>
  <c r="L362" i="15"/>
  <c r="O362" i="15" s="1"/>
  <c r="P328" i="15"/>
  <c r="O311" i="15"/>
  <c r="L214" i="15"/>
  <c r="O214" i="15" s="1"/>
  <c r="Q189" i="15"/>
  <c r="L179" i="15"/>
  <c r="O179" i="15" s="1"/>
  <c r="Q175" i="15"/>
  <c r="N159" i="15"/>
  <c r="N157" i="15" s="1"/>
  <c r="I156" i="15"/>
  <c r="K156" i="15" s="1"/>
  <c r="O102" i="15"/>
  <c r="M100" i="15"/>
  <c r="P100" i="15" s="1"/>
  <c r="L96" i="15"/>
  <c r="L94" i="15" s="1"/>
  <c r="L74" i="15"/>
  <c r="L72" i="15" s="1"/>
  <c r="U765" i="16"/>
  <c r="S763" i="16"/>
  <c r="U763" i="16" s="1"/>
  <c r="R730" i="16"/>
  <c r="U733" i="16"/>
  <c r="T691" i="16"/>
  <c r="P644" i="16"/>
  <c r="M642" i="16"/>
  <c r="P642" i="16" s="1"/>
  <c r="I615" i="16"/>
  <c r="K615" i="16" s="1"/>
  <c r="K626" i="16"/>
  <c r="K630" i="16"/>
  <c r="K631" i="16"/>
  <c r="K632" i="16"/>
  <c r="Q619" i="16"/>
  <c r="T619" i="16" s="1"/>
  <c r="Q618" i="16"/>
  <c r="T621" i="16"/>
  <c r="M599" i="16"/>
  <c r="P599" i="16" s="1"/>
  <c r="M555" i="16"/>
  <c r="P555" i="16" s="1"/>
  <c r="P556" i="16"/>
  <c r="R377" i="16"/>
  <c r="U377" i="16" s="1"/>
  <c r="U380" i="16"/>
  <c r="R378" i="16"/>
  <c r="U378" i="16" s="1"/>
  <c r="L235" i="16"/>
  <c r="L243" i="16"/>
  <c r="N192" i="16"/>
  <c r="N188" i="16"/>
  <c r="N186" i="16" s="1"/>
  <c r="K779" i="14"/>
  <c r="K707" i="16"/>
  <c r="K678" i="16"/>
  <c r="O321" i="16"/>
  <c r="T119" i="16"/>
  <c r="T271" i="13"/>
  <c r="K630" i="14"/>
  <c r="S644" i="15"/>
  <c r="S642" i="15" s="1"/>
  <c r="S619" i="15"/>
  <c r="U619" i="15" s="1"/>
  <c r="U498" i="15"/>
  <c r="S415" i="15"/>
  <c r="S413" i="15" s="1"/>
  <c r="O364" i="15"/>
  <c r="P336" i="15"/>
  <c r="S269" i="15"/>
  <c r="T269" i="15" s="1"/>
  <c r="L236" i="15"/>
  <c r="K220" i="15"/>
  <c r="P194" i="15"/>
  <c r="T191" i="15"/>
  <c r="R188" i="15"/>
  <c r="R186" i="15" s="1"/>
  <c r="S120" i="15"/>
  <c r="T120" i="15" s="1"/>
  <c r="S94" i="15"/>
  <c r="L61" i="15"/>
  <c r="L59" i="15" s="1"/>
  <c r="T765" i="16"/>
  <c r="I701" i="16"/>
  <c r="O617" i="16"/>
  <c r="L616" i="16"/>
  <c r="O616" i="16" s="1"/>
  <c r="L413" i="16"/>
  <c r="O413" i="16" s="1"/>
  <c r="O414" i="16"/>
  <c r="Q377" i="16"/>
  <c r="T380" i="16"/>
  <c r="Q378" i="16"/>
  <c r="N323" i="16"/>
  <c r="N322" i="16"/>
  <c r="N320" i="16" s="1"/>
  <c r="K292" i="16"/>
  <c r="P290" i="16"/>
  <c r="M288" i="16"/>
  <c r="P288" i="16" s="1"/>
  <c r="K369" i="15"/>
  <c r="T643" i="16"/>
  <c r="N555" i="16"/>
  <c r="K503" i="16"/>
  <c r="I492" i="16"/>
  <c r="K492" i="16" s="1"/>
  <c r="O162" i="13"/>
  <c r="R644" i="15"/>
  <c r="R642" i="15" s="1"/>
  <c r="I423" i="15"/>
  <c r="K423" i="15" s="1"/>
  <c r="P274" i="15"/>
  <c r="O165" i="15"/>
  <c r="Q159" i="15"/>
  <c r="T159" i="15" s="1"/>
  <c r="M145" i="15"/>
  <c r="P145" i="15" s="1"/>
  <c r="R139" i="15"/>
  <c r="U139" i="15" s="1"/>
  <c r="Q72" i="15"/>
  <c r="L65" i="15"/>
  <c r="O65" i="15" s="1"/>
  <c r="L760" i="16"/>
  <c r="O760" i="16" s="1"/>
  <c r="S731" i="16"/>
  <c r="T731" i="16" s="1"/>
  <c r="U617" i="16"/>
  <c r="P514" i="16"/>
  <c r="M326" i="16"/>
  <c r="P326" i="16" s="1"/>
  <c r="T308" i="16"/>
  <c r="Q306" i="16"/>
  <c r="Q305" i="16"/>
  <c r="O601" i="16"/>
  <c r="L599" i="16"/>
  <c r="O599" i="16" s="1"/>
  <c r="U119" i="16"/>
  <c r="K292" i="13"/>
  <c r="K109" i="14"/>
  <c r="J701" i="15"/>
  <c r="K676" i="15"/>
  <c r="U144" i="15"/>
  <c r="N141" i="15"/>
  <c r="N139" i="15" s="1"/>
  <c r="P77" i="15"/>
  <c r="M728" i="16"/>
  <c r="P728" i="16" s="1"/>
  <c r="K726" i="16"/>
  <c r="T617" i="16"/>
  <c r="Q599" i="16"/>
  <c r="T599" i="16" s="1"/>
  <c r="T600" i="16"/>
  <c r="N375" i="16"/>
  <c r="O341" i="16"/>
  <c r="L339" i="16"/>
  <c r="O339" i="16" s="1"/>
  <c r="T335" i="16"/>
  <c r="Q333" i="16"/>
  <c r="T333" i="16" s="1"/>
  <c r="L555" i="16"/>
  <c r="O555" i="16" s="1"/>
  <c r="O556" i="16"/>
  <c r="T494" i="16"/>
  <c r="R416" i="16"/>
  <c r="U416" i="16" s="1"/>
  <c r="R415" i="16"/>
  <c r="U415" i="16" s="1"/>
  <c r="U418" i="16"/>
  <c r="U414" i="16"/>
  <c r="M375" i="16"/>
  <c r="P375" i="16" s="1"/>
  <c r="P376" i="16"/>
  <c r="O328" i="16"/>
  <c r="L326" i="16"/>
  <c r="O326" i="16" s="1"/>
  <c r="L322" i="16"/>
  <c r="O322" i="16" s="1"/>
  <c r="I202" i="16"/>
  <c r="K202" i="16" s="1"/>
  <c r="K209" i="16"/>
  <c r="R176" i="16"/>
  <c r="U176" i="16" s="1"/>
  <c r="R175" i="16"/>
  <c r="U175" i="16" s="1"/>
  <c r="U178" i="16"/>
  <c r="S24" i="16"/>
  <c r="S19" i="16"/>
  <c r="K703" i="16"/>
  <c r="Q576" i="16"/>
  <c r="T576" i="16" s="1"/>
  <c r="S555" i="16"/>
  <c r="Q534" i="16"/>
  <c r="T534" i="16" s="1"/>
  <c r="Q415" i="16"/>
  <c r="T418" i="16"/>
  <c r="R392" i="16"/>
  <c r="U392" i="16" s="1"/>
  <c r="K386" i="16"/>
  <c r="I374" i="16"/>
  <c r="P334" i="16"/>
  <c r="K330" i="16"/>
  <c r="I319" i="16"/>
  <c r="K319" i="16" s="1"/>
  <c r="U284" i="16"/>
  <c r="R282" i="16"/>
  <c r="U282" i="16" s="1"/>
  <c r="Q175" i="16"/>
  <c r="T175" i="16" s="1"/>
  <c r="T178" i="16"/>
  <c r="Q176" i="16"/>
  <c r="T176" i="16" s="1"/>
  <c r="P162" i="16"/>
  <c r="M160" i="16"/>
  <c r="P160" i="16" s="1"/>
  <c r="M159" i="16"/>
  <c r="N616" i="16"/>
  <c r="R555" i="16"/>
  <c r="U555" i="16" s="1"/>
  <c r="U556" i="16"/>
  <c r="Q555" i="16"/>
  <c r="T555" i="16" s="1"/>
  <c r="P521" i="16"/>
  <c r="M519" i="16"/>
  <c r="P519" i="16" s="1"/>
  <c r="Q513" i="16"/>
  <c r="T513" i="16" s="1"/>
  <c r="J503" i="16"/>
  <c r="J492" i="16" s="1"/>
  <c r="N413" i="16"/>
  <c r="T284" i="16"/>
  <c r="Q282" i="16"/>
  <c r="T282" i="16" s="1"/>
  <c r="T268" i="16"/>
  <c r="Q266" i="16"/>
  <c r="Q186" i="16"/>
  <c r="L160" i="16"/>
  <c r="O160" i="16" s="1"/>
  <c r="L159" i="16"/>
  <c r="O162" i="16"/>
  <c r="O577" i="16"/>
  <c r="R534" i="16"/>
  <c r="U534" i="16" s="1"/>
  <c r="O521" i="16"/>
  <c r="L519" i="16"/>
  <c r="O519" i="16" s="1"/>
  <c r="K457" i="16"/>
  <c r="I456" i="16"/>
  <c r="K456" i="16" s="1"/>
  <c r="M413" i="16"/>
  <c r="P413" i="16" s="1"/>
  <c r="P414" i="16"/>
  <c r="S378" i="16"/>
  <c r="S377" i="16"/>
  <c r="S375" i="16" s="1"/>
  <c r="P321" i="16"/>
  <c r="P165" i="16"/>
  <c r="M163" i="16"/>
  <c r="P163" i="16" s="1"/>
  <c r="S160" i="16"/>
  <c r="Q94" i="16"/>
  <c r="T94" i="16" s="1"/>
  <c r="P52" i="16"/>
  <c r="M26" i="16"/>
  <c r="P26" i="16" s="1"/>
  <c r="M50" i="16"/>
  <c r="P50" i="16" s="1"/>
  <c r="R320" i="16"/>
  <c r="U320" i="16" s="1"/>
  <c r="L309" i="16"/>
  <c r="O309" i="16" s="1"/>
  <c r="R305" i="16"/>
  <c r="N284" i="16"/>
  <c r="N282" i="16" s="1"/>
  <c r="P285" i="16"/>
  <c r="L284" i="16"/>
  <c r="Q269" i="16"/>
  <c r="K198" i="16"/>
  <c r="P194" i="16"/>
  <c r="M192" i="16"/>
  <c r="P192" i="16" s="1"/>
  <c r="U191" i="16"/>
  <c r="R160" i="16"/>
  <c r="U160" i="16" s="1"/>
  <c r="U162" i="16"/>
  <c r="R157" i="16"/>
  <c r="U157" i="16" s="1"/>
  <c r="T122" i="16"/>
  <c r="Q120" i="16"/>
  <c r="L26" i="16"/>
  <c r="M284" i="16"/>
  <c r="L285" i="16"/>
  <c r="O285" i="16" s="1"/>
  <c r="K260" i="16"/>
  <c r="L214" i="16"/>
  <c r="O214" i="16" s="1"/>
  <c r="T191" i="16"/>
  <c r="M188" i="16"/>
  <c r="P191" i="16"/>
  <c r="M189" i="16"/>
  <c r="P189" i="16" s="1"/>
  <c r="S188" i="16"/>
  <c r="S186" i="16" s="1"/>
  <c r="U187" i="16"/>
  <c r="K183" i="16"/>
  <c r="L179" i="16"/>
  <c r="O179" i="16" s="1"/>
  <c r="O181" i="16"/>
  <c r="T174" i="16"/>
  <c r="T158" i="16"/>
  <c r="R139" i="16"/>
  <c r="U139" i="16" s="1"/>
  <c r="U141" i="16"/>
  <c r="U19" i="16"/>
  <c r="O361" i="16"/>
  <c r="L359" i="16"/>
  <c r="Q356" i="16"/>
  <c r="T356" i="16" s="1"/>
  <c r="T357" i="16"/>
  <c r="J332" i="16"/>
  <c r="P341" i="16"/>
  <c r="M339" i="16"/>
  <c r="P339" i="16" s="1"/>
  <c r="R306" i="16"/>
  <c r="I280" i="16"/>
  <c r="K280" i="16" s="1"/>
  <c r="I137" i="16"/>
  <c r="K137" i="16" s="1"/>
  <c r="K152" i="16"/>
  <c r="T141" i="16"/>
  <c r="Q139" i="16"/>
  <c r="T139" i="16" s="1"/>
  <c r="P140" i="16"/>
  <c r="P75" i="16"/>
  <c r="P67" i="16"/>
  <c r="M65" i="16"/>
  <c r="P65" i="16" s="1"/>
  <c r="N335" i="16"/>
  <c r="M322" i="16"/>
  <c r="P322" i="16" s="1"/>
  <c r="N268" i="16"/>
  <c r="N266" i="16" s="1"/>
  <c r="R188" i="16"/>
  <c r="O75" i="16"/>
  <c r="P178" i="16"/>
  <c r="R117" i="16"/>
  <c r="U117" i="16" s="1"/>
  <c r="T99" i="16"/>
  <c r="Q97" i="16"/>
  <c r="T97" i="16" s="1"/>
  <c r="P47" i="16"/>
  <c r="P22" i="16"/>
  <c r="M19" i="16"/>
  <c r="M176" i="16"/>
  <c r="P176" i="16" s="1"/>
  <c r="N159" i="16"/>
  <c r="N157" i="16" s="1"/>
  <c r="Q117" i="16"/>
  <c r="T117" i="16" s="1"/>
  <c r="R94" i="16"/>
  <c r="U94" i="16" s="1"/>
  <c r="N26" i="16"/>
  <c r="N24" i="16" s="1"/>
  <c r="P25" i="16"/>
  <c r="O19" i="16"/>
  <c r="K153" i="16"/>
  <c r="T144" i="16"/>
  <c r="L123" i="16"/>
  <c r="O123" i="16" s="1"/>
  <c r="P122" i="16"/>
  <c r="R120" i="16"/>
  <c r="L120" i="16"/>
  <c r="O120" i="16" s="1"/>
  <c r="T118" i="16"/>
  <c r="K109" i="16"/>
  <c r="L100" i="16"/>
  <c r="O100" i="16" s="1"/>
  <c r="P99" i="16"/>
  <c r="R97" i="16"/>
  <c r="U97" i="16" s="1"/>
  <c r="L97" i="16"/>
  <c r="O97" i="16" s="1"/>
  <c r="T95" i="16"/>
  <c r="I92" i="16"/>
  <c r="K92" i="16" s="1"/>
  <c r="U77" i="16"/>
  <c r="O77" i="16"/>
  <c r="Q75" i="16"/>
  <c r="T75" i="16" s="1"/>
  <c r="O64" i="16"/>
  <c r="N50" i="16"/>
  <c r="O49" i="16"/>
  <c r="N23" i="16"/>
  <c r="U122" i="16"/>
  <c r="O122" i="16"/>
  <c r="U99" i="16"/>
  <c r="O99" i="16"/>
  <c r="N74" i="16"/>
  <c r="N72" i="16" s="1"/>
  <c r="N61" i="16"/>
  <c r="N59" i="16" s="1"/>
  <c r="N46" i="16"/>
  <c r="N44" i="16" s="1"/>
  <c r="S23" i="16"/>
  <c r="S20" i="16" s="1"/>
  <c r="M23" i="16"/>
  <c r="M21" i="16" s="1"/>
  <c r="Q19" i="16"/>
  <c r="K127" i="16"/>
  <c r="N96" i="16"/>
  <c r="N94" i="16" s="1"/>
  <c r="S74" i="16"/>
  <c r="S72" i="16" s="1"/>
  <c r="U72" i="16" s="1"/>
  <c r="M74" i="16"/>
  <c r="M61" i="16"/>
  <c r="M46" i="16"/>
  <c r="R23" i="16"/>
  <c r="L23" i="16"/>
  <c r="Q23" i="16"/>
  <c r="R19" i="15"/>
  <c r="U22" i="15"/>
  <c r="J351" i="14"/>
  <c r="K778" i="15"/>
  <c r="S760" i="15"/>
  <c r="S496" i="15"/>
  <c r="S495" i="15"/>
  <c r="N326" i="15"/>
  <c r="N322" i="15"/>
  <c r="N320" i="15" s="1"/>
  <c r="M268" i="15"/>
  <c r="P271" i="15"/>
  <c r="M269" i="15"/>
  <c r="P269" i="15" s="1"/>
  <c r="S493" i="15"/>
  <c r="R59" i="15"/>
  <c r="U59" i="15" s="1"/>
  <c r="K368" i="13"/>
  <c r="L236" i="13"/>
  <c r="L235" i="14"/>
  <c r="K780" i="15"/>
  <c r="P729" i="15"/>
  <c r="L519" i="15"/>
  <c r="O519" i="15" s="1"/>
  <c r="O521" i="15"/>
  <c r="L336" i="15"/>
  <c r="O336" i="15" s="1"/>
  <c r="O338" i="15"/>
  <c r="S333" i="15"/>
  <c r="P267" i="15"/>
  <c r="N62" i="15"/>
  <c r="P62" i="15" s="1"/>
  <c r="P64" i="15"/>
  <c r="S74" i="1"/>
  <c r="U74" i="1" s="1"/>
  <c r="Q616" i="14"/>
  <c r="R378" i="14"/>
  <c r="U378" i="14" s="1"/>
  <c r="U178" i="14"/>
  <c r="Q762" i="15"/>
  <c r="Q760" i="15" s="1"/>
  <c r="Q763" i="15"/>
  <c r="R730" i="15"/>
  <c r="R728" i="15" s="1"/>
  <c r="R731" i="15"/>
  <c r="U731" i="15" s="1"/>
  <c r="M714" i="15"/>
  <c r="P714" i="15" s="1"/>
  <c r="P715" i="15"/>
  <c r="U187" i="15"/>
  <c r="N358" i="13"/>
  <c r="N356" i="13" s="1"/>
  <c r="T178" i="14"/>
  <c r="S763" i="15"/>
  <c r="U763" i="15" s="1"/>
  <c r="N760" i="15"/>
  <c r="I701" i="15"/>
  <c r="L322" i="15"/>
  <c r="O322" i="15" s="1"/>
  <c r="L323" i="15"/>
  <c r="O323" i="15" s="1"/>
  <c r="O325" i="15"/>
  <c r="Q282" i="15"/>
  <c r="T282" i="15" s="1"/>
  <c r="T283" i="15"/>
  <c r="L233" i="15"/>
  <c r="M78" i="15"/>
  <c r="P78" i="15" s="1"/>
  <c r="P80" i="15"/>
  <c r="R74" i="15"/>
  <c r="R75" i="15"/>
  <c r="U75" i="15" s="1"/>
  <c r="T26" i="15"/>
  <c r="Q24" i="15"/>
  <c r="T24" i="15" s="1"/>
  <c r="K781" i="14"/>
  <c r="I374" i="14"/>
  <c r="U380" i="14"/>
  <c r="K229" i="14"/>
  <c r="Q730" i="15"/>
  <c r="Q728" i="15" s="1"/>
  <c r="R714" i="15"/>
  <c r="U714" i="15" s="1"/>
  <c r="U715" i="15"/>
  <c r="L690" i="15"/>
  <c r="O690" i="15" s="1"/>
  <c r="Q599" i="15"/>
  <c r="T599" i="15" s="1"/>
  <c r="J365" i="15"/>
  <c r="K365" i="15" s="1"/>
  <c r="K371" i="15"/>
  <c r="N305" i="15"/>
  <c r="N303" i="15" s="1"/>
  <c r="N306" i="15"/>
  <c r="K251" i="15"/>
  <c r="I240" i="15"/>
  <c r="K240" i="15" s="1"/>
  <c r="L50" i="15"/>
  <c r="O50" i="15" s="1"/>
  <c r="O52" i="15"/>
  <c r="U729" i="15"/>
  <c r="S714" i="15"/>
  <c r="J675" i="15"/>
  <c r="K675" i="15" s="1"/>
  <c r="U645" i="15"/>
  <c r="M642" i="15"/>
  <c r="P642" i="15" s="1"/>
  <c r="N599" i="15"/>
  <c r="N555" i="15"/>
  <c r="P535" i="15"/>
  <c r="N515" i="15"/>
  <c r="N513" i="15" s="1"/>
  <c r="R513" i="15"/>
  <c r="U513" i="15" s="1"/>
  <c r="K503" i="15"/>
  <c r="T393" i="15"/>
  <c r="N392" i="15"/>
  <c r="K368" i="15"/>
  <c r="P364" i="15"/>
  <c r="K346" i="15"/>
  <c r="M305" i="15"/>
  <c r="P305" i="15" s="1"/>
  <c r="S306" i="15"/>
  <c r="O290" i="15"/>
  <c r="I281" i="15"/>
  <c r="K281" i="15" s="1"/>
  <c r="R269" i="15"/>
  <c r="K260" i="15"/>
  <c r="K249" i="15"/>
  <c r="O194" i="15"/>
  <c r="Q186" i="15"/>
  <c r="M163" i="15"/>
  <c r="P163" i="15" s="1"/>
  <c r="L159" i="15"/>
  <c r="L157" i="15" s="1"/>
  <c r="S159" i="15"/>
  <c r="S157" i="15" s="1"/>
  <c r="I137" i="15"/>
  <c r="K137" i="15" s="1"/>
  <c r="M123" i="15"/>
  <c r="P123" i="15" s="1"/>
  <c r="S59" i="15"/>
  <c r="Q59" i="15"/>
  <c r="T59" i="15" s="1"/>
  <c r="P49" i="15"/>
  <c r="L335" i="15"/>
  <c r="L333" i="15" s="1"/>
  <c r="Q320" i="15"/>
  <c r="T320" i="15" s="1"/>
  <c r="I319" i="15"/>
  <c r="K319" i="15" s="1"/>
  <c r="S303" i="15"/>
  <c r="N232" i="15"/>
  <c r="R44" i="15"/>
  <c r="U44" i="15" s="1"/>
  <c r="S616" i="15"/>
  <c r="L515" i="15"/>
  <c r="O515" i="15" s="1"/>
  <c r="N284" i="15"/>
  <c r="N282" i="15" s="1"/>
  <c r="N285" i="15"/>
  <c r="J231" i="15"/>
  <c r="J185" i="15" s="1"/>
  <c r="I238" i="15"/>
  <c r="K238" i="15" s="1"/>
  <c r="M141" i="15"/>
  <c r="P141" i="15" s="1"/>
  <c r="I136" i="15"/>
  <c r="K136" i="15" s="1"/>
  <c r="P47" i="15"/>
  <c r="N19" i="15"/>
  <c r="M760" i="15"/>
  <c r="P760" i="15" s="1"/>
  <c r="Q714" i="15"/>
  <c r="T714" i="15" s="1"/>
  <c r="J674" i="15"/>
  <c r="K674" i="15" s="1"/>
  <c r="T621" i="15"/>
  <c r="L599" i="15"/>
  <c r="O599" i="15" s="1"/>
  <c r="L576" i="15"/>
  <c r="O576" i="15" s="1"/>
  <c r="J374" i="15"/>
  <c r="N375" i="15"/>
  <c r="N358" i="15"/>
  <c r="N356" i="15" s="1"/>
  <c r="Q356" i="15"/>
  <c r="T356" i="15" s="1"/>
  <c r="J343" i="15"/>
  <c r="M284" i="15"/>
  <c r="M282" i="15" s="1"/>
  <c r="M285" i="15"/>
  <c r="S282" i="15"/>
  <c r="N268" i="15"/>
  <c r="K252" i="15"/>
  <c r="L222" i="15"/>
  <c r="O222" i="15" s="1"/>
  <c r="L188" i="15"/>
  <c r="L186" i="15" s="1"/>
  <c r="T187" i="15"/>
  <c r="N175" i="15"/>
  <c r="N173" i="15" s="1"/>
  <c r="L141" i="15"/>
  <c r="L142" i="15"/>
  <c r="O142" i="15" s="1"/>
  <c r="T122" i="15"/>
  <c r="S117" i="15"/>
  <c r="I82" i="15"/>
  <c r="K82" i="15" s="1"/>
  <c r="P75" i="15"/>
  <c r="L46" i="15"/>
  <c r="L44" i="15" s="1"/>
  <c r="L760" i="15"/>
  <c r="O760" i="15" s="1"/>
  <c r="T693" i="15"/>
  <c r="N690" i="15"/>
  <c r="R599" i="15"/>
  <c r="U599" i="15" s="1"/>
  <c r="M555" i="15"/>
  <c r="P555" i="15" s="1"/>
  <c r="L534" i="15"/>
  <c r="O534" i="15" s="1"/>
  <c r="P518" i="15"/>
  <c r="S513" i="15"/>
  <c r="T335" i="15"/>
  <c r="T321" i="15"/>
  <c r="L268" i="15"/>
  <c r="O268" i="15" s="1"/>
  <c r="N266" i="15"/>
  <c r="S141" i="15"/>
  <c r="S139" i="15" s="1"/>
  <c r="O125" i="15"/>
  <c r="N119" i="15"/>
  <c r="N117" i="15" s="1"/>
  <c r="M96" i="15"/>
  <c r="M94" i="15" s="1"/>
  <c r="L75" i="15"/>
  <c r="O75" i="15" s="1"/>
  <c r="L62" i="15"/>
  <c r="R24" i="15"/>
  <c r="U24" i="15" s="1"/>
  <c r="L19" i="15"/>
  <c r="Q616" i="15"/>
  <c r="T618" i="15"/>
  <c r="U376" i="15"/>
  <c r="M189" i="15"/>
  <c r="P191" i="15"/>
  <c r="M188" i="15"/>
  <c r="M186" i="15" s="1"/>
  <c r="K369" i="13"/>
  <c r="N284" i="13"/>
  <c r="N282" i="13" s="1"/>
  <c r="L515" i="14"/>
  <c r="O515" i="14" s="1"/>
  <c r="M306" i="14"/>
  <c r="P306" i="14" s="1"/>
  <c r="P176" i="14"/>
  <c r="O176" i="14"/>
  <c r="K727" i="15"/>
  <c r="L714" i="15"/>
  <c r="O714" i="15" s="1"/>
  <c r="R576" i="15"/>
  <c r="U576" i="15" s="1"/>
  <c r="R378" i="15"/>
  <c r="U378" i="15" s="1"/>
  <c r="R377" i="15"/>
  <c r="U377" i="15" s="1"/>
  <c r="U380" i="15"/>
  <c r="M175" i="15"/>
  <c r="M173" i="15" s="1"/>
  <c r="P178" i="15"/>
  <c r="M176" i="15"/>
  <c r="P176" i="15" s="1"/>
  <c r="I615" i="15"/>
  <c r="K615" i="15" s="1"/>
  <c r="I332" i="15"/>
  <c r="K344" i="15"/>
  <c r="K783" i="9"/>
  <c r="K778" i="10"/>
  <c r="K346" i="10"/>
  <c r="P336" i="10"/>
  <c r="U619" i="13"/>
  <c r="M306" i="13"/>
  <c r="P306" i="13" s="1"/>
  <c r="N188" i="13"/>
  <c r="N186" i="13" s="1"/>
  <c r="T77" i="13"/>
  <c r="K778" i="14"/>
  <c r="S645" i="14"/>
  <c r="P521" i="14"/>
  <c r="K368" i="14"/>
  <c r="O361" i="14"/>
  <c r="O328" i="14"/>
  <c r="P191" i="14"/>
  <c r="P80" i="14"/>
  <c r="O75" i="14"/>
  <c r="I759" i="15"/>
  <c r="K759" i="15" s="1"/>
  <c r="T733" i="15"/>
  <c r="T715" i="15"/>
  <c r="Q692" i="15"/>
  <c r="T695" i="15"/>
  <c r="S692" i="15"/>
  <c r="S690" i="15" s="1"/>
  <c r="U647" i="15"/>
  <c r="Q619" i="15"/>
  <c r="M616" i="15"/>
  <c r="P616" i="15" s="1"/>
  <c r="M599" i="15"/>
  <c r="P599" i="15" s="1"/>
  <c r="P578" i="15"/>
  <c r="L555" i="15"/>
  <c r="O555" i="15" s="1"/>
  <c r="T535" i="15"/>
  <c r="N534" i="15"/>
  <c r="L516" i="15"/>
  <c r="O516" i="15" s="1"/>
  <c r="J503" i="15"/>
  <c r="J492" i="15" s="1"/>
  <c r="T498" i="15"/>
  <c r="Q495" i="15"/>
  <c r="L493" i="15"/>
  <c r="O493" i="15" s="1"/>
  <c r="R413" i="15"/>
  <c r="U413" i="15" s="1"/>
  <c r="U414" i="15"/>
  <c r="Q377" i="15"/>
  <c r="T380" i="15"/>
  <c r="M358" i="15"/>
  <c r="P361" i="15"/>
  <c r="M359" i="15"/>
  <c r="P359" i="15" s="1"/>
  <c r="R333" i="15"/>
  <c r="U333" i="15" s="1"/>
  <c r="M322" i="15"/>
  <c r="P322" i="15" s="1"/>
  <c r="P325" i="15"/>
  <c r="P321" i="15"/>
  <c r="P311" i="15"/>
  <c r="M309" i="15"/>
  <c r="P309" i="15" s="1"/>
  <c r="L305" i="15"/>
  <c r="O308" i="15"/>
  <c r="K293" i="15"/>
  <c r="I280" i="15"/>
  <c r="K280" i="15" s="1"/>
  <c r="Q268" i="15"/>
  <c r="T271" i="15"/>
  <c r="L235" i="15"/>
  <c r="L243" i="15"/>
  <c r="I231" i="15"/>
  <c r="K231" i="15" s="1"/>
  <c r="K242" i="15"/>
  <c r="I202" i="15"/>
  <c r="K202" i="15" s="1"/>
  <c r="K209" i="15"/>
  <c r="L176" i="15"/>
  <c r="O176" i="15" s="1"/>
  <c r="O178" i="15"/>
  <c r="L175" i="15"/>
  <c r="S24" i="15"/>
  <c r="S19" i="15"/>
  <c r="L413" i="15"/>
  <c r="O413" i="15" s="1"/>
  <c r="O414" i="15"/>
  <c r="J674" i="13"/>
  <c r="M188" i="13"/>
  <c r="U731" i="14"/>
  <c r="K707" i="14"/>
  <c r="O521" i="14"/>
  <c r="K346" i="14"/>
  <c r="Q269" i="14"/>
  <c r="L236" i="14"/>
  <c r="P165" i="14"/>
  <c r="R160" i="14"/>
  <c r="U160" i="14" s="1"/>
  <c r="L123" i="14"/>
  <c r="O123" i="14" s="1"/>
  <c r="O80" i="14"/>
  <c r="U765" i="15"/>
  <c r="R762" i="15"/>
  <c r="U762" i="15" s="1"/>
  <c r="P761" i="15"/>
  <c r="K703" i="15"/>
  <c r="R692" i="15"/>
  <c r="M690" i="15"/>
  <c r="P690" i="15" s="1"/>
  <c r="I689" i="15"/>
  <c r="K689" i="15" s="1"/>
  <c r="L642" i="15"/>
  <c r="O642" i="15" s="1"/>
  <c r="K631" i="15"/>
  <c r="R618" i="15"/>
  <c r="U621" i="15"/>
  <c r="L616" i="15"/>
  <c r="O616" i="15" s="1"/>
  <c r="U600" i="15"/>
  <c r="O600" i="15"/>
  <c r="Q555" i="15"/>
  <c r="T555" i="15" s="1"/>
  <c r="U515" i="15"/>
  <c r="P514" i="15"/>
  <c r="T414" i="15"/>
  <c r="M375" i="15"/>
  <c r="P375" i="15" s="1"/>
  <c r="P376" i="15"/>
  <c r="O361" i="15"/>
  <c r="L359" i="15"/>
  <c r="O359" i="15" s="1"/>
  <c r="N335" i="15"/>
  <c r="N333" i="15" s="1"/>
  <c r="P338" i="15"/>
  <c r="O321" i="15"/>
  <c r="I302" i="15"/>
  <c r="K302" i="15" s="1"/>
  <c r="R266" i="15"/>
  <c r="U266" i="15" s="1"/>
  <c r="S176" i="15"/>
  <c r="S175" i="15"/>
  <c r="S173" i="15" s="1"/>
  <c r="L339" i="15"/>
  <c r="O339" i="15" s="1"/>
  <c r="O341" i="15"/>
  <c r="P283" i="15"/>
  <c r="R75" i="9"/>
  <c r="U75" i="9" s="1"/>
  <c r="L234" i="13"/>
  <c r="M192" i="13"/>
  <c r="P192" i="13" s="1"/>
  <c r="P290" i="14"/>
  <c r="O165" i="14"/>
  <c r="T162" i="14"/>
  <c r="T765" i="15"/>
  <c r="U761" i="15"/>
  <c r="O761" i="15"/>
  <c r="P643" i="15"/>
  <c r="K630" i="15"/>
  <c r="K626" i="15"/>
  <c r="T600" i="15"/>
  <c r="Q576" i="15"/>
  <c r="T576" i="15" s="1"/>
  <c r="N413" i="15"/>
  <c r="K386" i="15"/>
  <c r="I374" i="15"/>
  <c r="L375" i="15"/>
  <c r="O375" i="15" s="1"/>
  <c r="O376" i="15"/>
  <c r="R305" i="15"/>
  <c r="U308" i="15"/>
  <c r="R306" i="15"/>
  <c r="P304" i="15"/>
  <c r="P125" i="12"/>
  <c r="L358" i="13"/>
  <c r="L356" i="13" s="1"/>
  <c r="K386" i="14"/>
  <c r="N284" i="14"/>
  <c r="N282" i="14" s="1"/>
  <c r="R186" i="14"/>
  <c r="U186" i="14" s="1"/>
  <c r="L179" i="14"/>
  <c r="O179" i="14" s="1"/>
  <c r="P178" i="14"/>
  <c r="R94" i="14"/>
  <c r="U94" i="14" s="1"/>
  <c r="K772" i="15"/>
  <c r="L728" i="15"/>
  <c r="O728" i="15" s="1"/>
  <c r="U695" i="15"/>
  <c r="Q644" i="15"/>
  <c r="T647" i="15"/>
  <c r="K629" i="15"/>
  <c r="Q416" i="15"/>
  <c r="T416" i="15" s="1"/>
  <c r="Q415" i="15"/>
  <c r="T415" i="15" s="1"/>
  <c r="T418" i="15"/>
  <c r="P415" i="15"/>
  <c r="M413" i="15"/>
  <c r="P413" i="15" s="1"/>
  <c r="S375" i="15"/>
  <c r="J332" i="15"/>
  <c r="P341" i="15"/>
  <c r="M339" i="15"/>
  <c r="P339" i="15" s="1"/>
  <c r="T308" i="15"/>
  <c r="Q305" i="15"/>
  <c r="Q306" i="15"/>
  <c r="L284" i="15"/>
  <c r="O287" i="15"/>
  <c r="L285" i="15"/>
  <c r="L272" i="15"/>
  <c r="O272" i="15" s="1"/>
  <c r="O191" i="15"/>
  <c r="N188" i="15"/>
  <c r="N186" i="15" s="1"/>
  <c r="N189" i="15"/>
  <c r="O189" i="15" s="1"/>
  <c r="T144" i="15"/>
  <c r="Q142" i="15"/>
  <c r="T142" i="15" s="1"/>
  <c r="Q141" i="15"/>
  <c r="T141" i="15" s="1"/>
  <c r="U418" i="15"/>
  <c r="M335" i="15"/>
  <c r="P308" i="15"/>
  <c r="P287" i="15"/>
  <c r="U284" i="15"/>
  <c r="U271" i="15"/>
  <c r="O271" i="15"/>
  <c r="U267" i="15"/>
  <c r="I221" i="15"/>
  <c r="K221" i="15" s="1"/>
  <c r="S189" i="15"/>
  <c r="U189" i="15" s="1"/>
  <c r="S188" i="15"/>
  <c r="T188" i="15" s="1"/>
  <c r="U191" i="15"/>
  <c r="R175" i="15"/>
  <c r="U178" i="15"/>
  <c r="R176" i="15"/>
  <c r="U176" i="15" s="1"/>
  <c r="R120" i="15"/>
  <c r="R119" i="15"/>
  <c r="U122" i="15"/>
  <c r="Q119" i="15"/>
  <c r="P52" i="15"/>
  <c r="M26" i="15"/>
  <c r="P26" i="15" s="1"/>
  <c r="M50" i="15"/>
  <c r="P50" i="15" s="1"/>
  <c r="M515" i="15"/>
  <c r="P515" i="15" s="1"/>
  <c r="R356" i="15"/>
  <c r="U356" i="15" s="1"/>
  <c r="L356" i="15"/>
  <c r="L160" i="15"/>
  <c r="O160" i="15" s="1"/>
  <c r="O162" i="15"/>
  <c r="P174" i="15"/>
  <c r="U19" i="15"/>
  <c r="L254" i="15"/>
  <c r="O254" i="15" s="1"/>
  <c r="L203" i="15"/>
  <c r="O203" i="15" s="1"/>
  <c r="O187" i="15"/>
  <c r="R160" i="15"/>
  <c r="U160" i="15" s="1"/>
  <c r="U162" i="15"/>
  <c r="R159" i="15"/>
  <c r="Q94" i="15"/>
  <c r="I169" i="15"/>
  <c r="K169" i="15" s="1"/>
  <c r="Q160" i="15"/>
  <c r="T160" i="15" s="1"/>
  <c r="P118" i="15"/>
  <c r="P67" i="15"/>
  <c r="M65" i="15"/>
  <c r="P65" i="15" s="1"/>
  <c r="O47" i="15"/>
  <c r="I168" i="15"/>
  <c r="K168" i="15" s="1"/>
  <c r="M142" i="15"/>
  <c r="P142" i="15" s="1"/>
  <c r="I116" i="15"/>
  <c r="K116" i="15" s="1"/>
  <c r="K127" i="15"/>
  <c r="P122" i="15"/>
  <c r="M119" i="15"/>
  <c r="P119" i="15" s="1"/>
  <c r="M120" i="15"/>
  <c r="P120" i="15" s="1"/>
  <c r="T99" i="15"/>
  <c r="Q97" i="15"/>
  <c r="L26" i="15"/>
  <c r="P22" i="15"/>
  <c r="M19" i="15"/>
  <c r="M160" i="15"/>
  <c r="P160" i="15" s="1"/>
  <c r="M159" i="15"/>
  <c r="I138" i="15"/>
  <c r="K138" i="15" s="1"/>
  <c r="L120" i="15"/>
  <c r="O120" i="15" s="1"/>
  <c r="L119" i="15"/>
  <c r="R94" i="15"/>
  <c r="N26" i="15"/>
  <c r="N24" i="15" s="1"/>
  <c r="P25" i="15"/>
  <c r="O19" i="15"/>
  <c r="N142" i="15"/>
  <c r="K109" i="15"/>
  <c r="P99" i="15"/>
  <c r="R97" i="15"/>
  <c r="L97" i="15"/>
  <c r="O97" i="15" s="1"/>
  <c r="T95" i="15"/>
  <c r="I92" i="15"/>
  <c r="K92" i="15" s="1"/>
  <c r="O80" i="15"/>
  <c r="U77" i="15"/>
  <c r="O77" i="15"/>
  <c r="Q75" i="15"/>
  <c r="T75" i="15" s="1"/>
  <c r="O64" i="15"/>
  <c r="N50" i="15"/>
  <c r="O49" i="15"/>
  <c r="N23" i="15"/>
  <c r="U99" i="15"/>
  <c r="O99" i="15"/>
  <c r="K84" i="15"/>
  <c r="T77" i="15"/>
  <c r="N74" i="15"/>
  <c r="N61" i="15"/>
  <c r="N59" i="15" s="1"/>
  <c r="N46" i="15"/>
  <c r="N44" i="15" s="1"/>
  <c r="S23" i="15"/>
  <c r="S20" i="15" s="1"/>
  <c r="M23" i="15"/>
  <c r="M21" i="15" s="1"/>
  <c r="Q19" i="15"/>
  <c r="N96" i="15"/>
  <c r="N94" i="15" s="1"/>
  <c r="S74" i="15"/>
  <c r="S72" i="15" s="1"/>
  <c r="M74" i="15"/>
  <c r="M61" i="15"/>
  <c r="M46" i="15"/>
  <c r="R23" i="15"/>
  <c r="L23" i="15"/>
  <c r="Q23" i="15"/>
  <c r="K504" i="14"/>
  <c r="J503" i="14"/>
  <c r="J492" i="14" s="1"/>
  <c r="K330" i="14"/>
  <c r="I319" i="14"/>
  <c r="K319" i="14" s="1"/>
  <c r="Q173" i="14"/>
  <c r="T173" i="14" s="1"/>
  <c r="T174" i="14"/>
  <c r="L159" i="14"/>
  <c r="O159" i="14" s="1"/>
  <c r="L160" i="14"/>
  <c r="O160" i="14" s="1"/>
  <c r="O162" i="14"/>
  <c r="N62" i="14"/>
  <c r="P62" i="14" s="1"/>
  <c r="O64" i="14"/>
  <c r="P64" i="14"/>
  <c r="K709" i="12"/>
  <c r="S142" i="12"/>
  <c r="T74" i="12"/>
  <c r="S496" i="13"/>
  <c r="L359" i="13"/>
  <c r="S189" i="13"/>
  <c r="T189" i="13" s="1"/>
  <c r="K108" i="13"/>
  <c r="K785" i="14"/>
  <c r="K780" i="14"/>
  <c r="L555" i="14"/>
  <c r="O555" i="14" s="1"/>
  <c r="O556" i="14"/>
  <c r="I332" i="14"/>
  <c r="K344" i="14"/>
  <c r="S160" i="14"/>
  <c r="S159" i="14"/>
  <c r="S157" i="14" s="1"/>
  <c r="Q74" i="14"/>
  <c r="T74" i="14" s="1"/>
  <c r="T77" i="14"/>
  <c r="O189" i="12"/>
  <c r="N189" i="13"/>
  <c r="Q97" i="13"/>
  <c r="L375" i="14"/>
  <c r="O375" i="14" s="1"/>
  <c r="O283" i="14"/>
  <c r="S142" i="14"/>
  <c r="S141" i="14"/>
  <c r="S139" i="14" s="1"/>
  <c r="T25" i="14"/>
  <c r="Q24" i="14"/>
  <c r="T24" i="14" s="1"/>
  <c r="N61" i="12"/>
  <c r="N59" i="12" s="1"/>
  <c r="P47" i="12"/>
  <c r="K785" i="13"/>
  <c r="Q730" i="14"/>
  <c r="Q731" i="14"/>
  <c r="T731" i="14" s="1"/>
  <c r="R375" i="14"/>
  <c r="U375" i="14" s="1"/>
  <c r="S303" i="14"/>
  <c r="L100" i="14"/>
  <c r="O100" i="14" s="1"/>
  <c r="O102" i="14"/>
  <c r="M96" i="14"/>
  <c r="P96" i="14" s="1"/>
  <c r="M97" i="14"/>
  <c r="P97" i="14" s="1"/>
  <c r="P99" i="14"/>
  <c r="M323" i="11"/>
  <c r="P323" i="11" s="1"/>
  <c r="U498" i="12"/>
  <c r="K198" i="12"/>
  <c r="L100" i="12"/>
  <c r="O100" i="12" s="1"/>
  <c r="K778" i="13"/>
  <c r="S762" i="13"/>
  <c r="S760" i="13" s="1"/>
  <c r="R618" i="13"/>
  <c r="R616" i="13" s="1"/>
  <c r="S493" i="13"/>
  <c r="L326" i="13"/>
  <c r="O326" i="13" s="1"/>
  <c r="K784" i="14"/>
  <c r="K774" i="14"/>
  <c r="I759" i="14"/>
  <c r="K759" i="14" s="1"/>
  <c r="L214" i="14"/>
  <c r="O214" i="14" s="1"/>
  <c r="K726" i="13"/>
  <c r="Q306" i="13"/>
  <c r="O287" i="13"/>
  <c r="K276" i="13"/>
  <c r="O122" i="13"/>
  <c r="S496" i="14"/>
  <c r="S495" i="14"/>
  <c r="S493" i="14" s="1"/>
  <c r="M339" i="14"/>
  <c r="P339" i="14" s="1"/>
  <c r="P341" i="14"/>
  <c r="M326" i="14"/>
  <c r="P326" i="14" s="1"/>
  <c r="P328" i="14"/>
  <c r="I202" i="14"/>
  <c r="K202" i="14" s="1"/>
  <c r="K169" i="14"/>
  <c r="I156" i="14"/>
  <c r="K156" i="14" s="1"/>
  <c r="M728" i="14"/>
  <c r="P728" i="14" s="1"/>
  <c r="K703" i="14"/>
  <c r="J674" i="14"/>
  <c r="Q619" i="14"/>
  <c r="P514" i="14"/>
  <c r="T418" i="14"/>
  <c r="L413" i="14"/>
  <c r="O413" i="14" s="1"/>
  <c r="J374" i="14"/>
  <c r="U376" i="14"/>
  <c r="O376" i="14"/>
  <c r="K365" i="14"/>
  <c r="N358" i="14"/>
  <c r="N356" i="14" s="1"/>
  <c r="N359" i="14"/>
  <c r="O359" i="14" s="1"/>
  <c r="N335" i="14"/>
  <c r="N333" i="14" s="1"/>
  <c r="N336" i="14"/>
  <c r="P336" i="14" s="1"/>
  <c r="M335" i="14"/>
  <c r="M333" i="14" s="1"/>
  <c r="S320" i="14"/>
  <c r="L309" i="14"/>
  <c r="O309" i="14" s="1"/>
  <c r="O308" i="14"/>
  <c r="S282" i="14"/>
  <c r="R282" i="14"/>
  <c r="U282" i="14" s="1"/>
  <c r="I238" i="14"/>
  <c r="K238" i="14" s="1"/>
  <c r="Q160" i="14"/>
  <c r="T160" i="14" s="1"/>
  <c r="I136" i="14"/>
  <c r="K136" i="14" s="1"/>
  <c r="K127" i="14"/>
  <c r="U122" i="14"/>
  <c r="L96" i="14"/>
  <c r="O96" i="14" s="1"/>
  <c r="R97" i="14"/>
  <c r="I83" i="14"/>
  <c r="K83" i="14" s="1"/>
  <c r="P77" i="14"/>
  <c r="P49" i="14"/>
  <c r="N642" i="14"/>
  <c r="K632" i="14"/>
  <c r="L534" i="14"/>
  <c r="O534" i="14" s="1"/>
  <c r="M392" i="14"/>
  <c r="P392" i="14" s="1"/>
  <c r="Q377" i="14"/>
  <c r="Q375" i="14" s="1"/>
  <c r="T375" i="14" s="1"/>
  <c r="N375" i="14"/>
  <c r="T308" i="14"/>
  <c r="L284" i="14"/>
  <c r="L282" i="14" s="1"/>
  <c r="P194" i="14"/>
  <c r="S175" i="14"/>
  <c r="S173" i="14" s="1"/>
  <c r="K116" i="14"/>
  <c r="T122" i="14"/>
  <c r="R120" i="14"/>
  <c r="U120" i="14" s="1"/>
  <c r="P102" i="14"/>
  <c r="U77" i="14"/>
  <c r="O77" i="14"/>
  <c r="O49" i="14"/>
  <c r="U733" i="14"/>
  <c r="S730" i="14"/>
  <c r="S728" i="14" s="1"/>
  <c r="N690" i="14"/>
  <c r="N515" i="14"/>
  <c r="N513" i="14" s="1"/>
  <c r="N516" i="14"/>
  <c r="Q415" i="14"/>
  <c r="N413" i="14"/>
  <c r="S333" i="14"/>
  <c r="R333" i="14"/>
  <c r="U333" i="14" s="1"/>
  <c r="M322" i="14"/>
  <c r="P322" i="14" s="1"/>
  <c r="M323" i="14"/>
  <c r="P323" i="14" s="1"/>
  <c r="U308" i="14"/>
  <c r="M305" i="14"/>
  <c r="M303" i="14" s="1"/>
  <c r="P303" i="14" s="1"/>
  <c r="S306" i="14"/>
  <c r="T306" i="14" s="1"/>
  <c r="L288" i="14"/>
  <c r="O288" i="14" s="1"/>
  <c r="I242" i="14"/>
  <c r="K242" i="14" s="1"/>
  <c r="L192" i="14"/>
  <c r="O192" i="14" s="1"/>
  <c r="M188" i="14"/>
  <c r="M186" i="14" s="1"/>
  <c r="S189" i="14"/>
  <c r="R176" i="14"/>
  <c r="U176" i="14" s="1"/>
  <c r="N141" i="14"/>
  <c r="N139" i="14" s="1"/>
  <c r="L119" i="14"/>
  <c r="O119" i="14" s="1"/>
  <c r="Q120" i="14"/>
  <c r="T120" i="14" s="1"/>
  <c r="P75" i="14"/>
  <c r="P47" i="14"/>
  <c r="R44" i="14"/>
  <c r="U44" i="14" s="1"/>
  <c r="M19" i="14"/>
  <c r="P19" i="14" s="1"/>
  <c r="R730" i="14"/>
  <c r="S714" i="14"/>
  <c r="K689" i="14"/>
  <c r="M516" i="14"/>
  <c r="P516" i="14" s="1"/>
  <c r="R496" i="14"/>
  <c r="U496" i="14" s="1"/>
  <c r="O341" i="14"/>
  <c r="K314" i="14"/>
  <c r="L305" i="14"/>
  <c r="R306" i="14"/>
  <c r="L285" i="14"/>
  <c r="L234" i="14"/>
  <c r="L188" i="14"/>
  <c r="L186" i="14" s="1"/>
  <c r="R189" i="14"/>
  <c r="Q176" i="14"/>
  <c r="T176" i="14" s="1"/>
  <c r="U162" i="14"/>
  <c r="K152" i="14"/>
  <c r="N142" i="14"/>
  <c r="O99" i="14"/>
  <c r="L97" i="14"/>
  <c r="O97" i="14" s="1"/>
  <c r="M74" i="14"/>
  <c r="M72" i="14" s="1"/>
  <c r="S75" i="14"/>
  <c r="T75" i="14" s="1"/>
  <c r="K709" i="14"/>
  <c r="J702" i="14"/>
  <c r="T380" i="14"/>
  <c r="Q333" i="14"/>
  <c r="T333" i="14" s="1"/>
  <c r="M284" i="14"/>
  <c r="M282" i="14" s="1"/>
  <c r="N268" i="14"/>
  <c r="N266" i="14" s="1"/>
  <c r="I265" i="14"/>
  <c r="K265" i="14" s="1"/>
  <c r="L254" i="14"/>
  <c r="O254" i="14" s="1"/>
  <c r="L233" i="14"/>
  <c r="M189" i="14"/>
  <c r="P189" i="14" s="1"/>
  <c r="M159" i="14"/>
  <c r="M157" i="14" s="1"/>
  <c r="M145" i="14"/>
  <c r="P145" i="14" s="1"/>
  <c r="L120" i="14"/>
  <c r="O120" i="14" s="1"/>
  <c r="U99" i="14"/>
  <c r="N96" i="14"/>
  <c r="N94" i="14" s="1"/>
  <c r="L74" i="14"/>
  <c r="L72" i="14" s="1"/>
  <c r="R75" i="14"/>
  <c r="L46" i="14"/>
  <c r="L44" i="14" s="1"/>
  <c r="R760" i="13"/>
  <c r="Q377" i="13"/>
  <c r="T377" i="13" s="1"/>
  <c r="K371" i="13"/>
  <c r="L269" i="13"/>
  <c r="O269" i="13" s="1"/>
  <c r="R762" i="14"/>
  <c r="U765" i="14"/>
  <c r="L728" i="14"/>
  <c r="O728" i="14" s="1"/>
  <c r="R714" i="14"/>
  <c r="U714" i="14" s="1"/>
  <c r="M690" i="14"/>
  <c r="P690" i="14" s="1"/>
  <c r="P691" i="14"/>
  <c r="M642" i="14"/>
  <c r="P642" i="14" s="1"/>
  <c r="P643" i="14"/>
  <c r="Q496" i="14"/>
  <c r="T496" i="14" s="1"/>
  <c r="Q495" i="14"/>
  <c r="T495" i="14" s="1"/>
  <c r="T498" i="14"/>
  <c r="P495" i="14"/>
  <c r="M493" i="14"/>
  <c r="P493" i="14" s="1"/>
  <c r="I492" i="14"/>
  <c r="K492" i="14" s="1"/>
  <c r="K440" i="14"/>
  <c r="I423" i="14"/>
  <c r="S392" i="14"/>
  <c r="L358" i="14"/>
  <c r="O364" i="14"/>
  <c r="L362" i="14"/>
  <c r="O362" i="14" s="1"/>
  <c r="P334" i="14"/>
  <c r="U271" i="14"/>
  <c r="R269" i="14"/>
  <c r="R268" i="14"/>
  <c r="S266" i="14"/>
  <c r="Q186" i="14"/>
  <c r="T186" i="14" s="1"/>
  <c r="Q644" i="14"/>
  <c r="T647" i="14"/>
  <c r="N493" i="14"/>
  <c r="K292" i="11"/>
  <c r="P97" i="11"/>
  <c r="K154" i="12"/>
  <c r="T144" i="12"/>
  <c r="O49" i="12"/>
  <c r="K780" i="13"/>
  <c r="R496" i="13"/>
  <c r="U496" i="13" s="1"/>
  <c r="Q378" i="13"/>
  <c r="T378" i="13" s="1"/>
  <c r="P162" i="13"/>
  <c r="R139" i="13"/>
  <c r="U139" i="13" s="1"/>
  <c r="O102" i="13"/>
  <c r="M100" i="13"/>
  <c r="P100" i="13" s="1"/>
  <c r="Q762" i="14"/>
  <c r="Q760" i="14" s="1"/>
  <c r="T765" i="14"/>
  <c r="Q714" i="14"/>
  <c r="T714" i="14" s="1"/>
  <c r="T715" i="14"/>
  <c r="I701" i="14"/>
  <c r="L690" i="14"/>
  <c r="O690" i="14" s="1"/>
  <c r="O691" i="14"/>
  <c r="Q645" i="14"/>
  <c r="T645" i="14" s="1"/>
  <c r="L642" i="14"/>
  <c r="O642" i="14" s="1"/>
  <c r="O643" i="14"/>
  <c r="K626" i="14"/>
  <c r="M616" i="14"/>
  <c r="P616" i="14" s="1"/>
  <c r="P617" i="14"/>
  <c r="M599" i="14"/>
  <c r="P599" i="14" s="1"/>
  <c r="M576" i="14"/>
  <c r="P576" i="14" s="1"/>
  <c r="M534" i="14"/>
  <c r="P534" i="14" s="1"/>
  <c r="O518" i="14"/>
  <c r="L516" i="14"/>
  <c r="O516" i="14" s="1"/>
  <c r="R513" i="14"/>
  <c r="U513" i="14" s="1"/>
  <c r="L493" i="14"/>
  <c r="O493" i="14" s="1"/>
  <c r="O494" i="14"/>
  <c r="K457" i="14"/>
  <c r="I456" i="14"/>
  <c r="K456" i="14" s="1"/>
  <c r="S416" i="14"/>
  <c r="S415" i="14"/>
  <c r="S413" i="14" s="1"/>
  <c r="U394" i="14"/>
  <c r="R392" i="14"/>
  <c r="U392" i="14" s="1"/>
  <c r="Q356" i="14"/>
  <c r="T356" i="14" s="1"/>
  <c r="L335" i="14"/>
  <c r="O338" i="14"/>
  <c r="O334" i="14"/>
  <c r="Q320" i="14"/>
  <c r="T320" i="14" s="1"/>
  <c r="T322" i="14"/>
  <c r="T268" i="14"/>
  <c r="L323" i="14"/>
  <c r="O323" i="14" s="1"/>
  <c r="O325" i="14"/>
  <c r="L322" i="14"/>
  <c r="O322" i="14" s="1"/>
  <c r="T304" i="14"/>
  <c r="S189" i="1"/>
  <c r="O191" i="12"/>
  <c r="S644" i="13"/>
  <c r="S642" i="13" s="1"/>
  <c r="U498" i="13"/>
  <c r="L339" i="13"/>
  <c r="O339" i="13" s="1"/>
  <c r="L323" i="13"/>
  <c r="O323" i="13" s="1"/>
  <c r="U96" i="13"/>
  <c r="Q72" i="13"/>
  <c r="T72" i="13" s="1"/>
  <c r="K772" i="14"/>
  <c r="T729" i="14"/>
  <c r="S690" i="14"/>
  <c r="S642" i="14"/>
  <c r="S599" i="14"/>
  <c r="S576" i="14"/>
  <c r="S534" i="14"/>
  <c r="R415" i="14"/>
  <c r="U418" i="14"/>
  <c r="Q392" i="14"/>
  <c r="T392" i="14" s="1"/>
  <c r="T393" i="14"/>
  <c r="O321" i="14"/>
  <c r="N305" i="14"/>
  <c r="N303" i="14" s="1"/>
  <c r="N120" i="14"/>
  <c r="N119" i="14"/>
  <c r="N117" i="14" s="1"/>
  <c r="P52" i="14"/>
  <c r="M26" i="14"/>
  <c r="P26" i="14" s="1"/>
  <c r="M50" i="14"/>
  <c r="P50" i="14" s="1"/>
  <c r="R24" i="14"/>
  <c r="U24" i="14" s="1"/>
  <c r="U25" i="14"/>
  <c r="R19" i="14"/>
  <c r="Q692" i="14"/>
  <c r="T695" i="14"/>
  <c r="M555" i="14"/>
  <c r="P555" i="14" s="1"/>
  <c r="P556" i="14"/>
  <c r="O394" i="14"/>
  <c r="L392" i="14"/>
  <c r="O392" i="14" s="1"/>
  <c r="M358" i="14"/>
  <c r="P361" i="14"/>
  <c r="M359" i="14"/>
  <c r="P359" i="14" s="1"/>
  <c r="O518" i="12"/>
  <c r="O341" i="12"/>
  <c r="J702" i="13"/>
  <c r="M358" i="13"/>
  <c r="L254" i="13"/>
  <c r="O254" i="13" s="1"/>
  <c r="I238" i="13"/>
  <c r="K238" i="13" s="1"/>
  <c r="R763" i="14"/>
  <c r="U763" i="14" s="1"/>
  <c r="U691" i="14"/>
  <c r="U643" i="14"/>
  <c r="S619" i="14"/>
  <c r="T621" i="14"/>
  <c r="S618" i="14"/>
  <c r="T618" i="14" s="1"/>
  <c r="R599" i="14"/>
  <c r="U599" i="14" s="1"/>
  <c r="R576" i="14"/>
  <c r="U576" i="14" s="1"/>
  <c r="R534" i="14"/>
  <c r="U534" i="14" s="1"/>
  <c r="T515" i="14"/>
  <c r="Q513" i="14"/>
  <c r="T513" i="14" s="1"/>
  <c r="R493" i="14"/>
  <c r="U493" i="14" s="1"/>
  <c r="U494" i="14"/>
  <c r="S378" i="14"/>
  <c r="T378" i="14" s="1"/>
  <c r="J332" i="14"/>
  <c r="J343" i="14"/>
  <c r="N322" i="14"/>
  <c r="N320" i="14" s="1"/>
  <c r="K302" i="14"/>
  <c r="T144" i="14"/>
  <c r="Q142" i="14"/>
  <c r="T142" i="14" s="1"/>
  <c r="Q141" i="14"/>
  <c r="T141" i="14" s="1"/>
  <c r="O52" i="14"/>
  <c r="L26" i="14"/>
  <c r="O26" i="14" s="1"/>
  <c r="L50" i="14"/>
  <c r="O50" i="14" s="1"/>
  <c r="S19" i="14"/>
  <c r="S762" i="14"/>
  <c r="S760" i="14" s="1"/>
  <c r="M413" i="14"/>
  <c r="P413" i="14" s="1"/>
  <c r="P414" i="14"/>
  <c r="K209" i="12"/>
  <c r="K344" i="13"/>
  <c r="U308" i="13"/>
  <c r="N285" i="13"/>
  <c r="P285" i="13" s="1"/>
  <c r="M272" i="13"/>
  <c r="P272" i="13" s="1"/>
  <c r="P269" i="13"/>
  <c r="S269" i="13"/>
  <c r="T269" i="13" s="1"/>
  <c r="K154" i="13"/>
  <c r="Q119" i="13"/>
  <c r="Q117" i="13" s="1"/>
  <c r="Q120" i="13"/>
  <c r="T120" i="13" s="1"/>
  <c r="P77" i="13"/>
  <c r="M61" i="13"/>
  <c r="M59" i="13" s="1"/>
  <c r="T763" i="14"/>
  <c r="M760" i="14"/>
  <c r="P760" i="14" s="1"/>
  <c r="L760" i="14"/>
  <c r="O760" i="14" s="1"/>
  <c r="M714" i="14"/>
  <c r="P714" i="14" s="1"/>
  <c r="J701" i="14"/>
  <c r="R693" i="14"/>
  <c r="R692" i="14"/>
  <c r="U692" i="14" s="1"/>
  <c r="U695" i="14"/>
  <c r="R645" i="14"/>
  <c r="U645" i="14" s="1"/>
  <c r="R644" i="14"/>
  <c r="U644" i="14" s="1"/>
  <c r="U647" i="14"/>
  <c r="R618" i="14"/>
  <c r="U621" i="14"/>
  <c r="Q599" i="14"/>
  <c r="T599" i="14" s="1"/>
  <c r="T600" i="14"/>
  <c r="Q576" i="14"/>
  <c r="T576" i="14" s="1"/>
  <c r="T577" i="14"/>
  <c r="Q534" i="14"/>
  <c r="T534" i="14" s="1"/>
  <c r="T535" i="14"/>
  <c r="T494" i="14"/>
  <c r="R416" i="14"/>
  <c r="U416" i="14" s="1"/>
  <c r="R320" i="14"/>
  <c r="U320" i="14" s="1"/>
  <c r="U321" i="14"/>
  <c r="U304" i="14"/>
  <c r="R303" i="14"/>
  <c r="K293" i="14"/>
  <c r="Q282" i="14"/>
  <c r="T282" i="14" s="1"/>
  <c r="T283" i="14"/>
  <c r="K153" i="14"/>
  <c r="I138" i="14"/>
  <c r="K138" i="14" s="1"/>
  <c r="O62" i="13"/>
  <c r="P761" i="14"/>
  <c r="T733" i="14"/>
  <c r="U729" i="14"/>
  <c r="O729" i="14"/>
  <c r="U715" i="14"/>
  <c r="O715" i="14"/>
  <c r="K629" i="14"/>
  <c r="U600" i="14"/>
  <c r="O600" i="14"/>
  <c r="U577" i="14"/>
  <c r="O577" i="14"/>
  <c r="U535" i="14"/>
  <c r="O535" i="14"/>
  <c r="P518" i="14"/>
  <c r="U498" i="14"/>
  <c r="K371" i="14"/>
  <c r="P364" i="14"/>
  <c r="P338" i="14"/>
  <c r="P311" i="14"/>
  <c r="P287" i="14"/>
  <c r="Q266" i="14"/>
  <c r="T267" i="14"/>
  <c r="L203" i="14"/>
  <c r="O203" i="14" s="1"/>
  <c r="R139" i="14"/>
  <c r="U139" i="14" s="1"/>
  <c r="T96" i="14"/>
  <c r="Q94" i="14"/>
  <c r="T94" i="14" s="1"/>
  <c r="P73" i="14"/>
  <c r="U22" i="14"/>
  <c r="U305" i="14"/>
  <c r="K292" i="14"/>
  <c r="O287" i="14"/>
  <c r="N285" i="14"/>
  <c r="P271" i="14"/>
  <c r="M269" i="14"/>
  <c r="P269" i="14" s="1"/>
  <c r="M179" i="14"/>
  <c r="P179" i="14" s="1"/>
  <c r="P181" i="14"/>
  <c r="R173" i="14"/>
  <c r="U173" i="14" s="1"/>
  <c r="N163" i="14"/>
  <c r="N26" i="14"/>
  <c r="N24" i="14" s="1"/>
  <c r="L61" i="14"/>
  <c r="P274" i="14"/>
  <c r="M272" i="14"/>
  <c r="P272" i="14" s="1"/>
  <c r="O271" i="14"/>
  <c r="L269" i="14"/>
  <c r="O269" i="14" s="1"/>
  <c r="M268" i="14"/>
  <c r="U188" i="14"/>
  <c r="T158" i="14"/>
  <c r="Q157" i="14"/>
  <c r="T157" i="14" s="1"/>
  <c r="U74" i="14"/>
  <c r="R72" i="14"/>
  <c r="O67" i="14"/>
  <c r="L65" i="14"/>
  <c r="O65" i="14" s="1"/>
  <c r="Q305" i="14"/>
  <c r="T305" i="14" s="1"/>
  <c r="K280" i="14"/>
  <c r="O274" i="14"/>
  <c r="L272" i="14"/>
  <c r="O272" i="14" s="1"/>
  <c r="T271" i="14"/>
  <c r="S269" i="14"/>
  <c r="L268" i="14"/>
  <c r="K230" i="14"/>
  <c r="L222" i="14"/>
  <c r="O222" i="14" s="1"/>
  <c r="T191" i="14"/>
  <c r="Q189" i="14"/>
  <c r="O189" i="14"/>
  <c r="K183" i="14"/>
  <c r="I172" i="14"/>
  <c r="K172" i="14" s="1"/>
  <c r="M46" i="14"/>
  <c r="M44" i="14" s="1"/>
  <c r="P325" i="14"/>
  <c r="U191" i="14"/>
  <c r="O191" i="14"/>
  <c r="O178" i="14"/>
  <c r="N159" i="14"/>
  <c r="N157" i="14" s="1"/>
  <c r="P158" i="14"/>
  <c r="P144" i="14"/>
  <c r="M142" i="14"/>
  <c r="T140" i="14"/>
  <c r="P118" i="14"/>
  <c r="U96" i="14"/>
  <c r="S72" i="14"/>
  <c r="K260" i="14"/>
  <c r="L243" i="14"/>
  <c r="K220" i="14"/>
  <c r="K198" i="14"/>
  <c r="N188" i="14"/>
  <c r="N175" i="14"/>
  <c r="N173" i="14" s="1"/>
  <c r="O158" i="14"/>
  <c r="O147" i="14"/>
  <c r="L145" i="14"/>
  <c r="O145" i="14" s="1"/>
  <c r="O144" i="14"/>
  <c r="L142" i="14"/>
  <c r="O118" i="14"/>
  <c r="T99" i="14"/>
  <c r="Q97" i="14"/>
  <c r="O19" i="14"/>
  <c r="M175" i="14"/>
  <c r="P174" i="14"/>
  <c r="P162" i="14"/>
  <c r="M160" i="14"/>
  <c r="P160" i="14" s="1"/>
  <c r="L141" i="14"/>
  <c r="P60" i="14"/>
  <c r="P25" i="14"/>
  <c r="P22" i="14"/>
  <c r="L175" i="14"/>
  <c r="R157" i="14"/>
  <c r="U157" i="14" s="1"/>
  <c r="U158" i="14"/>
  <c r="U144" i="14"/>
  <c r="R142" i="14"/>
  <c r="U142" i="14" s="1"/>
  <c r="R117" i="14"/>
  <c r="U118" i="14"/>
  <c r="I82" i="14"/>
  <c r="P67" i="14"/>
  <c r="M65" i="14"/>
  <c r="P65" i="14" s="1"/>
  <c r="M61" i="14"/>
  <c r="M59" i="14" s="1"/>
  <c r="P45" i="14"/>
  <c r="O25" i="14"/>
  <c r="N23" i="14"/>
  <c r="O22" i="14"/>
  <c r="S119" i="14"/>
  <c r="M119" i="14"/>
  <c r="P119" i="14" s="1"/>
  <c r="N74" i="14"/>
  <c r="N72" i="14" s="1"/>
  <c r="N61" i="14"/>
  <c r="N59" i="14" s="1"/>
  <c r="N46" i="14"/>
  <c r="S23" i="14"/>
  <c r="S20" i="14" s="1"/>
  <c r="M23" i="14"/>
  <c r="Q19" i="14"/>
  <c r="R23" i="14"/>
  <c r="R21" i="14" s="1"/>
  <c r="L23" i="14"/>
  <c r="L21" i="14" s="1"/>
  <c r="M123" i="14"/>
  <c r="P123" i="14" s="1"/>
  <c r="M120" i="14"/>
  <c r="P120" i="14" s="1"/>
  <c r="Q23" i="14"/>
  <c r="Q728" i="13"/>
  <c r="R731" i="11"/>
  <c r="U731" i="11" s="1"/>
  <c r="K631" i="11"/>
  <c r="T695" i="12"/>
  <c r="K629" i="12"/>
  <c r="O328" i="12"/>
  <c r="N284" i="12"/>
  <c r="N282" i="12" s="1"/>
  <c r="O47" i="12"/>
  <c r="T763" i="13"/>
  <c r="K220" i="13"/>
  <c r="I213" i="13"/>
  <c r="K213" i="13" s="1"/>
  <c r="O191" i="11"/>
  <c r="I238" i="12"/>
  <c r="K238" i="12" s="1"/>
  <c r="P178" i="12"/>
  <c r="K784" i="13"/>
  <c r="K779" i="13"/>
  <c r="Q762" i="13"/>
  <c r="S731" i="13"/>
  <c r="P729" i="13"/>
  <c r="S692" i="13"/>
  <c r="T692" i="13" s="1"/>
  <c r="S693" i="13"/>
  <c r="U693" i="13" s="1"/>
  <c r="R599" i="13"/>
  <c r="U599" i="13" s="1"/>
  <c r="Q496" i="13"/>
  <c r="T496" i="13" s="1"/>
  <c r="T498" i="13"/>
  <c r="M288" i="13"/>
  <c r="P288" i="13" s="1"/>
  <c r="P290" i="13"/>
  <c r="S157" i="13"/>
  <c r="K314" i="11"/>
  <c r="M642" i="13"/>
  <c r="P642" i="13" s="1"/>
  <c r="L534" i="13"/>
  <c r="O534" i="13" s="1"/>
  <c r="O535" i="13"/>
  <c r="I202" i="13"/>
  <c r="K202" i="13" s="1"/>
  <c r="K209" i="13"/>
  <c r="R186" i="13"/>
  <c r="K781" i="13"/>
  <c r="T765" i="13"/>
  <c r="M760" i="13"/>
  <c r="P760" i="13" s="1"/>
  <c r="T733" i="13"/>
  <c r="Q731" i="13"/>
  <c r="K727" i="13"/>
  <c r="R714" i="13"/>
  <c r="U714" i="13" s="1"/>
  <c r="N714" i="13"/>
  <c r="Q644" i="13"/>
  <c r="T644" i="13" s="1"/>
  <c r="Q645" i="13"/>
  <c r="T645" i="13" s="1"/>
  <c r="T647" i="13"/>
  <c r="L375" i="13"/>
  <c r="O375" i="13" s="1"/>
  <c r="P338" i="13"/>
  <c r="M336" i="13"/>
  <c r="P336" i="13" s="1"/>
  <c r="P178" i="11"/>
  <c r="I759" i="12"/>
  <c r="K759" i="12" s="1"/>
  <c r="S730" i="12"/>
  <c r="S728" i="12" s="1"/>
  <c r="J702" i="12"/>
  <c r="L141" i="12"/>
  <c r="L139" i="12" s="1"/>
  <c r="R142" i="12"/>
  <c r="U142" i="12" s="1"/>
  <c r="U77" i="12"/>
  <c r="K707" i="13"/>
  <c r="I689" i="13"/>
  <c r="K689" i="13" s="1"/>
  <c r="N690" i="13"/>
  <c r="U321" i="13"/>
  <c r="R320" i="13"/>
  <c r="U320" i="13" s="1"/>
  <c r="L309" i="13"/>
  <c r="O309" i="13" s="1"/>
  <c r="O311" i="13"/>
  <c r="U271" i="13"/>
  <c r="R269" i="13"/>
  <c r="L243" i="13"/>
  <c r="O243" i="13" s="1"/>
  <c r="L233" i="13"/>
  <c r="K661" i="11"/>
  <c r="K784" i="12"/>
  <c r="K781" i="12"/>
  <c r="K778" i="12"/>
  <c r="K630" i="12"/>
  <c r="P290" i="12"/>
  <c r="L192" i="12"/>
  <c r="O192" i="12" s="1"/>
  <c r="R189" i="12"/>
  <c r="P147" i="12"/>
  <c r="P80" i="12"/>
  <c r="S714" i="13"/>
  <c r="T515" i="13"/>
  <c r="Q513" i="13"/>
  <c r="T513" i="13" s="1"/>
  <c r="L392" i="13"/>
  <c r="O392" i="13" s="1"/>
  <c r="O393" i="13"/>
  <c r="I302" i="13"/>
  <c r="K302" i="13" s="1"/>
  <c r="K314" i="13"/>
  <c r="N305" i="13"/>
  <c r="N303" i="13" s="1"/>
  <c r="N306" i="13"/>
  <c r="N175" i="13"/>
  <c r="N173" i="13" s="1"/>
  <c r="N176" i="13"/>
  <c r="O176" i="13" s="1"/>
  <c r="K152" i="13"/>
  <c r="I137" i="13"/>
  <c r="K137" i="13" s="1"/>
  <c r="L50" i="13"/>
  <c r="O50" i="13" s="1"/>
  <c r="O52" i="13"/>
  <c r="K709" i="13"/>
  <c r="J701" i="13"/>
  <c r="O643" i="13"/>
  <c r="N616" i="13"/>
  <c r="P617" i="13"/>
  <c r="M599" i="13"/>
  <c r="P599" i="13" s="1"/>
  <c r="O577" i="13"/>
  <c r="M555" i="13"/>
  <c r="P555" i="13" s="1"/>
  <c r="P361" i="13"/>
  <c r="U357" i="13"/>
  <c r="J351" i="13"/>
  <c r="K346" i="13"/>
  <c r="P341" i="13"/>
  <c r="O338" i="13"/>
  <c r="Q320" i="13"/>
  <c r="T320" i="13" s="1"/>
  <c r="T308" i="13"/>
  <c r="S306" i="13"/>
  <c r="K260" i="13"/>
  <c r="K249" i="13"/>
  <c r="K198" i="13"/>
  <c r="T191" i="13"/>
  <c r="M189" i="13"/>
  <c r="U178" i="13"/>
  <c r="P178" i="13"/>
  <c r="N159" i="13"/>
  <c r="N157" i="13" s="1"/>
  <c r="U144" i="13"/>
  <c r="N141" i="13"/>
  <c r="N139" i="13" s="1"/>
  <c r="M141" i="13"/>
  <c r="P141" i="13" s="1"/>
  <c r="N119" i="13"/>
  <c r="N117" i="13" s="1"/>
  <c r="U99" i="13"/>
  <c r="M96" i="13"/>
  <c r="P96" i="13" s="1"/>
  <c r="S97" i="13"/>
  <c r="L78" i="13"/>
  <c r="O78" i="13" s="1"/>
  <c r="R72" i="13"/>
  <c r="U72" i="13" s="1"/>
  <c r="P49" i="13"/>
  <c r="S44" i="13"/>
  <c r="U25" i="13"/>
  <c r="L599" i="13"/>
  <c r="O599" i="13" s="1"/>
  <c r="N576" i="13"/>
  <c r="S534" i="13"/>
  <c r="K195" i="13"/>
  <c r="M163" i="13"/>
  <c r="P163" i="13" s="1"/>
  <c r="S160" i="13"/>
  <c r="I156" i="13"/>
  <c r="K156" i="13" s="1"/>
  <c r="L96" i="13"/>
  <c r="O96" i="13" s="1"/>
  <c r="R75" i="13"/>
  <c r="U75" i="13" s="1"/>
  <c r="R44" i="13"/>
  <c r="U44" i="13" s="1"/>
  <c r="K615" i="13"/>
  <c r="N599" i="13"/>
  <c r="U577" i="13"/>
  <c r="N515" i="13"/>
  <c r="N513" i="13" s="1"/>
  <c r="M362" i="13"/>
  <c r="P362" i="13" s="1"/>
  <c r="S282" i="13"/>
  <c r="Q282" i="13"/>
  <c r="T282" i="13" s="1"/>
  <c r="L272" i="13"/>
  <c r="O272" i="13" s="1"/>
  <c r="J231" i="13"/>
  <c r="J185" i="13" s="1"/>
  <c r="L141" i="13"/>
  <c r="R142" i="13"/>
  <c r="U142" i="13" s="1"/>
  <c r="L74" i="13"/>
  <c r="O74" i="13" s="1"/>
  <c r="Q24" i="13"/>
  <c r="T24" i="13" s="1"/>
  <c r="N19" i="13"/>
  <c r="K705" i="13"/>
  <c r="I701" i="13"/>
  <c r="U695" i="13"/>
  <c r="S576" i="13"/>
  <c r="Q555" i="13"/>
  <c r="T555" i="13" s="1"/>
  <c r="J457" i="13"/>
  <c r="J456" i="13" s="1"/>
  <c r="L362" i="13"/>
  <c r="O362" i="13" s="1"/>
  <c r="I319" i="13"/>
  <c r="K319" i="13" s="1"/>
  <c r="P287" i="13"/>
  <c r="L235" i="13"/>
  <c r="I242" i="13"/>
  <c r="I231" i="13" s="1"/>
  <c r="K231" i="13" s="1"/>
  <c r="L214" i="13"/>
  <c r="O214" i="13" s="1"/>
  <c r="L188" i="13"/>
  <c r="U122" i="13"/>
  <c r="R119" i="13"/>
  <c r="R117" i="13" s="1"/>
  <c r="L75" i="13"/>
  <c r="O75" i="13" s="1"/>
  <c r="L61" i="13"/>
  <c r="L59" i="13" s="1"/>
  <c r="L46" i="13"/>
  <c r="L44" i="13" s="1"/>
  <c r="T695" i="13"/>
  <c r="Q693" i="13"/>
  <c r="J675" i="13"/>
  <c r="K631" i="13"/>
  <c r="T535" i="13"/>
  <c r="O521" i="13"/>
  <c r="L515" i="13"/>
  <c r="O515" i="13" s="1"/>
  <c r="R513" i="13"/>
  <c r="U513" i="13" s="1"/>
  <c r="M359" i="13"/>
  <c r="Q356" i="13"/>
  <c r="T356" i="13" s="1"/>
  <c r="O336" i="13"/>
  <c r="N335" i="13"/>
  <c r="N333" i="13" s="1"/>
  <c r="N322" i="13"/>
  <c r="N320" i="13" s="1"/>
  <c r="N323" i="13"/>
  <c r="M309" i="13"/>
  <c r="P309" i="13" s="1"/>
  <c r="O308" i="13"/>
  <c r="K280" i="13"/>
  <c r="S266" i="13"/>
  <c r="L222" i="13"/>
  <c r="O222" i="13" s="1"/>
  <c r="L203" i="13"/>
  <c r="O203" i="13" s="1"/>
  <c r="O178" i="13"/>
  <c r="R175" i="13"/>
  <c r="U175" i="13" s="1"/>
  <c r="M145" i="13"/>
  <c r="P145" i="13" s="1"/>
  <c r="P144" i="13"/>
  <c r="L142" i="13"/>
  <c r="O142" i="13" s="1"/>
  <c r="L119" i="13"/>
  <c r="L117" i="13" s="1"/>
  <c r="O117" i="13" s="1"/>
  <c r="O99" i="13"/>
  <c r="T73" i="13"/>
  <c r="O67" i="13"/>
  <c r="Q59" i="13"/>
  <c r="T59" i="13" s="1"/>
  <c r="R59" i="13"/>
  <c r="U59" i="13" s="1"/>
  <c r="S728" i="13"/>
  <c r="U730" i="13"/>
  <c r="R644" i="13"/>
  <c r="U644" i="13" s="1"/>
  <c r="N516" i="13"/>
  <c r="K385" i="13"/>
  <c r="I374" i="13"/>
  <c r="K374" i="13" s="1"/>
  <c r="P359" i="6"/>
  <c r="K709" i="9"/>
  <c r="K679" i="9"/>
  <c r="L288" i="10"/>
  <c r="O288" i="10" s="1"/>
  <c r="K630" i="11"/>
  <c r="I242" i="11"/>
  <c r="K242" i="11" s="1"/>
  <c r="U733" i="12"/>
  <c r="K726" i="12"/>
  <c r="K705" i="12"/>
  <c r="R644" i="12"/>
  <c r="U644" i="12" s="1"/>
  <c r="U619" i="12"/>
  <c r="K386" i="12"/>
  <c r="K369" i="12"/>
  <c r="L358" i="12"/>
  <c r="L356" i="12" s="1"/>
  <c r="N358" i="12"/>
  <c r="N356" i="12" s="1"/>
  <c r="K344" i="12"/>
  <c r="K314" i="12"/>
  <c r="I242" i="12"/>
  <c r="I231" i="12" s="1"/>
  <c r="K231" i="12" s="1"/>
  <c r="P194" i="12"/>
  <c r="K772" i="13"/>
  <c r="R763" i="13"/>
  <c r="U763" i="13" s="1"/>
  <c r="T761" i="13"/>
  <c r="T730" i="13"/>
  <c r="L728" i="13"/>
  <c r="O728" i="13" s="1"/>
  <c r="K632" i="13"/>
  <c r="Q599" i="13"/>
  <c r="T599" i="13" s="1"/>
  <c r="T556" i="13"/>
  <c r="M534" i="13"/>
  <c r="P534" i="13" s="1"/>
  <c r="M519" i="13"/>
  <c r="P519" i="13" s="1"/>
  <c r="M515" i="13"/>
  <c r="P515" i="13" s="1"/>
  <c r="S415" i="13"/>
  <c r="S413" i="13" s="1"/>
  <c r="I412" i="13"/>
  <c r="K412" i="13" s="1"/>
  <c r="S377" i="13"/>
  <c r="S375" i="13" s="1"/>
  <c r="N232" i="13"/>
  <c r="U96" i="10"/>
  <c r="K705" i="11"/>
  <c r="J674" i="11"/>
  <c r="K674" i="11" s="1"/>
  <c r="S496" i="11"/>
  <c r="I253" i="11"/>
  <c r="K253" i="11" s="1"/>
  <c r="I221" i="11"/>
  <c r="K221" i="11" s="1"/>
  <c r="U162" i="11"/>
  <c r="O144" i="11"/>
  <c r="J674" i="12"/>
  <c r="T378" i="12"/>
  <c r="K169" i="12"/>
  <c r="P99" i="12"/>
  <c r="U733" i="13"/>
  <c r="R728" i="13"/>
  <c r="U621" i="13"/>
  <c r="S555" i="13"/>
  <c r="L516" i="13"/>
  <c r="O516" i="13" s="1"/>
  <c r="J503" i="13"/>
  <c r="J492" i="13" s="1"/>
  <c r="L493" i="13"/>
  <c r="O493" i="13" s="1"/>
  <c r="I456" i="13"/>
  <c r="K456" i="13" s="1"/>
  <c r="K440" i="13"/>
  <c r="R415" i="13"/>
  <c r="R416" i="13"/>
  <c r="U416" i="13" s="1"/>
  <c r="U418" i="13"/>
  <c r="Q392" i="13"/>
  <c r="T392" i="13" s="1"/>
  <c r="T393" i="13"/>
  <c r="O267" i="13"/>
  <c r="O328" i="10"/>
  <c r="S415" i="12"/>
  <c r="S413" i="12" s="1"/>
  <c r="Q714" i="13"/>
  <c r="T714" i="13" s="1"/>
  <c r="R692" i="13"/>
  <c r="Q690" i="13"/>
  <c r="U647" i="13"/>
  <c r="K626" i="13"/>
  <c r="K630" i="13"/>
  <c r="S618" i="13"/>
  <c r="T617" i="13"/>
  <c r="L555" i="13"/>
  <c r="O555" i="13" s="1"/>
  <c r="U515" i="13"/>
  <c r="Q415" i="13"/>
  <c r="T418" i="13"/>
  <c r="R377" i="13"/>
  <c r="U380" i="13"/>
  <c r="O357" i="13"/>
  <c r="T305" i="13"/>
  <c r="Q303" i="13"/>
  <c r="K785" i="12"/>
  <c r="K779" i="12"/>
  <c r="J701" i="12"/>
  <c r="Q693" i="12"/>
  <c r="T693" i="12" s="1"/>
  <c r="K371" i="12"/>
  <c r="L203" i="12"/>
  <c r="O203" i="12" s="1"/>
  <c r="Q186" i="12"/>
  <c r="R97" i="12"/>
  <c r="U97" i="12" s="1"/>
  <c r="I759" i="13"/>
  <c r="K759" i="13" s="1"/>
  <c r="K629" i="13"/>
  <c r="Q576" i="13"/>
  <c r="T576" i="13" s="1"/>
  <c r="P514" i="13"/>
  <c r="R493" i="13"/>
  <c r="U493" i="13" s="1"/>
  <c r="N413" i="13"/>
  <c r="J343" i="13"/>
  <c r="J332" i="13"/>
  <c r="K332" i="13" s="1"/>
  <c r="N288" i="1"/>
  <c r="P178" i="8"/>
  <c r="K229" i="10"/>
  <c r="P49" i="10"/>
  <c r="K784" i="11"/>
  <c r="K778" i="11"/>
  <c r="J701" i="11"/>
  <c r="K369" i="11"/>
  <c r="J351" i="11"/>
  <c r="K346" i="11"/>
  <c r="K772" i="12"/>
  <c r="U621" i="12"/>
  <c r="K346" i="12"/>
  <c r="I281" i="12"/>
  <c r="K281" i="12" s="1"/>
  <c r="L214" i="12"/>
  <c r="O214" i="12" s="1"/>
  <c r="O178" i="12"/>
  <c r="N159" i="12"/>
  <c r="N157" i="12" s="1"/>
  <c r="L96" i="12"/>
  <c r="O96" i="12" s="1"/>
  <c r="U765" i="13"/>
  <c r="M714" i="13"/>
  <c r="P714" i="13" s="1"/>
  <c r="L690" i="13"/>
  <c r="O690" i="13" s="1"/>
  <c r="Q618" i="13"/>
  <c r="T621" i="13"/>
  <c r="Q619" i="13"/>
  <c r="T619" i="13" s="1"/>
  <c r="L616" i="13"/>
  <c r="O616" i="13" s="1"/>
  <c r="R555" i="13"/>
  <c r="U555" i="13" s="1"/>
  <c r="O518" i="13"/>
  <c r="Q495" i="13"/>
  <c r="T495" i="13" s="1"/>
  <c r="Q416" i="13"/>
  <c r="T416" i="13" s="1"/>
  <c r="L413" i="13"/>
  <c r="O413" i="13" s="1"/>
  <c r="M392" i="13"/>
  <c r="P392" i="13" s="1"/>
  <c r="P393" i="13"/>
  <c r="I492" i="13"/>
  <c r="K492" i="13" s="1"/>
  <c r="M375" i="13"/>
  <c r="P375" i="13" s="1"/>
  <c r="P328" i="13"/>
  <c r="P325" i="13"/>
  <c r="O290" i="13"/>
  <c r="L288" i="13"/>
  <c r="O288" i="13" s="1"/>
  <c r="U267" i="13"/>
  <c r="T203" i="13"/>
  <c r="U188" i="13"/>
  <c r="P174" i="13"/>
  <c r="R160" i="13"/>
  <c r="U160" i="13" s="1"/>
  <c r="U162" i="13"/>
  <c r="R159" i="13"/>
  <c r="U159" i="13" s="1"/>
  <c r="K84" i="13"/>
  <c r="I82" i="13"/>
  <c r="S24" i="13"/>
  <c r="S19" i="13"/>
  <c r="N359" i="13"/>
  <c r="O361" i="13"/>
  <c r="P304" i="13"/>
  <c r="P283" i="13"/>
  <c r="S173" i="13"/>
  <c r="Q94" i="13"/>
  <c r="T96" i="13"/>
  <c r="K87" i="13"/>
  <c r="I83" i="13"/>
  <c r="S75" i="13"/>
  <c r="S23" i="13"/>
  <c r="S20" i="13" s="1"/>
  <c r="S74" i="13"/>
  <c r="S72" i="13" s="1"/>
  <c r="M62" i="13"/>
  <c r="P62" i="13" s="1"/>
  <c r="P64" i="13"/>
  <c r="M322" i="13"/>
  <c r="P322" i="13" s="1"/>
  <c r="O191" i="13"/>
  <c r="L189" i="13"/>
  <c r="I365" i="13"/>
  <c r="K365" i="13" s="1"/>
  <c r="S303" i="13"/>
  <c r="K265" i="13"/>
  <c r="P271" i="13"/>
  <c r="S94" i="13"/>
  <c r="M26" i="13"/>
  <c r="P26" i="13" s="1"/>
  <c r="M50" i="13"/>
  <c r="P50" i="13" s="1"/>
  <c r="P52" i="13"/>
  <c r="M413" i="13"/>
  <c r="P413" i="13" s="1"/>
  <c r="T321" i="13"/>
  <c r="N268" i="13"/>
  <c r="N266" i="13" s="1"/>
  <c r="O194" i="13"/>
  <c r="L192" i="13"/>
  <c r="O192" i="13" s="1"/>
  <c r="U191" i="13"/>
  <c r="R189" i="13"/>
  <c r="T178" i="13"/>
  <c r="Q175" i="13"/>
  <c r="T175" i="13" s="1"/>
  <c r="M335" i="13"/>
  <c r="L322" i="13"/>
  <c r="K293" i="13"/>
  <c r="M268" i="13"/>
  <c r="Q188" i="13"/>
  <c r="I169" i="13"/>
  <c r="K169" i="13" s="1"/>
  <c r="Q160" i="13"/>
  <c r="T160" i="13" s="1"/>
  <c r="P125" i="13"/>
  <c r="M123" i="13"/>
  <c r="P123" i="13" s="1"/>
  <c r="N96" i="13"/>
  <c r="N94" i="13" s="1"/>
  <c r="P80" i="13"/>
  <c r="L335" i="13"/>
  <c r="M305" i="13"/>
  <c r="P305" i="13" s="1"/>
  <c r="M284" i="13"/>
  <c r="R268" i="13"/>
  <c r="U268" i="13" s="1"/>
  <c r="L268" i="13"/>
  <c r="O268" i="13" s="1"/>
  <c r="K229" i="13"/>
  <c r="P191" i="13"/>
  <c r="M179" i="13"/>
  <c r="P179" i="13" s="1"/>
  <c r="I168" i="13"/>
  <c r="K168" i="13" s="1"/>
  <c r="Q159" i="13"/>
  <c r="P122" i="13"/>
  <c r="M120" i="13"/>
  <c r="P120" i="13" s="1"/>
  <c r="S119" i="13"/>
  <c r="S59" i="13"/>
  <c r="O47" i="13"/>
  <c r="R305" i="13"/>
  <c r="U305" i="13" s="1"/>
  <c r="L305" i="13"/>
  <c r="O305" i="13" s="1"/>
  <c r="L284" i="13"/>
  <c r="Q268" i="13"/>
  <c r="T268" i="13" s="1"/>
  <c r="S186" i="13"/>
  <c r="M176" i="13"/>
  <c r="M175" i="13"/>
  <c r="L163" i="13"/>
  <c r="O163" i="13" s="1"/>
  <c r="L26" i="13"/>
  <c r="O26" i="13" s="1"/>
  <c r="S141" i="13"/>
  <c r="S139" i="13" s="1"/>
  <c r="I93" i="13"/>
  <c r="K93" i="13" s="1"/>
  <c r="K109" i="13"/>
  <c r="T334" i="13"/>
  <c r="U304" i="13"/>
  <c r="O304" i="13"/>
  <c r="U283" i="13"/>
  <c r="O283" i="13"/>
  <c r="T267" i="13"/>
  <c r="L175" i="13"/>
  <c r="M160" i="13"/>
  <c r="P160" i="13" s="1"/>
  <c r="M159" i="13"/>
  <c r="R120" i="13"/>
  <c r="U120" i="13" s="1"/>
  <c r="R23" i="13"/>
  <c r="R94" i="13"/>
  <c r="N75" i="13"/>
  <c r="N74" i="13"/>
  <c r="N72" i="13" s="1"/>
  <c r="P47" i="13"/>
  <c r="P22" i="13"/>
  <c r="M19" i="13"/>
  <c r="O181" i="13"/>
  <c r="S176" i="13"/>
  <c r="I172" i="13"/>
  <c r="K172" i="13" s="1"/>
  <c r="L160" i="13"/>
  <c r="O160" i="13" s="1"/>
  <c r="L23" i="13"/>
  <c r="L21" i="13" s="1"/>
  <c r="L159" i="13"/>
  <c r="L157" i="13" s="1"/>
  <c r="T144" i="13"/>
  <c r="Q142" i="13"/>
  <c r="T142" i="13" s="1"/>
  <c r="Q139" i="13"/>
  <c r="T139" i="13" s="1"/>
  <c r="I138" i="13"/>
  <c r="K138" i="13" s="1"/>
  <c r="O125" i="13"/>
  <c r="M119" i="13"/>
  <c r="P119" i="13" s="1"/>
  <c r="P118" i="13"/>
  <c r="I116" i="13"/>
  <c r="K116" i="13" s="1"/>
  <c r="K92" i="13"/>
  <c r="T99" i="13"/>
  <c r="M74" i="13"/>
  <c r="P74" i="13" s="1"/>
  <c r="P67" i="13"/>
  <c r="N26" i="13"/>
  <c r="N24" i="13" s="1"/>
  <c r="P25" i="13"/>
  <c r="N142" i="13"/>
  <c r="T122" i="13"/>
  <c r="P99" i="13"/>
  <c r="R97" i="13"/>
  <c r="L97" i="13"/>
  <c r="O97" i="13" s="1"/>
  <c r="U77" i="13"/>
  <c r="O77" i="13"/>
  <c r="Q75" i="13"/>
  <c r="T75" i="13" s="1"/>
  <c r="O64" i="13"/>
  <c r="N50" i="13"/>
  <c r="O49" i="13"/>
  <c r="N23" i="13"/>
  <c r="R19" i="13"/>
  <c r="L19" i="13"/>
  <c r="N61" i="13"/>
  <c r="N46" i="13"/>
  <c r="M23" i="13"/>
  <c r="Q19" i="13"/>
  <c r="M46" i="13"/>
  <c r="Q23" i="13"/>
  <c r="J615" i="12"/>
  <c r="K626" i="12"/>
  <c r="S493" i="12"/>
  <c r="N74" i="12"/>
  <c r="N72" i="12" s="1"/>
  <c r="N74" i="9"/>
  <c r="N72" i="9" s="1"/>
  <c r="T418" i="11"/>
  <c r="L234" i="11"/>
  <c r="L65" i="11"/>
  <c r="O65" i="11" s="1"/>
  <c r="M760" i="12"/>
  <c r="P760" i="12" s="1"/>
  <c r="T733" i="12"/>
  <c r="Q731" i="12"/>
  <c r="T731" i="12" s="1"/>
  <c r="N728" i="12"/>
  <c r="Q714" i="12"/>
  <c r="T714" i="12" s="1"/>
  <c r="S692" i="12"/>
  <c r="S690" i="12" s="1"/>
  <c r="N534" i="12"/>
  <c r="T498" i="12"/>
  <c r="S496" i="12"/>
  <c r="N392" i="12"/>
  <c r="S377" i="12"/>
  <c r="S375" i="12" s="1"/>
  <c r="T357" i="12"/>
  <c r="P341" i="12"/>
  <c r="P325" i="12"/>
  <c r="M284" i="12"/>
  <c r="Q282" i="12"/>
  <c r="T282" i="12" s="1"/>
  <c r="M268" i="12"/>
  <c r="M266" i="12" s="1"/>
  <c r="S269" i="12"/>
  <c r="P267" i="12"/>
  <c r="L235" i="12"/>
  <c r="L234" i="12"/>
  <c r="K202" i="12"/>
  <c r="L188" i="12"/>
  <c r="L186" i="12" s="1"/>
  <c r="Q189" i="12"/>
  <c r="N175" i="12"/>
  <c r="N173" i="12" s="1"/>
  <c r="M163" i="12"/>
  <c r="P163" i="12" s="1"/>
  <c r="M159" i="12"/>
  <c r="M157" i="12" s="1"/>
  <c r="N160" i="12"/>
  <c r="K137" i="12"/>
  <c r="P102" i="12"/>
  <c r="N96" i="12"/>
  <c r="N94" i="12" s="1"/>
  <c r="I92" i="12"/>
  <c r="K92" i="12" s="1"/>
  <c r="M74" i="12"/>
  <c r="S75" i="12"/>
  <c r="U75" i="12" s="1"/>
  <c r="S72" i="12"/>
  <c r="N46" i="12"/>
  <c r="N44" i="12" s="1"/>
  <c r="S44" i="12"/>
  <c r="Q19" i="12"/>
  <c r="U188" i="9"/>
  <c r="K780" i="12"/>
  <c r="P730" i="12"/>
  <c r="U693" i="12"/>
  <c r="Q513" i="12"/>
  <c r="T513" i="12" s="1"/>
  <c r="R496" i="12"/>
  <c r="U496" i="12" s="1"/>
  <c r="K368" i="12"/>
  <c r="M358" i="12"/>
  <c r="L335" i="12"/>
  <c r="L333" i="12" s="1"/>
  <c r="N322" i="12"/>
  <c r="N320" i="12" s="1"/>
  <c r="M305" i="12"/>
  <c r="P305" i="12" s="1"/>
  <c r="Q306" i="12"/>
  <c r="L284" i="12"/>
  <c r="L282" i="12" s="1"/>
  <c r="M272" i="12"/>
  <c r="P272" i="12" s="1"/>
  <c r="L268" i="12"/>
  <c r="O268" i="12" s="1"/>
  <c r="P269" i="12"/>
  <c r="L233" i="12"/>
  <c r="K220" i="12"/>
  <c r="M175" i="12"/>
  <c r="M173" i="12" s="1"/>
  <c r="S176" i="12"/>
  <c r="L160" i="12"/>
  <c r="O160" i="12" s="1"/>
  <c r="L142" i="12"/>
  <c r="P122" i="12"/>
  <c r="K109" i="12"/>
  <c r="Q75" i="12"/>
  <c r="P64" i="12"/>
  <c r="N62" i="12"/>
  <c r="O62" i="12" s="1"/>
  <c r="M46" i="12"/>
  <c r="M44" i="12" s="1"/>
  <c r="R44" i="12"/>
  <c r="U44" i="12" s="1"/>
  <c r="Q24" i="12"/>
  <c r="T24" i="12" s="1"/>
  <c r="N75" i="1"/>
  <c r="N285" i="12"/>
  <c r="K785" i="10"/>
  <c r="O325" i="11"/>
  <c r="K209" i="11"/>
  <c r="Q176" i="11"/>
  <c r="T176" i="11" s="1"/>
  <c r="R763" i="12"/>
  <c r="U763" i="12" s="1"/>
  <c r="P691" i="12"/>
  <c r="J675" i="12"/>
  <c r="S618" i="12"/>
  <c r="S616" i="12" s="1"/>
  <c r="P600" i="12"/>
  <c r="P518" i="12"/>
  <c r="Q495" i="12"/>
  <c r="T495" i="12" s="1"/>
  <c r="R493" i="12"/>
  <c r="U493" i="12" s="1"/>
  <c r="Q320" i="12"/>
  <c r="T320" i="12" s="1"/>
  <c r="T308" i="12"/>
  <c r="O290" i="12"/>
  <c r="L254" i="12"/>
  <c r="O254" i="12" s="1"/>
  <c r="K249" i="12"/>
  <c r="L222" i="12"/>
  <c r="O222" i="12" s="1"/>
  <c r="N188" i="12"/>
  <c r="N186" i="12" s="1"/>
  <c r="O147" i="12"/>
  <c r="N119" i="12"/>
  <c r="N117" i="12" s="1"/>
  <c r="N75" i="12"/>
  <c r="O75" i="12" s="1"/>
  <c r="O64" i="12"/>
  <c r="T60" i="12"/>
  <c r="M19" i="12"/>
  <c r="K780" i="9"/>
  <c r="K661" i="9"/>
  <c r="K108" i="10"/>
  <c r="U765" i="11"/>
  <c r="K626" i="11"/>
  <c r="K371" i="11"/>
  <c r="O271" i="11"/>
  <c r="O165" i="11"/>
  <c r="Q763" i="12"/>
  <c r="T763" i="12" s="1"/>
  <c r="S762" i="12"/>
  <c r="T762" i="12" s="1"/>
  <c r="L760" i="12"/>
  <c r="O760" i="12" s="1"/>
  <c r="Q728" i="12"/>
  <c r="S714" i="12"/>
  <c r="I701" i="12"/>
  <c r="U647" i="12"/>
  <c r="R618" i="12"/>
  <c r="R616" i="12" s="1"/>
  <c r="P577" i="12"/>
  <c r="Q534" i="12"/>
  <c r="T534" i="12" s="1"/>
  <c r="M362" i="12"/>
  <c r="P362" i="12" s="1"/>
  <c r="R356" i="12"/>
  <c r="U356" i="12" s="1"/>
  <c r="S303" i="12"/>
  <c r="L159" i="12"/>
  <c r="O159" i="12" s="1"/>
  <c r="K136" i="12"/>
  <c r="L123" i="12"/>
  <c r="O123" i="12" s="1"/>
  <c r="R120" i="12"/>
  <c r="U120" i="12" s="1"/>
  <c r="L97" i="12"/>
  <c r="O97" i="12" s="1"/>
  <c r="P77" i="12"/>
  <c r="U61" i="12"/>
  <c r="S24" i="12"/>
  <c r="L19" i="12"/>
  <c r="K678" i="9"/>
  <c r="U188" i="10"/>
  <c r="T765" i="11"/>
  <c r="Q760" i="12"/>
  <c r="T647" i="12"/>
  <c r="S645" i="12"/>
  <c r="N599" i="12"/>
  <c r="L576" i="12"/>
  <c r="O576" i="12" s="1"/>
  <c r="N515" i="12"/>
  <c r="N513" i="12" s="1"/>
  <c r="I423" i="12"/>
  <c r="K423" i="12" s="1"/>
  <c r="M359" i="12"/>
  <c r="P359" i="12" s="1"/>
  <c r="S282" i="12"/>
  <c r="K265" i="12"/>
  <c r="T268" i="12"/>
  <c r="R266" i="12"/>
  <c r="U266" i="12" s="1"/>
  <c r="L236" i="12"/>
  <c r="K195" i="12"/>
  <c r="I172" i="12"/>
  <c r="K172" i="12" s="1"/>
  <c r="P162" i="12"/>
  <c r="K153" i="12"/>
  <c r="U144" i="12"/>
  <c r="M141" i="12"/>
  <c r="M139" i="12" s="1"/>
  <c r="L119" i="12"/>
  <c r="L117" i="12" s="1"/>
  <c r="O117" i="12" s="1"/>
  <c r="N120" i="12"/>
  <c r="O80" i="12"/>
  <c r="O77" i="12"/>
  <c r="M61" i="12"/>
  <c r="P49" i="12"/>
  <c r="T26" i="12"/>
  <c r="S19" i="12"/>
  <c r="R760" i="12"/>
  <c r="R728" i="12"/>
  <c r="O325" i="12"/>
  <c r="L323" i="12"/>
  <c r="O323" i="12" s="1"/>
  <c r="L322" i="12"/>
  <c r="O311" i="12"/>
  <c r="L309" i="12"/>
  <c r="O309" i="12" s="1"/>
  <c r="L236" i="10"/>
  <c r="Q619" i="11"/>
  <c r="P521" i="11"/>
  <c r="I365" i="11"/>
  <c r="K365" i="11" s="1"/>
  <c r="P308" i="11"/>
  <c r="O290" i="11"/>
  <c r="I136" i="11"/>
  <c r="K136" i="11" s="1"/>
  <c r="I83" i="11"/>
  <c r="K83" i="11" s="1"/>
  <c r="P64" i="11"/>
  <c r="O52" i="11"/>
  <c r="L46" i="11"/>
  <c r="L44" i="11" s="1"/>
  <c r="U765" i="12"/>
  <c r="P761" i="12"/>
  <c r="O730" i="12"/>
  <c r="L714" i="12"/>
  <c r="O714" i="12" s="1"/>
  <c r="L599" i="12"/>
  <c r="O599" i="12" s="1"/>
  <c r="N555" i="12"/>
  <c r="L534" i="12"/>
  <c r="O534" i="12" s="1"/>
  <c r="N413" i="12"/>
  <c r="J351" i="12"/>
  <c r="Q333" i="12"/>
  <c r="T333" i="12" s="1"/>
  <c r="T334" i="12"/>
  <c r="O67" i="12"/>
  <c r="L65" i="12"/>
  <c r="O65" i="12" s="1"/>
  <c r="Q618" i="12"/>
  <c r="Q616" i="12" s="1"/>
  <c r="T621" i="12"/>
  <c r="U377" i="12"/>
  <c r="R375" i="12"/>
  <c r="U375" i="12" s="1"/>
  <c r="T695" i="10"/>
  <c r="L322" i="10"/>
  <c r="O322" i="10" s="1"/>
  <c r="O62" i="10"/>
  <c r="K780" i="11"/>
  <c r="Q762" i="11"/>
  <c r="Q760" i="11" s="1"/>
  <c r="K678" i="11"/>
  <c r="O338" i="11"/>
  <c r="L305" i="11"/>
  <c r="L303" i="11" s="1"/>
  <c r="U271" i="11"/>
  <c r="O147" i="11"/>
  <c r="T765" i="12"/>
  <c r="R731" i="12"/>
  <c r="U731" i="12" s="1"/>
  <c r="R714" i="12"/>
  <c r="U714" i="12" s="1"/>
  <c r="R692" i="12"/>
  <c r="Q644" i="12"/>
  <c r="T644" i="12" s="1"/>
  <c r="L642" i="12"/>
  <c r="O642" i="12" s="1"/>
  <c r="K632" i="12"/>
  <c r="I615" i="12"/>
  <c r="K615" i="12" s="1"/>
  <c r="M555" i="12"/>
  <c r="P555" i="12" s="1"/>
  <c r="P556" i="12"/>
  <c r="M413" i="12"/>
  <c r="P413" i="12" s="1"/>
  <c r="Q392" i="12"/>
  <c r="T392" i="12" s="1"/>
  <c r="M326" i="12"/>
  <c r="P326" i="12" s="1"/>
  <c r="P328" i="12"/>
  <c r="P338" i="12"/>
  <c r="M335" i="12"/>
  <c r="M336" i="12"/>
  <c r="P336" i="12" s="1"/>
  <c r="P290" i="10"/>
  <c r="O194" i="11"/>
  <c r="O162" i="11"/>
  <c r="T761" i="12"/>
  <c r="U695" i="12"/>
  <c r="L690" i="12"/>
  <c r="O690" i="12" s="1"/>
  <c r="T643" i="12"/>
  <c r="Q619" i="12"/>
  <c r="T619" i="12" s="1"/>
  <c r="R576" i="12"/>
  <c r="U576" i="12" s="1"/>
  <c r="L555" i="12"/>
  <c r="O555" i="12" s="1"/>
  <c r="O556" i="12"/>
  <c r="P521" i="12"/>
  <c r="M519" i="12"/>
  <c r="P519" i="12" s="1"/>
  <c r="M515" i="12"/>
  <c r="P515" i="12" s="1"/>
  <c r="L493" i="12"/>
  <c r="O493" i="12" s="1"/>
  <c r="Q416" i="12"/>
  <c r="T416" i="12" s="1"/>
  <c r="Q415" i="12"/>
  <c r="T415" i="12" s="1"/>
  <c r="T418" i="12"/>
  <c r="L413" i="12"/>
  <c r="O413" i="12" s="1"/>
  <c r="O414" i="12"/>
  <c r="K330" i="12"/>
  <c r="I319" i="12"/>
  <c r="K319" i="12" s="1"/>
  <c r="K293" i="12"/>
  <c r="I280" i="12"/>
  <c r="K280" i="12" s="1"/>
  <c r="K689" i="12"/>
  <c r="J702" i="11"/>
  <c r="S493" i="11"/>
  <c r="K368" i="11"/>
  <c r="P338" i="11"/>
  <c r="U178" i="11"/>
  <c r="M120" i="11"/>
  <c r="P120" i="11" s="1"/>
  <c r="K703" i="12"/>
  <c r="Q690" i="12"/>
  <c r="T691" i="12"/>
  <c r="M616" i="12"/>
  <c r="P616" i="12" s="1"/>
  <c r="R599" i="12"/>
  <c r="U599" i="12" s="1"/>
  <c r="T578" i="12"/>
  <c r="Q576" i="12"/>
  <c r="T576" i="12" s="1"/>
  <c r="S555" i="12"/>
  <c r="O521" i="12"/>
  <c r="L519" i="12"/>
  <c r="O519" i="12" s="1"/>
  <c r="L515" i="12"/>
  <c r="P514" i="12"/>
  <c r="R378" i="12"/>
  <c r="U378" i="12" s="1"/>
  <c r="U380" i="12"/>
  <c r="L375" i="12"/>
  <c r="O375" i="12" s="1"/>
  <c r="I365" i="12"/>
  <c r="K365" i="12" s="1"/>
  <c r="N335" i="12"/>
  <c r="N333" i="12" s="1"/>
  <c r="U617" i="12"/>
  <c r="T414" i="12"/>
  <c r="T188" i="9"/>
  <c r="Q160" i="10"/>
  <c r="T160" i="10" s="1"/>
  <c r="K785" i="11"/>
  <c r="K779" i="11"/>
  <c r="K709" i="11"/>
  <c r="K629" i="11"/>
  <c r="O336" i="11"/>
  <c r="R266" i="11"/>
  <c r="U266" i="11" s="1"/>
  <c r="P162" i="11"/>
  <c r="Q72" i="11"/>
  <c r="K707" i="12"/>
  <c r="L616" i="12"/>
  <c r="O616" i="12" s="1"/>
  <c r="O617" i="12"/>
  <c r="T601" i="12"/>
  <c r="Q599" i="12"/>
  <c r="T599" i="12" s="1"/>
  <c r="R555" i="12"/>
  <c r="U555" i="12" s="1"/>
  <c r="U556" i="12"/>
  <c r="Q555" i="12"/>
  <c r="T555" i="12" s="1"/>
  <c r="R534" i="12"/>
  <c r="U534" i="12" s="1"/>
  <c r="K505" i="12"/>
  <c r="J503" i="12"/>
  <c r="J492" i="12" s="1"/>
  <c r="U414" i="12"/>
  <c r="T380" i="12"/>
  <c r="Q377" i="12"/>
  <c r="I374" i="12"/>
  <c r="J332" i="12"/>
  <c r="K332" i="12" s="1"/>
  <c r="U322" i="12"/>
  <c r="R320" i="12"/>
  <c r="U320" i="12" s="1"/>
  <c r="O308" i="12"/>
  <c r="L306" i="12"/>
  <c r="O306" i="12" s="1"/>
  <c r="L305" i="12"/>
  <c r="O305" i="12" s="1"/>
  <c r="K229" i="12"/>
  <c r="I221" i="12"/>
  <c r="K221" i="12" s="1"/>
  <c r="T494" i="12"/>
  <c r="I456" i="12"/>
  <c r="K456" i="12" s="1"/>
  <c r="U418" i="12"/>
  <c r="R415" i="12"/>
  <c r="U415" i="12" s="1"/>
  <c r="P414" i="12"/>
  <c r="O334" i="12"/>
  <c r="K503" i="12"/>
  <c r="P377" i="12"/>
  <c r="P361" i="12"/>
  <c r="J343" i="12"/>
  <c r="U334" i="12"/>
  <c r="U308" i="12"/>
  <c r="R306" i="12"/>
  <c r="R305" i="12"/>
  <c r="U305" i="12" s="1"/>
  <c r="U268" i="12"/>
  <c r="P181" i="12"/>
  <c r="M179" i="12"/>
  <c r="P179" i="12" s="1"/>
  <c r="O25" i="12"/>
  <c r="O361" i="12"/>
  <c r="T305" i="12"/>
  <c r="Q303" i="12"/>
  <c r="R282" i="12"/>
  <c r="U282" i="12" s="1"/>
  <c r="T271" i="12"/>
  <c r="Q269" i="12"/>
  <c r="M189" i="12"/>
  <c r="P189" i="12" s="1"/>
  <c r="P191" i="12"/>
  <c r="M188" i="12"/>
  <c r="S159" i="12"/>
  <c r="S157" i="12" s="1"/>
  <c r="S160" i="12"/>
  <c r="O19" i="12"/>
  <c r="J374" i="12"/>
  <c r="O364" i="12"/>
  <c r="L362" i="12"/>
  <c r="O362" i="12" s="1"/>
  <c r="O359" i="12"/>
  <c r="N305" i="12"/>
  <c r="N303" i="12" s="1"/>
  <c r="O287" i="12"/>
  <c r="L285" i="12"/>
  <c r="J231" i="12"/>
  <c r="J185" i="12" s="1"/>
  <c r="T191" i="12"/>
  <c r="U191" i="12"/>
  <c r="S188" i="12"/>
  <c r="T188" i="12" s="1"/>
  <c r="S189" i="12"/>
  <c r="Q266" i="12"/>
  <c r="T266" i="12" s="1"/>
  <c r="U22" i="12"/>
  <c r="R19" i="12"/>
  <c r="L336" i="12"/>
  <c r="O336" i="12" s="1"/>
  <c r="M309" i="12"/>
  <c r="P309" i="12" s="1"/>
  <c r="S306" i="12"/>
  <c r="M306" i="12"/>
  <c r="P306" i="12" s="1"/>
  <c r="U304" i="12"/>
  <c r="O304" i="12"/>
  <c r="M285" i="12"/>
  <c r="U283" i="12"/>
  <c r="O283" i="12"/>
  <c r="L272" i="12"/>
  <c r="O272" i="12" s="1"/>
  <c r="P271" i="12"/>
  <c r="R269" i="12"/>
  <c r="L269" i="12"/>
  <c r="O269" i="12" s="1"/>
  <c r="T267" i="12"/>
  <c r="K260" i="12"/>
  <c r="L243" i="12"/>
  <c r="P187" i="12"/>
  <c r="O144" i="12"/>
  <c r="P144" i="12"/>
  <c r="N142" i="12"/>
  <c r="P142" i="12" s="1"/>
  <c r="Q117" i="12"/>
  <c r="R117" i="12"/>
  <c r="P45" i="12"/>
  <c r="T19" i="12"/>
  <c r="O338" i="12"/>
  <c r="P308" i="12"/>
  <c r="P287" i="12"/>
  <c r="U271" i="12"/>
  <c r="O271" i="12"/>
  <c r="T187" i="12"/>
  <c r="L179" i="12"/>
  <c r="O179" i="12" s="1"/>
  <c r="M176" i="12"/>
  <c r="P176" i="12" s="1"/>
  <c r="Q173" i="12"/>
  <c r="T173" i="12" s="1"/>
  <c r="T162" i="12"/>
  <c r="Q160" i="12"/>
  <c r="T160" i="12" s="1"/>
  <c r="R160" i="12"/>
  <c r="U160" i="12" s="1"/>
  <c r="R159" i="12"/>
  <c r="N141" i="12"/>
  <c r="N139" i="12" s="1"/>
  <c r="Q94" i="12"/>
  <c r="T94" i="12" s="1"/>
  <c r="R94" i="12"/>
  <c r="U94" i="12" s="1"/>
  <c r="R24" i="12"/>
  <c r="U24" i="12" s="1"/>
  <c r="U25" i="12"/>
  <c r="M322" i="12"/>
  <c r="K276" i="12"/>
  <c r="N268" i="12"/>
  <c r="N266" i="12" s="1"/>
  <c r="K230" i="12"/>
  <c r="L176" i="12"/>
  <c r="O176" i="12" s="1"/>
  <c r="L175" i="12"/>
  <c r="O140" i="12"/>
  <c r="I83" i="12"/>
  <c r="K85" i="12"/>
  <c r="P73" i="12"/>
  <c r="P60" i="12"/>
  <c r="N23" i="12"/>
  <c r="N21" i="12" s="1"/>
  <c r="P19" i="12"/>
  <c r="R186" i="12"/>
  <c r="S139" i="12"/>
  <c r="O52" i="12"/>
  <c r="L26" i="12"/>
  <c r="O26" i="12" s="1"/>
  <c r="L50" i="12"/>
  <c r="O50" i="12" s="1"/>
  <c r="O22" i="12"/>
  <c r="T178" i="12"/>
  <c r="Q176" i="12"/>
  <c r="T176" i="12" s="1"/>
  <c r="R176" i="12"/>
  <c r="U176" i="12" s="1"/>
  <c r="R175" i="12"/>
  <c r="L163" i="12"/>
  <c r="O163" i="12" s="1"/>
  <c r="M160" i="12"/>
  <c r="Q157" i="12"/>
  <c r="T157" i="12" s="1"/>
  <c r="R139" i="12"/>
  <c r="U139" i="12" s="1"/>
  <c r="U140" i="12"/>
  <c r="I82" i="12"/>
  <c r="Q72" i="12"/>
  <c r="N26" i="12"/>
  <c r="N24" i="12" s="1"/>
  <c r="U122" i="12"/>
  <c r="O122" i="12"/>
  <c r="Q120" i="12"/>
  <c r="T120" i="12" s="1"/>
  <c r="U99" i="12"/>
  <c r="O99" i="12"/>
  <c r="Q97" i="12"/>
  <c r="T97" i="12" s="1"/>
  <c r="T77" i="12"/>
  <c r="M65" i="12"/>
  <c r="P65" i="12" s="1"/>
  <c r="M50" i="12"/>
  <c r="P50" i="12" s="1"/>
  <c r="M26" i="12"/>
  <c r="P26" i="12" s="1"/>
  <c r="S23" i="12"/>
  <c r="S20" i="12" s="1"/>
  <c r="S18" i="12" s="1"/>
  <c r="M23" i="12"/>
  <c r="M21" i="12" s="1"/>
  <c r="K152" i="12"/>
  <c r="K127" i="12"/>
  <c r="T122" i="12"/>
  <c r="T99" i="12"/>
  <c r="P25" i="12"/>
  <c r="R23" i="12"/>
  <c r="L23" i="12"/>
  <c r="P22" i="12"/>
  <c r="Q141" i="12"/>
  <c r="S119" i="12"/>
  <c r="S117" i="12" s="1"/>
  <c r="M119" i="12"/>
  <c r="S96" i="12"/>
  <c r="S94" i="12" s="1"/>
  <c r="M96" i="12"/>
  <c r="R74" i="12"/>
  <c r="L74" i="12"/>
  <c r="L61" i="12"/>
  <c r="L46" i="12"/>
  <c r="Q23" i="12"/>
  <c r="I615" i="10"/>
  <c r="K615" i="10" s="1"/>
  <c r="K629" i="10"/>
  <c r="K631" i="10"/>
  <c r="R619" i="10"/>
  <c r="R618" i="10"/>
  <c r="R616" i="10" s="1"/>
  <c r="P364" i="10"/>
  <c r="M362" i="10"/>
  <c r="P362" i="10" s="1"/>
  <c r="S693" i="11"/>
  <c r="T693" i="11" s="1"/>
  <c r="S692" i="11"/>
  <c r="U692" i="11" s="1"/>
  <c r="M576" i="11"/>
  <c r="P576" i="11" s="1"/>
  <c r="P578" i="11"/>
  <c r="Q534" i="11"/>
  <c r="T534" i="11" s="1"/>
  <c r="T535" i="11"/>
  <c r="R392" i="11"/>
  <c r="U392" i="11" s="1"/>
  <c r="U394" i="11"/>
  <c r="P283" i="11"/>
  <c r="Q378" i="9"/>
  <c r="T378" i="9" s="1"/>
  <c r="K780" i="10"/>
  <c r="I202" i="10"/>
  <c r="K202" i="10" s="1"/>
  <c r="K209" i="10"/>
  <c r="L760" i="11"/>
  <c r="O760" i="11" s="1"/>
  <c r="O761" i="11"/>
  <c r="R728" i="11"/>
  <c r="N690" i="11"/>
  <c r="R644" i="11"/>
  <c r="R642" i="11" s="1"/>
  <c r="U647" i="11"/>
  <c r="R645" i="11"/>
  <c r="U645" i="11" s="1"/>
  <c r="T514" i="11"/>
  <c r="Q513" i="11"/>
  <c r="T513" i="11" s="1"/>
  <c r="I456" i="11"/>
  <c r="K456" i="11" s="1"/>
  <c r="K457" i="11"/>
  <c r="M362" i="11"/>
  <c r="P362" i="11" s="1"/>
  <c r="P364" i="11"/>
  <c r="M309" i="11"/>
  <c r="P309" i="11" s="1"/>
  <c r="P311" i="11"/>
  <c r="M272" i="11"/>
  <c r="P272" i="11" s="1"/>
  <c r="P274" i="11"/>
  <c r="Q188" i="11"/>
  <c r="Q186" i="11" s="1"/>
  <c r="T191" i="11"/>
  <c r="L96" i="11"/>
  <c r="O96" i="11" s="1"/>
  <c r="O99" i="11"/>
  <c r="L61" i="11"/>
  <c r="L59" i="11" s="1"/>
  <c r="L62" i="11"/>
  <c r="O62" i="11" s="1"/>
  <c r="R19" i="11"/>
  <c r="U22" i="11"/>
  <c r="Q644" i="10"/>
  <c r="T647" i="10"/>
  <c r="Q119" i="10"/>
  <c r="Q117" i="10" s="1"/>
  <c r="Q120" i="10"/>
  <c r="T120" i="10" s="1"/>
  <c r="M50" i="10"/>
  <c r="P50" i="10" s="1"/>
  <c r="P52" i="10"/>
  <c r="Q728" i="11"/>
  <c r="T729" i="11"/>
  <c r="M534" i="11"/>
  <c r="P534" i="11" s="1"/>
  <c r="P536" i="11"/>
  <c r="I374" i="11"/>
  <c r="K374" i="11" s="1"/>
  <c r="K385" i="11"/>
  <c r="S96" i="11"/>
  <c r="S94" i="11" s="1"/>
  <c r="S97" i="11"/>
  <c r="R74" i="11"/>
  <c r="R72" i="11" s="1"/>
  <c r="R75" i="11"/>
  <c r="U75" i="11" s="1"/>
  <c r="I759" i="10"/>
  <c r="K759" i="10" s="1"/>
  <c r="K774" i="10"/>
  <c r="J674" i="10"/>
  <c r="K781" i="11"/>
  <c r="U761" i="11"/>
  <c r="P336" i="11"/>
  <c r="N268" i="11"/>
  <c r="N266" i="11" s="1"/>
  <c r="N269" i="11"/>
  <c r="M78" i="11"/>
  <c r="P78" i="11" s="1"/>
  <c r="P80" i="11"/>
  <c r="K781" i="10"/>
  <c r="O67" i="10"/>
  <c r="L65" i="10"/>
  <c r="O65" i="10" s="1"/>
  <c r="K676" i="11"/>
  <c r="L375" i="11"/>
  <c r="O375" i="11" s="1"/>
  <c r="O377" i="11"/>
  <c r="N284" i="11"/>
  <c r="N282" i="11" s="1"/>
  <c r="N285" i="11"/>
  <c r="P285" i="11" s="1"/>
  <c r="P287" i="11"/>
  <c r="N760" i="11"/>
  <c r="Q714" i="11"/>
  <c r="T714" i="11" s="1"/>
  <c r="T715" i="11"/>
  <c r="U695" i="11"/>
  <c r="N576" i="11"/>
  <c r="L555" i="11"/>
  <c r="O555" i="11" s="1"/>
  <c r="O556" i="11"/>
  <c r="S305" i="11"/>
  <c r="S303" i="11" s="1"/>
  <c r="S306" i="11"/>
  <c r="K153" i="11"/>
  <c r="I138" i="11"/>
  <c r="K138" i="11" s="1"/>
  <c r="Q119" i="11"/>
  <c r="T119" i="11" s="1"/>
  <c r="Q120" i="11"/>
  <c r="R44" i="11"/>
  <c r="U44" i="11" s="1"/>
  <c r="J343" i="11"/>
  <c r="M306" i="11"/>
  <c r="P306" i="11" s="1"/>
  <c r="M284" i="11"/>
  <c r="M282" i="11" s="1"/>
  <c r="M268" i="11"/>
  <c r="M266" i="11" s="1"/>
  <c r="S269" i="11"/>
  <c r="U267" i="11"/>
  <c r="L254" i="11"/>
  <c r="O254" i="11" s="1"/>
  <c r="I238" i="11"/>
  <c r="K238" i="11" s="1"/>
  <c r="L222" i="11"/>
  <c r="O222" i="11" s="1"/>
  <c r="K220" i="11"/>
  <c r="L203" i="11"/>
  <c r="O203" i="11" s="1"/>
  <c r="O176" i="11"/>
  <c r="I169" i="11"/>
  <c r="K169" i="11" s="1"/>
  <c r="M163" i="11"/>
  <c r="P163" i="11" s="1"/>
  <c r="N159" i="11"/>
  <c r="N157" i="11" s="1"/>
  <c r="N141" i="11"/>
  <c r="N139" i="11" s="1"/>
  <c r="O125" i="11"/>
  <c r="O122" i="11"/>
  <c r="M358" i="10"/>
  <c r="M356" i="10" s="1"/>
  <c r="P271" i="10"/>
  <c r="P761" i="11"/>
  <c r="K703" i="11"/>
  <c r="M690" i="11"/>
  <c r="P690" i="11" s="1"/>
  <c r="J675" i="11"/>
  <c r="K675" i="11" s="1"/>
  <c r="S644" i="11"/>
  <c r="S642" i="11" s="1"/>
  <c r="N616" i="11"/>
  <c r="M555" i="11"/>
  <c r="P555" i="11" s="1"/>
  <c r="N534" i="11"/>
  <c r="O521" i="11"/>
  <c r="R513" i="11"/>
  <c r="U513" i="11" s="1"/>
  <c r="L413" i="11"/>
  <c r="O413" i="11" s="1"/>
  <c r="L268" i="11"/>
  <c r="O268" i="11" s="1"/>
  <c r="R269" i="11"/>
  <c r="U191" i="11"/>
  <c r="R189" i="11"/>
  <c r="U189" i="11" s="1"/>
  <c r="I168" i="11"/>
  <c r="K168" i="11" s="1"/>
  <c r="S160" i="11"/>
  <c r="Q157" i="11"/>
  <c r="T157" i="11" s="1"/>
  <c r="U144" i="11"/>
  <c r="M123" i="11"/>
  <c r="P123" i="11" s="1"/>
  <c r="N119" i="11"/>
  <c r="N117" i="11" s="1"/>
  <c r="P77" i="11"/>
  <c r="K783" i="11"/>
  <c r="U763" i="11"/>
  <c r="N728" i="11"/>
  <c r="N714" i="11"/>
  <c r="K503" i="11"/>
  <c r="Q415" i="11"/>
  <c r="T415" i="11" s="1"/>
  <c r="M413" i="11"/>
  <c r="P413" i="11" s="1"/>
  <c r="L392" i="11"/>
  <c r="O392" i="11" s="1"/>
  <c r="L335" i="11"/>
  <c r="L333" i="11" s="1"/>
  <c r="S320" i="11"/>
  <c r="R320" i="11"/>
  <c r="U320" i="11" s="1"/>
  <c r="N232" i="11"/>
  <c r="S188" i="11"/>
  <c r="S186" i="11" s="1"/>
  <c r="Q160" i="11"/>
  <c r="T160" i="11" s="1"/>
  <c r="L141" i="11"/>
  <c r="R142" i="11"/>
  <c r="U142" i="11" s="1"/>
  <c r="U122" i="11"/>
  <c r="S120" i="11"/>
  <c r="U120" i="11" s="1"/>
  <c r="N19" i="11"/>
  <c r="S415" i="10"/>
  <c r="S413" i="10" s="1"/>
  <c r="K782" i="11"/>
  <c r="T763" i="11"/>
  <c r="S762" i="11"/>
  <c r="S760" i="11" s="1"/>
  <c r="R693" i="11"/>
  <c r="L599" i="11"/>
  <c r="O599" i="11" s="1"/>
  <c r="N555" i="11"/>
  <c r="J503" i="11"/>
  <c r="J492" i="11" s="1"/>
  <c r="O364" i="11"/>
  <c r="N305" i="11"/>
  <c r="N303" i="11" s="1"/>
  <c r="O274" i="11"/>
  <c r="P271" i="11"/>
  <c r="M269" i="11"/>
  <c r="J231" i="11"/>
  <c r="J185" i="11" s="1"/>
  <c r="L236" i="11"/>
  <c r="K198" i="11"/>
  <c r="O178" i="11"/>
  <c r="Q173" i="11"/>
  <c r="T173" i="11" s="1"/>
  <c r="N160" i="11"/>
  <c r="O160" i="11" s="1"/>
  <c r="Q142" i="11"/>
  <c r="T142" i="11" s="1"/>
  <c r="I82" i="11"/>
  <c r="I70" i="11" s="1"/>
  <c r="K70" i="11" s="1"/>
  <c r="L78" i="11"/>
  <c r="O78" i="11" s="1"/>
  <c r="P75" i="11"/>
  <c r="R59" i="11"/>
  <c r="U59" i="11" s="1"/>
  <c r="T45" i="11"/>
  <c r="T22" i="11"/>
  <c r="L203" i="10"/>
  <c r="O203" i="10" s="1"/>
  <c r="R762" i="11"/>
  <c r="K689" i="11"/>
  <c r="I701" i="11"/>
  <c r="M616" i="11"/>
  <c r="P616" i="11" s="1"/>
  <c r="M599" i="11"/>
  <c r="P599" i="11" s="1"/>
  <c r="Q576" i="11"/>
  <c r="T576" i="11" s="1"/>
  <c r="T556" i="11"/>
  <c r="L493" i="11"/>
  <c r="O493" i="11" s="1"/>
  <c r="N413" i="11"/>
  <c r="N375" i="11"/>
  <c r="M305" i="11"/>
  <c r="M303" i="11" s="1"/>
  <c r="L235" i="11"/>
  <c r="L188" i="11"/>
  <c r="L186" i="11" s="1"/>
  <c r="O181" i="11"/>
  <c r="N175" i="11"/>
  <c r="N173" i="11" s="1"/>
  <c r="M160" i="11"/>
  <c r="P160" i="11" s="1"/>
  <c r="L142" i="11"/>
  <c r="N120" i="11"/>
  <c r="O102" i="11"/>
  <c r="M100" i="11"/>
  <c r="P100" i="11" s="1"/>
  <c r="M96" i="11"/>
  <c r="M94" i="11" s="1"/>
  <c r="L74" i="11"/>
  <c r="L72" i="11" s="1"/>
  <c r="L75" i="11"/>
  <c r="O75" i="11" s="1"/>
  <c r="P62" i="11"/>
  <c r="S59" i="11"/>
  <c r="Q59" i="11"/>
  <c r="T59" i="11" s="1"/>
  <c r="P49" i="11"/>
  <c r="L47" i="11"/>
  <c r="O47" i="11" s="1"/>
  <c r="S19" i="11"/>
  <c r="L19" i="11"/>
  <c r="T618" i="11"/>
  <c r="N358" i="9"/>
  <c r="N356" i="9" s="1"/>
  <c r="I253" i="9"/>
  <c r="K253" i="9" s="1"/>
  <c r="M192" i="9"/>
  <c r="P192" i="9" s="1"/>
  <c r="Q730" i="10"/>
  <c r="Q728" i="10" s="1"/>
  <c r="S495" i="10"/>
  <c r="S493" i="10" s="1"/>
  <c r="I423" i="10"/>
  <c r="I412" i="10" s="1"/>
  <c r="K412" i="10" s="1"/>
  <c r="K369" i="10"/>
  <c r="L234" i="10"/>
  <c r="K198" i="10"/>
  <c r="L192" i="10"/>
  <c r="O192" i="10" s="1"/>
  <c r="S189" i="10"/>
  <c r="N141" i="10"/>
  <c r="N139" i="10" s="1"/>
  <c r="K772" i="11"/>
  <c r="T761" i="11"/>
  <c r="Q731" i="11"/>
  <c r="T731" i="11" s="1"/>
  <c r="L690" i="11"/>
  <c r="O690" i="11" s="1"/>
  <c r="M642" i="11"/>
  <c r="P642" i="11" s="1"/>
  <c r="S619" i="11"/>
  <c r="U619" i="11" s="1"/>
  <c r="I615" i="11"/>
  <c r="K615" i="11" s="1"/>
  <c r="Q599" i="11"/>
  <c r="T599" i="11" s="1"/>
  <c r="R576" i="11"/>
  <c r="U576" i="11" s="1"/>
  <c r="O518" i="11"/>
  <c r="T498" i="11"/>
  <c r="Q496" i="11"/>
  <c r="T496" i="11" s="1"/>
  <c r="O494" i="11"/>
  <c r="Q493" i="11"/>
  <c r="T493" i="11" s="1"/>
  <c r="S415" i="11"/>
  <c r="S413" i="11" s="1"/>
  <c r="R377" i="11"/>
  <c r="U380" i="11"/>
  <c r="R378" i="11"/>
  <c r="U378" i="11" s="1"/>
  <c r="R303" i="11"/>
  <c r="O287" i="11"/>
  <c r="L285" i="11"/>
  <c r="L284" i="11"/>
  <c r="U284" i="11"/>
  <c r="R282" i="11"/>
  <c r="U282" i="11" s="1"/>
  <c r="P118" i="11"/>
  <c r="P67" i="11"/>
  <c r="M65" i="11"/>
  <c r="P65" i="11" s="1"/>
  <c r="I238" i="10"/>
  <c r="K238" i="10" s="1"/>
  <c r="Q616" i="11"/>
  <c r="T616" i="11" s="1"/>
  <c r="L515" i="9"/>
  <c r="O515" i="9" s="1"/>
  <c r="M288" i="9"/>
  <c r="P288" i="9" s="1"/>
  <c r="S269" i="9"/>
  <c r="K209" i="9"/>
  <c r="I758" i="10"/>
  <c r="K758" i="10" s="1"/>
  <c r="K705" i="10"/>
  <c r="R495" i="10"/>
  <c r="U495" i="10" s="1"/>
  <c r="K371" i="10"/>
  <c r="U191" i="10"/>
  <c r="L188" i="10"/>
  <c r="L186" i="10" s="1"/>
  <c r="R189" i="10"/>
  <c r="K154" i="10"/>
  <c r="L145" i="10"/>
  <c r="O145" i="10" s="1"/>
  <c r="M74" i="10"/>
  <c r="M72" i="10" s="1"/>
  <c r="P691" i="11"/>
  <c r="R690" i="11"/>
  <c r="T621" i="11"/>
  <c r="R599" i="11"/>
  <c r="U599" i="11" s="1"/>
  <c r="R534" i="11"/>
  <c r="U534" i="11" s="1"/>
  <c r="N515" i="11"/>
  <c r="N513" i="11" s="1"/>
  <c r="I423" i="11"/>
  <c r="M392" i="11"/>
  <c r="P392" i="11" s="1"/>
  <c r="P393" i="11"/>
  <c r="N358" i="11"/>
  <c r="N356" i="11" s="1"/>
  <c r="P147" i="11"/>
  <c r="M145" i="11"/>
  <c r="P145" i="11" s="1"/>
  <c r="P144" i="11"/>
  <c r="M142" i="11"/>
  <c r="M141" i="11"/>
  <c r="J675" i="8"/>
  <c r="Q175" i="9"/>
  <c r="Q173" i="9" s="1"/>
  <c r="T173" i="9" s="1"/>
  <c r="R496" i="10"/>
  <c r="U496" i="10" s="1"/>
  <c r="I265" i="10"/>
  <c r="K265" i="10" s="1"/>
  <c r="S186" i="10"/>
  <c r="U186" i="10" s="1"/>
  <c r="O181" i="10"/>
  <c r="M163" i="10"/>
  <c r="P163" i="10" s="1"/>
  <c r="U144" i="10"/>
  <c r="U99" i="10"/>
  <c r="T77" i="10"/>
  <c r="S730" i="11"/>
  <c r="S728" i="11" s="1"/>
  <c r="Q692" i="11"/>
  <c r="T695" i="11"/>
  <c r="O644" i="11"/>
  <c r="T577" i="11"/>
  <c r="R495" i="11"/>
  <c r="U495" i="11" s="1"/>
  <c r="U498" i="11"/>
  <c r="R496" i="11"/>
  <c r="U496" i="11" s="1"/>
  <c r="Q644" i="11"/>
  <c r="T647" i="11"/>
  <c r="T178" i="9"/>
  <c r="J702" i="10"/>
  <c r="U418" i="10"/>
  <c r="U178" i="10"/>
  <c r="L175" i="10"/>
  <c r="L173" i="10" s="1"/>
  <c r="T99" i="10"/>
  <c r="S97" i="10"/>
  <c r="T97" i="10" s="1"/>
  <c r="I759" i="11"/>
  <c r="K759" i="11" s="1"/>
  <c r="U733" i="11"/>
  <c r="K707" i="11"/>
  <c r="Q645" i="11"/>
  <c r="T645" i="11" s="1"/>
  <c r="R618" i="11"/>
  <c r="U618" i="11" s="1"/>
  <c r="U621" i="11"/>
  <c r="M516" i="11"/>
  <c r="P516" i="11" s="1"/>
  <c r="M515" i="11"/>
  <c r="M493" i="11"/>
  <c r="P493" i="11" s="1"/>
  <c r="K457" i="8"/>
  <c r="R413" i="9"/>
  <c r="U413" i="9" s="1"/>
  <c r="K386" i="10"/>
  <c r="K183" i="10"/>
  <c r="T733" i="11"/>
  <c r="L576" i="11"/>
  <c r="O576" i="11" s="1"/>
  <c r="L515" i="11"/>
  <c r="R416" i="11"/>
  <c r="U416" i="11" s="1"/>
  <c r="R415" i="11"/>
  <c r="U415" i="11" s="1"/>
  <c r="U418" i="11"/>
  <c r="O414" i="11"/>
  <c r="T394" i="11"/>
  <c r="Q377" i="11"/>
  <c r="T380" i="11"/>
  <c r="P361" i="11"/>
  <c r="M359" i="11"/>
  <c r="P359" i="11" s="1"/>
  <c r="M358" i="11"/>
  <c r="T335" i="11"/>
  <c r="Q333" i="11"/>
  <c r="T333" i="11" s="1"/>
  <c r="Q303" i="11"/>
  <c r="Q282" i="11"/>
  <c r="T282" i="11" s="1"/>
  <c r="L233" i="11"/>
  <c r="P376" i="11"/>
  <c r="O361" i="11"/>
  <c r="S356" i="11"/>
  <c r="O357" i="11"/>
  <c r="P328" i="11"/>
  <c r="M326" i="11"/>
  <c r="P326" i="11" s="1"/>
  <c r="M322" i="11"/>
  <c r="P322" i="11" s="1"/>
  <c r="P321" i="11"/>
  <c r="T268" i="11"/>
  <c r="Q266" i="11"/>
  <c r="T266" i="11" s="1"/>
  <c r="N188" i="11"/>
  <c r="N186" i="11" s="1"/>
  <c r="N189" i="11"/>
  <c r="O189" i="11" s="1"/>
  <c r="P187" i="11"/>
  <c r="R356" i="11"/>
  <c r="U356" i="11" s="1"/>
  <c r="U357" i="11"/>
  <c r="N335" i="11"/>
  <c r="N333" i="11" s="1"/>
  <c r="O328" i="11"/>
  <c r="L326" i="11"/>
  <c r="O326" i="11" s="1"/>
  <c r="L322" i="11"/>
  <c r="O308" i="11"/>
  <c r="L306" i="11"/>
  <c r="O306" i="11" s="1"/>
  <c r="O187" i="11"/>
  <c r="Q356" i="11"/>
  <c r="T356" i="11" s="1"/>
  <c r="T357" i="11"/>
  <c r="J332" i="11"/>
  <c r="P341" i="11"/>
  <c r="M339" i="11"/>
  <c r="P339" i="11" s="1"/>
  <c r="M335" i="11"/>
  <c r="K330" i="11"/>
  <c r="I319" i="11"/>
  <c r="K319" i="11" s="1"/>
  <c r="O311" i="11"/>
  <c r="L309" i="11"/>
  <c r="O309" i="11" s="1"/>
  <c r="U308" i="11"/>
  <c r="R306" i="11"/>
  <c r="U268" i="11"/>
  <c r="L243" i="11"/>
  <c r="L214" i="11"/>
  <c r="O214" i="11" s="1"/>
  <c r="S378" i="11"/>
  <c r="S377" i="11"/>
  <c r="S375" i="11" s="1"/>
  <c r="I332" i="11"/>
  <c r="K344" i="11"/>
  <c r="T308" i="11"/>
  <c r="Q306" i="11"/>
  <c r="K293" i="11"/>
  <c r="I280" i="11"/>
  <c r="K280" i="11" s="1"/>
  <c r="T271" i="11"/>
  <c r="Q269" i="11"/>
  <c r="K213" i="11"/>
  <c r="U19" i="11"/>
  <c r="S117" i="11"/>
  <c r="L358" i="11"/>
  <c r="L356" i="11" s="1"/>
  <c r="N322" i="11"/>
  <c r="N320" i="11" s="1"/>
  <c r="M188" i="11"/>
  <c r="M189" i="11"/>
  <c r="R186" i="11"/>
  <c r="U187" i="11"/>
  <c r="U141" i="11"/>
  <c r="R139" i="11"/>
  <c r="U139" i="11" s="1"/>
  <c r="T99" i="11"/>
  <c r="Q97" i="11"/>
  <c r="P47" i="11"/>
  <c r="K276" i="11"/>
  <c r="N26" i="11"/>
  <c r="N24" i="11" s="1"/>
  <c r="L359" i="11"/>
  <c r="O359" i="11" s="1"/>
  <c r="L339" i="11"/>
  <c r="O339" i="11" s="1"/>
  <c r="M288" i="11"/>
  <c r="P288" i="11" s="1"/>
  <c r="M192" i="11"/>
  <c r="P192" i="11" s="1"/>
  <c r="P174" i="11"/>
  <c r="P158" i="11"/>
  <c r="T140" i="11"/>
  <c r="R94" i="11"/>
  <c r="P52" i="11"/>
  <c r="M26" i="11"/>
  <c r="P26" i="11" s="1"/>
  <c r="M50" i="11"/>
  <c r="P50" i="11" s="1"/>
  <c r="P25" i="11"/>
  <c r="P22" i="11"/>
  <c r="M19" i="11"/>
  <c r="P191" i="11"/>
  <c r="Q189" i="11"/>
  <c r="T189" i="11" s="1"/>
  <c r="S157" i="11"/>
  <c r="S141" i="11"/>
  <c r="S139" i="11" s="1"/>
  <c r="Q94" i="11"/>
  <c r="L26" i="11"/>
  <c r="O19" i="11"/>
  <c r="K183" i="11"/>
  <c r="T178" i="11"/>
  <c r="K167" i="11"/>
  <c r="T162" i="11"/>
  <c r="K152" i="11"/>
  <c r="N142" i="11"/>
  <c r="P140" i="11"/>
  <c r="K127" i="11"/>
  <c r="T122" i="11"/>
  <c r="K109" i="11"/>
  <c r="P99" i="11"/>
  <c r="R97" i="11"/>
  <c r="L97" i="11"/>
  <c r="O97" i="11" s="1"/>
  <c r="T95" i="11"/>
  <c r="I92" i="11"/>
  <c r="K92" i="11" s="1"/>
  <c r="U77" i="11"/>
  <c r="O77" i="11"/>
  <c r="Q75" i="11"/>
  <c r="T75" i="11" s="1"/>
  <c r="O64" i="11"/>
  <c r="N50" i="11"/>
  <c r="O49" i="11"/>
  <c r="N23" i="11"/>
  <c r="S175" i="11"/>
  <c r="S173" i="11" s="1"/>
  <c r="M175" i="11"/>
  <c r="M159" i="11"/>
  <c r="Q141" i="11"/>
  <c r="T141" i="11" s="1"/>
  <c r="M119" i="11"/>
  <c r="P119" i="11" s="1"/>
  <c r="U99" i="11"/>
  <c r="K84" i="11"/>
  <c r="T77" i="11"/>
  <c r="N74" i="11"/>
  <c r="N72" i="11" s="1"/>
  <c r="N61" i="11"/>
  <c r="N59" i="11" s="1"/>
  <c r="N46" i="11"/>
  <c r="N44" i="11" s="1"/>
  <c r="S23" i="11"/>
  <c r="S20" i="11" s="1"/>
  <c r="M23" i="11"/>
  <c r="R175" i="11"/>
  <c r="U175" i="11" s="1"/>
  <c r="L175" i="11"/>
  <c r="R159" i="11"/>
  <c r="L159" i="11"/>
  <c r="R119" i="11"/>
  <c r="L119" i="11"/>
  <c r="N96" i="11"/>
  <c r="N94" i="11" s="1"/>
  <c r="S74" i="11"/>
  <c r="S72" i="11" s="1"/>
  <c r="M74" i="11"/>
  <c r="M61" i="11"/>
  <c r="M46" i="11"/>
  <c r="R23" i="11"/>
  <c r="L23" i="11"/>
  <c r="M179" i="11"/>
  <c r="P179" i="11" s="1"/>
  <c r="M176" i="11"/>
  <c r="P176" i="11" s="1"/>
  <c r="Q23" i="11"/>
  <c r="L645" i="1"/>
  <c r="O645" i="1" s="1"/>
  <c r="M268" i="9"/>
  <c r="M266" i="9" s="1"/>
  <c r="K784" i="10"/>
  <c r="R762" i="10"/>
  <c r="U762" i="10" s="1"/>
  <c r="K689" i="10"/>
  <c r="L519" i="10"/>
  <c r="O519" i="10" s="1"/>
  <c r="O521" i="10"/>
  <c r="N413" i="10"/>
  <c r="M272" i="10"/>
  <c r="P272" i="10" s="1"/>
  <c r="P274" i="10"/>
  <c r="M188" i="10"/>
  <c r="M186" i="10" s="1"/>
  <c r="M189" i="10"/>
  <c r="P189" i="10" s="1"/>
  <c r="O140" i="10"/>
  <c r="R94" i="10"/>
  <c r="U95" i="10"/>
  <c r="L50" i="10"/>
  <c r="O50" i="10" s="1"/>
  <c r="O52" i="10"/>
  <c r="U271" i="10"/>
  <c r="R269" i="10"/>
  <c r="K782" i="9"/>
  <c r="K779" i="9"/>
  <c r="U763" i="9"/>
  <c r="U645" i="9"/>
  <c r="T619" i="9"/>
  <c r="U731" i="10"/>
  <c r="O556" i="10"/>
  <c r="L555" i="10"/>
  <c r="O555" i="10" s="1"/>
  <c r="T380" i="10"/>
  <c r="L214" i="10"/>
  <c r="O214" i="10" s="1"/>
  <c r="N175" i="10"/>
  <c r="N173" i="10" s="1"/>
  <c r="N176" i="10"/>
  <c r="S644" i="10"/>
  <c r="S642" i="10" s="1"/>
  <c r="S645" i="10"/>
  <c r="P102" i="10"/>
  <c r="M100" i="10"/>
  <c r="P100" i="10" s="1"/>
  <c r="L234" i="9"/>
  <c r="N46" i="9"/>
  <c r="N44" i="9" s="1"/>
  <c r="R599" i="10"/>
  <c r="U599" i="10" s="1"/>
  <c r="L100" i="8"/>
  <c r="O100" i="8" s="1"/>
  <c r="U77" i="8"/>
  <c r="O47" i="8"/>
  <c r="T763" i="9"/>
  <c r="K673" i="9"/>
  <c r="O328" i="9"/>
  <c r="T191" i="9"/>
  <c r="O162" i="9"/>
  <c r="P99" i="9"/>
  <c r="T77" i="9"/>
  <c r="R763" i="10"/>
  <c r="U763" i="10" s="1"/>
  <c r="M760" i="10"/>
  <c r="P760" i="10" s="1"/>
  <c r="S730" i="10"/>
  <c r="S728" i="10" s="1"/>
  <c r="O617" i="10"/>
  <c r="L616" i="10"/>
  <c r="O616" i="10" s="1"/>
  <c r="L576" i="10"/>
  <c r="O576" i="10" s="1"/>
  <c r="O577" i="10"/>
  <c r="R555" i="10"/>
  <c r="U555" i="10" s="1"/>
  <c r="O376" i="10"/>
  <c r="L375" i="10"/>
  <c r="O375" i="10" s="1"/>
  <c r="N359" i="10"/>
  <c r="N358" i="10"/>
  <c r="N356" i="10" s="1"/>
  <c r="M323" i="10"/>
  <c r="P323" i="10" s="1"/>
  <c r="P325" i="10"/>
  <c r="K221" i="10"/>
  <c r="I701" i="10"/>
  <c r="K314" i="6"/>
  <c r="O144" i="8"/>
  <c r="O80" i="9"/>
  <c r="L760" i="10"/>
  <c r="O760" i="10" s="1"/>
  <c r="P494" i="10"/>
  <c r="M493" i="10"/>
  <c r="P493" i="10" s="1"/>
  <c r="M335" i="10"/>
  <c r="M333" i="10" s="1"/>
  <c r="P338" i="10"/>
  <c r="S306" i="10"/>
  <c r="R268" i="10"/>
  <c r="R266" i="10" s="1"/>
  <c r="U266" i="10" s="1"/>
  <c r="I82" i="10"/>
  <c r="I70" i="10" s="1"/>
  <c r="K70" i="10" s="1"/>
  <c r="R222" i="1"/>
  <c r="M285" i="10"/>
  <c r="P285" i="10" s="1"/>
  <c r="M284" i="10"/>
  <c r="M282" i="10" s="1"/>
  <c r="K654" i="9"/>
  <c r="K629" i="9"/>
  <c r="L519" i="9"/>
  <c r="O519" i="9" s="1"/>
  <c r="L235" i="9"/>
  <c r="O122" i="9"/>
  <c r="K779" i="10"/>
  <c r="O730" i="10"/>
  <c r="S692" i="10"/>
  <c r="T692" i="10" s="1"/>
  <c r="S693" i="10"/>
  <c r="Q690" i="10"/>
  <c r="U577" i="10"/>
  <c r="R576" i="10"/>
  <c r="U576" i="10" s="1"/>
  <c r="J365" i="10"/>
  <c r="K365" i="10" s="1"/>
  <c r="L339" i="10"/>
  <c r="O339" i="10" s="1"/>
  <c r="O341" i="10"/>
  <c r="L309" i="10"/>
  <c r="O309" i="10" s="1"/>
  <c r="O308" i="10"/>
  <c r="L306" i="10"/>
  <c r="O306" i="10" s="1"/>
  <c r="M306" i="10"/>
  <c r="P306" i="10" s="1"/>
  <c r="I156" i="10"/>
  <c r="K156" i="10" s="1"/>
  <c r="K169" i="10"/>
  <c r="K85" i="10"/>
  <c r="I83" i="10"/>
  <c r="K83" i="10" s="1"/>
  <c r="L74" i="10"/>
  <c r="L72" i="10" s="1"/>
  <c r="L75" i="10"/>
  <c r="O75" i="10" s="1"/>
  <c r="R44" i="10"/>
  <c r="U44" i="10" s="1"/>
  <c r="P178" i="10"/>
  <c r="K92" i="10"/>
  <c r="M96" i="10"/>
  <c r="M94" i="10" s="1"/>
  <c r="O47" i="10"/>
  <c r="Q24" i="10"/>
  <c r="T24" i="10" s="1"/>
  <c r="Q555" i="10"/>
  <c r="T555" i="10" s="1"/>
  <c r="N534" i="10"/>
  <c r="N515" i="10"/>
  <c r="N513" i="10" s="1"/>
  <c r="R513" i="10"/>
  <c r="U513" i="10" s="1"/>
  <c r="K503" i="10"/>
  <c r="T498" i="10"/>
  <c r="Q495" i="10"/>
  <c r="T495" i="10" s="1"/>
  <c r="Q377" i="10"/>
  <c r="T377" i="10" s="1"/>
  <c r="O338" i="10"/>
  <c r="U308" i="10"/>
  <c r="I253" i="10"/>
  <c r="K253" i="10" s="1"/>
  <c r="K220" i="10"/>
  <c r="S159" i="10"/>
  <c r="S157" i="10" s="1"/>
  <c r="L141" i="10"/>
  <c r="O141" i="10" s="1"/>
  <c r="R142" i="10"/>
  <c r="U142" i="10" s="1"/>
  <c r="R119" i="10"/>
  <c r="R117" i="10" s="1"/>
  <c r="L96" i="10"/>
  <c r="O96" i="10" s="1"/>
  <c r="M97" i="10"/>
  <c r="P97" i="10" s="1"/>
  <c r="S44" i="10"/>
  <c r="N19" i="10"/>
  <c r="N728" i="10"/>
  <c r="N714" i="10"/>
  <c r="K709" i="10"/>
  <c r="L690" i="10"/>
  <c r="O690" i="10" s="1"/>
  <c r="M534" i="10"/>
  <c r="P534" i="10" s="1"/>
  <c r="M515" i="10"/>
  <c r="P515" i="10" s="1"/>
  <c r="M413" i="10"/>
  <c r="P413" i="10" s="1"/>
  <c r="M392" i="10"/>
  <c r="P392" i="10" s="1"/>
  <c r="Q378" i="10"/>
  <c r="J374" i="10"/>
  <c r="K368" i="10"/>
  <c r="J351" i="10"/>
  <c r="N322" i="10"/>
  <c r="N320" i="10" s="1"/>
  <c r="R305" i="10"/>
  <c r="U305" i="10" s="1"/>
  <c r="K292" i="10"/>
  <c r="L233" i="10"/>
  <c r="L222" i="10"/>
  <c r="O222" i="10" s="1"/>
  <c r="L189" i="10"/>
  <c r="O189" i="10" s="1"/>
  <c r="R175" i="10"/>
  <c r="U175" i="10" s="1"/>
  <c r="L142" i="10"/>
  <c r="O142" i="10" s="1"/>
  <c r="T74" i="10"/>
  <c r="L46" i="10"/>
  <c r="L44" i="10" s="1"/>
  <c r="M19" i="10"/>
  <c r="P19" i="10" s="1"/>
  <c r="K632" i="10"/>
  <c r="N616" i="10"/>
  <c r="N576" i="10"/>
  <c r="S555" i="10"/>
  <c r="N555" i="10"/>
  <c r="M519" i="10"/>
  <c r="P519" i="10" s="1"/>
  <c r="J458" i="10"/>
  <c r="K330" i="10"/>
  <c r="N305" i="10"/>
  <c r="N303" i="10" s="1"/>
  <c r="N268" i="10"/>
  <c r="N266" i="10" s="1"/>
  <c r="T191" i="10"/>
  <c r="P147" i="10"/>
  <c r="O102" i="10"/>
  <c r="P67" i="10"/>
  <c r="R59" i="10"/>
  <c r="U59" i="10" s="1"/>
  <c r="R19" i="10"/>
  <c r="L19" i="10"/>
  <c r="K726" i="10"/>
  <c r="Q693" i="10"/>
  <c r="J675" i="10"/>
  <c r="Q645" i="10"/>
  <c r="T645" i="10" s="1"/>
  <c r="N493" i="10"/>
  <c r="I456" i="10"/>
  <c r="K456" i="10" s="1"/>
  <c r="R416" i="10"/>
  <c r="U416" i="10" s="1"/>
  <c r="M375" i="10"/>
  <c r="P375" i="10" s="1"/>
  <c r="N375" i="10"/>
  <c r="S356" i="10"/>
  <c r="J332" i="10"/>
  <c r="L335" i="10"/>
  <c r="L333" i="10" s="1"/>
  <c r="S320" i="10"/>
  <c r="P287" i="10"/>
  <c r="R282" i="10"/>
  <c r="U282" i="10" s="1"/>
  <c r="M268" i="10"/>
  <c r="M266" i="10" s="1"/>
  <c r="N232" i="10"/>
  <c r="P194" i="10"/>
  <c r="N159" i="10"/>
  <c r="N157" i="10" s="1"/>
  <c r="O144" i="10"/>
  <c r="N119" i="10"/>
  <c r="N117" i="10" s="1"/>
  <c r="S94" i="10"/>
  <c r="L78" i="10"/>
  <c r="O78" i="10" s="1"/>
  <c r="R75" i="10"/>
  <c r="L61" i="10"/>
  <c r="L59" i="10" s="1"/>
  <c r="S24" i="10"/>
  <c r="U693" i="9"/>
  <c r="L335" i="9"/>
  <c r="L333" i="9" s="1"/>
  <c r="I93" i="9"/>
  <c r="K93" i="9" s="1"/>
  <c r="Q714" i="10"/>
  <c r="T714" i="10" s="1"/>
  <c r="T715" i="10"/>
  <c r="M642" i="10"/>
  <c r="P642" i="10" s="1"/>
  <c r="P643" i="10"/>
  <c r="S619" i="10"/>
  <c r="U621" i="10"/>
  <c r="S618" i="10"/>
  <c r="S616" i="10" s="1"/>
  <c r="Q599" i="10"/>
  <c r="T599" i="10" s="1"/>
  <c r="T600" i="10"/>
  <c r="O518" i="10"/>
  <c r="L516" i="10"/>
  <c r="O516" i="10" s="1"/>
  <c r="U414" i="10"/>
  <c r="R413" i="10"/>
  <c r="U413" i="10" s="1"/>
  <c r="K779" i="4"/>
  <c r="R763" i="8"/>
  <c r="L234" i="8"/>
  <c r="K784" i="9"/>
  <c r="K778" i="9"/>
  <c r="K705" i="9"/>
  <c r="I374" i="9"/>
  <c r="L358" i="9"/>
  <c r="L339" i="9"/>
  <c r="O339" i="9" s="1"/>
  <c r="U162" i="9"/>
  <c r="S160" i="9"/>
  <c r="M141" i="9"/>
  <c r="P141" i="9" s="1"/>
  <c r="I136" i="9"/>
  <c r="K136" i="9" s="1"/>
  <c r="T122" i="9"/>
  <c r="S120" i="9"/>
  <c r="U120" i="9" s="1"/>
  <c r="I83" i="9"/>
  <c r="K83" i="9" s="1"/>
  <c r="Q72" i="9"/>
  <c r="T72" i="9" s="1"/>
  <c r="O49" i="9"/>
  <c r="S763" i="10"/>
  <c r="R693" i="10"/>
  <c r="R692" i="10"/>
  <c r="U695" i="10"/>
  <c r="M576" i="10"/>
  <c r="P576" i="10" s="1"/>
  <c r="J503" i="10"/>
  <c r="J492" i="10" s="1"/>
  <c r="Q392" i="10"/>
  <c r="T392" i="10" s="1"/>
  <c r="L358" i="10"/>
  <c r="T729" i="10"/>
  <c r="M309" i="10"/>
  <c r="P309" i="10" s="1"/>
  <c r="P311" i="10"/>
  <c r="M305" i="10"/>
  <c r="P336" i="5"/>
  <c r="K772" i="7"/>
  <c r="R619" i="8"/>
  <c r="L141" i="9"/>
  <c r="O141" i="9" s="1"/>
  <c r="S117" i="9"/>
  <c r="M100" i="9"/>
  <c r="P100" i="9" s="1"/>
  <c r="T765" i="10"/>
  <c r="N760" i="10"/>
  <c r="M728" i="10"/>
  <c r="P728" i="10" s="1"/>
  <c r="J701" i="10"/>
  <c r="K703" i="10"/>
  <c r="S576" i="10"/>
  <c r="Q534" i="10"/>
  <c r="T534" i="10" s="1"/>
  <c r="T535" i="10"/>
  <c r="L515" i="10"/>
  <c r="O515" i="10" s="1"/>
  <c r="L362" i="10"/>
  <c r="O362" i="10" s="1"/>
  <c r="P361" i="8"/>
  <c r="T162" i="8"/>
  <c r="R75" i="8"/>
  <c r="I759" i="9"/>
  <c r="K759" i="9" s="1"/>
  <c r="P518" i="9"/>
  <c r="K369" i="9"/>
  <c r="P77" i="9"/>
  <c r="Q762" i="10"/>
  <c r="T731" i="10"/>
  <c r="R645" i="10"/>
  <c r="U645" i="10" s="1"/>
  <c r="R644" i="10"/>
  <c r="U647" i="10"/>
  <c r="Q731" i="8"/>
  <c r="T731" i="8" s="1"/>
  <c r="T621" i="8"/>
  <c r="I374" i="8"/>
  <c r="S730" i="9"/>
  <c r="S728" i="9" s="1"/>
  <c r="K676" i="9"/>
  <c r="K632" i="9"/>
  <c r="R377" i="9"/>
  <c r="R375" i="9" s="1"/>
  <c r="L284" i="9"/>
  <c r="L282" i="9" s="1"/>
  <c r="K198" i="9"/>
  <c r="P189" i="9"/>
  <c r="S714" i="10"/>
  <c r="M690" i="10"/>
  <c r="P690" i="10" s="1"/>
  <c r="P691" i="10"/>
  <c r="Q616" i="10"/>
  <c r="S599" i="10"/>
  <c r="Q576" i="10"/>
  <c r="T576" i="10" s="1"/>
  <c r="T577" i="10"/>
  <c r="I374" i="10"/>
  <c r="O321" i="10"/>
  <c r="O187" i="10"/>
  <c r="L75" i="9"/>
  <c r="O75" i="9" s="1"/>
  <c r="N61" i="9"/>
  <c r="N59" i="9" s="1"/>
  <c r="U733" i="10"/>
  <c r="R730" i="10"/>
  <c r="P729" i="10"/>
  <c r="P715" i="10"/>
  <c r="K707" i="10"/>
  <c r="K630" i="10"/>
  <c r="K626" i="10"/>
  <c r="Q619" i="10"/>
  <c r="P600" i="10"/>
  <c r="P577" i="10"/>
  <c r="P535" i="10"/>
  <c r="M516" i="10"/>
  <c r="P516" i="10" s="1"/>
  <c r="U514" i="10"/>
  <c r="O514" i="10"/>
  <c r="L413" i="10"/>
  <c r="O413" i="10" s="1"/>
  <c r="T393" i="10"/>
  <c r="S378" i="10"/>
  <c r="P377" i="10"/>
  <c r="O325" i="10"/>
  <c r="R320" i="10"/>
  <c r="U320" i="10" s="1"/>
  <c r="U321" i="10"/>
  <c r="K314" i="10"/>
  <c r="K281" i="10"/>
  <c r="L254" i="10"/>
  <c r="O254" i="10" s="1"/>
  <c r="Q189" i="10"/>
  <c r="T178" i="10"/>
  <c r="Q175" i="10"/>
  <c r="Q176" i="10"/>
  <c r="T176" i="10" s="1"/>
  <c r="T733" i="10"/>
  <c r="P414" i="10"/>
  <c r="U357" i="10"/>
  <c r="T304" i="10"/>
  <c r="Q415" i="10"/>
  <c r="T418" i="10"/>
  <c r="O361" i="10"/>
  <c r="I332" i="10"/>
  <c r="K344" i="10"/>
  <c r="M339" i="10"/>
  <c r="P339" i="10" s="1"/>
  <c r="L336" i="10"/>
  <c r="O336" i="10" s="1"/>
  <c r="N335" i="10"/>
  <c r="M326" i="10"/>
  <c r="P326" i="10" s="1"/>
  <c r="M322" i="10"/>
  <c r="P322" i="10" s="1"/>
  <c r="L323" i="10"/>
  <c r="O323" i="10" s="1"/>
  <c r="R306" i="10"/>
  <c r="L268" i="10"/>
  <c r="K249" i="10"/>
  <c r="I242" i="10"/>
  <c r="R377" i="10"/>
  <c r="U377" i="10" s="1"/>
  <c r="U380" i="10"/>
  <c r="J343" i="10"/>
  <c r="O287" i="10"/>
  <c r="L284" i="10"/>
  <c r="L282" i="10" s="1"/>
  <c r="L285" i="10"/>
  <c r="O285" i="10" s="1"/>
  <c r="O274" i="10"/>
  <c r="L272" i="10"/>
  <c r="O272" i="10" s="1"/>
  <c r="Q188" i="10"/>
  <c r="T621" i="10"/>
  <c r="O494" i="10"/>
  <c r="P393" i="10"/>
  <c r="P361" i="10"/>
  <c r="M359" i="10"/>
  <c r="U334" i="10"/>
  <c r="Q306" i="10"/>
  <c r="Q305" i="10"/>
  <c r="T305" i="10" s="1"/>
  <c r="T308" i="10"/>
  <c r="K280" i="10"/>
  <c r="T268" i="10"/>
  <c r="L235" i="10"/>
  <c r="L359" i="10"/>
  <c r="N326" i="10"/>
  <c r="K293" i="10"/>
  <c r="O271" i="10"/>
  <c r="P191" i="10"/>
  <c r="M176" i="10"/>
  <c r="O125" i="10"/>
  <c r="S119" i="10"/>
  <c r="Q96" i="10"/>
  <c r="P95" i="10"/>
  <c r="U73" i="10"/>
  <c r="R72" i="10"/>
  <c r="M62" i="10"/>
  <c r="P62" i="10" s="1"/>
  <c r="P64" i="10"/>
  <c r="M61" i="10"/>
  <c r="N284" i="10"/>
  <c r="N282" i="10" s="1"/>
  <c r="L243" i="10"/>
  <c r="O191" i="10"/>
  <c r="P162" i="10"/>
  <c r="M160" i="10"/>
  <c r="P160" i="10" s="1"/>
  <c r="M159" i="10"/>
  <c r="P158" i="10"/>
  <c r="M142" i="10"/>
  <c r="P142" i="10" s="1"/>
  <c r="M141" i="10"/>
  <c r="P144" i="10"/>
  <c r="I138" i="10"/>
  <c r="K138" i="10" s="1"/>
  <c r="P122" i="10"/>
  <c r="M120" i="10"/>
  <c r="P120" i="10" s="1"/>
  <c r="U120" i="10"/>
  <c r="Q282" i="10"/>
  <c r="T282" i="10" s="1"/>
  <c r="M269" i="10"/>
  <c r="P269" i="10" s="1"/>
  <c r="Q266" i="10"/>
  <c r="T266" i="10" s="1"/>
  <c r="N188" i="10"/>
  <c r="L176" i="10"/>
  <c r="O178" i="10"/>
  <c r="S175" i="10"/>
  <c r="S173" i="10" s="1"/>
  <c r="L163" i="10"/>
  <c r="O163" i="10" s="1"/>
  <c r="L26" i="10"/>
  <c r="U122" i="10"/>
  <c r="L120" i="10"/>
  <c r="O120" i="10" s="1"/>
  <c r="L119" i="10"/>
  <c r="O122" i="10"/>
  <c r="M119" i="10"/>
  <c r="P119" i="10" s="1"/>
  <c r="Q59" i="10"/>
  <c r="T59" i="10" s="1"/>
  <c r="T60" i="10"/>
  <c r="L269" i="10"/>
  <c r="O269" i="10" s="1"/>
  <c r="I116" i="10"/>
  <c r="K116" i="10" s="1"/>
  <c r="R24" i="10"/>
  <c r="U24" i="10" s="1"/>
  <c r="L305" i="10"/>
  <c r="O283" i="10"/>
  <c r="T271" i="10"/>
  <c r="Q269" i="10"/>
  <c r="S269" i="10"/>
  <c r="K230" i="10"/>
  <c r="P187" i="10"/>
  <c r="M175" i="10"/>
  <c r="P174" i="10"/>
  <c r="R160" i="10"/>
  <c r="U160" i="10" s="1"/>
  <c r="R159" i="10"/>
  <c r="U159" i="10" s="1"/>
  <c r="T158" i="10"/>
  <c r="Q157" i="10"/>
  <c r="T157" i="10" s="1"/>
  <c r="T144" i="10"/>
  <c r="Q142" i="10"/>
  <c r="T142" i="10" s="1"/>
  <c r="Q141" i="10"/>
  <c r="T141" i="10" s="1"/>
  <c r="S141" i="10"/>
  <c r="S139" i="10" s="1"/>
  <c r="M75" i="10"/>
  <c r="P75" i="10" s="1"/>
  <c r="P77" i="10"/>
  <c r="Q44" i="10"/>
  <c r="T44" i="10" s="1"/>
  <c r="T45" i="10"/>
  <c r="R139" i="10"/>
  <c r="U139" i="10" s="1"/>
  <c r="O95" i="10"/>
  <c r="S75" i="10"/>
  <c r="S23" i="10"/>
  <c r="S20" i="10" s="1"/>
  <c r="S18" i="10" s="1"/>
  <c r="Q72" i="10"/>
  <c r="N61" i="10"/>
  <c r="N59" i="10" s="1"/>
  <c r="L23" i="10"/>
  <c r="M179" i="10"/>
  <c r="P179" i="10" s="1"/>
  <c r="O162" i="10"/>
  <c r="L159" i="10"/>
  <c r="O159" i="10" s="1"/>
  <c r="I137" i="10"/>
  <c r="K137" i="10" s="1"/>
  <c r="P125" i="10"/>
  <c r="M123" i="10"/>
  <c r="P123" i="10" s="1"/>
  <c r="N96" i="10"/>
  <c r="N94" i="10" s="1"/>
  <c r="P80" i="10"/>
  <c r="U74" i="10"/>
  <c r="N74" i="10"/>
  <c r="N26" i="10"/>
  <c r="N24" i="10" s="1"/>
  <c r="M47" i="10"/>
  <c r="P47" i="10" s="1"/>
  <c r="M23" i="10"/>
  <c r="M21" i="10" s="1"/>
  <c r="M46" i="10"/>
  <c r="M26" i="10"/>
  <c r="P26" i="10" s="1"/>
  <c r="I93" i="10"/>
  <c r="K93" i="10" s="1"/>
  <c r="K109" i="10"/>
  <c r="S59" i="10"/>
  <c r="U19" i="10"/>
  <c r="O19" i="10"/>
  <c r="S72" i="10"/>
  <c r="R23" i="10"/>
  <c r="T162" i="10"/>
  <c r="N142" i="10"/>
  <c r="T122" i="10"/>
  <c r="P99" i="10"/>
  <c r="R97" i="10"/>
  <c r="L97" i="10"/>
  <c r="O97" i="10" s="1"/>
  <c r="U77" i="10"/>
  <c r="O77" i="10"/>
  <c r="Q75" i="10"/>
  <c r="O64" i="10"/>
  <c r="N50" i="10"/>
  <c r="O49" i="10"/>
  <c r="N23" i="10"/>
  <c r="N46" i="10"/>
  <c r="Q19" i="10"/>
  <c r="Q23" i="10"/>
  <c r="U731" i="9"/>
  <c r="T731" i="9"/>
  <c r="K365" i="9"/>
  <c r="L236" i="9"/>
  <c r="O77" i="5"/>
  <c r="Q763" i="8"/>
  <c r="N284" i="8"/>
  <c r="N282" i="8" s="1"/>
  <c r="L78" i="8"/>
  <c r="O78" i="8" s="1"/>
  <c r="K781" i="9"/>
  <c r="U733" i="9"/>
  <c r="R730" i="9"/>
  <c r="R728" i="9" s="1"/>
  <c r="K681" i="9"/>
  <c r="Q599" i="9"/>
  <c r="T599" i="9" s="1"/>
  <c r="M493" i="9"/>
  <c r="P493" i="9" s="1"/>
  <c r="J458" i="9"/>
  <c r="L413" i="9"/>
  <c r="O413" i="9" s="1"/>
  <c r="M413" i="9"/>
  <c r="P413" i="9" s="1"/>
  <c r="K368" i="9"/>
  <c r="M358" i="9"/>
  <c r="M356" i="9" s="1"/>
  <c r="S356" i="9"/>
  <c r="P325" i="9"/>
  <c r="O290" i="9"/>
  <c r="L222" i="9"/>
  <c r="O222" i="9" s="1"/>
  <c r="I213" i="9"/>
  <c r="K213" i="9" s="1"/>
  <c r="T203" i="9"/>
  <c r="M188" i="9"/>
  <c r="M186" i="9" s="1"/>
  <c r="S189" i="9"/>
  <c r="S186" i="9"/>
  <c r="R186" i="9"/>
  <c r="S176" i="9"/>
  <c r="O165" i="9"/>
  <c r="M163" i="9"/>
  <c r="P163" i="9" s="1"/>
  <c r="K152" i="9"/>
  <c r="Q142" i="9"/>
  <c r="T142" i="9" s="1"/>
  <c r="Q120" i="9"/>
  <c r="U77" i="9"/>
  <c r="U74" i="9"/>
  <c r="Q59" i="9"/>
  <c r="T59" i="9" s="1"/>
  <c r="P49" i="9"/>
  <c r="N47" i="9"/>
  <c r="P47" i="9" s="1"/>
  <c r="P162" i="7"/>
  <c r="I241" i="8"/>
  <c r="K241" i="8" s="1"/>
  <c r="N188" i="8"/>
  <c r="N186" i="8" s="1"/>
  <c r="M179" i="8"/>
  <c r="P179" i="8" s="1"/>
  <c r="K138" i="8"/>
  <c r="K127" i="8"/>
  <c r="T733" i="9"/>
  <c r="K631" i="9"/>
  <c r="K626" i="9"/>
  <c r="P600" i="9"/>
  <c r="J457" i="9"/>
  <c r="J456" i="9" s="1"/>
  <c r="M362" i="9"/>
  <c r="P362" i="9" s="1"/>
  <c r="N335" i="9"/>
  <c r="N333" i="9" s="1"/>
  <c r="N336" i="9"/>
  <c r="I302" i="9"/>
  <c r="K302" i="9" s="1"/>
  <c r="K292" i="9"/>
  <c r="N268" i="9"/>
  <c r="N266" i="9" s="1"/>
  <c r="L188" i="9"/>
  <c r="R189" i="9"/>
  <c r="Q186" i="9"/>
  <c r="P176" i="9"/>
  <c r="Q19" i="9"/>
  <c r="T19" i="9" s="1"/>
  <c r="S203" i="1"/>
  <c r="K654" i="6"/>
  <c r="M272" i="8"/>
  <c r="P272" i="8" s="1"/>
  <c r="L222" i="8"/>
  <c r="O222" i="8" s="1"/>
  <c r="I92" i="8"/>
  <c r="K92" i="8" s="1"/>
  <c r="R72" i="8"/>
  <c r="K785" i="9"/>
  <c r="U765" i="9"/>
  <c r="K707" i="9"/>
  <c r="J674" i="9"/>
  <c r="K674" i="9" s="1"/>
  <c r="S644" i="9"/>
  <c r="S642" i="9" s="1"/>
  <c r="K630" i="9"/>
  <c r="S555" i="9"/>
  <c r="P535" i="9"/>
  <c r="P514" i="9"/>
  <c r="S495" i="9"/>
  <c r="S493" i="9" s="1"/>
  <c r="N413" i="9"/>
  <c r="S392" i="9"/>
  <c r="T380" i="9"/>
  <c r="P341" i="9"/>
  <c r="M335" i="9"/>
  <c r="M333" i="9" s="1"/>
  <c r="M336" i="9"/>
  <c r="M322" i="9"/>
  <c r="P322" i="9" s="1"/>
  <c r="N305" i="9"/>
  <c r="N303" i="9" s="1"/>
  <c r="L254" i="9"/>
  <c r="O254" i="9" s="1"/>
  <c r="O194" i="9"/>
  <c r="Q189" i="9"/>
  <c r="O125" i="9"/>
  <c r="Q117" i="9"/>
  <c r="M120" i="9"/>
  <c r="P120" i="9" s="1"/>
  <c r="U46" i="9"/>
  <c r="M519" i="7"/>
  <c r="P519" i="7" s="1"/>
  <c r="R645" i="8"/>
  <c r="U645" i="8" s="1"/>
  <c r="T380" i="8"/>
  <c r="S762" i="9"/>
  <c r="S760" i="9" s="1"/>
  <c r="S692" i="9"/>
  <c r="S690" i="9" s="1"/>
  <c r="U600" i="9"/>
  <c r="N515" i="9"/>
  <c r="N513" i="9" s="1"/>
  <c r="O514" i="9"/>
  <c r="R495" i="9"/>
  <c r="U495" i="9" s="1"/>
  <c r="K423" i="9"/>
  <c r="Q392" i="9"/>
  <c r="T392" i="9" s="1"/>
  <c r="Q375" i="9"/>
  <c r="M359" i="9"/>
  <c r="J351" i="9"/>
  <c r="K346" i="9"/>
  <c r="L322" i="9"/>
  <c r="O322" i="9" s="1"/>
  <c r="N306" i="9"/>
  <c r="N284" i="9"/>
  <c r="N282" i="9" s="1"/>
  <c r="N285" i="9"/>
  <c r="M272" i="9"/>
  <c r="P272" i="9" s="1"/>
  <c r="N269" i="9"/>
  <c r="P191" i="9"/>
  <c r="M123" i="9"/>
  <c r="P123" i="9" s="1"/>
  <c r="T119" i="9"/>
  <c r="L100" i="9"/>
  <c r="O100" i="9" s="1"/>
  <c r="M96" i="9"/>
  <c r="S97" i="9"/>
  <c r="I92" i="9"/>
  <c r="K92" i="9" s="1"/>
  <c r="I82" i="9"/>
  <c r="L74" i="9"/>
  <c r="O74" i="9" s="1"/>
  <c r="Q75" i="9"/>
  <c r="T75" i="9" s="1"/>
  <c r="P64" i="9"/>
  <c r="N62" i="9"/>
  <c r="P62" i="9" s="1"/>
  <c r="S24" i="9"/>
  <c r="Q24" i="9"/>
  <c r="T24" i="9" s="1"/>
  <c r="K183" i="6"/>
  <c r="U77" i="6"/>
  <c r="J675" i="7"/>
  <c r="K653" i="8"/>
  <c r="Q496" i="8"/>
  <c r="T496" i="8" s="1"/>
  <c r="K183" i="8"/>
  <c r="R762" i="9"/>
  <c r="J702" i="9"/>
  <c r="Q576" i="9"/>
  <c r="T576" i="9" s="1"/>
  <c r="M515" i="9"/>
  <c r="P515" i="9" s="1"/>
  <c r="L516" i="9"/>
  <c r="O516" i="9" s="1"/>
  <c r="U498" i="9"/>
  <c r="P376" i="9"/>
  <c r="O361" i="9"/>
  <c r="L359" i="9"/>
  <c r="M284" i="9"/>
  <c r="S266" i="9"/>
  <c r="M269" i="9"/>
  <c r="N232" i="9"/>
  <c r="U191" i="9"/>
  <c r="O191" i="9"/>
  <c r="L189" i="9"/>
  <c r="O189" i="9" s="1"/>
  <c r="N141" i="9"/>
  <c r="N139" i="9" s="1"/>
  <c r="K127" i="9"/>
  <c r="U122" i="9"/>
  <c r="L96" i="9"/>
  <c r="L94" i="9" s="1"/>
  <c r="O94" i="9" s="1"/>
  <c r="R97" i="9"/>
  <c r="P80" i="9"/>
  <c r="N75" i="9"/>
  <c r="O64" i="9"/>
  <c r="R24" i="9"/>
  <c r="U24" i="9" s="1"/>
  <c r="T22" i="9"/>
  <c r="T415" i="9"/>
  <c r="Q413" i="9"/>
  <c r="T413" i="9" s="1"/>
  <c r="Q377" i="8"/>
  <c r="T377" i="8" s="1"/>
  <c r="Q378" i="8"/>
  <c r="I758" i="9"/>
  <c r="K758" i="9" s="1"/>
  <c r="K772" i="9"/>
  <c r="K727" i="9"/>
  <c r="U617" i="9"/>
  <c r="M555" i="9"/>
  <c r="P555" i="9" s="1"/>
  <c r="P556" i="9"/>
  <c r="L493" i="9"/>
  <c r="O493" i="9" s="1"/>
  <c r="O308" i="9"/>
  <c r="L306" i="9"/>
  <c r="O306" i="9" s="1"/>
  <c r="O274" i="9"/>
  <c r="L272" i="9"/>
  <c r="O272" i="9" s="1"/>
  <c r="L268" i="9"/>
  <c r="O268" i="9" s="1"/>
  <c r="J374" i="7"/>
  <c r="J343" i="7"/>
  <c r="T765" i="8"/>
  <c r="M519" i="8"/>
  <c r="P519" i="8" s="1"/>
  <c r="Q415" i="8"/>
  <c r="T415" i="8" s="1"/>
  <c r="J374" i="8"/>
  <c r="J351" i="8"/>
  <c r="K346" i="8"/>
  <c r="P308" i="8"/>
  <c r="L284" i="8"/>
  <c r="L282" i="8" s="1"/>
  <c r="O125" i="8"/>
  <c r="L123" i="8"/>
  <c r="O123" i="8" s="1"/>
  <c r="M120" i="8"/>
  <c r="P120" i="8" s="1"/>
  <c r="M760" i="9"/>
  <c r="P760" i="9" s="1"/>
  <c r="U729" i="9"/>
  <c r="R714" i="9"/>
  <c r="U714" i="9" s="1"/>
  <c r="L714" i="9"/>
  <c r="O714" i="9" s="1"/>
  <c r="M714" i="9"/>
  <c r="P714" i="9" s="1"/>
  <c r="Q645" i="9"/>
  <c r="T645" i="9" s="1"/>
  <c r="Q644" i="9"/>
  <c r="T647" i="9"/>
  <c r="L642" i="9"/>
  <c r="O642" i="9" s="1"/>
  <c r="O643" i="9"/>
  <c r="L555" i="9"/>
  <c r="O555" i="9" s="1"/>
  <c r="O556" i="9"/>
  <c r="R534" i="9"/>
  <c r="U534" i="9" s="1"/>
  <c r="L534" i="9"/>
  <c r="O534" i="9" s="1"/>
  <c r="K457" i="9"/>
  <c r="I456" i="9"/>
  <c r="K456" i="9" s="1"/>
  <c r="P311" i="9"/>
  <c r="M309" i="9"/>
  <c r="P309" i="9" s="1"/>
  <c r="T308" i="9"/>
  <c r="S306" i="9"/>
  <c r="T306" i="9" s="1"/>
  <c r="S305" i="9"/>
  <c r="S303" i="9" s="1"/>
  <c r="U271" i="9"/>
  <c r="R269" i="9"/>
  <c r="R268" i="9"/>
  <c r="U268" i="9" s="1"/>
  <c r="R176" i="9"/>
  <c r="U176" i="9" s="1"/>
  <c r="R175" i="9"/>
  <c r="U175" i="9" s="1"/>
  <c r="U178" i="9"/>
  <c r="U118" i="9"/>
  <c r="U96" i="9"/>
  <c r="R94" i="9"/>
  <c r="U94" i="9" s="1"/>
  <c r="P25" i="9"/>
  <c r="K689" i="9"/>
  <c r="N642" i="9"/>
  <c r="K293" i="9"/>
  <c r="I280" i="9"/>
  <c r="K280" i="9" s="1"/>
  <c r="Q416" i="7"/>
  <c r="T416" i="7" s="1"/>
  <c r="K783" i="8"/>
  <c r="Q693" i="9"/>
  <c r="T693" i="9" s="1"/>
  <c r="Q692" i="9"/>
  <c r="T695" i="9"/>
  <c r="L690" i="9"/>
  <c r="O690" i="9" s="1"/>
  <c r="O691" i="9"/>
  <c r="Q693" i="7"/>
  <c r="O102" i="7"/>
  <c r="K785" i="8"/>
  <c r="K782" i="8"/>
  <c r="K779" i="8"/>
  <c r="R731" i="8"/>
  <c r="U731" i="8" s="1"/>
  <c r="J702" i="8"/>
  <c r="I701" i="8"/>
  <c r="U647" i="8"/>
  <c r="Q618" i="8"/>
  <c r="Q616" i="8" s="1"/>
  <c r="U380" i="8"/>
  <c r="O359" i="8"/>
  <c r="L288" i="8"/>
  <c r="O288" i="8" s="1"/>
  <c r="O147" i="8"/>
  <c r="L65" i="8"/>
  <c r="O65" i="8" s="1"/>
  <c r="L760" i="9"/>
  <c r="O760" i="9" s="1"/>
  <c r="O761" i="9"/>
  <c r="Q714" i="9"/>
  <c r="T714" i="9" s="1"/>
  <c r="T715" i="9"/>
  <c r="J701" i="9"/>
  <c r="U691" i="9"/>
  <c r="J675" i="9"/>
  <c r="K675" i="9" s="1"/>
  <c r="R619" i="9"/>
  <c r="U619" i="9" s="1"/>
  <c r="R618" i="9"/>
  <c r="R616" i="9" s="1"/>
  <c r="U621" i="9"/>
  <c r="N616" i="9"/>
  <c r="R576" i="9"/>
  <c r="U576" i="9" s="1"/>
  <c r="L576" i="9"/>
  <c r="O576" i="9" s="1"/>
  <c r="Q534" i="9"/>
  <c r="T534" i="9" s="1"/>
  <c r="P521" i="9"/>
  <c r="M519" i="9"/>
  <c r="P519" i="9" s="1"/>
  <c r="T494" i="9"/>
  <c r="J374" i="9"/>
  <c r="K386" i="9"/>
  <c r="O311" i="9"/>
  <c r="L309" i="9"/>
  <c r="O309" i="9" s="1"/>
  <c r="R282" i="9"/>
  <c r="U282" i="9" s="1"/>
  <c r="O147" i="9"/>
  <c r="L145" i="9"/>
  <c r="O145" i="9" s="1"/>
  <c r="N26" i="9"/>
  <c r="N24" i="9" s="1"/>
  <c r="M690" i="9"/>
  <c r="P690" i="9" s="1"/>
  <c r="K780" i="8"/>
  <c r="M97" i="8"/>
  <c r="P97" i="8" s="1"/>
  <c r="M642" i="9"/>
  <c r="P642" i="9" s="1"/>
  <c r="S619" i="8"/>
  <c r="T619" i="8" s="1"/>
  <c r="K388" i="8"/>
  <c r="K368" i="8"/>
  <c r="P311" i="8"/>
  <c r="P306" i="8"/>
  <c r="R306" i="8"/>
  <c r="N285" i="8"/>
  <c r="P285" i="8" s="1"/>
  <c r="L254" i="8"/>
  <c r="O254" i="8" s="1"/>
  <c r="L233" i="8"/>
  <c r="Q762" i="9"/>
  <c r="T765" i="9"/>
  <c r="U761" i="9"/>
  <c r="Q730" i="9"/>
  <c r="L728" i="9"/>
  <c r="O728" i="9" s="1"/>
  <c r="I701" i="9"/>
  <c r="K703" i="9"/>
  <c r="T691" i="9"/>
  <c r="U643" i="9"/>
  <c r="Q618" i="9"/>
  <c r="T621" i="9"/>
  <c r="M616" i="9"/>
  <c r="P616" i="9" s="1"/>
  <c r="P617" i="9"/>
  <c r="L599" i="9"/>
  <c r="O599" i="9" s="1"/>
  <c r="R555" i="9"/>
  <c r="U555" i="9" s="1"/>
  <c r="U556" i="9"/>
  <c r="J503" i="9"/>
  <c r="J492" i="9" s="1"/>
  <c r="L305" i="9"/>
  <c r="O305" i="9" s="1"/>
  <c r="Q282" i="9"/>
  <c r="T282" i="9" s="1"/>
  <c r="T283" i="9"/>
  <c r="U158" i="9"/>
  <c r="I492" i="9"/>
  <c r="K492" i="9" s="1"/>
  <c r="R356" i="9"/>
  <c r="U356" i="9" s="1"/>
  <c r="U357" i="9"/>
  <c r="K346" i="5"/>
  <c r="S175" i="8"/>
  <c r="S173" i="8" s="1"/>
  <c r="S176" i="8"/>
  <c r="M123" i="8"/>
  <c r="P123" i="8" s="1"/>
  <c r="P125" i="8"/>
  <c r="J674" i="7"/>
  <c r="U191" i="7"/>
  <c r="R692" i="8"/>
  <c r="R690" i="8" s="1"/>
  <c r="Q644" i="8"/>
  <c r="Q642" i="8" s="1"/>
  <c r="U621" i="8"/>
  <c r="R377" i="8"/>
  <c r="U377" i="8" s="1"/>
  <c r="P359" i="8"/>
  <c r="K260" i="8"/>
  <c r="S160" i="8"/>
  <c r="M145" i="8"/>
  <c r="P145" i="8" s="1"/>
  <c r="P147" i="8"/>
  <c r="N97" i="8"/>
  <c r="N96" i="8"/>
  <c r="N94" i="8" s="1"/>
  <c r="T729" i="9"/>
  <c r="M728" i="9"/>
  <c r="P728" i="9" s="1"/>
  <c r="N690" i="9"/>
  <c r="T643" i="9"/>
  <c r="L616" i="9"/>
  <c r="O616" i="9" s="1"/>
  <c r="O617" i="9"/>
  <c r="Q513" i="9"/>
  <c r="T513" i="9" s="1"/>
  <c r="Q416" i="9"/>
  <c r="T416" i="9" s="1"/>
  <c r="T418" i="9"/>
  <c r="K229" i="9"/>
  <c r="K169" i="9"/>
  <c r="I156" i="9"/>
  <c r="K156" i="9" s="1"/>
  <c r="K153" i="8"/>
  <c r="U695" i="9"/>
  <c r="R692" i="9"/>
  <c r="P691" i="9"/>
  <c r="U647" i="9"/>
  <c r="R644" i="9"/>
  <c r="P643" i="9"/>
  <c r="S618" i="9"/>
  <c r="S616" i="9" s="1"/>
  <c r="T600" i="9"/>
  <c r="T577" i="9"/>
  <c r="T535" i="9"/>
  <c r="O518" i="9"/>
  <c r="T498" i="9"/>
  <c r="Q495" i="9"/>
  <c r="T495" i="9" s="1"/>
  <c r="U494" i="9"/>
  <c r="O494" i="9"/>
  <c r="U418" i="9"/>
  <c r="S416" i="9"/>
  <c r="O415" i="9"/>
  <c r="M392" i="9"/>
  <c r="P392" i="9" s="1"/>
  <c r="U378" i="9"/>
  <c r="P361" i="9"/>
  <c r="N359" i="9"/>
  <c r="K330" i="9"/>
  <c r="P328" i="9"/>
  <c r="M326" i="9"/>
  <c r="P326" i="9" s="1"/>
  <c r="U308" i="9"/>
  <c r="R306" i="9"/>
  <c r="R303" i="9"/>
  <c r="T271" i="9"/>
  <c r="Q269" i="9"/>
  <c r="P60" i="9"/>
  <c r="P45" i="9"/>
  <c r="K440" i="9"/>
  <c r="R416" i="9"/>
  <c r="U416" i="9" s="1"/>
  <c r="L392" i="9"/>
  <c r="O392" i="9" s="1"/>
  <c r="O393" i="9"/>
  <c r="P357" i="9"/>
  <c r="O338" i="9"/>
  <c r="L336" i="9"/>
  <c r="R333" i="9"/>
  <c r="U333" i="9" s="1"/>
  <c r="Q320" i="9"/>
  <c r="T320" i="9" s="1"/>
  <c r="T304" i="9"/>
  <c r="T268" i="9"/>
  <c r="Q266" i="9"/>
  <c r="L233" i="9"/>
  <c r="P181" i="9"/>
  <c r="M179" i="9"/>
  <c r="P179" i="9" s="1"/>
  <c r="M175" i="9"/>
  <c r="M173" i="9" s="1"/>
  <c r="U174" i="9"/>
  <c r="R392" i="9"/>
  <c r="U392" i="9" s="1"/>
  <c r="U393" i="9"/>
  <c r="U380" i="9"/>
  <c r="S377" i="9"/>
  <c r="S375" i="9" s="1"/>
  <c r="O357" i="9"/>
  <c r="J332" i="9"/>
  <c r="J343" i="9"/>
  <c r="Q333" i="9"/>
  <c r="T333" i="9" s="1"/>
  <c r="P287" i="9"/>
  <c r="M285" i="9"/>
  <c r="P187" i="9"/>
  <c r="O181" i="9"/>
  <c r="L179" i="9"/>
  <c r="O179" i="9" s="1"/>
  <c r="L176" i="9"/>
  <c r="O176" i="9" s="1"/>
  <c r="L175" i="9"/>
  <c r="L173" i="9" s="1"/>
  <c r="O178" i="9"/>
  <c r="O144" i="9"/>
  <c r="L142" i="9"/>
  <c r="O142" i="9" s="1"/>
  <c r="N120" i="9"/>
  <c r="N119" i="9"/>
  <c r="N117" i="9" s="1"/>
  <c r="P67" i="9"/>
  <c r="M65" i="9"/>
  <c r="P65" i="9" s="1"/>
  <c r="S19" i="9"/>
  <c r="O364" i="9"/>
  <c r="L362" i="9"/>
  <c r="O362" i="9" s="1"/>
  <c r="I332" i="9"/>
  <c r="K344" i="9"/>
  <c r="N322" i="9"/>
  <c r="N320" i="9" s="1"/>
  <c r="P308" i="9"/>
  <c r="M306" i="9"/>
  <c r="P306" i="9" s="1"/>
  <c r="M305" i="9"/>
  <c r="P305" i="9" s="1"/>
  <c r="O287" i="9"/>
  <c r="L285" i="9"/>
  <c r="S282" i="9"/>
  <c r="O271" i="9"/>
  <c r="L269" i="9"/>
  <c r="O269" i="9" s="1"/>
  <c r="I242" i="9"/>
  <c r="K249" i="9"/>
  <c r="I238" i="9"/>
  <c r="K238" i="9" s="1"/>
  <c r="L214" i="9"/>
  <c r="O214" i="9" s="1"/>
  <c r="L203" i="9"/>
  <c r="O203" i="9" s="1"/>
  <c r="I172" i="9"/>
  <c r="K172" i="9" s="1"/>
  <c r="K183" i="9"/>
  <c r="Q159" i="9"/>
  <c r="Q160" i="9"/>
  <c r="T160" i="9" s="1"/>
  <c r="T162" i="9"/>
  <c r="P147" i="9"/>
  <c r="M145" i="9"/>
  <c r="P145" i="9" s="1"/>
  <c r="S142" i="9"/>
  <c r="S141" i="9"/>
  <c r="S139" i="9" s="1"/>
  <c r="K371" i="9"/>
  <c r="P338" i="9"/>
  <c r="T334" i="9"/>
  <c r="O325" i="9"/>
  <c r="Q305" i="9"/>
  <c r="U304" i="9"/>
  <c r="O304" i="9"/>
  <c r="U283" i="9"/>
  <c r="O283" i="9"/>
  <c r="P271" i="9"/>
  <c r="L243" i="9"/>
  <c r="N188" i="9"/>
  <c r="N160" i="9"/>
  <c r="P160" i="9" s="1"/>
  <c r="N23" i="9"/>
  <c r="U144" i="9"/>
  <c r="R142" i="9"/>
  <c r="U142" i="9" s="1"/>
  <c r="T99" i="9"/>
  <c r="Q97" i="9"/>
  <c r="O67" i="9"/>
  <c r="L65" i="9"/>
  <c r="O65" i="9" s="1"/>
  <c r="L61" i="9"/>
  <c r="P52" i="9"/>
  <c r="M26" i="9"/>
  <c r="P26" i="9" s="1"/>
  <c r="M50" i="9"/>
  <c r="P50" i="9" s="1"/>
  <c r="P178" i="9"/>
  <c r="N175" i="9"/>
  <c r="N173" i="9" s="1"/>
  <c r="P162" i="9"/>
  <c r="P158" i="9"/>
  <c r="P118" i="9"/>
  <c r="Q96" i="9"/>
  <c r="T96" i="9" s="1"/>
  <c r="P73" i="9"/>
  <c r="O52" i="9"/>
  <c r="L26" i="9"/>
  <c r="O26" i="9" s="1"/>
  <c r="L50" i="9"/>
  <c r="O50" i="9" s="1"/>
  <c r="L46" i="9"/>
  <c r="K276" i="9"/>
  <c r="N159" i="9"/>
  <c r="N157" i="9" s="1"/>
  <c r="O158" i="9"/>
  <c r="I138" i="9"/>
  <c r="K138" i="9" s="1"/>
  <c r="O118" i="9"/>
  <c r="P22" i="9"/>
  <c r="M19" i="9"/>
  <c r="S157" i="9"/>
  <c r="P144" i="9"/>
  <c r="M142" i="9"/>
  <c r="P142" i="9" s="1"/>
  <c r="R141" i="9"/>
  <c r="T140" i="9"/>
  <c r="R19" i="9"/>
  <c r="L19" i="9"/>
  <c r="M159" i="9"/>
  <c r="Q141" i="9"/>
  <c r="T141" i="9" s="1"/>
  <c r="M119" i="9"/>
  <c r="P119" i="9" s="1"/>
  <c r="U99" i="9"/>
  <c r="O99" i="9"/>
  <c r="S23" i="9"/>
  <c r="S20" i="9" s="1"/>
  <c r="M23" i="9"/>
  <c r="M21" i="9" s="1"/>
  <c r="R159" i="9"/>
  <c r="U159" i="9" s="1"/>
  <c r="L159" i="9"/>
  <c r="O159" i="9" s="1"/>
  <c r="R119" i="9"/>
  <c r="U119" i="9" s="1"/>
  <c r="L119" i="9"/>
  <c r="O119" i="9" s="1"/>
  <c r="N96" i="9"/>
  <c r="N94" i="9" s="1"/>
  <c r="S74" i="9"/>
  <c r="S72" i="9" s="1"/>
  <c r="M74" i="9"/>
  <c r="P74" i="9" s="1"/>
  <c r="M61" i="9"/>
  <c r="M46" i="9"/>
  <c r="R23" i="9"/>
  <c r="L23" i="9"/>
  <c r="L21" i="9" s="1"/>
  <c r="U25" i="9"/>
  <c r="O25" i="9"/>
  <c r="Q23" i="9"/>
  <c r="U22" i="9"/>
  <c r="O22" i="9"/>
  <c r="Q693" i="8"/>
  <c r="Q692" i="8"/>
  <c r="S576" i="8"/>
  <c r="R416" i="8"/>
  <c r="U416" i="8" s="1"/>
  <c r="U418" i="8"/>
  <c r="R415" i="8"/>
  <c r="R413" i="8" s="1"/>
  <c r="U413" i="8" s="1"/>
  <c r="M336" i="8"/>
  <c r="P336" i="8" s="1"/>
  <c r="P338" i="8"/>
  <c r="Q693" i="6"/>
  <c r="T693" i="6" s="1"/>
  <c r="K682" i="6"/>
  <c r="K661" i="6"/>
  <c r="K368" i="6"/>
  <c r="U144" i="6"/>
  <c r="K127" i="6"/>
  <c r="K705" i="7"/>
  <c r="S690" i="7"/>
  <c r="K632" i="7"/>
  <c r="K293" i="7"/>
  <c r="M188" i="7"/>
  <c r="M186" i="7" s="1"/>
  <c r="Q189" i="7"/>
  <c r="T189" i="7" s="1"/>
  <c r="O178" i="7"/>
  <c r="O691" i="8"/>
  <c r="K654" i="8"/>
  <c r="S616" i="8"/>
  <c r="I492" i="8"/>
  <c r="K492" i="8" s="1"/>
  <c r="K503" i="8"/>
  <c r="M413" i="8"/>
  <c r="P413" i="8" s="1"/>
  <c r="K386" i="8"/>
  <c r="O338" i="8"/>
  <c r="L336" i="8"/>
  <c r="O336" i="8" s="1"/>
  <c r="R333" i="8"/>
  <c r="U333" i="8" s="1"/>
  <c r="Q333" i="8"/>
  <c r="T333" i="8" s="1"/>
  <c r="S305" i="8"/>
  <c r="S303" i="8" s="1"/>
  <c r="S306" i="8"/>
  <c r="L305" i="8"/>
  <c r="L303" i="8" s="1"/>
  <c r="L306" i="8"/>
  <c r="O306" i="8" s="1"/>
  <c r="L214" i="8"/>
  <c r="O214" i="8" s="1"/>
  <c r="M75" i="8"/>
  <c r="M74" i="8"/>
  <c r="M72" i="8" s="1"/>
  <c r="P77" i="8"/>
  <c r="R59" i="8"/>
  <c r="U59" i="8" s="1"/>
  <c r="I332" i="8"/>
  <c r="K344" i="8"/>
  <c r="L233" i="7"/>
  <c r="K784" i="8"/>
  <c r="S760" i="8"/>
  <c r="R268" i="8"/>
  <c r="R266" i="8" s="1"/>
  <c r="U271" i="8"/>
  <c r="N75" i="8"/>
  <c r="O75" i="8" s="1"/>
  <c r="O77" i="8"/>
  <c r="K369" i="4"/>
  <c r="K780" i="7"/>
  <c r="S693" i="7"/>
  <c r="P311" i="7"/>
  <c r="T191" i="7"/>
  <c r="N760" i="8"/>
  <c r="I758" i="8"/>
  <c r="K758" i="8" s="1"/>
  <c r="M642" i="8"/>
  <c r="P642" i="8" s="1"/>
  <c r="P643" i="8"/>
  <c r="L272" i="8"/>
  <c r="O272" i="8" s="1"/>
  <c r="O274" i="8"/>
  <c r="L163" i="8"/>
  <c r="O163" i="8" s="1"/>
  <c r="M159" i="8"/>
  <c r="M157" i="8" s="1"/>
  <c r="P162" i="8"/>
  <c r="M160" i="8"/>
  <c r="P160" i="8" s="1"/>
  <c r="I137" i="8"/>
  <c r="K137" i="8" s="1"/>
  <c r="K152" i="8"/>
  <c r="P95" i="8"/>
  <c r="S415" i="8"/>
  <c r="S413" i="8" s="1"/>
  <c r="S416" i="8"/>
  <c r="Q120" i="8"/>
  <c r="T122" i="8"/>
  <c r="Q119" i="8"/>
  <c r="T119" i="8" s="1"/>
  <c r="T118" i="8"/>
  <c r="M214" i="1"/>
  <c r="K781" i="8"/>
  <c r="K709" i="8"/>
  <c r="I156" i="8"/>
  <c r="K156" i="8" s="1"/>
  <c r="I169" i="8"/>
  <c r="K169" i="8" s="1"/>
  <c r="O181" i="5"/>
  <c r="Q644" i="7"/>
  <c r="T644" i="7" s="1"/>
  <c r="O311" i="7"/>
  <c r="Q159" i="7"/>
  <c r="T159" i="7" s="1"/>
  <c r="S763" i="8"/>
  <c r="T762" i="8"/>
  <c r="T695" i="8"/>
  <c r="L616" i="8"/>
  <c r="O616" i="8" s="1"/>
  <c r="T600" i="8"/>
  <c r="Q599" i="8"/>
  <c r="T599" i="8" s="1"/>
  <c r="N555" i="8"/>
  <c r="T535" i="8"/>
  <c r="Q534" i="8"/>
  <c r="T534" i="8" s="1"/>
  <c r="M339" i="8"/>
  <c r="P339" i="8" s="1"/>
  <c r="P341" i="8"/>
  <c r="O325" i="8"/>
  <c r="L323" i="8"/>
  <c r="O323" i="8" s="1"/>
  <c r="O311" i="8"/>
  <c r="L309" i="8"/>
  <c r="O309" i="8" s="1"/>
  <c r="P304" i="8"/>
  <c r="P287" i="8"/>
  <c r="M268" i="8"/>
  <c r="M266" i="8" s="1"/>
  <c r="M269" i="8"/>
  <c r="P269" i="8" s="1"/>
  <c r="P271" i="8"/>
  <c r="S269" i="8"/>
  <c r="R96" i="8"/>
  <c r="U96" i="8" s="1"/>
  <c r="R97" i="8"/>
  <c r="U97" i="8" s="1"/>
  <c r="L61" i="8"/>
  <c r="L59" i="8" s="1"/>
  <c r="L62" i="8"/>
  <c r="O62" i="8" s="1"/>
  <c r="O64" i="8"/>
  <c r="K778" i="8"/>
  <c r="U715" i="8"/>
  <c r="R714" i="8"/>
  <c r="U714" i="8" s="1"/>
  <c r="P692" i="8"/>
  <c r="M690" i="8"/>
  <c r="P690" i="8" s="1"/>
  <c r="S644" i="8"/>
  <c r="S642" i="8" s="1"/>
  <c r="T647" i="8"/>
  <c r="K369" i="6"/>
  <c r="J701" i="7"/>
  <c r="K346" i="7"/>
  <c r="M326" i="7"/>
  <c r="P326" i="7" s="1"/>
  <c r="I136" i="7"/>
  <c r="K136" i="7" s="1"/>
  <c r="O761" i="8"/>
  <c r="L760" i="8"/>
  <c r="O760" i="8" s="1"/>
  <c r="S692" i="8"/>
  <c r="S690" i="8" s="1"/>
  <c r="S693" i="8"/>
  <c r="U693" i="8" s="1"/>
  <c r="L339" i="8"/>
  <c r="O339" i="8" s="1"/>
  <c r="O341" i="8"/>
  <c r="Q320" i="8"/>
  <c r="T320" i="8" s="1"/>
  <c r="T321" i="8"/>
  <c r="L268" i="8"/>
  <c r="L266" i="8" s="1"/>
  <c r="O266" i="8" s="1"/>
  <c r="L269" i="8"/>
  <c r="O269" i="8" s="1"/>
  <c r="O271" i="8"/>
  <c r="R269" i="8"/>
  <c r="M163" i="8"/>
  <c r="P163" i="8" s="1"/>
  <c r="P165" i="8"/>
  <c r="Q141" i="8"/>
  <c r="Q142" i="8"/>
  <c r="T142" i="8" s="1"/>
  <c r="T144" i="8"/>
  <c r="R119" i="8"/>
  <c r="R117" i="8" s="1"/>
  <c r="U117" i="8" s="1"/>
  <c r="R120" i="8"/>
  <c r="Q97" i="8"/>
  <c r="T97" i="8" s="1"/>
  <c r="Q96" i="8"/>
  <c r="T96" i="8" s="1"/>
  <c r="T99" i="8"/>
  <c r="M61" i="8"/>
  <c r="M59" i="8" s="1"/>
  <c r="R44" i="8"/>
  <c r="U44" i="8" s="1"/>
  <c r="N714" i="8"/>
  <c r="K705" i="8"/>
  <c r="R642" i="8"/>
  <c r="L642" i="8"/>
  <c r="O642" i="8" s="1"/>
  <c r="O521" i="8"/>
  <c r="N493" i="8"/>
  <c r="K440" i="8"/>
  <c r="S378" i="8"/>
  <c r="K369" i="8"/>
  <c r="O361" i="8"/>
  <c r="U334" i="8"/>
  <c r="P325" i="8"/>
  <c r="N322" i="8"/>
  <c r="N320" i="8" s="1"/>
  <c r="M284" i="8"/>
  <c r="M282" i="8" s="1"/>
  <c r="L285" i="8"/>
  <c r="Q269" i="8"/>
  <c r="L236" i="8"/>
  <c r="I195" i="8"/>
  <c r="K195" i="8" s="1"/>
  <c r="T188" i="8"/>
  <c r="L179" i="8"/>
  <c r="O179" i="8" s="1"/>
  <c r="L175" i="8"/>
  <c r="L173" i="8" s="1"/>
  <c r="R176" i="8"/>
  <c r="U176" i="8" s="1"/>
  <c r="S157" i="8"/>
  <c r="L159" i="8"/>
  <c r="L157" i="8" s="1"/>
  <c r="R160" i="8"/>
  <c r="U160" i="8" s="1"/>
  <c r="N26" i="8"/>
  <c r="N24" i="8" s="1"/>
  <c r="U144" i="8"/>
  <c r="K109" i="8"/>
  <c r="P102" i="8"/>
  <c r="I82" i="8"/>
  <c r="L74" i="8"/>
  <c r="L72" i="8" s="1"/>
  <c r="Q75" i="8"/>
  <c r="O49" i="8"/>
  <c r="R19" i="8"/>
  <c r="Q760" i="8"/>
  <c r="M728" i="8"/>
  <c r="P728" i="8" s="1"/>
  <c r="S333" i="8"/>
  <c r="S320" i="8"/>
  <c r="N305" i="8"/>
  <c r="N303" i="8" s="1"/>
  <c r="K292" i="8"/>
  <c r="I280" i="8"/>
  <c r="K280" i="8" s="1"/>
  <c r="L235" i="8"/>
  <c r="Q243" i="8"/>
  <c r="Q189" i="8"/>
  <c r="L176" i="8"/>
  <c r="L160" i="8"/>
  <c r="O160" i="8" s="1"/>
  <c r="M119" i="8"/>
  <c r="S120" i="8"/>
  <c r="M96" i="8"/>
  <c r="P96" i="8" s="1"/>
  <c r="S97" i="8"/>
  <c r="Q19" i="8"/>
  <c r="M19" i="8"/>
  <c r="S714" i="8"/>
  <c r="K689" i="8"/>
  <c r="U695" i="8"/>
  <c r="J674" i="8"/>
  <c r="T645" i="8"/>
  <c r="S534" i="8"/>
  <c r="L493" i="8"/>
  <c r="O493" i="8" s="1"/>
  <c r="T418" i="8"/>
  <c r="K371" i="8"/>
  <c r="L358" i="8"/>
  <c r="L356" i="8" s="1"/>
  <c r="M326" i="8"/>
  <c r="P326" i="8" s="1"/>
  <c r="M305" i="8"/>
  <c r="N268" i="8"/>
  <c r="N266" i="8" s="1"/>
  <c r="K221" i="8"/>
  <c r="L203" i="8"/>
  <c r="O203" i="8" s="1"/>
  <c r="N189" i="8"/>
  <c r="Q159" i="8"/>
  <c r="T159" i="8" s="1"/>
  <c r="L119" i="8"/>
  <c r="O119" i="8" s="1"/>
  <c r="L96" i="8"/>
  <c r="L94" i="8" s="1"/>
  <c r="O94" i="8" s="1"/>
  <c r="I83" i="8"/>
  <c r="I71" i="8" s="1"/>
  <c r="K71" i="8" s="1"/>
  <c r="P80" i="8"/>
  <c r="S59" i="8"/>
  <c r="S24" i="8"/>
  <c r="R760" i="8"/>
  <c r="U762" i="8"/>
  <c r="R728" i="8"/>
  <c r="Q728" i="8"/>
  <c r="K615" i="8"/>
  <c r="M599" i="8"/>
  <c r="P599" i="8" s="1"/>
  <c r="P600" i="8"/>
  <c r="S557" i="1"/>
  <c r="O321" i="8"/>
  <c r="S762" i="6"/>
  <c r="S760" i="6" s="1"/>
  <c r="T695" i="7"/>
  <c r="I615" i="7"/>
  <c r="K615" i="7" s="1"/>
  <c r="S415" i="7"/>
  <c r="S413" i="7" s="1"/>
  <c r="S377" i="7"/>
  <c r="S375" i="7" s="1"/>
  <c r="K314" i="7"/>
  <c r="P287" i="7"/>
  <c r="L222" i="7"/>
  <c r="O222" i="7" s="1"/>
  <c r="I221" i="7"/>
  <c r="K221" i="7" s="1"/>
  <c r="M100" i="7"/>
  <c r="P100" i="7" s="1"/>
  <c r="P99" i="7"/>
  <c r="P49" i="7"/>
  <c r="K703" i="8"/>
  <c r="J701" i="8"/>
  <c r="U618" i="8"/>
  <c r="S599" i="8"/>
  <c r="N576" i="8"/>
  <c r="O514" i="8"/>
  <c r="O415" i="8"/>
  <c r="L413" i="8"/>
  <c r="O413" i="8" s="1"/>
  <c r="P60" i="8"/>
  <c r="T19" i="8"/>
  <c r="U191" i="8"/>
  <c r="R189" i="8"/>
  <c r="R188" i="8"/>
  <c r="U188" i="8" s="1"/>
  <c r="K368" i="5"/>
  <c r="K676" i="6"/>
  <c r="L599" i="8"/>
  <c r="O599" i="8" s="1"/>
  <c r="O600" i="8"/>
  <c r="T731" i="6"/>
  <c r="S730" i="6"/>
  <c r="S728" i="6" s="1"/>
  <c r="L326" i="6"/>
  <c r="O326" i="6" s="1"/>
  <c r="R416" i="7"/>
  <c r="U416" i="7" s="1"/>
  <c r="Q415" i="7"/>
  <c r="T415" i="7" s="1"/>
  <c r="O361" i="7"/>
  <c r="L339" i="7"/>
  <c r="O339" i="7" s="1"/>
  <c r="Q269" i="7"/>
  <c r="I240" i="7"/>
  <c r="K240" i="7" s="1"/>
  <c r="K220" i="7"/>
  <c r="P178" i="7"/>
  <c r="S175" i="7"/>
  <c r="S173" i="7" s="1"/>
  <c r="O147" i="7"/>
  <c r="O144" i="7"/>
  <c r="S730" i="8"/>
  <c r="T730" i="8" s="1"/>
  <c r="K631" i="8"/>
  <c r="T617" i="8"/>
  <c r="R616" i="8"/>
  <c r="R599" i="8"/>
  <c r="U599" i="8" s="1"/>
  <c r="U600" i="8"/>
  <c r="M576" i="8"/>
  <c r="P576" i="8" s="1"/>
  <c r="P577" i="8"/>
  <c r="Q555" i="8"/>
  <c r="T555" i="8" s="1"/>
  <c r="M534" i="8"/>
  <c r="P534" i="8" s="1"/>
  <c r="P535" i="8"/>
  <c r="R513" i="8"/>
  <c r="U513" i="8" s="1"/>
  <c r="U514" i="8"/>
  <c r="K504" i="8"/>
  <c r="J503" i="8"/>
  <c r="J492" i="8" s="1"/>
  <c r="U415" i="8"/>
  <c r="T376" i="8"/>
  <c r="P364" i="8"/>
  <c r="M362" i="8"/>
  <c r="P362" i="8" s="1"/>
  <c r="M358" i="8"/>
  <c r="R576" i="8"/>
  <c r="U576" i="8" s="1"/>
  <c r="U577" i="8"/>
  <c r="R495" i="8"/>
  <c r="U498" i="8"/>
  <c r="P321" i="8"/>
  <c r="Q731" i="7"/>
  <c r="T731" i="7" s="1"/>
  <c r="L254" i="7"/>
  <c r="O254" i="7" s="1"/>
  <c r="K632" i="8"/>
  <c r="P518" i="8"/>
  <c r="M516" i="8"/>
  <c r="P516" i="8" s="1"/>
  <c r="M493" i="8"/>
  <c r="P493" i="8" s="1"/>
  <c r="P494" i="8"/>
  <c r="U498" i="4"/>
  <c r="K632" i="5"/>
  <c r="S645" i="7"/>
  <c r="Q618" i="7"/>
  <c r="T618" i="7" s="1"/>
  <c r="J503" i="7"/>
  <c r="J492" i="7" s="1"/>
  <c r="M120" i="7"/>
  <c r="P120" i="7" s="1"/>
  <c r="I93" i="7"/>
  <c r="K93" i="7" s="1"/>
  <c r="P80" i="7"/>
  <c r="I759" i="8"/>
  <c r="K759" i="8" s="1"/>
  <c r="U733" i="8"/>
  <c r="P729" i="8"/>
  <c r="P715" i="8"/>
  <c r="K707" i="8"/>
  <c r="K630" i="8"/>
  <c r="K626" i="8"/>
  <c r="P618" i="8"/>
  <c r="L576" i="8"/>
  <c r="O576" i="8" s="1"/>
  <c r="O577" i="8"/>
  <c r="O557" i="8"/>
  <c r="L555" i="8"/>
  <c r="O555" i="8" s="1"/>
  <c r="L534" i="8"/>
  <c r="O534" i="8" s="1"/>
  <c r="O535" i="8"/>
  <c r="Q513" i="8"/>
  <c r="T513" i="8" s="1"/>
  <c r="T514" i="8"/>
  <c r="Q493" i="8"/>
  <c r="T493" i="8" s="1"/>
  <c r="I412" i="8"/>
  <c r="K412" i="8" s="1"/>
  <c r="K423" i="8"/>
  <c r="M392" i="8"/>
  <c r="P392" i="8" s="1"/>
  <c r="P393" i="8"/>
  <c r="P377" i="8"/>
  <c r="M375" i="8"/>
  <c r="P375" i="8" s="1"/>
  <c r="N23" i="8"/>
  <c r="R534" i="8"/>
  <c r="U534" i="8" s="1"/>
  <c r="U535" i="8"/>
  <c r="N515" i="8"/>
  <c r="N513" i="8" s="1"/>
  <c r="M515" i="8"/>
  <c r="R392" i="8"/>
  <c r="U392" i="8" s="1"/>
  <c r="U393" i="8"/>
  <c r="J343" i="8"/>
  <c r="U731" i="7"/>
  <c r="O364" i="7"/>
  <c r="L236" i="7"/>
  <c r="O67" i="7"/>
  <c r="U765" i="8"/>
  <c r="T733" i="8"/>
  <c r="K629" i="8"/>
  <c r="N599" i="8"/>
  <c r="U557" i="8"/>
  <c r="R555" i="8"/>
  <c r="U555" i="8" s="1"/>
  <c r="S496" i="8"/>
  <c r="S495" i="8"/>
  <c r="S493" i="8" s="1"/>
  <c r="L392" i="8"/>
  <c r="O392" i="8" s="1"/>
  <c r="O393" i="8"/>
  <c r="O377" i="8"/>
  <c r="L375" i="8"/>
  <c r="O375" i="8" s="1"/>
  <c r="I365" i="8"/>
  <c r="K365" i="8" s="1"/>
  <c r="T358" i="8"/>
  <c r="Q356" i="8"/>
  <c r="T356" i="8" s="1"/>
  <c r="R303" i="8"/>
  <c r="I213" i="8"/>
  <c r="K213" i="8" s="1"/>
  <c r="K220" i="8"/>
  <c r="T45" i="8"/>
  <c r="Q44" i="8"/>
  <c r="T44" i="8" s="1"/>
  <c r="L515" i="8"/>
  <c r="O515" i="8" s="1"/>
  <c r="J332" i="8"/>
  <c r="O328" i="8"/>
  <c r="L326" i="8"/>
  <c r="O326" i="8" s="1"/>
  <c r="L322" i="8"/>
  <c r="O322" i="8" s="1"/>
  <c r="T308" i="8"/>
  <c r="Q306" i="8"/>
  <c r="P290" i="8"/>
  <c r="M288" i="8"/>
  <c r="P288" i="8" s="1"/>
  <c r="T268" i="8"/>
  <c r="Q186" i="8"/>
  <c r="T186" i="8" s="1"/>
  <c r="T187" i="8"/>
  <c r="P140" i="8"/>
  <c r="N358" i="8"/>
  <c r="P334" i="8"/>
  <c r="R320" i="8"/>
  <c r="U320" i="8" s="1"/>
  <c r="U321" i="8"/>
  <c r="K249" i="8"/>
  <c r="I242" i="8"/>
  <c r="L243" i="8"/>
  <c r="I238" i="8"/>
  <c r="K238" i="8" s="1"/>
  <c r="P191" i="8"/>
  <c r="M189" i="8"/>
  <c r="R157" i="8"/>
  <c r="U157" i="8" s="1"/>
  <c r="O140" i="8"/>
  <c r="K116" i="8"/>
  <c r="M62" i="8"/>
  <c r="P62" i="8" s="1"/>
  <c r="P64" i="8"/>
  <c r="M47" i="8"/>
  <c r="P47" i="8" s="1"/>
  <c r="M23" i="8"/>
  <c r="P49" i="8"/>
  <c r="M46" i="8"/>
  <c r="M44" i="8" s="1"/>
  <c r="L516" i="8"/>
  <c r="O516" i="8" s="1"/>
  <c r="L362" i="8"/>
  <c r="O362" i="8" s="1"/>
  <c r="Q303" i="8"/>
  <c r="Q282" i="8"/>
  <c r="T282" i="8" s="1"/>
  <c r="P267" i="8"/>
  <c r="P194" i="8"/>
  <c r="M192" i="8"/>
  <c r="P192" i="8" s="1"/>
  <c r="O191" i="8"/>
  <c r="L189" i="8"/>
  <c r="M188" i="8"/>
  <c r="N176" i="8"/>
  <c r="P176" i="8" s="1"/>
  <c r="N175" i="8"/>
  <c r="O118" i="8"/>
  <c r="M26" i="8"/>
  <c r="P26" i="8" s="1"/>
  <c r="M50" i="8"/>
  <c r="P50" i="8" s="1"/>
  <c r="P52" i="8"/>
  <c r="P19" i="8"/>
  <c r="T498" i="8"/>
  <c r="L335" i="8"/>
  <c r="S266" i="8"/>
  <c r="O194" i="8"/>
  <c r="L192" i="8"/>
  <c r="O192" i="8" s="1"/>
  <c r="T191" i="8"/>
  <c r="S189" i="8"/>
  <c r="L188" i="8"/>
  <c r="K154" i="8"/>
  <c r="I136" i="8"/>
  <c r="K136" i="8" s="1"/>
  <c r="P144" i="8"/>
  <c r="N142" i="8"/>
  <c r="P142" i="8" s="1"/>
  <c r="N141" i="8"/>
  <c r="N139" i="8" s="1"/>
  <c r="U118" i="8"/>
  <c r="Q72" i="8"/>
  <c r="O52" i="8"/>
  <c r="L26" i="8"/>
  <c r="O26" i="8" s="1"/>
  <c r="U19" i="8"/>
  <c r="O19" i="8"/>
  <c r="N335" i="8"/>
  <c r="N333" i="8" s="1"/>
  <c r="M322" i="8"/>
  <c r="P322" i="8" s="1"/>
  <c r="I319" i="8"/>
  <c r="K319" i="8" s="1"/>
  <c r="U308" i="8"/>
  <c r="O308" i="8"/>
  <c r="O287" i="8"/>
  <c r="K276" i="8"/>
  <c r="T271" i="8"/>
  <c r="U187" i="8"/>
  <c r="T178" i="8"/>
  <c r="M175" i="8"/>
  <c r="Q175" i="8"/>
  <c r="T175" i="8" s="1"/>
  <c r="N159" i="8"/>
  <c r="N157" i="8" s="1"/>
  <c r="R141" i="8"/>
  <c r="U141" i="8" s="1"/>
  <c r="U140" i="8"/>
  <c r="N119" i="8"/>
  <c r="N117" i="8" s="1"/>
  <c r="T60" i="8"/>
  <c r="L46" i="8"/>
  <c r="L23" i="8"/>
  <c r="L21" i="8" s="1"/>
  <c r="M335" i="8"/>
  <c r="K314" i="8"/>
  <c r="K251" i="8"/>
  <c r="K229" i="8"/>
  <c r="I202" i="8"/>
  <c r="K202" i="8" s="1"/>
  <c r="P73" i="8"/>
  <c r="P67" i="8"/>
  <c r="R173" i="8"/>
  <c r="U173" i="8" s="1"/>
  <c r="S75" i="8"/>
  <c r="S23" i="8"/>
  <c r="S20" i="8" s="1"/>
  <c r="S18" i="8" s="1"/>
  <c r="S74" i="8"/>
  <c r="T74" i="8" s="1"/>
  <c r="P45" i="8"/>
  <c r="O25" i="8"/>
  <c r="O22" i="8"/>
  <c r="L141" i="8"/>
  <c r="S44" i="8"/>
  <c r="R24" i="8"/>
  <c r="U24" i="8" s="1"/>
  <c r="U25" i="8"/>
  <c r="R23" i="8"/>
  <c r="R21" i="8" s="1"/>
  <c r="U22" i="8"/>
  <c r="U178" i="8"/>
  <c r="O178" i="8"/>
  <c r="I168" i="8"/>
  <c r="K168" i="8" s="1"/>
  <c r="U162" i="8"/>
  <c r="O162" i="8"/>
  <c r="S141" i="8"/>
  <c r="S139" i="8" s="1"/>
  <c r="M141" i="8"/>
  <c r="U122" i="8"/>
  <c r="O122" i="8"/>
  <c r="U99" i="8"/>
  <c r="O99" i="8"/>
  <c r="T77" i="8"/>
  <c r="N74" i="8"/>
  <c r="N61" i="8"/>
  <c r="N46" i="8"/>
  <c r="N44" i="8" s="1"/>
  <c r="Q23" i="8"/>
  <c r="Q557" i="1"/>
  <c r="T557" i="1" s="1"/>
  <c r="L285" i="6"/>
  <c r="O285" i="6" s="1"/>
  <c r="O287" i="6"/>
  <c r="Q496" i="7"/>
  <c r="T496" i="7" s="1"/>
  <c r="T498" i="7"/>
  <c r="Q495" i="7"/>
  <c r="T495" i="7" s="1"/>
  <c r="K371" i="7"/>
  <c r="I365" i="7"/>
  <c r="K365" i="7" s="1"/>
  <c r="K280" i="7"/>
  <c r="M269" i="7"/>
  <c r="P269" i="7" s="1"/>
  <c r="P271" i="7"/>
  <c r="M96" i="7"/>
  <c r="M94" i="7" s="1"/>
  <c r="M120" i="5"/>
  <c r="P120" i="5" s="1"/>
  <c r="P122" i="5"/>
  <c r="P77" i="5"/>
  <c r="J675" i="6"/>
  <c r="K675" i="6" s="1"/>
  <c r="K678" i="6"/>
  <c r="U715" i="7"/>
  <c r="R714" i="7"/>
  <c r="U714" i="7" s="1"/>
  <c r="S493" i="7"/>
  <c r="O414" i="7"/>
  <c r="L413" i="7"/>
  <c r="O413" i="7" s="1"/>
  <c r="K344" i="7"/>
  <c r="T321" i="7"/>
  <c r="Q320" i="7"/>
  <c r="T320" i="7" s="1"/>
  <c r="M305" i="7"/>
  <c r="P308" i="7"/>
  <c r="M306" i="7"/>
  <c r="P306" i="7" s="1"/>
  <c r="S306" i="7"/>
  <c r="U306" i="7" s="1"/>
  <c r="L268" i="7"/>
  <c r="L266" i="7" s="1"/>
  <c r="O266" i="7" s="1"/>
  <c r="O271" i="7"/>
  <c r="L269" i="7"/>
  <c r="O269" i="7" s="1"/>
  <c r="Q59" i="7"/>
  <c r="T59" i="7" s="1"/>
  <c r="T60" i="7"/>
  <c r="R19" i="7"/>
  <c r="U22" i="7"/>
  <c r="R188" i="1"/>
  <c r="K229" i="5"/>
  <c r="R762" i="7"/>
  <c r="R760" i="7" s="1"/>
  <c r="U760" i="7" s="1"/>
  <c r="R763" i="7"/>
  <c r="Q714" i="7"/>
  <c r="T714" i="7" s="1"/>
  <c r="O577" i="7"/>
  <c r="L576" i="7"/>
  <c r="O576" i="7" s="1"/>
  <c r="M534" i="7"/>
  <c r="P534" i="7" s="1"/>
  <c r="K505" i="7"/>
  <c r="R378" i="7"/>
  <c r="U378" i="7" s="1"/>
  <c r="U380" i="7"/>
  <c r="R377" i="7"/>
  <c r="R375" i="7" s="1"/>
  <c r="L336" i="7"/>
  <c r="O336" i="7" s="1"/>
  <c r="O338" i="7"/>
  <c r="L305" i="7"/>
  <c r="O305" i="7" s="1"/>
  <c r="O308" i="7"/>
  <c r="L306" i="7"/>
  <c r="O306" i="7" s="1"/>
  <c r="M189" i="7"/>
  <c r="K169" i="7"/>
  <c r="R141" i="7"/>
  <c r="R142" i="7"/>
  <c r="U142" i="7" s="1"/>
  <c r="U144" i="7"/>
  <c r="I83" i="7"/>
  <c r="K85" i="7"/>
  <c r="M62" i="7"/>
  <c r="P62" i="7" s="1"/>
  <c r="P64" i="7"/>
  <c r="S693" i="5"/>
  <c r="U693" i="5" s="1"/>
  <c r="O194" i="5"/>
  <c r="L192" i="5"/>
  <c r="O192" i="5" s="1"/>
  <c r="O535" i="7"/>
  <c r="L534" i="7"/>
  <c r="O534" i="7" s="1"/>
  <c r="O283" i="7"/>
  <c r="R268" i="7"/>
  <c r="R266" i="7" s="1"/>
  <c r="U271" i="7"/>
  <c r="T26" i="7"/>
  <c r="Q24" i="7"/>
  <c r="T24" i="7" s="1"/>
  <c r="I759" i="6"/>
  <c r="K759" i="6" s="1"/>
  <c r="R618" i="7"/>
  <c r="U618" i="7" s="1"/>
  <c r="R619" i="7"/>
  <c r="N322" i="7"/>
  <c r="N320" i="7" s="1"/>
  <c r="R305" i="7"/>
  <c r="U305" i="7" s="1"/>
  <c r="U308" i="7"/>
  <c r="R74" i="7"/>
  <c r="R72" i="7" s="1"/>
  <c r="R75" i="7"/>
  <c r="U75" i="7" s="1"/>
  <c r="L50" i="7"/>
  <c r="O50" i="7" s="1"/>
  <c r="O52" i="7"/>
  <c r="K108" i="4"/>
  <c r="P761" i="7"/>
  <c r="M760" i="7"/>
  <c r="P760" i="7" s="1"/>
  <c r="O729" i="7"/>
  <c r="L728" i="7"/>
  <c r="O728" i="7" s="1"/>
  <c r="J702" i="7"/>
  <c r="T617" i="7"/>
  <c r="L555" i="7"/>
  <c r="O555" i="7" s="1"/>
  <c r="P494" i="7"/>
  <c r="M493" i="7"/>
  <c r="P493" i="7" s="1"/>
  <c r="O393" i="7"/>
  <c r="L392" i="7"/>
  <c r="O392" i="7" s="1"/>
  <c r="K368" i="7"/>
  <c r="M339" i="7"/>
  <c r="P339" i="7" s="1"/>
  <c r="P341" i="7"/>
  <c r="Q333" i="7"/>
  <c r="T333" i="7" s="1"/>
  <c r="T334" i="7"/>
  <c r="I241" i="7"/>
  <c r="K241" i="7" s="1"/>
  <c r="L203" i="7"/>
  <c r="O203" i="7" s="1"/>
  <c r="R120" i="7"/>
  <c r="U122" i="7"/>
  <c r="Q74" i="7"/>
  <c r="Q72" i="7" s="1"/>
  <c r="T77" i="7"/>
  <c r="R59" i="7"/>
  <c r="U59" i="7" s="1"/>
  <c r="S117" i="5"/>
  <c r="U117" i="5" s="1"/>
  <c r="O364" i="6"/>
  <c r="O308" i="6"/>
  <c r="O274" i="6"/>
  <c r="O178" i="6"/>
  <c r="K784" i="7"/>
  <c r="K781" i="7"/>
  <c r="K778" i="7"/>
  <c r="N714" i="7"/>
  <c r="K703" i="7"/>
  <c r="T647" i="7"/>
  <c r="S642" i="7"/>
  <c r="R576" i="7"/>
  <c r="U576" i="7" s="1"/>
  <c r="S534" i="7"/>
  <c r="R534" i="7"/>
  <c r="U534" i="7" s="1"/>
  <c r="S496" i="7"/>
  <c r="L493" i="7"/>
  <c r="O493" i="7" s="1"/>
  <c r="J458" i="7"/>
  <c r="I423" i="7"/>
  <c r="K330" i="7"/>
  <c r="K202" i="7"/>
  <c r="K198" i="7"/>
  <c r="R188" i="7"/>
  <c r="R186" i="7" s="1"/>
  <c r="O181" i="7"/>
  <c r="N175" i="7"/>
  <c r="N173" i="7" s="1"/>
  <c r="M145" i="7"/>
  <c r="P145" i="7" s="1"/>
  <c r="O125" i="7"/>
  <c r="O122" i="7"/>
  <c r="U99" i="7"/>
  <c r="L96" i="7"/>
  <c r="O96" i="7" s="1"/>
  <c r="I82" i="7"/>
  <c r="P77" i="7"/>
  <c r="L61" i="7"/>
  <c r="L59" i="7" s="1"/>
  <c r="R44" i="7"/>
  <c r="U44" i="7" s="1"/>
  <c r="S24" i="7"/>
  <c r="O22" i="7"/>
  <c r="U271" i="6"/>
  <c r="L233" i="6"/>
  <c r="L222" i="6"/>
  <c r="O222" i="6" s="1"/>
  <c r="Q728" i="7"/>
  <c r="S599" i="7"/>
  <c r="Q576" i="7"/>
  <c r="T576" i="7" s="1"/>
  <c r="S555" i="7"/>
  <c r="M555" i="7"/>
  <c r="P555" i="7" s="1"/>
  <c r="S392" i="7"/>
  <c r="J351" i="7"/>
  <c r="N323" i="7"/>
  <c r="R282" i="7"/>
  <c r="U282" i="7" s="1"/>
  <c r="Q254" i="7"/>
  <c r="T254" i="7" s="1"/>
  <c r="M179" i="7"/>
  <c r="P179" i="7" s="1"/>
  <c r="N141" i="7"/>
  <c r="N139" i="7" s="1"/>
  <c r="S139" i="7"/>
  <c r="M123" i="7"/>
  <c r="P123" i="7" s="1"/>
  <c r="N119" i="7"/>
  <c r="N117" i="7" s="1"/>
  <c r="S44" i="7"/>
  <c r="N19" i="7"/>
  <c r="S157" i="6"/>
  <c r="N728" i="7"/>
  <c r="N616" i="7"/>
  <c r="R599" i="7"/>
  <c r="U599" i="7" s="1"/>
  <c r="N576" i="7"/>
  <c r="Q534" i="7"/>
  <c r="T534" i="7" s="1"/>
  <c r="N515" i="7"/>
  <c r="N513" i="7" s="1"/>
  <c r="N516" i="7"/>
  <c r="M375" i="7"/>
  <c r="P375" i="7" s="1"/>
  <c r="S320" i="7"/>
  <c r="L284" i="7"/>
  <c r="L282" i="7" s="1"/>
  <c r="L272" i="7"/>
  <c r="O272" i="7" s="1"/>
  <c r="I238" i="7"/>
  <c r="K238" i="7" s="1"/>
  <c r="N232" i="7"/>
  <c r="Q186" i="7"/>
  <c r="N176" i="7"/>
  <c r="O176" i="7" s="1"/>
  <c r="N159" i="7"/>
  <c r="N157" i="7" s="1"/>
  <c r="S120" i="7"/>
  <c r="R94" i="7"/>
  <c r="L46" i="7"/>
  <c r="L44" i="7" s="1"/>
  <c r="U731" i="6"/>
  <c r="T765" i="7"/>
  <c r="L760" i="7"/>
  <c r="O760" i="7" s="1"/>
  <c r="I701" i="7"/>
  <c r="M616" i="7"/>
  <c r="P616" i="7" s="1"/>
  <c r="Q599" i="7"/>
  <c r="T599" i="7" s="1"/>
  <c r="L599" i="7"/>
  <c r="O599" i="7" s="1"/>
  <c r="Q555" i="7"/>
  <c r="T555" i="7" s="1"/>
  <c r="N534" i="7"/>
  <c r="M516" i="7"/>
  <c r="P516" i="7" s="1"/>
  <c r="S513" i="7"/>
  <c r="N413" i="7"/>
  <c r="T393" i="7"/>
  <c r="K369" i="7"/>
  <c r="N358" i="7"/>
  <c r="N356" i="7" s="1"/>
  <c r="N359" i="7"/>
  <c r="P359" i="7" s="1"/>
  <c r="S333" i="7"/>
  <c r="T308" i="7"/>
  <c r="L234" i="7"/>
  <c r="P191" i="7"/>
  <c r="M176" i="7"/>
  <c r="I172" i="7"/>
  <c r="K172" i="7" s="1"/>
  <c r="N160" i="7"/>
  <c r="L141" i="7"/>
  <c r="L139" i="7" s="1"/>
  <c r="N120" i="7"/>
  <c r="O62" i="7"/>
  <c r="R24" i="7"/>
  <c r="U24" i="7" s="1"/>
  <c r="L163" i="7"/>
  <c r="O163" i="7" s="1"/>
  <c r="O165" i="7"/>
  <c r="P75" i="6"/>
  <c r="K386" i="1"/>
  <c r="U731" i="5"/>
  <c r="O162" i="5"/>
  <c r="O122" i="5"/>
  <c r="R94" i="5"/>
  <c r="U94" i="5" s="1"/>
  <c r="K785" i="6"/>
  <c r="K782" i="6"/>
  <c r="K779" i="6"/>
  <c r="R730" i="6"/>
  <c r="R728" i="6" s="1"/>
  <c r="I701" i="6"/>
  <c r="P521" i="6"/>
  <c r="K440" i="6"/>
  <c r="L309" i="6"/>
  <c r="O309" i="6" s="1"/>
  <c r="P308" i="6"/>
  <c r="K276" i="6"/>
  <c r="I156" i="6"/>
  <c r="K156" i="6" s="1"/>
  <c r="I168" i="6"/>
  <c r="K168" i="6" s="1"/>
  <c r="O160" i="6"/>
  <c r="S74" i="6"/>
  <c r="T74" i="6" s="1"/>
  <c r="T77" i="6"/>
  <c r="S730" i="7"/>
  <c r="T730" i="7" s="1"/>
  <c r="T729" i="7"/>
  <c r="M714" i="7"/>
  <c r="P714" i="7" s="1"/>
  <c r="P715" i="7"/>
  <c r="K709" i="7"/>
  <c r="L690" i="7"/>
  <c r="O690" i="7" s="1"/>
  <c r="L642" i="7"/>
  <c r="O642" i="7" s="1"/>
  <c r="L616" i="7"/>
  <c r="O616" i="7" s="1"/>
  <c r="T577" i="7"/>
  <c r="R513" i="7"/>
  <c r="U513" i="7" s="1"/>
  <c r="R493" i="7"/>
  <c r="U493" i="7" s="1"/>
  <c r="M336" i="7"/>
  <c r="P336" i="7" s="1"/>
  <c r="P338" i="7"/>
  <c r="M335" i="7"/>
  <c r="L326" i="7"/>
  <c r="O326" i="7" s="1"/>
  <c r="O328" i="7"/>
  <c r="L306" i="6"/>
  <c r="O306" i="6" s="1"/>
  <c r="K386" i="6"/>
  <c r="K774" i="7"/>
  <c r="I759" i="7"/>
  <c r="K759" i="7" s="1"/>
  <c r="M728" i="7"/>
  <c r="P728" i="7" s="1"/>
  <c r="P729" i="7"/>
  <c r="M690" i="7"/>
  <c r="P690" i="7" s="1"/>
  <c r="S616" i="7"/>
  <c r="K365" i="5"/>
  <c r="Q175" i="5"/>
  <c r="T175" i="5" s="1"/>
  <c r="M123" i="5"/>
  <c r="P123" i="5" s="1"/>
  <c r="U308" i="6"/>
  <c r="N175" i="6"/>
  <c r="N173" i="6" s="1"/>
  <c r="R730" i="7"/>
  <c r="U733" i="7"/>
  <c r="T715" i="7"/>
  <c r="S576" i="7"/>
  <c r="O518" i="7"/>
  <c r="O321" i="7"/>
  <c r="I281" i="7"/>
  <c r="K281" i="7" s="1"/>
  <c r="K292" i="7"/>
  <c r="L189" i="7"/>
  <c r="L188" i="7"/>
  <c r="L186" i="7" s="1"/>
  <c r="O191" i="7"/>
  <c r="I689" i="7"/>
  <c r="K689" i="7" s="1"/>
  <c r="K707" i="7"/>
  <c r="K653" i="6"/>
  <c r="I280" i="6"/>
  <c r="K280" i="6" s="1"/>
  <c r="K785" i="7"/>
  <c r="M576" i="7"/>
  <c r="P576" i="7" s="1"/>
  <c r="P577" i="7"/>
  <c r="R160" i="4"/>
  <c r="U160" i="4" s="1"/>
  <c r="K784" i="6"/>
  <c r="K781" i="6"/>
  <c r="K778" i="6"/>
  <c r="U733" i="6"/>
  <c r="K689" i="6"/>
  <c r="J702" i="6"/>
  <c r="S495" i="6"/>
  <c r="S493" i="6" s="1"/>
  <c r="K344" i="6"/>
  <c r="P328" i="6"/>
  <c r="L322" i="6"/>
  <c r="O322" i="6" s="1"/>
  <c r="T308" i="6"/>
  <c r="Q303" i="6"/>
  <c r="L236" i="6"/>
  <c r="T178" i="6"/>
  <c r="L120" i="6"/>
  <c r="O120" i="6" s="1"/>
  <c r="S763" i="7"/>
  <c r="T763" i="7" s="1"/>
  <c r="S714" i="7"/>
  <c r="U695" i="7"/>
  <c r="R692" i="7"/>
  <c r="U692" i="7" s="1"/>
  <c r="U647" i="7"/>
  <c r="R644" i="7"/>
  <c r="U644" i="7" s="1"/>
  <c r="P643" i="7"/>
  <c r="K629" i="7"/>
  <c r="K626" i="7"/>
  <c r="K630" i="7"/>
  <c r="U621" i="7"/>
  <c r="T535" i="7"/>
  <c r="O521" i="7"/>
  <c r="P514" i="7"/>
  <c r="O494" i="7"/>
  <c r="U415" i="7"/>
  <c r="R413" i="7"/>
  <c r="U413" i="7" s="1"/>
  <c r="T414" i="7"/>
  <c r="Q378" i="7"/>
  <c r="T378" i="7" s="1"/>
  <c r="T380" i="7"/>
  <c r="Q377" i="7"/>
  <c r="Q266" i="7"/>
  <c r="L160" i="7"/>
  <c r="O160" i="7" s="1"/>
  <c r="L159" i="7"/>
  <c r="O162" i="7"/>
  <c r="M362" i="7"/>
  <c r="P362" i="7" s="1"/>
  <c r="P364" i="7"/>
  <c r="K673" i="6"/>
  <c r="K779" i="7"/>
  <c r="P393" i="7"/>
  <c r="M392" i="7"/>
  <c r="P392" i="7" s="1"/>
  <c r="U187" i="7"/>
  <c r="K778" i="1"/>
  <c r="K292" i="4"/>
  <c r="P162" i="5"/>
  <c r="K152" i="5"/>
  <c r="J701" i="6"/>
  <c r="P287" i="6"/>
  <c r="L235" i="6"/>
  <c r="L188" i="6"/>
  <c r="L186" i="6" s="1"/>
  <c r="P181" i="6"/>
  <c r="S175" i="6"/>
  <c r="S173" i="6" s="1"/>
  <c r="S176" i="6"/>
  <c r="O77" i="6"/>
  <c r="Q762" i="7"/>
  <c r="T762" i="7" s="1"/>
  <c r="T692" i="7"/>
  <c r="Q690" i="7"/>
  <c r="S619" i="7"/>
  <c r="T619" i="7" s="1"/>
  <c r="T621" i="7"/>
  <c r="M599" i="7"/>
  <c r="P599" i="7" s="1"/>
  <c r="P600" i="7"/>
  <c r="L515" i="7"/>
  <c r="O515" i="7" s="1"/>
  <c r="N493" i="7"/>
  <c r="S159" i="7"/>
  <c r="S157" i="7" s="1"/>
  <c r="S160" i="7"/>
  <c r="R496" i="7"/>
  <c r="U496" i="7" s="1"/>
  <c r="T494" i="7"/>
  <c r="I456" i="7"/>
  <c r="K456" i="7" s="1"/>
  <c r="U418" i="7"/>
  <c r="P414" i="7"/>
  <c r="I374" i="7"/>
  <c r="U376" i="7"/>
  <c r="T357" i="7"/>
  <c r="L335" i="7"/>
  <c r="M333" i="7"/>
  <c r="P334" i="7"/>
  <c r="O325" i="7"/>
  <c r="R320" i="7"/>
  <c r="U320" i="7" s="1"/>
  <c r="U321" i="7"/>
  <c r="N305" i="7"/>
  <c r="N303" i="7" s="1"/>
  <c r="P274" i="7"/>
  <c r="I242" i="7"/>
  <c r="K209" i="7"/>
  <c r="O194" i="7"/>
  <c r="U189" i="7"/>
  <c r="R176" i="7"/>
  <c r="U176" i="7" s="1"/>
  <c r="R175" i="7"/>
  <c r="U175" i="7" s="1"/>
  <c r="P144" i="7"/>
  <c r="M141" i="7"/>
  <c r="M142" i="7"/>
  <c r="Q141" i="7"/>
  <c r="T141" i="7" s="1"/>
  <c r="T99" i="7"/>
  <c r="Q97" i="7"/>
  <c r="Q96" i="7"/>
  <c r="Q94" i="7" s="1"/>
  <c r="L26" i="7"/>
  <c r="O80" i="7"/>
  <c r="M515" i="7"/>
  <c r="P515" i="7" s="1"/>
  <c r="K503" i="7"/>
  <c r="L375" i="7"/>
  <c r="O375" i="7" s="1"/>
  <c r="O376" i="7"/>
  <c r="P361" i="7"/>
  <c r="M268" i="7"/>
  <c r="P267" i="7"/>
  <c r="K249" i="7"/>
  <c r="L214" i="7"/>
  <c r="O214" i="7" s="1"/>
  <c r="N189" i="7"/>
  <c r="N188" i="7"/>
  <c r="N186" i="7" s="1"/>
  <c r="P187" i="7"/>
  <c r="S142" i="7"/>
  <c r="P140" i="7"/>
  <c r="P52" i="7"/>
  <c r="M26" i="7"/>
  <c r="P26" i="7" s="1"/>
  <c r="M50" i="7"/>
  <c r="P50" i="7" s="1"/>
  <c r="N285" i="7"/>
  <c r="O285" i="7" s="1"/>
  <c r="O287" i="7"/>
  <c r="T158" i="7"/>
  <c r="K153" i="7"/>
  <c r="I138" i="7"/>
  <c r="K138" i="7" s="1"/>
  <c r="T122" i="7"/>
  <c r="Q120" i="7"/>
  <c r="Q119" i="7"/>
  <c r="P535" i="7"/>
  <c r="M358" i="7"/>
  <c r="J332" i="7"/>
  <c r="K332" i="7" s="1"/>
  <c r="M284" i="7"/>
  <c r="N284" i="7"/>
  <c r="N282" i="7" s="1"/>
  <c r="I253" i="7"/>
  <c r="K253" i="7" s="1"/>
  <c r="T203" i="7"/>
  <c r="Q142" i="7"/>
  <c r="T142" i="7" s="1"/>
  <c r="U19" i="7"/>
  <c r="L141" i="6"/>
  <c r="L139" i="6" s="1"/>
  <c r="U765" i="7"/>
  <c r="T733" i="7"/>
  <c r="U498" i="7"/>
  <c r="N392" i="7"/>
  <c r="K386" i="7"/>
  <c r="P376" i="7"/>
  <c r="L359" i="7"/>
  <c r="L358" i="7"/>
  <c r="L322" i="7"/>
  <c r="O322" i="7" s="1"/>
  <c r="Q305" i="7"/>
  <c r="T305" i="7" s="1"/>
  <c r="M288" i="7"/>
  <c r="P288" i="7" s="1"/>
  <c r="S269" i="7"/>
  <c r="T271" i="7"/>
  <c r="S268" i="7"/>
  <c r="T268" i="7" s="1"/>
  <c r="I265" i="7"/>
  <c r="K265" i="7" s="1"/>
  <c r="L235" i="7"/>
  <c r="L243" i="7"/>
  <c r="O187" i="7"/>
  <c r="U178" i="7"/>
  <c r="M175" i="7"/>
  <c r="M163" i="7"/>
  <c r="P163" i="7" s="1"/>
  <c r="T140" i="7"/>
  <c r="M97" i="7"/>
  <c r="P97" i="7" s="1"/>
  <c r="S19" i="7"/>
  <c r="S97" i="7"/>
  <c r="P75" i="7"/>
  <c r="N335" i="7"/>
  <c r="N333" i="7" s="1"/>
  <c r="M322" i="7"/>
  <c r="P322" i="7" s="1"/>
  <c r="N268" i="7"/>
  <c r="N266" i="7" s="1"/>
  <c r="S188" i="7"/>
  <c r="L175" i="7"/>
  <c r="U162" i="7"/>
  <c r="M160" i="7"/>
  <c r="M159" i="7"/>
  <c r="I137" i="7"/>
  <c r="K137" i="7" s="1"/>
  <c r="K152" i="7"/>
  <c r="K108" i="7"/>
  <c r="I92" i="7"/>
  <c r="K92" i="7" s="1"/>
  <c r="L74" i="7"/>
  <c r="O75" i="7"/>
  <c r="P67" i="7"/>
  <c r="M65" i="7"/>
  <c r="P65" i="7" s="1"/>
  <c r="O47" i="7"/>
  <c r="M323" i="7"/>
  <c r="P323" i="7" s="1"/>
  <c r="L288" i="7"/>
  <c r="O288" i="7" s="1"/>
  <c r="M192" i="7"/>
  <c r="P192" i="7" s="1"/>
  <c r="Q176" i="7"/>
  <c r="T176" i="7" s="1"/>
  <c r="S96" i="7"/>
  <c r="S94" i="7" s="1"/>
  <c r="T95" i="7"/>
  <c r="P47" i="7"/>
  <c r="P22" i="7"/>
  <c r="M19" i="7"/>
  <c r="Q175" i="7"/>
  <c r="T175" i="7" s="1"/>
  <c r="Q160" i="7"/>
  <c r="T160" i="7" s="1"/>
  <c r="R159" i="7"/>
  <c r="N26" i="7"/>
  <c r="N24" i="7" s="1"/>
  <c r="P25" i="7"/>
  <c r="O19" i="7"/>
  <c r="N142" i="7"/>
  <c r="O142" i="7" s="1"/>
  <c r="K127" i="7"/>
  <c r="R97" i="7"/>
  <c r="L97" i="7"/>
  <c r="O97" i="7" s="1"/>
  <c r="U77" i="7"/>
  <c r="O77" i="7"/>
  <c r="Q75" i="7"/>
  <c r="T75" i="7" s="1"/>
  <c r="O64" i="7"/>
  <c r="N50" i="7"/>
  <c r="O49" i="7"/>
  <c r="N23" i="7"/>
  <c r="M119" i="7"/>
  <c r="P119" i="7" s="1"/>
  <c r="N74" i="7"/>
  <c r="N72" i="7" s="1"/>
  <c r="N61" i="7"/>
  <c r="N59" i="7" s="1"/>
  <c r="N46" i="7"/>
  <c r="N44" i="7" s="1"/>
  <c r="S23" i="7"/>
  <c r="S20" i="7" s="1"/>
  <c r="M23" i="7"/>
  <c r="M21" i="7" s="1"/>
  <c r="Q19" i="7"/>
  <c r="R119" i="7"/>
  <c r="L119" i="7"/>
  <c r="N96" i="7"/>
  <c r="N94" i="7" s="1"/>
  <c r="S74" i="7"/>
  <c r="S72" i="7" s="1"/>
  <c r="M74" i="7"/>
  <c r="M61" i="7"/>
  <c r="M46" i="7"/>
  <c r="R23" i="7"/>
  <c r="L23" i="7"/>
  <c r="Q23" i="7"/>
  <c r="N335" i="6"/>
  <c r="N333" i="6" s="1"/>
  <c r="Q59" i="6"/>
  <c r="T59" i="6" s="1"/>
  <c r="T60" i="6"/>
  <c r="I412" i="6"/>
  <c r="K412" i="6" s="1"/>
  <c r="K423" i="6"/>
  <c r="M309" i="6"/>
  <c r="P309" i="6" s="1"/>
  <c r="P311" i="6"/>
  <c r="K369" i="5"/>
  <c r="I456" i="6"/>
  <c r="K456" i="6" s="1"/>
  <c r="K653" i="4"/>
  <c r="L175" i="4"/>
  <c r="L173" i="4" s="1"/>
  <c r="T731" i="5"/>
  <c r="S730" i="5"/>
  <c r="S728" i="5" s="1"/>
  <c r="I92" i="5"/>
  <c r="K92" i="5" s="1"/>
  <c r="L78" i="5"/>
  <c r="O78" i="5" s="1"/>
  <c r="K783" i="6"/>
  <c r="K780" i="6"/>
  <c r="Q714" i="6"/>
  <c r="T714" i="6" s="1"/>
  <c r="M516" i="6"/>
  <c r="P516" i="6" s="1"/>
  <c r="M515" i="6"/>
  <c r="P515" i="6" s="1"/>
  <c r="P518" i="6"/>
  <c r="R496" i="6"/>
  <c r="U496" i="6" s="1"/>
  <c r="U498" i="6"/>
  <c r="S392" i="6"/>
  <c r="M336" i="6"/>
  <c r="P338" i="6"/>
  <c r="N268" i="6"/>
  <c r="N266" i="6" s="1"/>
  <c r="N188" i="6"/>
  <c r="N186" i="6" s="1"/>
  <c r="N189" i="6"/>
  <c r="M176" i="6"/>
  <c r="P176" i="6" s="1"/>
  <c r="P178" i="6"/>
  <c r="M175" i="6"/>
  <c r="M173" i="6" s="1"/>
  <c r="R159" i="6"/>
  <c r="U159" i="6" s="1"/>
  <c r="R160" i="6"/>
  <c r="U160" i="6" s="1"/>
  <c r="U162" i="6"/>
  <c r="P142" i="6"/>
  <c r="Q119" i="6"/>
  <c r="Q117" i="6" s="1"/>
  <c r="Q120" i="6"/>
  <c r="T122" i="6"/>
  <c r="M78" i="6"/>
  <c r="P78" i="6" s="1"/>
  <c r="P80" i="6"/>
  <c r="T25" i="6"/>
  <c r="Q24" i="6"/>
  <c r="T24" i="6" s="1"/>
  <c r="K709" i="4"/>
  <c r="I138" i="5"/>
  <c r="K138" i="5" s="1"/>
  <c r="K709" i="6"/>
  <c r="R119" i="6"/>
  <c r="U119" i="6" s="1"/>
  <c r="R120" i="6"/>
  <c r="M46" i="1"/>
  <c r="M44" i="1" s="1"/>
  <c r="O77" i="3"/>
  <c r="K783" i="4"/>
  <c r="K780" i="4"/>
  <c r="K673" i="4"/>
  <c r="M179" i="4"/>
  <c r="P179" i="4" s="1"/>
  <c r="P364" i="5"/>
  <c r="L100" i="5"/>
  <c r="O100" i="5" s="1"/>
  <c r="U77" i="5"/>
  <c r="N760" i="6"/>
  <c r="M728" i="6"/>
  <c r="P728" i="6" s="1"/>
  <c r="K705" i="6"/>
  <c r="K703" i="6"/>
  <c r="J674" i="6"/>
  <c r="K674" i="6" s="1"/>
  <c r="S599" i="6"/>
  <c r="S534" i="6"/>
  <c r="J503" i="6"/>
  <c r="J492" i="6" s="1"/>
  <c r="Q496" i="6"/>
  <c r="T496" i="6" s="1"/>
  <c r="Q495" i="6"/>
  <c r="Q493" i="6" s="1"/>
  <c r="T493" i="6" s="1"/>
  <c r="M362" i="6"/>
  <c r="P362" i="6" s="1"/>
  <c r="L359" i="6"/>
  <c r="O359" i="6" s="1"/>
  <c r="L358" i="6"/>
  <c r="L356" i="6" s="1"/>
  <c r="Q282" i="6"/>
  <c r="T282" i="6" s="1"/>
  <c r="L254" i="6"/>
  <c r="O254" i="6" s="1"/>
  <c r="L142" i="6"/>
  <c r="O142" i="6" s="1"/>
  <c r="O144" i="6"/>
  <c r="S142" i="6"/>
  <c r="L78" i="6"/>
  <c r="O78" i="6" s="1"/>
  <c r="O80" i="6"/>
  <c r="K368" i="4"/>
  <c r="T733" i="4"/>
  <c r="M268" i="4"/>
  <c r="M266" i="4" s="1"/>
  <c r="K631" i="5"/>
  <c r="Q619" i="5"/>
  <c r="T619" i="5" s="1"/>
  <c r="J374" i="5"/>
  <c r="U380" i="5"/>
  <c r="U99" i="5"/>
  <c r="Q96" i="5"/>
  <c r="Q94" i="5" s="1"/>
  <c r="T94" i="5" s="1"/>
  <c r="M760" i="6"/>
  <c r="P760" i="6" s="1"/>
  <c r="K707" i="6"/>
  <c r="N642" i="6"/>
  <c r="M599" i="6"/>
  <c r="P599" i="6" s="1"/>
  <c r="M534" i="6"/>
  <c r="P534" i="6" s="1"/>
  <c r="I492" i="6"/>
  <c r="K492" i="6" s="1"/>
  <c r="K503" i="6"/>
  <c r="L493" i="6"/>
  <c r="O493" i="6" s="1"/>
  <c r="R416" i="6"/>
  <c r="U416" i="6" s="1"/>
  <c r="U418" i="6"/>
  <c r="R415" i="6"/>
  <c r="U415" i="6" s="1"/>
  <c r="S139" i="6"/>
  <c r="L100" i="6"/>
  <c r="O100" i="6" s="1"/>
  <c r="O102" i="6"/>
  <c r="M96" i="6"/>
  <c r="M97" i="6"/>
  <c r="P97" i="6" s="1"/>
  <c r="P99" i="6"/>
  <c r="S97" i="6"/>
  <c r="Q44" i="6"/>
  <c r="T44" i="6" s="1"/>
  <c r="T45" i="6"/>
  <c r="K727" i="6"/>
  <c r="N336" i="6"/>
  <c r="O336" i="6" s="1"/>
  <c r="O338" i="6"/>
  <c r="R96" i="6"/>
  <c r="U96" i="6" s="1"/>
  <c r="U99" i="6"/>
  <c r="U144" i="3"/>
  <c r="T191" i="4"/>
  <c r="K630" i="5"/>
  <c r="Q616" i="5"/>
  <c r="M358" i="5"/>
  <c r="M356" i="5" s="1"/>
  <c r="N335" i="5"/>
  <c r="N333" i="5" s="1"/>
  <c r="U175" i="5"/>
  <c r="K758" i="6"/>
  <c r="L760" i="6"/>
  <c r="O760" i="6" s="1"/>
  <c r="M714" i="6"/>
  <c r="P714" i="6" s="1"/>
  <c r="S619" i="6"/>
  <c r="U619" i="6" s="1"/>
  <c r="S618" i="6"/>
  <c r="S616" i="6" s="1"/>
  <c r="M413" i="6"/>
  <c r="P413" i="6" s="1"/>
  <c r="R175" i="6"/>
  <c r="U178" i="6"/>
  <c r="L96" i="6"/>
  <c r="L97" i="6"/>
  <c r="O97" i="6" s="1"/>
  <c r="O99" i="6"/>
  <c r="R97" i="6"/>
  <c r="N690" i="6"/>
  <c r="M642" i="6"/>
  <c r="P642" i="6" s="1"/>
  <c r="K632" i="6"/>
  <c r="O521" i="6"/>
  <c r="L515" i="6"/>
  <c r="O515" i="6" s="1"/>
  <c r="K504" i="6"/>
  <c r="S415" i="6"/>
  <c r="S413" i="6" s="1"/>
  <c r="L413" i="6"/>
  <c r="O413" i="6" s="1"/>
  <c r="J351" i="6"/>
  <c r="K346" i="6"/>
  <c r="P306" i="6"/>
  <c r="P285" i="6"/>
  <c r="T271" i="6"/>
  <c r="R269" i="6"/>
  <c r="U269" i="6" s="1"/>
  <c r="L234" i="6"/>
  <c r="I242" i="6"/>
  <c r="K242" i="6" s="1"/>
  <c r="L214" i="6"/>
  <c r="O214" i="6" s="1"/>
  <c r="L203" i="6"/>
  <c r="O203" i="6" s="1"/>
  <c r="O181" i="6"/>
  <c r="Q176" i="6"/>
  <c r="T176" i="6" s="1"/>
  <c r="O165" i="6"/>
  <c r="O125" i="6"/>
  <c r="P102" i="6"/>
  <c r="I92" i="6"/>
  <c r="K92" i="6" s="1"/>
  <c r="I83" i="6"/>
  <c r="K83" i="6" s="1"/>
  <c r="M74" i="6"/>
  <c r="M72" i="6" s="1"/>
  <c r="S75" i="6"/>
  <c r="N19" i="6"/>
  <c r="M690" i="6"/>
  <c r="P690" i="6" s="1"/>
  <c r="U645" i="6"/>
  <c r="K629" i="6"/>
  <c r="Q618" i="6"/>
  <c r="Q616" i="6" s="1"/>
  <c r="N616" i="6"/>
  <c r="L599" i="6"/>
  <c r="O599" i="6" s="1"/>
  <c r="L534" i="6"/>
  <c r="O534" i="6" s="1"/>
  <c r="L392" i="6"/>
  <c r="O392" i="6" s="1"/>
  <c r="M305" i="6"/>
  <c r="M303" i="6" s="1"/>
  <c r="S306" i="6"/>
  <c r="M284" i="6"/>
  <c r="M282" i="6" s="1"/>
  <c r="L268" i="6"/>
  <c r="O268" i="6" s="1"/>
  <c r="Q269" i="6"/>
  <c r="T269" i="6" s="1"/>
  <c r="K153" i="6"/>
  <c r="K109" i="6"/>
  <c r="S94" i="6"/>
  <c r="L74" i="6"/>
  <c r="L72" i="6" s="1"/>
  <c r="R75" i="6"/>
  <c r="L690" i="6"/>
  <c r="O690" i="6" s="1"/>
  <c r="S644" i="6"/>
  <c r="S642" i="6" s="1"/>
  <c r="R599" i="6"/>
  <c r="U599" i="6" s="1"/>
  <c r="R576" i="6"/>
  <c r="U576" i="6" s="1"/>
  <c r="R534" i="6"/>
  <c r="U534" i="6" s="1"/>
  <c r="R392" i="6"/>
  <c r="U392" i="6" s="1"/>
  <c r="K371" i="6"/>
  <c r="L305" i="6"/>
  <c r="L303" i="6" s="1"/>
  <c r="R306" i="6"/>
  <c r="K167" i="6"/>
  <c r="L159" i="6"/>
  <c r="L157" i="6" s="1"/>
  <c r="S160" i="6"/>
  <c r="M119" i="6"/>
  <c r="P119" i="6" s="1"/>
  <c r="K93" i="6"/>
  <c r="Q75" i="6"/>
  <c r="O64" i="6"/>
  <c r="S59" i="6"/>
  <c r="S44" i="6"/>
  <c r="S24" i="6"/>
  <c r="R644" i="6"/>
  <c r="R642" i="6" s="1"/>
  <c r="Q576" i="6"/>
  <c r="T576" i="6" s="1"/>
  <c r="M493" i="6"/>
  <c r="P493" i="6" s="1"/>
  <c r="N413" i="6"/>
  <c r="N392" i="6"/>
  <c r="I374" i="6"/>
  <c r="I319" i="6"/>
  <c r="K319" i="6" s="1"/>
  <c r="Q306" i="6"/>
  <c r="L269" i="6"/>
  <c r="O269" i="6" s="1"/>
  <c r="K221" i="6"/>
  <c r="N141" i="6"/>
  <c r="N139" i="6" s="1"/>
  <c r="U122" i="6"/>
  <c r="L119" i="6"/>
  <c r="O119" i="6" s="1"/>
  <c r="N96" i="6"/>
  <c r="N94" i="6" s="1"/>
  <c r="P77" i="6"/>
  <c r="U763" i="6"/>
  <c r="T763" i="6"/>
  <c r="U693" i="6"/>
  <c r="Q690" i="6"/>
  <c r="T99" i="6"/>
  <c r="Q96" i="6"/>
  <c r="N47" i="6"/>
  <c r="P47" i="6" s="1"/>
  <c r="N23" i="6"/>
  <c r="N21" i="6" s="1"/>
  <c r="O49" i="6"/>
  <c r="P49" i="6"/>
  <c r="N46" i="6"/>
  <c r="N44" i="6" s="1"/>
  <c r="K709" i="5"/>
  <c r="L515" i="5"/>
  <c r="O515" i="5" s="1"/>
  <c r="I615" i="6"/>
  <c r="K615" i="6" s="1"/>
  <c r="Q413" i="6"/>
  <c r="T413" i="6" s="1"/>
  <c r="R333" i="6"/>
  <c r="U333" i="6" s="1"/>
  <c r="U334" i="6"/>
  <c r="R176" i="3"/>
  <c r="U176" i="3" s="1"/>
  <c r="J343" i="4"/>
  <c r="L236" i="4"/>
  <c r="T162" i="4"/>
  <c r="P67" i="4"/>
  <c r="I759" i="5"/>
  <c r="K759" i="5" s="1"/>
  <c r="I456" i="5"/>
  <c r="K456" i="5" s="1"/>
  <c r="T418" i="5"/>
  <c r="U378" i="5"/>
  <c r="P361" i="5"/>
  <c r="N268" i="5"/>
  <c r="N266" i="5" s="1"/>
  <c r="L236" i="5"/>
  <c r="S173" i="5"/>
  <c r="M163" i="5"/>
  <c r="P163" i="5" s="1"/>
  <c r="U122" i="5"/>
  <c r="I83" i="5"/>
  <c r="I71" i="5" s="1"/>
  <c r="K71" i="5" s="1"/>
  <c r="T77" i="5"/>
  <c r="O49" i="5"/>
  <c r="U765" i="6"/>
  <c r="R762" i="6"/>
  <c r="P761" i="6"/>
  <c r="T733" i="6"/>
  <c r="Q730" i="6"/>
  <c r="U729" i="6"/>
  <c r="O729" i="6"/>
  <c r="U715" i="6"/>
  <c r="O715" i="6"/>
  <c r="S692" i="6"/>
  <c r="T692" i="6" s="1"/>
  <c r="T621" i="6"/>
  <c r="Q599" i="6"/>
  <c r="T599" i="6" s="1"/>
  <c r="T577" i="6"/>
  <c r="Q534" i="6"/>
  <c r="T534" i="6" s="1"/>
  <c r="O518" i="6"/>
  <c r="P514" i="6"/>
  <c r="T498" i="6"/>
  <c r="J332" i="6"/>
  <c r="J343" i="6"/>
  <c r="I332" i="6"/>
  <c r="P290" i="6"/>
  <c r="M288" i="6"/>
  <c r="P288" i="6" s="1"/>
  <c r="L284" i="6"/>
  <c r="M159" i="6"/>
  <c r="P162" i="6"/>
  <c r="M160" i="6"/>
  <c r="P160" i="6" s="1"/>
  <c r="Q555" i="6"/>
  <c r="T555" i="6" s="1"/>
  <c r="P341" i="6"/>
  <c r="M339" i="6"/>
  <c r="P339" i="6" s="1"/>
  <c r="O158" i="6"/>
  <c r="U178" i="3"/>
  <c r="S189" i="4"/>
  <c r="O521" i="5"/>
  <c r="S377" i="5"/>
  <c r="S375" i="5" s="1"/>
  <c r="P338" i="5"/>
  <c r="Q269" i="5"/>
  <c r="P178" i="5"/>
  <c r="U162" i="5"/>
  <c r="Q139" i="5"/>
  <c r="T139" i="5" s="1"/>
  <c r="R75" i="5"/>
  <c r="U75" i="5" s="1"/>
  <c r="T765" i="6"/>
  <c r="Q762" i="6"/>
  <c r="U761" i="6"/>
  <c r="O761" i="6"/>
  <c r="T729" i="6"/>
  <c r="T715" i="6"/>
  <c r="U695" i="6"/>
  <c r="R692" i="6"/>
  <c r="R690" i="6" s="1"/>
  <c r="P691" i="6"/>
  <c r="U647" i="6"/>
  <c r="O644" i="6"/>
  <c r="M616" i="6"/>
  <c r="P616" i="6" s="1"/>
  <c r="M555" i="6"/>
  <c r="P555" i="6" s="1"/>
  <c r="N515" i="6"/>
  <c r="N513" i="6" s="1"/>
  <c r="P494" i="6"/>
  <c r="T418" i="6"/>
  <c r="Q416" i="6"/>
  <c r="T416" i="6" s="1"/>
  <c r="U414" i="6"/>
  <c r="U393" i="6"/>
  <c r="O393" i="6"/>
  <c r="J374" i="6"/>
  <c r="P376" i="6"/>
  <c r="O357" i="6"/>
  <c r="O290" i="6"/>
  <c r="L288" i="6"/>
  <c r="O288" i="6" s="1"/>
  <c r="P67" i="6"/>
  <c r="M65" i="6"/>
  <c r="P65" i="6" s="1"/>
  <c r="R24" i="6"/>
  <c r="U24" i="6" s="1"/>
  <c r="U25" i="6"/>
  <c r="R19" i="6"/>
  <c r="O19" i="6"/>
  <c r="Q644" i="6"/>
  <c r="T647" i="6"/>
  <c r="O267" i="6"/>
  <c r="Q97" i="6"/>
  <c r="U60" i="6"/>
  <c r="R59" i="6"/>
  <c r="U59" i="6" s="1"/>
  <c r="N232" i="1"/>
  <c r="P285" i="3"/>
  <c r="K346" i="4"/>
  <c r="L576" i="6"/>
  <c r="O576" i="6" s="1"/>
  <c r="I365" i="6"/>
  <c r="K365" i="6" s="1"/>
  <c r="O341" i="6"/>
  <c r="L339" i="6"/>
  <c r="O339" i="6" s="1"/>
  <c r="L192" i="4"/>
  <c r="O192" i="4" s="1"/>
  <c r="K707" i="5"/>
  <c r="R415" i="5"/>
  <c r="U415" i="5" s="1"/>
  <c r="T308" i="5"/>
  <c r="O178" i="5"/>
  <c r="L160" i="5"/>
  <c r="O160" i="5" s="1"/>
  <c r="T144" i="5"/>
  <c r="O64" i="5"/>
  <c r="K772" i="6"/>
  <c r="T761" i="6"/>
  <c r="T695" i="6"/>
  <c r="U691" i="6"/>
  <c r="O691" i="6"/>
  <c r="Q645" i="6"/>
  <c r="T645" i="6" s="1"/>
  <c r="K631" i="6"/>
  <c r="R618" i="6"/>
  <c r="U621" i="6"/>
  <c r="U600" i="6"/>
  <c r="O600" i="6"/>
  <c r="U535" i="6"/>
  <c r="O535" i="6"/>
  <c r="T514" i="6"/>
  <c r="O494" i="6"/>
  <c r="R356" i="6"/>
  <c r="U356" i="6" s="1"/>
  <c r="U357" i="6"/>
  <c r="S320" i="6"/>
  <c r="O321" i="6"/>
  <c r="O191" i="6"/>
  <c r="L189" i="6"/>
  <c r="S19" i="6"/>
  <c r="P189" i="5"/>
  <c r="R378" i="6"/>
  <c r="U378" i="6" s="1"/>
  <c r="U380" i="6"/>
  <c r="N358" i="6"/>
  <c r="U305" i="6"/>
  <c r="R303" i="6"/>
  <c r="O194" i="6"/>
  <c r="L192" i="6"/>
  <c r="O192" i="6" s="1"/>
  <c r="S734" i="1"/>
  <c r="I238" i="4"/>
  <c r="K238" i="4" s="1"/>
  <c r="P122" i="4"/>
  <c r="K371" i="5"/>
  <c r="O359" i="5"/>
  <c r="U178" i="5"/>
  <c r="I168" i="5"/>
  <c r="K168" i="5" s="1"/>
  <c r="P643" i="6"/>
  <c r="K630" i="6"/>
  <c r="K626" i="6"/>
  <c r="R495" i="6"/>
  <c r="U495" i="6" s="1"/>
  <c r="U494" i="6"/>
  <c r="S378" i="6"/>
  <c r="T378" i="6" s="1"/>
  <c r="S377" i="6"/>
  <c r="S375" i="6" s="1"/>
  <c r="R377" i="6"/>
  <c r="L375" i="6"/>
  <c r="O375" i="6" s="1"/>
  <c r="M358" i="6"/>
  <c r="P361" i="6"/>
  <c r="P304" i="6"/>
  <c r="I238" i="6"/>
  <c r="K238" i="6" s="1"/>
  <c r="I253" i="6"/>
  <c r="K260" i="6"/>
  <c r="P194" i="6"/>
  <c r="M192" i="6"/>
  <c r="P192" i="6" s="1"/>
  <c r="S189" i="6"/>
  <c r="S188" i="6"/>
  <c r="S186" i="6" s="1"/>
  <c r="T174" i="6"/>
  <c r="Q173" i="6"/>
  <c r="T173" i="6" s="1"/>
  <c r="N78" i="6"/>
  <c r="N26" i="6"/>
  <c r="N24" i="6" s="1"/>
  <c r="N74" i="6"/>
  <c r="P414" i="6"/>
  <c r="Q377" i="6"/>
  <c r="Q375" i="6" s="1"/>
  <c r="T380" i="6"/>
  <c r="Q356" i="6"/>
  <c r="T356" i="6" s="1"/>
  <c r="R320" i="6"/>
  <c r="U320" i="6" s="1"/>
  <c r="U321" i="6"/>
  <c r="T305" i="6"/>
  <c r="K292" i="6"/>
  <c r="I281" i="6"/>
  <c r="K281" i="6" s="1"/>
  <c r="R266" i="6"/>
  <c r="U267" i="6"/>
  <c r="I195" i="6"/>
  <c r="K195" i="6" s="1"/>
  <c r="U191" i="6"/>
  <c r="R189" i="6"/>
  <c r="U158" i="6"/>
  <c r="T118" i="6"/>
  <c r="M46" i="6"/>
  <c r="U22" i="6"/>
  <c r="Q320" i="6"/>
  <c r="T320" i="6" s="1"/>
  <c r="T321" i="6"/>
  <c r="S303" i="6"/>
  <c r="T191" i="6"/>
  <c r="R186" i="6"/>
  <c r="M145" i="6"/>
  <c r="P145" i="6" s="1"/>
  <c r="N123" i="6"/>
  <c r="N119" i="6"/>
  <c r="N117" i="6" s="1"/>
  <c r="L335" i="6"/>
  <c r="P334" i="6"/>
  <c r="P325" i="6"/>
  <c r="M323" i="6"/>
  <c r="P323" i="6" s="1"/>
  <c r="N322" i="6"/>
  <c r="N320" i="6" s="1"/>
  <c r="P271" i="6"/>
  <c r="T187" i="6"/>
  <c r="L145" i="6"/>
  <c r="O145" i="6" s="1"/>
  <c r="O147" i="6"/>
  <c r="P73" i="6"/>
  <c r="N62" i="6"/>
  <c r="P62" i="6" s="1"/>
  <c r="P64" i="6"/>
  <c r="N61" i="6"/>
  <c r="N59" i="6" s="1"/>
  <c r="P52" i="6"/>
  <c r="M26" i="6"/>
  <c r="P26" i="6" s="1"/>
  <c r="M50" i="6"/>
  <c r="P50" i="6" s="1"/>
  <c r="J457" i="6"/>
  <c r="J456" i="6" s="1"/>
  <c r="O361" i="6"/>
  <c r="M335" i="6"/>
  <c r="O334" i="6"/>
  <c r="O325" i="6"/>
  <c r="L323" i="6"/>
  <c r="O323" i="6" s="1"/>
  <c r="M322" i="6"/>
  <c r="P322" i="6" s="1"/>
  <c r="P283" i="6"/>
  <c r="P267" i="6"/>
  <c r="L243" i="6"/>
  <c r="I213" i="6"/>
  <c r="K213" i="6" s="1"/>
  <c r="K220" i="6"/>
  <c r="P191" i="6"/>
  <c r="M189" i="6"/>
  <c r="M188" i="6"/>
  <c r="N163" i="6"/>
  <c r="N159" i="6"/>
  <c r="K154" i="6"/>
  <c r="I136" i="6"/>
  <c r="K136" i="6" s="1"/>
  <c r="O52" i="6"/>
  <c r="L26" i="6"/>
  <c r="O26" i="6" s="1"/>
  <c r="L50" i="6"/>
  <c r="O50" i="6" s="1"/>
  <c r="N305" i="6"/>
  <c r="N284" i="6"/>
  <c r="S268" i="6"/>
  <c r="S266" i="6" s="1"/>
  <c r="T266" i="6" s="1"/>
  <c r="M268" i="6"/>
  <c r="Q188" i="6"/>
  <c r="M163" i="6"/>
  <c r="P163" i="6" s="1"/>
  <c r="P144" i="6"/>
  <c r="M23" i="6"/>
  <c r="M21" i="6" s="1"/>
  <c r="P125" i="6"/>
  <c r="M123" i="6"/>
  <c r="P123" i="6" s="1"/>
  <c r="P118" i="6"/>
  <c r="O75" i="6"/>
  <c r="O67" i="6"/>
  <c r="L65" i="6"/>
  <c r="O65" i="6" s="1"/>
  <c r="M61" i="6"/>
  <c r="L46" i="6"/>
  <c r="P45" i="6"/>
  <c r="P19" i="6"/>
  <c r="K229" i="6"/>
  <c r="I202" i="6"/>
  <c r="K202" i="6" s="1"/>
  <c r="Q160" i="6"/>
  <c r="T160" i="6" s="1"/>
  <c r="K152" i="6"/>
  <c r="R141" i="6"/>
  <c r="U141" i="6" s="1"/>
  <c r="O118" i="6"/>
  <c r="I82" i="6"/>
  <c r="R72" i="6"/>
  <c r="L61" i="6"/>
  <c r="P60" i="6"/>
  <c r="M272" i="6"/>
  <c r="P272" i="6" s="1"/>
  <c r="M269" i="6"/>
  <c r="P269" i="6" s="1"/>
  <c r="Q189" i="6"/>
  <c r="L175" i="6"/>
  <c r="I169" i="6"/>
  <c r="K169" i="6" s="1"/>
  <c r="O162" i="6"/>
  <c r="Q157" i="6"/>
  <c r="T157" i="6" s="1"/>
  <c r="Q139" i="6"/>
  <c r="T139" i="6" s="1"/>
  <c r="T140" i="6"/>
  <c r="P122" i="6"/>
  <c r="M120" i="6"/>
  <c r="P120" i="6" s="1"/>
  <c r="S117" i="6"/>
  <c r="R44" i="6"/>
  <c r="U44" i="6" s="1"/>
  <c r="P25" i="6"/>
  <c r="P22" i="6"/>
  <c r="L176" i="6"/>
  <c r="O176" i="6" s="1"/>
  <c r="T162" i="6"/>
  <c r="T144" i="6"/>
  <c r="Q142" i="6"/>
  <c r="T142" i="6" s="1"/>
  <c r="M141" i="6"/>
  <c r="S120" i="6"/>
  <c r="S23" i="6"/>
  <c r="S20" i="6" s="1"/>
  <c r="U118" i="6"/>
  <c r="O25" i="6"/>
  <c r="O22" i="6"/>
  <c r="Q19" i="6"/>
  <c r="R23" i="6"/>
  <c r="L23" i="6"/>
  <c r="Q23" i="6"/>
  <c r="S762" i="1"/>
  <c r="T762" i="1" s="1"/>
  <c r="Q599" i="5"/>
  <c r="T599" i="5" s="1"/>
  <c r="Q392" i="5"/>
  <c r="T392" i="5" s="1"/>
  <c r="P144" i="4"/>
  <c r="L339" i="5"/>
  <c r="O339" i="5" s="1"/>
  <c r="O341" i="5"/>
  <c r="P77" i="4"/>
  <c r="Q75" i="4"/>
  <c r="T75" i="4" s="1"/>
  <c r="K785" i="5"/>
  <c r="I332" i="5"/>
  <c r="K344" i="5"/>
  <c r="Q59" i="5"/>
  <c r="T59" i="5" s="1"/>
  <c r="T61" i="5"/>
  <c r="O311" i="5"/>
  <c r="L309" i="5"/>
  <c r="O309" i="5" s="1"/>
  <c r="J351" i="3"/>
  <c r="J674" i="4"/>
  <c r="K780" i="5"/>
  <c r="R60" i="1"/>
  <c r="U60" i="1" s="1"/>
  <c r="K109" i="1"/>
  <c r="K154" i="1"/>
  <c r="K785" i="2"/>
  <c r="K782" i="2"/>
  <c r="K779" i="2"/>
  <c r="O162" i="3"/>
  <c r="K781" i="4"/>
  <c r="K440" i="4"/>
  <c r="K386" i="4"/>
  <c r="K260" i="4"/>
  <c r="L222" i="4"/>
  <c r="O222" i="4" s="1"/>
  <c r="K779" i="5"/>
  <c r="S762" i="5"/>
  <c r="S760" i="5" s="1"/>
  <c r="U733" i="5"/>
  <c r="T577" i="5"/>
  <c r="Q576" i="5"/>
  <c r="T576" i="5" s="1"/>
  <c r="Q555" i="5"/>
  <c r="T555" i="5" s="1"/>
  <c r="U498" i="5"/>
  <c r="R495" i="5"/>
  <c r="U495" i="5" s="1"/>
  <c r="R496" i="5"/>
  <c r="U496" i="5" s="1"/>
  <c r="I423" i="5"/>
  <c r="K423" i="5" s="1"/>
  <c r="R305" i="5"/>
  <c r="R303" i="5" s="1"/>
  <c r="R306" i="5"/>
  <c r="U308" i="5"/>
  <c r="M288" i="5"/>
  <c r="P288" i="5" s="1"/>
  <c r="Q282" i="5"/>
  <c r="T282" i="5" s="1"/>
  <c r="T283" i="5"/>
  <c r="L269" i="5"/>
  <c r="O269" i="5" s="1"/>
  <c r="O271" i="5"/>
  <c r="L233" i="5"/>
  <c r="L214" i="5"/>
  <c r="O214" i="5" s="1"/>
  <c r="S141" i="5"/>
  <c r="S139" i="5" s="1"/>
  <c r="N47" i="5"/>
  <c r="P47" i="5" s="1"/>
  <c r="N46" i="5"/>
  <c r="N44" i="5" s="1"/>
  <c r="L362" i="5"/>
  <c r="O362" i="5" s="1"/>
  <c r="O364" i="5"/>
  <c r="O311" i="2"/>
  <c r="U731" i="3"/>
  <c r="J374" i="3"/>
  <c r="L339" i="3"/>
  <c r="O339" i="3" s="1"/>
  <c r="I238" i="3"/>
  <c r="K238" i="3" s="1"/>
  <c r="P125" i="3"/>
  <c r="L339" i="4"/>
  <c r="O339" i="4" s="1"/>
  <c r="O328" i="4"/>
  <c r="K229" i="4"/>
  <c r="O80" i="4"/>
  <c r="K784" i="5"/>
  <c r="K781" i="5"/>
  <c r="K772" i="5"/>
  <c r="M714" i="5"/>
  <c r="P714" i="5" s="1"/>
  <c r="M519" i="5"/>
  <c r="P519" i="5" s="1"/>
  <c r="O494" i="5"/>
  <c r="L493" i="5"/>
  <c r="O493" i="5" s="1"/>
  <c r="M326" i="5"/>
  <c r="P326" i="5" s="1"/>
  <c r="P328" i="5"/>
  <c r="S269" i="5"/>
  <c r="T271" i="5"/>
  <c r="N760" i="5"/>
  <c r="K314" i="5"/>
  <c r="I302" i="5"/>
  <c r="K302" i="5" s="1"/>
  <c r="I185" i="1"/>
  <c r="K185" i="1" s="1"/>
  <c r="K778" i="4"/>
  <c r="K726" i="4"/>
  <c r="Q645" i="4"/>
  <c r="T645" i="4" s="1"/>
  <c r="K629" i="4"/>
  <c r="L728" i="5"/>
  <c r="O728" i="5" s="1"/>
  <c r="L714" i="5"/>
  <c r="O714" i="5" s="1"/>
  <c r="Q644" i="5"/>
  <c r="Q642" i="5" s="1"/>
  <c r="T642" i="5" s="1"/>
  <c r="M555" i="5"/>
  <c r="P555" i="5" s="1"/>
  <c r="P556" i="5"/>
  <c r="S416" i="5"/>
  <c r="K330" i="5"/>
  <c r="M309" i="5"/>
  <c r="P309" i="5" s="1"/>
  <c r="P311" i="5"/>
  <c r="R269" i="5"/>
  <c r="U271" i="5"/>
  <c r="R268" i="5"/>
  <c r="P191" i="5"/>
  <c r="M188" i="5"/>
  <c r="P118" i="5"/>
  <c r="M50" i="5"/>
  <c r="P50" i="5" s="1"/>
  <c r="S714" i="5"/>
  <c r="Q714" i="5"/>
  <c r="T714" i="5" s="1"/>
  <c r="J702" i="5"/>
  <c r="T695" i="5"/>
  <c r="S645" i="5"/>
  <c r="P644" i="5"/>
  <c r="K626" i="5"/>
  <c r="Q534" i="5"/>
  <c r="T534" i="5" s="1"/>
  <c r="S495" i="5"/>
  <c r="S493" i="5" s="1"/>
  <c r="J458" i="5"/>
  <c r="R377" i="5"/>
  <c r="J351" i="5"/>
  <c r="T322" i="5"/>
  <c r="M284" i="5"/>
  <c r="M282" i="5" s="1"/>
  <c r="N269" i="5"/>
  <c r="J231" i="5"/>
  <c r="J185" i="5" s="1"/>
  <c r="I202" i="5"/>
  <c r="K202" i="5" s="1"/>
  <c r="K183" i="5"/>
  <c r="T178" i="5"/>
  <c r="I169" i="5"/>
  <c r="K169" i="5" s="1"/>
  <c r="O165" i="5"/>
  <c r="O125" i="5"/>
  <c r="U119" i="5"/>
  <c r="M96" i="5"/>
  <c r="P96" i="5" s="1"/>
  <c r="S97" i="5"/>
  <c r="U95" i="5"/>
  <c r="R59" i="5"/>
  <c r="U59" i="5" s="1"/>
  <c r="J701" i="5"/>
  <c r="S690" i="5"/>
  <c r="J674" i="5"/>
  <c r="L642" i="5"/>
  <c r="O642" i="5" s="1"/>
  <c r="U621" i="5"/>
  <c r="M576" i="5"/>
  <c r="P576" i="5" s="1"/>
  <c r="U557" i="5"/>
  <c r="P518" i="5"/>
  <c r="J457" i="5"/>
  <c r="J456" i="5" s="1"/>
  <c r="S333" i="5"/>
  <c r="N305" i="5"/>
  <c r="S176" i="5"/>
  <c r="L96" i="5"/>
  <c r="R97" i="5"/>
  <c r="U97" i="5" s="1"/>
  <c r="N19" i="5"/>
  <c r="Q692" i="5"/>
  <c r="Q690" i="5" s="1"/>
  <c r="L690" i="5"/>
  <c r="O690" i="5" s="1"/>
  <c r="L616" i="5"/>
  <c r="O616" i="5" s="1"/>
  <c r="S576" i="5"/>
  <c r="L555" i="5"/>
  <c r="O555" i="5" s="1"/>
  <c r="L534" i="5"/>
  <c r="O534" i="5" s="1"/>
  <c r="J343" i="5"/>
  <c r="M159" i="5"/>
  <c r="M157" i="5" s="1"/>
  <c r="S160" i="5"/>
  <c r="S157" i="5"/>
  <c r="O147" i="5"/>
  <c r="U144" i="5"/>
  <c r="M119" i="5"/>
  <c r="P119" i="5" s="1"/>
  <c r="S120" i="5"/>
  <c r="M97" i="5"/>
  <c r="P97" i="5" s="1"/>
  <c r="R72" i="5"/>
  <c r="U72" i="5" s="1"/>
  <c r="L74" i="5"/>
  <c r="O74" i="5" s="1"/>
  <c r="Q75" i="5"/>
  <c r="T75" i="5" s="1"/>
  <c r="P49" i="5"/>
  <c r="L47" i="5"/>
  <c r="K705" i="5"/>
  <c r="J675" i="5"/>
  <c r="M599" i="5"/>
  <c r="P599" i="5" s="1"/>
  <c r="M515" i="5"/>
  <c r="R513" i="5"/>
  <c r="U513" i="5" s="1"/>
  <c r="I492" i="5"/>
  <c r="K492" i="5" s="1"/>
  <c r="U418" i="5"/>
  <c r="Q333" i="5"/>
  <c r="T333" i="5" s="1"/>
  <c r="L305" i="5"/>
  <c r="L303" i="5" s="1"/>
  <c r="L306" i="5"/>
  <c r="L235" i="5"/>
  <c r="L203" i="5"/>
  <c r="O203" i="5" s="1"/>
  <c r="N188" i="5"/>
  <c r="N186" i="5" s="1"/>
  <c r="L159" i="5"/>
  <c r="L157" i="5" s="1"/>
  <c r="R160" i="5"/>
  <c r="U160" i="5" s="1"/>
  <c r="Q142" i="5"/>
  <c r="T142" i="5" s="1"/>
  <c r="L119" i="5"/>
  <c r="O119" i="5" s="1"/>
  <c r="R120" i="5"/>
  <c r="P102" i="5"/>
  <c r="P99" i="5"/>
  <c r="L97" i="5"/>
  <c r="O97" i="5" s="1"/>
  <c r="I82" i="5"/>
  <c r="I70" i="5" s="1"/>
  <c r="K70" i="5" s="1"/>
  <c r="P80" i="5"/>
  <c r="Q762" i="5"/>
  <c r="T762" i="5" s="1"/>
  <c r="T765" i="5"/>
  <c r="K785" i="4"/>
  <c r="U645" i="4"/>
  <c r="T308" i="4"/>
  <c r="L214" i="4"/>
  <c r="O214" i="4" s="1"/>
  <c r="L188" i="4"/>
  <c r="L186" i="4" s="1"/>
  <c r="U77" i="4"/>
  <c r="N61" i="4"/>
  <c r="N59" i="4" s="1"/>
  <c r="R714" i="5"/>
  <c r="U714" i="5" s="1"/>
  <c r="U619" i="5"/>
  <c r="Q377" i="5"/>
  <c r="T380" i="5"/>
  <c r="T358" i="5"/>
  <c r="Q356" i="5"/>
  <c r="T356" i="5" s="1"/>
  <c r="L335" i="5"/>
  <c r="L333" i="5" s="1"/>
  <c r="L336" i="5"/>
  <c r="O336" i="5" s="1"/>
  <c r="U334" i="5"/>
  <c r="R333" i="5"/>
  <c r="U333" i="5" s="1"/>
  <c r="P304" i="5"/>
  <c r="O283" i="5"/>
  <c r="L254" i="5"/>
  <c r="O254" i="5" s="1"/>
  <c r="N46" i="4"/>
  <c r="N44" i="4" s="1"/>
  <c r="I701" i="5"/>
  <c r="K703" i="5"/>
  <c r="R760" i="3"/>
  <c r="K703" i="3"/>
  <c r="I701" i="4"/>
  <c r="N305" i="4"/>
  <c r="N303" i="4" s="1"/>
  <c r="U191" i="4"/>
  <c r="N141" i="4"/>
  <c r="N139" i="4" s="1"/>
  <c r="P99" i="4"/>
  <c r="P64" i="4"/>
  <c r="K778" i="5"/>
  <c r="M728" i="5"/>
  <c r="P728" i="5" s="1"/>
  <c r="O691" i="5"/>
  <c r="T647" i="5"/>
  <c r="O536" i="5"/>
  <c r="M493" i="5"/>
  <c r="P493" i="5" s="1"/>
  <c r="L392" i="5"/>
  <c r="O392" i="5" s="1"/>
  <c r="Q378" i="5"/>
  <c r="T378" i="5" s="1"/>
  <c r="M335" i="5"/>
  <c r="M333" i="5" s="1"/>
  <c r="M339" i="5"/>
  <c r="P339" i="5" s="1"/>
  <c r="N26" i="5"/>
  <c r="N24" i="5" s="1"/>
  <c r="T267" i="5"/>
  <c r="Q266" i="5"/>
  <c r="R157" i="5"/>
  <c r="U157" i="5" s="1"/>
  <c r="U159" i="5"/>
  <c r="P45" i="5"/>
  <c r="L232" i="1"/>
  <c r="S188" i="5"/>
  <c r="S186" i="5" s="1"/>
  <c r="S189" i="5"/>
  <c r="K629" i="1"/>
  <c r="K784" i="3"/>
  <c r="S763" i="3"/>
  <c r="I701" i="3"/>
  <c r="P521" i="3"/>
  <c r="K209" i="3"/>
  <c r="K631" i="4"/>
  <c r="M362" i="4"/>
  <c r="P362" i="4" s="1"/>
  <c r="M309" i="4"/>
  <c r="P309" i="4" s="1"/>
  <c r="M305" i="4"/>
  <c r="S306" i="4"/>
  <c r="U306" i="4" s="1"/>
  <c r="M269" i="4"/>
  <c r="P125" i="4"/>
  <c r="Q763" i="5"/>
  <c r="T763" i="5" s="1"/>
  <c r="P715" i="5"/>
  <c r="N690" i="5"/>
  <c r="R618" i="5"/>
  <c r="P617" i="5"/>
  <c r="J503" i="5"/>
  <c r="J492" i="5" s="1"/>
  <c r="K504" i="5"/>
  <c r="N306" i="5"/>
  <c r="P306" i="5" s="1"/>
  <c r="O308" i="5"/>
  <c r="K198" i="5"/>
  <c r="I195" i="5"/>
  <c r="K195" i="5" s="1"/>
  <c r="P22" i="5"/>
  <c r="M19" i="5"/>
  <c r="N285" i="5"/>
  <c r="O285" i="5" s="1"/>
  <c r="N284" i="5"/>
  <c r="N282" i="5" s="1"/>
  <c r="O287" i="5"/>
  <c r="P287" i="5"/>
  <c r="O191" i="5"/>
  <c r="L189" i="5"/>
  <c r="O189" i="5" s="1"/>
  <c r="L188" i="5"/>
  <c r="M730" i="1"/>
  <c r="P730" i="1" s="1"/>
  <c r="K630" i="4"/>
  <c r="K626" i="4"/>
  <c r="P341" i="4"/>
  <c r="M335" i="4"/>
  <c r="M333" i="4" s="1"/>
  <c r="U308" i="4"/>
  <c r="Q306" i="4"/>
  <c r="L268" i="4"/>
  <c r="O268" i="4" s="1"/>
  <c r="K198" i="4"/>
  <c r="M192" i="4"/>
  <c r="P192" i="4" s="1"/>
  <c r="O189" i="4"/>
  <c r="M175" i="4"/>
  <c r="M173" i="4" s="1"/>
  <c r="S176" i="4"/>
  <c r="L163" i="4"/>
  <c r="O163" i="4" s="1"/>
  <c r="P147" i="4"/>
  <c r="M760" i="5"/>
  <c r="P760" i="5" s="1"/>
  <c r="P761" i="5"/>
  <c r="R730" i="5"/>
  <c r="K689" i="5"/>
  <c r="R599" i="5"/>
  <c r="U599" i="5" s="1"/>
  <c r="L576" i="5"/>
  <c r="O576" i="5" s="1"/>
  <c r="O557" i="5"/>
  <c r="U536" i="5"/>
  <c r="P535" i="5"/>
  <c r="Q513" i="5"/>
  <c r="T513" i="5" s="1"/>
  <c r="U376" i="5"/>
  <c r="O338" i="5"/>
  <c r="P334" i="5"/>
  <c r="U304" i="5"/>
  <c r="O290" i="5"/>
  <c r="L288" i="5"/>
  <c r="O288" i="5" s="1"/>
  <c r="P67" i="5"/>
  <c r="M26" i="5"/>
  <c r="P26" i="5" s="1"/>
  <c r="M65" i="5"/>
  <c r="P65" i="5" s="1"/>
  <c r="U22" i="5"/>
  <c r="R19" i="5"/>
  <c r="K113" i="1"/>
  <c r="K292" i="1"/>
  <c r="M362" i="2"/>
  <c r="P362" i="2" s="1"/>
  <c r="K153" i="3"/>
  <c r="K703" i="4"/>
  <c r="J675" i="4"/>
  <c r="K344" i="4"/>
  <c r="S303" i="4"/>
  <c r="U271" i="4"/>
  <c r="L234" i="4"/>
  <c r="K169" i="4"/>
  <c r="R762" i="5"/>
  <c r="U762" i="5" s="1"/>
  <c r="U765" i="5"/>
  <c r="L760" i="5"/>
  <c r="O760" i="5" s="1"/>
  <c r="Q730" i="5"/>
  <c r="T733" i="5"/>
  <c r="N515" i="5"/>
  <c r="N513" i="5" s="1"/>
  <c r="T414" i="5"/>
  <c r="K386" i="5"/>
  <c r="I374" i="5"/>
  <c r="N322" i="5"/>
  <c r="N320" i="5" s="1"/>
  <c r="N323" i="5"/>
  <c r="I265" i="5"/>
  <c r="K265" i="5" s="1"/>
  <c r="K276" i="5"/>
  <c r="P271" i="5"/>
  <c r="M269" i="5"/>
  <c r="M268" i="5"/>
  <c r="I238" i="5"/>
  <c r="K238" i="5" s="1"/>
  <c r="I242" i="5"/>
  <c r="K249" i="5"/>
  <c r="O73" i="5"/>
  <c r="U45" i="5"/>
  <c r="R44" i="5"/>
  <c r="U44" i="5" s="1"/>
  <c r="U729" i="5"/>
  <c r="O729" i="5"/>
  <c r="U715" i="5"/>
  <c r="O715" i="5"/>
  <c r="K629" i="5"/>
  <c r="U600" i="5"/>
  <c r="O600" i="5"/>
  <c r="U577" i="5"/>
  <c r="O577" i="5"/>
  <c r="L516" i="5"/>
  <c r="O516" i="5" s="1"/>
  <c r="R356" i="5"/>
  <c r="U356" i="5" s="1"/>
  <c r="S306" i="5"/>
  <c r="S305" i="5"/>
  <c r="S303" i="5" s="1"/>
  <c r="T303" i="5" s="1"/>
  <c r="S282" i="5"/>
  <c r="P274" i="5"/>
  <c r="M272" i="5"/>
  <c r="P272" i="5" s="1"/>
  <c r="N142" i="5"/>
  <c r="O142" i="5" s="1"/>
  <c r="N141" i="5"/>
  <c r="N139" i="5" s="1"/>
  <c r="O144" i="5"/>
  <c r="U140" i="5"/>
  <c r="O52" i="5"/>
  <c r="L26" i="5"/>
  <c r="O26" i="5" s="1"/>
  <c r="L50" i="5"/>
  <c r="O50" i="5" s="1"/>
  <c r="L46" i="5"/>
  <c r="L44" i="5" s="1"/>
  <c r="N23" i="5"/>
  <c r="N21" i="5" s="1"/>
  <c r="U695" i="5"/>
  <c r="R692" i="5"/>
  <c r="U692" i="5" s="1"/>
  <c r="U647" i="5"/>
  <c r="R644" i="5"/>
  <c r="U644" i="5" s="1"/>
  <c r="S618" i="5"/>
  <c r="S616" i="5" s="1"/>
  <c r="O518" i="5"/>
  <c r="T498" i="5"/>
  <c r="Q495" i="5"/>
  <c r="T495" i="5" s="1"/>
  <c r="Q415" i="5"/>
  <c r="T415" i="5" s="1"/>
  <c r="L413" i="5"/>
  <c r="O413" i="5" s="1"/>
  <c r="R392" i="5"/>
  <c r="U392" i="5" s="1"/>
  <c r="L358" i="5"/>
  <c r="O361" i="5"/>
  <c r="M359" i="5"/>
  <c r="P359" i="5" s="1"/>
  <c r="O328" i="5"/>
  <c r="O325" i="5"/>
  <c r="J280" i="5"/>
  <c r="K280" i="5" s="1"/>
  <c r="K293" i="5"/>
  <c r="R282" i="5"/>
  <c r="U282" i="5" s="1"/>
  <c r="L272" i="5"/>
  <c r="O272" i="5" s="1"/>
  <c r="O274" i="5"/>
  <c r="U267" i="5"/>
  <c r="L222" i="5"/>
  <c r="O222" i="5" s="1"/>
  <c r="O176" i="5"/>
  <c r="N78" i="5"/>
  <c r="N74" i="5"/>
  <c r="N72" i="5" s="1"/>
  <c r="U74" i="5"/>
  <c r="T621" i="5"/>
  <c r="N392" i="5"/>
  <c r="M375" i="5"/>
  <c r="P375" i="5" s="1"/>
  <c r="P357" i="5"/>
  <c r="J332" i="5"/>
  <c r="P325" i="5"/>
  <c r="M323" i="5"/>
  <c r="P323" i="5" s="1"/>
  <c r="M322" i="5"/>
  <c r="P322" i="5" s="1"/>
  <c r="P308" i="5"/>
  <c r="M305" i="5"/>
  <c r="M303" i="5" s="1"/>
  <c r="K292" i="5"/>
  <c r="I281" i="5"/>
  <c r="K281" i="5" s="1"/>
  <c r="K221" i="5"/>
  <c r="T162" i="5"/>
  <c r="Q159" i="5"/>
  <c r="Q160" i="5"/>
  <c r="T160" i="5" s="1"/>
  <c r="K154" i="5"/>
  <c r="I136" i="5"/>
  <c r="K136" i="5" s="1"/>
  <c r="P147" i="5"/>
  <c r="M145" i="5"/>
  <c r="P145" i="5" s="1"/>
  <c r="S94" i="5"/>
  <c r="P25" i="5"/>
  <c r="M392" i="5"/>
  <c r="P392" i="5" s="1"/>
  <c r="L375" i="5"/>
  <c r="O375" i="5" s="1"/>
  <c r="O376" i="5"/>
  <c r="L322" i="5"/>
  <c r="O322" i="5" s="1"/>
  <c r="P283" i="5"/>
  <c r="M192" i="5"/>
  <c r="P192" i="5" s="1"/>
  <c r="P194" i="5"/>
  <c r="Q186" i="5"/>
  <c r="T187" i="5"/>
  <c r="O60" i="5"/>
  <c r="R320" i="5"/>
  <c r="U320" i="5" s="1"/>
  <c r="L284" i="5"/>
  <c r="L268" i="5"/>
  <c r="O268" i="5" s="1"/>
  <c r="L234" i="5"/>
  <c r="U191" i="5"/>
  <c r="P181" i="5"/>
  <c r="M175" i="5"/>
  <c r="T122" i="5"/>
  <c r="Q119" i="5"/>
  <c r="Q120" i="5"/>
  <c r="Q72" i="5"/>
  <c r="T72" i="5" s="1"/>
  <c r="T74" i="5"/>
  <c r="T25" i="5"/>
  <c r="Q24" i="5"/>
  <c r="T24" i="5" s="1"/>
  <c r="Q19" i="5"/>
  <c r="N358" i="5"/>
  <c r="Q306" i="5"/>
  <c r="S268" i="5"/>
  <c r="T268" i="5" s="1"/>
  <c r="O267" i="5"/>
  <c r="I253" i="5"/>
  <c r="K253" i="5" s="1"/>
  <c r="K260" i="5"/>
  <c r="L243" i="5"/>
  <c r="T191" i="5"/>
  <c r="Q189" i="5"/>
  <c r="R189" i="5"/>
  <c r="R188" i="5"/>
  <c r="P176" i="5"/>
  <c r="P95" i="5"/>
  <c r="N62" i="5"/>
  <c r="P62" i="5" s="1"/>
  <c r="P64" i="5"/>
  <c r="N61" i="5"/>
  <c r="N59" i="5" s="1"/>
  <c r="P60" i="5"/>
  <c r="I213" i="5"/>
  <c r="K213" i="5" s="1"/>
  <c r="K220" i="5"/>
  <c r="P144" i="5"/>
  <c r="M142" i="5"/>
  <c r="M141" i="5"/>
  <c r="M139" i="5" s="1"/>
  <c r="O140" i="5"/>
  <c r="K109" i="5"/>
  <c r="O67" i="5"/>
  <c r="L65" i="5"/>
  <c r="O65" i="5" s="1"/>
  <c r="L61" i="5"/>
  <c r="O45" i="5"/>
  <c r="O25" i="5"/>
  <c r="M23" i="5"/>
  <c r="M21" i="5" s="1"/>
  <c r="O22" i="5"/>
  <c r="L19" i="5"/>
  <c r="P73" i="5"/>
  <c r="S19" i="5"/>
  <c r="L175" i="5"/>
  <c r="R176" i="5"/>
  <c r="U176" i="5" s="1"/>
  <c r="P160" i="5"/>
  <c r="Q97" i="5"/>
  <c r="T97" i="5" s="1"/>
  <c r="S24" i="5"/>
  <c r="S23" i="5"/>
  <c r="S20" i="5" s="1"/>
  <c r="P140" i="5"/>
  <c r="R24" i="5"/>
  <c r="U24" i="5" s="1"/>
  <c r="U25" i="5"/>
  <c r="N175" i="5"/>
  <c r="N173" i="5" s="1"/>
  <c r="K167" i="5"/>
  <c r="N159" i="5"/>
  <c r="N157" i="5" s="1"/>
  <c r="R141" i="5"/>
  <c r="U141" i="5" s="1"/>
  <c r="L141" i="5"/>
  <c r="K127" i="5"/>
  <c r="N119" i="5"/>
  <c r="N117" i="5" s="1"/>
  <c r="N96" i="5"/>
  <c r="N94" i="5" s="1"/>
  <c r="S74" i="5"/>
  <c r="S72" i="5" s="1"/>
  <c r="M74" i="5"/>
  <c r="P74" i="5" s="1"/>
  <c r="M61" i="5"/>
  <c r="M46" i="5"/>
  <c r="R23" i="5"/>
  <c r="R21" i="5" s="1"/>
  <c r="L23" i="5"/>
  <c r="L21" i="5" s="1"/>
  <c r="Q23" i="5"/>
  <c r="P285" i="4"/>
  <c r="U188" i="4"/>
  <c r="K778" i="3"/>
  <c r="K371" i="3"/>
  <c r="K368" i="3"/>
  <c r="K782" i="4"/>
  <c r="M555" i="4"/>
  <c r="P555" i="4" s="1"/>
  <c r="R534" i="4"/>
  <c r="U534" i="4" s="1"/>
  <c r="P361" i="4"/>
  <c r="I265" i="4"/>
  <c r="K265" i="4" s="1"/>
  <c r="L254" i="4"/>
  <c r="O254" i="4" s="1"/>
  <c r="L203" i="4"/>
  <c r="O203" i="4" s="1"/>
  <c r="M188" i="4"/>
  <c r="M186" i="4" s="1"/>
  <c r="I137" i="4"/>
  <c r="K137" i="4" s="1"/>
  <c r="P49" i="4"/>
  <c r="R714" i="4"/>
  <c r="U714" i="4" s="1"/>
  <c r="M288" i="4"/>
  <c r="P288" i="4" s="1"/>
  <c r="P361" i="3"/>
  <c r="I265" i="3"/>
  <c r="K265" i="3" s="1"/>
  <c r="K784" i="4"/>
  <c r="U763" i="4"/>
  <c r="O729" i="4"/>
  <c r="Q693" i="4"/>
  <c r="T693" i="4" s="1"/>
  <c r="L690" i="4"/>
  <c r="O690" i="4" s="1"/>
  <c r="N576" i="4"/>
  <c r="N555" i="4"/>
  <c r="N493" i="4"/>
  <c r="M413" i="4"/>
  <c r="P413" i="4" s="1"/>
  <c r="Q377" i="4"/>
  <c r="Q375" i="4" s="1"/>
  <c r="N375" i="4"/>
  <c r="L358" i="4"/>
  <c r="L356" i="4" s="1"/>
  <c r="L335" i="4"/>
  <c r="L333" i="4" s="1"/>
  <c r="K314" i="4"/>
  <c r="M306" i="4"/>
  <c r="T283" i="4"/>
  <c r="L269" i="4"/>
  <c r="O269" i="4" s="1"/>
  <c r="R189" i="4"/>
  <c r="O178" i="4"/>
  <c r="P165" i="4"/>
  <c r="L160" i="4"/>
  <c r="O160" i="4" s="1"/>
  <c r="T144" i="4"/>
  <c r="M141" i="4"/>
  <c r="M139" i="4" s="1"/>
  <c r="K109" i="4"/>
  <c r="P102" i="4"/>
  <c r="R44" i="4"/>
  <c r="U44" i="4" s="1"/>
  <c r="T22" i="4"/>
  <c r="M19" i="4"/>
  <c r="K365" i="4"/>
  <c r="S119" i="1"/>
  <c r="N304" i="1"/>
  <c r="L235" i="2"/>
  <c r="O80" i="2"/>
  <c r="K780" i="3"/>
  <c r="S618" i="3"/>
  <c r="S616" i="3" s="1"/>
  <c r="T378" i="3"/>
  <c r="S377" i="3"/>
  <c r="S375" i="3" s="1"/>
  <c r="O181" i="3"/>
  <c r="O715" i="4"/>
  <c r="R619" i="4"/>
  <c r="T556" i="4"/>
  <c r="P521" i="4"/>
  <c r="L519" i="4"/>
  <c r="O519" i="4" s="1"/>
  <c r="Q513" i="4"/>
  <c r="T513" i="4" s="1"/>
  <c r="J457" i="4"/>
  <c r="J456" i="4" s="1"/>
  <c r="P393" i="4"/>
  <c r="L362" i="4"/>
  <c r="O362" i="4" s="1"/>
  <c r="S356" i="4"/>
  <c r="S333" i="4"/>
  <c r="P325" i="4"/>
  <c r="L322" i="4"/>
  <c r="S282" i="4"/>
  <c r="O271" i="4"/>
  <c r="S268" i="4"/>
  <c r="S266" i="4" s="1"/>
  <c r="K251" i="4"/>
  <c r="K220" i="4"/>
  <c r="M189" i="4"/>
  <c r="P189" i="4" s="1"/>
  <c r="K183" i="4"/>
  <c r="R159" i="4"/>
  <c r="U159" i="4" s="1"/>
  <c r="K153" i="4"/>
  <c r="Q142" i="4"/>
  <c r="T142" i="4" s="1"/>
  <c r="K127" i="4"/>
  <c r="T122" i="4"/>
  <c r="M119" i="4"/>
  <c r="M117" i="4" s="1"/>
  <c r="P117" i="4" s="1"/>
  <c r="T99" i="4"/>
  <c r="S19" i="4"/>
  <c r="O359" i="4"/>
  <c r="K782" i="3"/>
  <c r="R619" i="3"/>
  <c r="U619" i="3" s="1"/>
  <c r="P269" i="3"/>
  <c r="R269" i="3"/>
  <c r="K772" i="4"/>
  <c r="U733" i="4"/>
  <c r="S731" i="4"/>
  <c r="U731" i="4" s="1"/>
  <c r="S730" i="4"/>
  <c r="S728" i="4" s="1"/>
  <c r="K705" i="4"/>
  <c r="Q690" i="4"/>
  <c r="L642" i="4"/>
  <c r="O642" i="4" s="1"/>
  <c r="N515" i="4"/>
  <c r="N513" i="4" s="1"/>
  <c r="O393" i="4"/>
  <c r="Q392" i="4"/>
  <c r="T392" i="4" s="1"/>
  <c r="K371" i="4"/>
  <c r="O325" i="4"/>
  <c r="T321" i="4"/>
  <c r="M284" i="4"/>
  <c r="O274" i="4"/>
  <c r="K240" i="4"/>
  <c r="J231" i="4"/>
  <c r="J185" i="4" s="1"/>
  <c r="M176" i="4"/>
  <c r="P176" i="4" s="1"/>
  <c r="M159" i="4"/>
  <c r="M157" i="4" s="1"/>
  <c r="N142" i="4"/>
  <c r="S120" i="4"/>
  <c r="T120" i="4" s="1"/>
  <c r="L97" i="4"/>
  <c r="O97" i="4" s="1"/>
  <c r="O77" i="4"/>
  <c r="O64" i="4"/>
  <c r="N62" i="4"/>
  <c r="O62" i="4" s="1"/>
  <c r="S59" i="4"/>
  <c r="R19" i="4"/>
  <c r="R232" i="1"/>
  <c r="N644" i="1"/>
  <c r="R691" i="1"/>
  <c r="U691" i="1" s="1"/>
  <c r="R416" i="3"/>
  <c r="U416" i="3" s="1"/>
  <c r="L335" i="3"/>
  <c r="L333" i="3" s="1"/>
  <c r="O308" i="3"/>
  <c r="P162" i="3"/>
  <c r="L75" i="3"/>
  <c r="P64" i="3"/>
  <c r="R730" i="4"/>
  <c r="R728" i="4" s="1"/>
  <c r="N690" i="4"/>
  <c r="Q642" i="4"/>
  <c r="R496" i="4"/>
  <c r="U496" i="4" s="1"/>
  <c r="L493" i="4"/>
  <c r="O493" i="4" s="1"/>
  <c r="U393" i="4"/>
  <c r="M359" i="4"/>
  <c r="P359" i="4" s="1"/>
  <c r="P338" i="4"/>
  <c r="M336" i="4"/>
  <c r="N322" i="4"/>
  <c r="N320" i="4" s="1"/>
  <c r="R269" i="4"/>
  <c r="K249" i="4"/>
  <c r="L233" i="4"/>
  <c r="P178" i="4"/>
  <c r="O176" i="4"/>
  <c r="S160" i="4"/>
  <c r="Q139" i="4"/>
  <c r="T139" i="4" s="1"/>
  <c r="T141" i="4"/>
  <c r="U122" i="4"/>
  <c r="U99" i="4"/>
  <c r="R96" i="4"/>
  <c r="R94" i="4" s="1"/>
  <c r="N74" i="4"/>
  <c r="N72" i="4" s="1"/>
  <c r="U61" i="4"/>
  <c r="Q59" i="4"/>
  <c r="T59" i="4" s="1"/>
  <c r="O49" i="4"/>
  <c r="N47" i="4"/>
  <c r="O47" i="4" s="1"/>
  <c r="S44" i="4"/>
  <c r="Q762" i="4"/>
  <c r="T765" i="4"/>
  <c r="Q714" i="4"/>
  <c r="T714" i="4" s="1"/>
  <c r="T715" i="4"/>
  <c r="R692" i="4"/>
  <c r="U695" i="4"/>
  <c r="P601" i="4"/>
  <c r="M599" i="4"/>
  <c r="P599" i="4" s="1"/>
  <c r="U495" i="4"/>
  <c r="R493" i="4"/>
  <c r="U493" i="4" s="1"/>
  <c r="Q269" i="4"/>
  <c r="T271" i="4"/>
  <c r="Q268" i="4"/>
  <c r="O122" i="4"/>
  <c r="L119" i="4"/>
  <c r="L120" i="4"/>
  <c r="O120" i="4" s="1"/>
  <c r="I456" i="2"/>
  <c r="K456" i="2" s="1"/>
  <c r="K785" i="3"/>
  <c r="K632" i="3"/>
  <c r="S303" i="3"/>
  <c r="P144" i="3"/>
  <c r="M142" i="3"/>
  <c r="P142" i="3" s="1"/>
  <c r="M642" i="4"/>
  <c r="P642" i="4" s="1"/>
  <c r="P643" i="4"/>
  <c r="U618" i="4"/>
  <c r="L576" i="4"/>
  <c r="O576" i="4" s="1"/>
  <c r="O577" i="4"/>
  <c r="N61" i="1"/>
  <c r="K219" i="1"/>
  <c r="I281" i="1"/>
  <c r="K281" i="1" s="1"/>
  <c r="P286" i="1"/>
  <c r="J675" i="1"/>
  <c r="K675" i="1" s="1"/>
  <c r="O518" i="2"/>
  <c r="N188" i="2"/>
  <c r="N186" i="2" s="1"/>
  <c r="O181" i="2"/>
  <c r="U418" i="3"/>
  <c r="R377" i="3"/>
  <c r="O165" i="3"/>
  <c r="Q763" i="4"/>
  <c r="T763" i="4" s="1"/>
  <c r="J689" i="4"/>
  <c r="K689" i="4" s="1"/>
  <c r="K707" i="4"/>
  <c r="S644" i="4"/>
  <c r="T644" i="4" s="1"/>
  <c r="T643" i="4"/>
  <c r="R616" i="4"/>
  <c r="U616" i="4" s="1"/>
  <c r="L599" i="4"/>
  <c r="O599" i="4" s="1"/>
  <c r="O600" i="4"/>
  <c r="R576" i="4"/>
  <c r="U576" i="4" s="1"/>
  <c r="U577" i="4"/>
  <c r="K503" i="4"/>
  <c r="I492" i="4"/>
  <c r="K492" i="4" s="1"/>
  <c r="S496" i="4"/>
  <c r="S495" i="4"/>
  <c r="S493" i="4" s="1"/>
  <c r="I412" i="4"/>
  <c r="K412" i="4" s="1"/>
  <c r="K423" i="4"/>
  <c r="S378" i="4"/>
  <c r="T378" i="4" s="1"/>
  <c r="T380" i="4"/>
  <c r="S377" i="4"/>
  <c r="S375" i="4" s="1"/>
  <c r="U141" i="4"/>
  <c r="R139" i="4"/>
  <c r="U139" i="4" s="1"/>
  <c r="I83" i="4"/>
  <c r="K85" i="4"/>
  <c r="U122" i="1"/>
  <c r="K137" i="1"/>
  <c r="R334" i="1"/>
  <c r="U334" i="1" s="1"/>
  <c r="M326" i="2"/>
  <c r="P326" i="2" s="1"/>
  <c r="O287" i="2"/>
  <c r="R142" i="2"/>
  <c r="U142" i="2" s="1"/>
  <c r="K781" i="3"/>
  <c r="U762" i="3"/>
  <c r="S692" i="3"/>
  <c r="S690" i="3" s="1"/>
  <c r="K629" i="3"/>
  <c r="I456" i="3"/>
  <c r="K456" i="3" s="1"/>
  <c r="T418" i="3"/>
  <c r="U380" i="3"/>
  <c r="P359" i="3"/>
  <c r="K346" i="3"/>
  <c r="O194" i="3"/>
  <c r="P160" i="3"/>
  <c r="O160" i="3"/>
  <c r="U765" i="4"/>
  <c r="L760" i="4"/>
  <c r="O760" i="4" s="1"/>
  <c r="O761" i="4"/>
  <c r="M728" i="4"/>
  <c r="P728" i="4" s="1"/>
  <c r="U715" i="4"/>
  <c r="J701" i="4"/>
  <c r="R693" i="4"/>
  <c r="U693" i="4" s="1"/>
  <c r="R644" i="4"/>
  <c r="U647" i="4"/>
  <c r="S619" i="4"/>
  <c r="O617" i="4"/>
  <c r="R599" i="4"/>
  <c r="U599" i="4" s="1"/>
  <c r="U600" i="4"/>
  <c r="Q576" i="4"/>
  <c r="T576" i="4" s="1"/>
  <c r="T577" i="4"/>
  <c r="L516" i="4"/>
  <c r="O516" i="4" s="1"/>
  <c r="L515" i="4"/>
  <c r="U144" i="2"/>
  <c r="U77" i="2"/>
  <c r="S730" i="3"/>
  <c r="S728" i="3" s="1"/>
  <c r="J675" i="3"/>
  <c r="M515" i="3"/>
  <c r="P515" i="3" s="1"/>
  <c r="K503" i="3"/>
  <c r="I374" i="3"/>
  <c r="K344" i="3"/>
  <c r="L234" i="3"/>
  <c r="O102" i="3"/>
  <c r="K774" i="4"/>
  <c r="R762" i="4"/>
  <c r="R760" i="4" s="1"/>
  <c r="U761" i="4"/>
  <c r="Q730" i="4"/>
  <c r="M714" i="4"/>
  <c r="P714" i="4" s="1"/>
  <c r="J702" i="4"/>
  <c r="M690" i="4"/>
  <c r="P690" i="4" s="1"/>
  <c r="P691" i="4"/>
  <c r="Q618" i="4"/>
  <c r="N616" i="4"/>
  <c r="Q599" i="4"/>
  <c r="T599" i="4" s="1"/>
  <c r="T600" i="4"/>
  <c r="M534" i="4"/>
  <c r="P534" i="4" s="1"/>
  <c r="L288" i="4"/>
  <c r="O288" i="4" s="1"/>
  <c r="O290" i="4"/>
  <c r="L284" i="4"/>
  <c r="L282" i="4" s="1"/>
  <c r="R266" i="4"/>
  <c r="U267" i="4"/>
  <c r="L123" i="1"/>
  <c r="O123" i="1" s="1"/>
  <c r="P361" i="1"/>
  <c r="M415" i="1"/>
  <c r="P415" i="1" s="1"/>
  <c r="M515" i="1"/>
  <c r="P515" i="1" s="1"/>
  <c r="M519" i="1"/>
  <c r="P519" i="1" s="1"/>
  <c r="L254" i="3"/>
  <c r="O254" i="3" s="1"/>
  <c r="O178" i="3"/>
  <c r="R117" i="3"/>
  <c r="T729" i="4"/>
  <c r="S692" i="4"/>
  <c r="T692" i="4" s="1"/>
  <c r="T621" i="4"/>
  <c r="P578" i="4"/>
  <c r="M576" i="4"/>
  <c r="P576" i="4" s="1"/>
  <c r="K330" i="4"/>
  <c r="I319" i="4"/>
  <c r="K319" i="4" s="1"/>
  <c r="Q176" i="4"/>
  <c r="T176" i="4" s="1"/>
  <c r="Q175" i="4"/>
  <c r="T178" i="4"/>
  <c r="R377" i="4"/>
  <c r="U380" i="4"/>
  <c r="M375" i="4"/>
  <c r="P375" i="4" s="1"/>
  <c r="P376" i="4"/>
  <c r="R320" i="4"/>
  <c r="U320" i="4" s="1"/>
  <c r="U322" i="4"/>
  <c r="P304" i="4"/>
  <c r="T267" i="4"/>
  <c r="N160" i="4"/>
  <c r="P160" i="4" s="1"/>
  <c r="P162" i="4"/>
  <c r="U95" i="4"/>
  <c r="I82" i="4"/>
  <c r="S762" i="4"/>
  <c r="S760" i="4" s="1"/>
  <c r="U535" i="4"/>
  <c r="R513" i="4"/>
  <c r="U513" i="4" s="1"/>
  <c r="Q493" i="4"/>
  <c r="T493" i="4" s="1"/>
  <c r="U418" i="4"/>
  <c r="R415" i="4"/>
  <c r="U415" i="4" s="1"/>
  <c r="J374" i="4"/>
  <c r="O304" i="4"/>
  <c r="P287" i="4"/>
  <c r="N284" i="4"/>
  <c r="N282" i="4" s="1"/>
  <c r="O287" i="4"/>
  <c r="N269" i="4"/>
  <c r="N268" i="4"/>
  <c r="N266" i="4" s="1"/>
  <c r="N175" i="4"/>
  <c r="N173" i="4" s="1"/>
  <c r="N159" i="4"/>
  <c r="N157" i="4" s="1"/>
  <c r="S413" i="4"/>
  <c r="L413" i="4"/>
  <c r="O413" i="4" s="1"/>
  <c r="O414" i="4"/>
  <c r="I374" i="4"/>
  <c r="O102" i="4"/>
  <c r="L100" i="4"/>
  <c r="O100" i="4" s="1"/>
  <c r="I615" i="4"/>
  <c r="K615" i="4" s="1"/>
  <c r="L534" i="4"/>
  <c r="O534" i="4" s="1"/>
  <c r="U414" i="4"/>
  <c r="R378" i="4"/>
  <c r="U378" i="4" s="1"/>
  <c r="O357" i="4"/>
  <c r="J332" i="4"/>
  <c r="K332" i="4" s="1"/>
  <c r="O334" i="4"/>
  <c r="P321" i="4"/>
  <c r="R305" i="4"/>
  <c r="U305" i="4" s="1"/>
  <c r="I280" i="4"/>
  <c r="K280" i="4" s="1"/>
  <c r="K293" i="4"/>
  <c r="Q188" i="4"/>
  <c r="T188" i="4" s="1"/>
  <c r="Q189" i="4"/>
  <c r="T187" i="4"/>
  <c r="U144" i="4"/>
  <c r="R142" i="4"/>
  <c r="U142" i="4" s="1"/>
  <c r="L96" i="4"/>
  <c r="T19" i="4"/>
  <c r="O19" i="4"/>
  <c r="T695" i="4"/>
  <c r="T647" i="4"/>
  <c r="U621" i="4"/>
  <c r="M515" i="4"/>
  <c r="M516" i="4"/>
  <c r="P516" i="4" s="1"/>
  <c r="J503" i="4"/>
  <c r="J492" i="4" s="1"/>
  <c r="T494" i="4"/>
  <c r="M493" i="4"/>
  <c r="P493" i="4" s="1"/>
  <c r="J458" i="4"/>
  <c r="I456" i="4"/>
  <c r="K456" i="4" s="1"/>
  <c r="Q415" i="4"/>
  <c r="T418" i="4"/>
  <c r="M358" i="4"/>
  <c r="N339" i="4"/>
  <c r="N335" i="4"/>
  <c r="M326" i="4"/>
  <c r="P326" i="4" s="1"/>
  <c r="M322" i="4"/>
  <c r="P322" i="4" s="1"/>
  <c r="P328" i="4"/>
  <c r="O311" i="4"/>
  <c r="P308" i="4"/>
  <c r="N306" i="4"/>
  <c r="Q305" i="4"/>
  <c r="R282" i="4"/>
  <c r="U282" i="4" s="1"/>
  <c r="U283" i="4"/>
  <c r="L235" i="4"/>
  <c r="T214" i="4"/>
  <c r="O52" i="4"/>
  <c r="L26" i="4"/>
  <c r="O26" i="4" s="1"/>
  <c r="L50" i="4"/>
  <c r="O50" i="4" s="1"/>
  <c r="P19" i="4"/>
  <c r="Q496" i="4"/>
  <c r="T496" i="4" s="1"/>
  <c r="S416" i="4"/>
  <c r="J351" i="4"/>
  <c r="L305" i="4"/>
  <c r="P271" i="4"/>
  <c r="P191" i="4"/>
  <c r="I136" i="4"/>
  <c r="K136" i="4" s="1"/>
  <c r="K154" i="4"/>
  <c r="N119" i="4"/>
  <c r="N117" i="4" s="1"/>
  <c r="N96" i="4"/>
  <c r="N94" i="4" s="1"/>
  <c r="N26" i="4"/>
  <c r="N24" i="4" s="1"/>
  <c r="N100" i="4"/>
  <c r="N23" i="4"/>
  <c r="P73" i="4"/>
  <c r="Q333" i="4"/>
  <c r="T333" i="4" s="1"/>
  <c r="O283" i="4"/>
  <c r="S269" i="4"/>
  <c r="L243" i="4"/>
  <c r="I202" i="4"/>
  <c r="K202" i="4" s="1"/>
  <c r="R186" i="4"/>
  <c r="U186" i="4" s="1"/>
  <c r="U187" i="4"/>
  <c r="O144" i="4"/>
  <c r="L142" i="4"/>
  <c r="L141" i="4"/>
  <c r="P97" i="4"/>
  <c r="U19" i="4"/>
  <c r="T498" i="4"/>
  <c r="N358" i="4"/>
  <c r="N356" i="4" s="1"/>
  <c r="Q356" i="4"/>
  <c r="T356" i="4" s="1"/>
  <c r="O338" i="4"/>
  <c r="N336" i="4"/>
  <c r="T334" i="4"/>
  <c r="S320" i="4"/>
  <c r="O308" i="4"/>
  <c r="O285" i="4"/>
  <c r="P283" i="4"/>
  <c r="M272" i="4"/>
  <c r="P272" i="4" s="1"/>
  <c r="O267" i="4"/>
  <c r="I241" i="4"/>
  <c r="K241" i="4" s="1"/>
  <c r="K252" i="4"/>
  <c r="Q243" i="4"/>
  <c r="K230" i="4"/>
  <c r="K195" i="4"/>
  <c r="N188" i="4"/>
  <c r="L159" i="4"/>
  <c r="P45" i="4"/>
  <c r="O361" i="4"/>
  <c r="I242" i="4"/>
  <c r="O191" i="4"/>
  <c r="R176" i="4"/>
  <c r="U176" i="4" s="1"/>
  <c r="R175" i="4"/>
  <c r="U158" i="4"/>
  <c r="R120" i="4"/>
  <c r="R119" i="4"/>
  <c r="Q72" i="4"/>
  <c r="T72" i="4" s="1"/>
  <c r="Q159" i="4"/>
  <c r="L145" i="4"/>
  <c r="O145" i="4" s="1"/>
  <c r="N120" i="4"/>
  <c r="R97" i="4"/>
  <c r="U97" i="4" s="1"/>
  <c r="Q94" i="4"/>
  <c r="O67" i="4"/>
  <c r="L65" i="4"/>
  <c r="O65" i="4" s="1"/>
  <c r="P60" i="4"/>
  <c r="O25" i="4"/>
  <c r="O22" i="4"/>
  <c r="K172" i="4"/>
  <c r="L179" i="4"/>
  <c r="O179" i="4" s="1"/>
  <c r="S139" i="4"/>
  <c r="K116" i="4"/>
  <c r="L123" i="4"/>
  <c r="O123" i="4" s="1"/>
  <c r="M26" i="4"/>
  <c r="R24" i="4"/>
  <c r="U24" i="4" s="1"/>
  <c r="U25" i="4"/>
  <c r="U22" i="4"/>
  <c r="S142" i="4"/>
  <c r="M142" i="4"/>
  <c r="Q97" i="4"/>
  <c r="T97" i="4" s="1"/>
  <c r="K84" i="4"/>
  <c r="T77" i="4"/>
  <c r="M50" i="4"/>
  <c r="P50" i="4" s="1"/>
  <c r="S23" i="4"/>
  <c r="M23" i="4"/>
  <c r="S74" i="4"/>
  <c r="S72" i="4" s="1"/>
  <c r="M74" i="4"/>
  <c r="M61" i="4"/>
  <c r="M46" i="4"/>
  <c r="M44" i="4" s="1"/>
  <c r="R23" i="4"/>
  <c r="L23" i="4"/>
  <c r="Q119" i="4"/>
  <c r="S96" i="4"/>
  <c r="S94" i="4" s="1"/>
  <c r="M96" i="4"/>
  <c r="R74" i="4"/>
  <c r="L74" i="4"/>
  <c r="L61" i="4"/>
  <c r="L46" i="4"/>
  <c r="Q23" i="4"/>
  <c r="M78" i="4"/>
  <c r="P78" i="4" s="1"/>
  <c r="M75" i="4"/>
  <c r="P75" i="4" s="1"/>
  <c r="M62" i="4"/>
  <c r="M47" i="4"/>
  <c r="L413" i="3"/>
  <c r="O413" i="3" s="1"/>
  <c r="O414" i="3"/>
  <c r="I319" i="3"/>
  <c r="K319" i="3" s="1"/>
  <c r="K330" i="3"/>
  <c r="P98" i="1"/>
  <c r="N95" i="1"/>
  <c r="I136" i="1"/>
  <c r="K136" i="1" s="1"/>
  <c r="S175" i="1"/>
  <c r="R268" i="1"/>
  <c r="J476" i="1"/>
  <c r="Q716" i="1"/>
  <c r="T716" i="1" s="1"/>
  <c r="K780" i="1"/>
  <c r="K772" i="2"/>
  <c r="U695" i="2"/>
  <c r="M358" i="2"/>
  <c r="M356" i="2" s="1"/>
  <c r="J351" i="2"/>
  <c r="N335" i="2"/>
  <c r="N333" i="2" s="1"/>
  <c r="N189" i="2"/>
  <c r="L123" i="2"/>
  <c r="O123" i="2" s="1"/>
  <c r="M78" i="2"/>
  <c r="P78" i="2" s="1"/>
  <c r="U556" i="3"/>
  <c r="R555" i="3"/>
  <c r="U555" i="3" s="1"/>
  <c r="L78" i="3"/>
  <c r="O78" i="3" s="1"/>
  <c r="O80" i="3"/>
  <c r="M47" i="3"/>
  <c r="P47" i="3" s="1"/>
  <c r="P49" i="3"/>
  <c r="Q398" i="1"/>
  <c r="T398" i="1" s="1"/>
  <c r="I302" i="3"/>
  <c r="K302" i="3" s="1"/>
  <c r="K314" i="3"/>
  <c r="O304" i="3"/>
  <c r="Q326" i="1"/>
  <c r="T326" i="1" s="1"/>
  <c r="M617" i="1"/>
  <c r="P617" i="1" s="1"/>
  <c r="J343" i="2"/>
  <c r="R306" i="2"/>
  <c r="L236" i="2"/>
  <c r="L203" i="2"/>
  <c r="O203" i="2" s="1"/>
  <c r="R599" i="3"/>
  <c r="U599" i="3" s="1"/>
  <c r="U414" i="3"/>
  <c r="R413" i="3"/>
  <c r="U413" i="3" s="1"/>
  <c r="R306" i="3"/>
  <c r="U308" i="3"/>
  <c r="R305" i="3"/>
  <c r="U305" i="3" s="1"/>
  <c r="L268" i="3"/>
  <c r="L269" i="3"/>
  <c r="O269" i="3" s="1"/>
  <c r="O271" i="3"/>
  <c r="L214" i="3"/>
  <c r="O214" i="3" s="1"/>
  <c r="O47" i="3"/>
  <c r="S535" i="1"/>
  <c r="O729" i="3"/>
  <c r="L728" i="3"/>
  <c r="O728" i="3" s="1"/>
  <c r="K86" i="1"/>
  <c r="K631" i="1"/>
  <c r="Q643" i="1"/>
  <c r="T643" i="1" s="1"/>
  <c r="M720" i="1"/>
  <c r="P720" i="1" s="1"/>
  <c r="S716" i="1"/>
  <c r="S714" i="1" s="1"/>
  <c r="L362" i="2"/>
  <c r="O362" i="2" s="1"/>
  <c r="Q692" i="3"/>
  <c r="Q690" i="3" s="1"/>
  <c r="Q693" i="3"/>
  <c r="T693" i="3" s="1"/>
  <c r="M616" i="3"/>
  <c r="P616" i="3" s="1"/>
  <c r="P617" i="3"/>
  <c r="L359" i="3"/>
  <c r="O359" i="3" s="1"/>
  <c r="O361" i="3"/>
  <c r="S269" i="3"/>
  <c r="T269" i="3" s="1"/>
  <c r="T271" i="3"/>
  <c r="S268" i="3"/>
  <c r="S266" i="3" s="1"/>
  <c r="L142" i="3"/>
  <c r="O142" i="3" s="1"/>
  <c r="O144" i="3"/>
  <c r="M141" i="1"/>
  <c r="M139" i="1" s="1"/>
  <c r="S419" i="1"/>
  <c r="Q715" i="1"/>
  <c r="T715" i="1" s="1"/>
  <c r="K784" i="1"/>
  <c r="R496" i="2"/>
  <c r="U496" i="2" s="1"/>
  <c r="L222" i="2"/>
  <c r="O222" i="2" s="1"/>
  <c r="K169" i="2"/>
  <c r="L145" i="2"/>
  <c r="O145" i="2" s="1"/>
  <c r="M326" i="3"/>
  <c r="P326" i="3" s="1"/>
  <c r="P328" i="3"/>
  <c r="S141" i="3"/>
  <c r="S139" i="3" s="1"/>
  <c r="S142" i="3"/>
  <c r="L123" i="3"/>
  <c r="O123" i="3" s="1"/>
  <c r="O125" i="3"/>
  <c r="M268" i="3"/>
  <c r="M266" i="3" s="1"/>
  <c r="P274" i="3"/>
  <c r="Q140" i="1"/>
  <c r="T140" i="1" s="1"/>
  <c r="S188" i="1"/>
  <c r="K213" i="1"/>
  <c r="N305" i="1"/>
  <c r="Q336" i="1"/>
  <c r="T336" i="1" s="1"/>
  <c r="N358" i="1"/>
  <c r="L519" i="1"/>
  <c r="O519" i="1" s="1"/>
  <c r="S514" i="1"/>
  <c r="L535" i="1"/>
  <c r="O535" i="1" s="1"/>
  <c r="J632" i="1"/>
  <c r="J626" i="1" s="1"/>
  <c r="J615" i="1" s="1"/>
  <c r="R693" i="1"/>
  <c r="S693" i="2"/>
  <c r="T693" i="2" s="1"/>
  <c r="R356" i="3"/>
  <c r="U356" i="3" s="1"/>
  <c r="P147" i="3"/>
  <c r="M145" i="3"/>
  <c r="P145" i="3" s="1"/>
  <c r="Q74" i="3"/>
  <c r="Q72" i="3" s="1"/>
  <c r="Q75" i="3"/>
  <c r="T75" i="3" s="1"/>
  <c r="T73" i="3"/>
  <c r="K779" i="3"/>
  <c r="U765" i="3"/>
  <c r="R763" i="3"/>
  <c r="N760" i="3"/>
  <c r="K707" i="3"/>
  <c r="J701" i="3"/>
  <c r="T647" i="3"/>
  <c r="R616" i="3"/>
  <c r="U600" i="3"/>
  <c r="N599" i="3"/>
  <c r="M555" i="3"/>
  <c r="P555" i="3" s="1"/>
  <c r="O521" i="3"/>
  <c r="N493" i="3"/>
  <c r="Q356" i="3"/>
  <c r="T356" i="3" s="1"/>
  <c r="M335" i="3"/>
  <c r="M333" i="3" s="1"/>
  <c r="N322" i="3"/>
  <c r="N320" i="3" s="1"/>
  <c r="N323" i="3"/>
  <c r="L243" i="3"/>
  <c r="O243" i="3" s="1"/>
  <c r="U162" i="3"/>
  <c r="K109" i="3"/>
  <c r="U99" i="3"/>
  <c r="P77" i="3"/>
  <c r="L74" i="3"/>
  <c r="L72" i="3" s="1"/>
  <c r="S44" i="3"/>
  <c r="T22" i="3"/>
  <c r="T765" i="3"/>
  <c r="O716" i="3"/>
  <c r="P414" i="3"/>
  <c r="T380" i="3"/>
  <c r="Q377" i="3"/>
  <c r="L375" i="3"/>
  <c r="O375" i="3" s="1"/>
  <c r="I365" i="3"/>
  <c r="K365" i="3" s="1"/>
  <c r="N335" i="3"/>
  <c r="N333" i="3" s="1"/>
  <c r="N336" i="3"/>
  <c r="M322" i="3"/>
  <c r="P322" i="3" s="1"/>
  <c r="M323" i="3"/>
  <c r="P323" i="3" s="1"/>
  <c r="M309" i="3"/>
  <c r="P309" i="3" s="1"/>
  <c r="Q305" i="3"/>
  <c r="T305" i="3" s="1"/>
  <c r="P304" i="3"/>
  <c r="K293" i="3"/>
  <c r="O290" i="3"/>
  <c r="Q282" i="3"/>
  <c r="T282" i="3" s="1"/>
  <c r="K249" i="3"/>
  <c r="L203" i="3"/>
  <c r="O203" i="3" s="1"/>
  <c r="L96" i="3"/>
  <c r="O96" i="3" s="1"/>
  <c r="R97" i="3"/>
  <c r="U97" i="3" s="1"/>
  <c r="P80" i="3"/>
  <c r="N61" i="3"/>
  <c r="N59" i="3" s="1"/>
  <c r="K783" i="3"/>
  <c r="K774" i="3"/>
  <c r="M728" i="3"/>
  <c r="P728" i="3" s="1"/>
  <c r="J674" i="3"/>
  <c r="K369" i="3"/>
  <c r="S333" i="3"/>
  <c r="P308" i="3"/>
  <c r="L272" i="3"/>
  <c r="O272" i="3" s="1"/>
  <c r="R266" i="3"/>
  <c r="K260" i="3"/>
  <c r="N232" i="3"/>
  <c r="L175" i="3"/>
  <c r="L173" i="3" s="1"/>
  <c r="L159" i="3"/>
  <c r="L157" i="3" s="1"/>
  <c r="S160" i="3"/>
  <c r="R120" i="3"/>
  <c r="L97" i="3"/>
  <c r="O97" i="3" s="1"/>
  <c r="N74" i="3"/>
  <c r="N72" i="3" s="1"/>
  <c r="P62" i="3"/>
  <c r="R19" i="3"/>
  <c r="U19" i="3" s="1"/>
  <c r="M714" i="3"/>
  <c r="P714" i="3" s="1"/>
  <c r="S644" i="3"/>
  <c r="S642" i="3" s="1"/>
  <c r="Q576" i="3"/>
  <c r="T576" i="3" s="1"/>
  <c r="S513" i="3"/>
  <c r="Q415" i="3"/>
  <c r="T415" i="3" s="1"/>
  <c r="T414" i="3"/>
  <c r="N413" i="3"/>
  <c r="P376" i="3"/>
  <c r="N358" i="3"/>
  <c r="N356" i="3" s="1"/>
  <c r="P341" i="3"/>
  <c r="O328" i="3"/>
  <c r="T308" i="3"/>
  <c r="M305" i="3"/>
  <c r="M303" i="3" s="1"/>
  <c r="S306" i="3"/>
  <c r="T306" i="3" s="1"/>
  <c r="K280" i="3"/>
  <c r="S282" i="3"/>
  <c r="U271" i="3"/>
  <c r="L236" i="3"/>
  <c r="J231" i="3"/>
  <c r="J185" i="3" s="1"/>
  <c r="L233" i="3"/>
  <c r="L222" i="3"/>
  <c r="O222" i="3" s="1"/>
  <c r="K198" i="3"/>
  <c r="L176" i="3"/>
  <c r="O176" i="3" s="1"/>
  <c r="R160" i="3"/>
  <c r="U160" i="3" s="1"/>
  <c r="O147" i="3"/>
  <c r="L119" i="3"/>
  <c r="I83" i="3"/>
  <c r="I71" i="3" s="1"/>
  <c r="K71" i="3" s="1"/>
  <c r="O49" i="3"/>
  <c r="L46" i="3"/>
  <c r="L44" i="3" s="1"/>
  <c r="R44" i="3"/>
  <c r="U44" i="3" s="1"/>
  <c r="M19" i="3"/>
  <c r="P19" i="3" s="1"/>
  <c r="S760" i="3"/>
  <c r="N714" i="3"/>
  <c r="Q645" i="3"/>
  <c r="T645" i="3" s="1"/>
  <c r="N576" i="3"/>
  <c r="N515" i="3"/>
  <c r="N513" i="3" s="1"/>
  <c r="N516" i="3"/>
  <c r="R513" i="3"/>
  <c r="U513" i="3" s="1"/>
  <c r="K386" i="3"/>
  <c r="O376" i="3"/>
  <c r="S356" i="3"/>
  <c r="L305" i="3"/>
  <c r="L303" i="3" s="1"/>
  <c r="R282" i="3"/>
  <c r="U282" i="3" s="1"/>
  <c r="Q268" i="3"/>
  <c r="Q266" i="3" s="1"/>
  <c r="I242" i="3"/>
  <c r="I231" i="3" s="1"/>
  <c r="K195" i="3"/>
  <c r="M188" i="3"/>
  <c r="M186" i="3" s="1"/>
  <c r="L120" i="3"/>
  <c r="O120" i="3" s="1"/>
  <c r="I116" i="3"/>
  <c r="K116" i="3" s="1"/>
  <c r="N75" i="3"/>
  <c r="N46" i="3"/>
  <c r="S24" i="3"/>
  <c r="O22" i="3"/>
  <c r="U177" i="1"/>
  <c r="R174" i="1"/>
  <c r="U174" i="1" s="1"/>
  <c r="R645" i="3"/>
  <c r="U645" i="3" s="1"/>
  <c r="U647" i="3"/>
  <c r="R644" i="3"/>
  <c r="M534" i="3"/>
  <c r="P534" i="3" s="1"/>
  <c r="U77" i="1"/>
  <c r="P337" i="1"/>
  <c r="M334" i="1"/>
  <c r="P334" i="1" s="1"/>
  <c r="I265" i="2"/>
  <c r="K265" i="2" s="1"/>
  <c r="K276" i="2"/>
  <c r="Q731" i="3"/>
  <c r="T731" i="3" s="1"/>
  <c r="Q730" i="3"/>
  <c r="T733" i="3"/>
  <c r="R693" i="3"/>
  <c r="U693" i="3" s="1"/>
  <c r="R692" i="3"/>
  <c r="U695" i="3"/>
  <c r="K506" i="3"/>
  <c r="J503" i="3"/>
  <c r="J492" i="3" s="1"/>
  <c r="K183" i="3"/>
  <c r="I172" i="3"/>
  <c r="K172" i="3" s="1"/>
  <c r="Q173" i="3"/>
  <c r="T173" i="3" s="1"/>
  <c r="T174" i="3"/>
  <c r="N60" i="1"/>
  <c r="O121" i="1"/>
  <c r="L118" i="1"/>
  <c r="O118" i="1" s="1"/>
  <c r="O122" i="1"/>
  <c r="L119" i="1"/>
  <c r="O119" i="1" s="1"/>
  <c r="R414" i="1"/>
  <c r="U414" i="1" s="1"/>
  <c r="U417" i="1"/>
  <c r="R618" i="1"/>
  <c r="R618" i="2"/>
  <c r="R616" i="2" s="1"/>
  <c r="K108" i="2"/>
  <c r="I92" i="2"/>
  <c r="K92" i="2" s="1"/>
  <c r="O618" i="3"/>
  <c r="L616" i="3"/>
  <c r="O616" i="3" s="1"/>
  <c r="P357" i="3"/>
  <c r="L272" i="2"/>
  <c r="O272" i="2" s="1"/>
  <c r="O274" i="2"/>
  <c r="Q335" i="1"/>
  <c r="T335" i="1" s="1"/>
  <c r="P363" i="1"/>
  <c r="M362" i="1"/>
  <c r="P362" i="1" s="1"/>
  <c r="O718" i="1"/>
  <c r="L715" i="1"/>
  <c r="O715" i="1" s="1"/>
  <c r="L717" i="1"/>
  <c r="O717" i="1" s="1"/>
  <c r="R96" i="2"/>
  <c r="U96" i="2" s="1"/>
  <c r="U99" i="2"/>
  <c r="M75" i="2"/>
  <c r="P75" i="2" s="1"/>
  <c r="J702" i="3"/>
  <c r="T691" i="3"/>
  <c r="P644" i="3"/>
  <c r="M642" i="3"/>
  <c r="P642" i="3" s="1"/>
  <c r="Q599" i="3"/>
  <c r="T599" i="3" s="1"/>
  <c r="L358" i="3"/>
  <c r="M576" i="3"/>
  <c r="P576" i="3" s="1"/>
  <c r="P577" i="3"/>
  <c r="R496" i="3"/>
  <c r="U496" i="3" s="1"/>
  <c r="R495" i="3"/>
  <c r="U495" i="3" s="1"/>
  <c r="U498" i="3"/>
  <c r="R120" i="1"/>
  <c r="U120" i="1" s="1"/>
  <c r="T52" i="1"/>
  <c r="Q50" i="1"/>
  <c r="T50" i="1" s="1"/>
  <c r="Q159" i="1"/>
  <c r="T159" i="1" s="1"/>
  <c r="Q415" i="1"/>
  <c r="T415" i="1" s="1"/>
  <c r="N535" i="1"/>
  <c r="N537" i="1"/>
  <c r="P541" i="1"/>
  <c r="M535" i="1"/>
  <c r="P535" i="1" s="1"/>
  <c r="R416" i="2"/>
  <c r="U416" i="2" s="1"/>
  <c r="U418" i="2"/>
  <c r="R415" i="2"/>
  <c r="U415" i="2" s="1"/>
  <c r="M160" i="2"/>
  <c r="P160" i="2" s="1"/>
  <c r="P162" i="2"/>
  <c r="L120" i="2"/>
  <c r="O120" i="2" s="1"/>
  <c r="P761" i="3"/>
  <c r="M760" i="3"/>
  <c r="P760" i="3" s="1"/>
  <c r="Q642" i="3"/>
  <c r="T642" i="3" s="1"/>
  <c r="T643" i="3"/>
  <c r="T619" i="3"/>
  <c r="O518" i="3"/>
  <c r="L516" i="3"/>
  <c r="O516" i="3" s="1"/>
  <c r="L515" i="3"/>
  <c r="O515" i="3" s="1"/>
  <c r="O325" i="3"/>
  <c r="L323" i="3"/>
  <c r="O323" i="3" s="1"/>
  <c r="L322" i="3"/>
  <c r="O322" i="3" s="1"/>
  <c r="T144" i="1"/>
  <c r="Q141" i="1"/>
  <c r="T141" i="1" s="1"/>
  <c r="N145" i="1"/>
  <c r="T180" i="1"/>
  <c r="Q179" i="1"/>
  <c r="T179" i="1" s="1"/>
  <c r="Q760" i="3"/>
  <c r="T762" i="3"/>
  <c r="P692" i="3"/>
  <c r="M690" i="3"/>
  <c r="P690" i="3" s="1"/>
  <c r="O364" i="3"/>
  <c r="L362" i="3"/>
  <c r="O362" i="3" s="1"/>
  <c r="S519" i="1"/>
  <c r="M716" i="1"/>
  <c r="P716" i="1" s="1"/>
  <c r="L720" i="1"/>
  <c r="O720" i="1" s="1"/>
  <c r="K755" i="1"/>
  <c r="R644" i="2"/>
  <c r="R642" i="2" s="1"/>
  <c r="K368" i="2"/>
  <c r="Q714" i="3"/>
  <c r="T714" i="3" s="1"/>
  <c r="Q495" i="3"/>
  <c r="T498" i="3"/>
  <c r="L284" i="3"/>
  <c r="L282" i="3" s="1"/>
  <c r="O287" i="3"/>
  <c r="R46" i="1"/>
  <c r="R44" i="1" s="1"/>
  <c r="U44" i="1" s="1"/>
  <c r="P77" i="1"/>
  <c r="L78" i="1"/>
  <c r="O78" i="1" s="1"/>
  <c r="R96" i="1"/>
  <c r="M160" i="1"/>
  <c r="S159" i="1"/>
  <c r="O196" i="1"/>
  <c r="Q267" i="1"/>
  <c r="T267" i="1" s="1"/>
  <c r="N272" i="1"/>
  <c r="L357" i="1"/>
  <c r="O357" i="1" s="1"/>
  <c r="R535" i="1"/>
  <c r="U535" i="1" s="1"/>
  <c r="N540" i="1"/>
  <c r="M692" i="1"/>
  <c r="P692" i="1" s="1"/>
  <c r="U498" i="2"/>
  <c r="S415" i="2"/>
  <c r="S413" i="2" s="1"/>
  <c r="P285" i="2"/>
  <c r="S117" i="2"/>
  <c r="U117" i="2" s="1"/>
  <c r="O99" i="2"/>
  <c r="K772" i="3"/>
  <c r="Q763" i="3"/>
  <c r="P730" i="3"/>
  <c r="P716" i="3"/>
  <c r="L690" i="3"/>
  <c r="O690" i="3" s="1"/>
  <c r="L642" i="3"/>
  <c r="O642" i="3" s="1"/>
  <c r="Q618" i="3"/>
  <c r="S576" i="3"/>
  <c r="Q555" i="3"/>
  <c r="T555" i="3" s="1"/>
  <c r="S534" i="3"/>
  <c r="Q513" i="3"/>
  <c r="T513" i="3" s="1"/>
  <c r="T514" i="3"/>
  <c r="Q496" i="3"/>
  <c r="T496" i="3" s="1"/>
  <c r="L493" i="3"/>
  <c r="O493" i="3" s="1"/>
  <c r="O494" i="3"/>
  <c r="Q392" i="3"/>
  <c r="T392" i="3" s="1"/>
  <c r="T393" i="3"/>
  <c r="U378" i="3"/>
  <c r="O338" i="3"/>
  <c r="L336" i="3"/>
  <c r="T191" i="3"/>
  <c r="S189" i="3"/>
  <c r="K709" i="2"/>
  <c r="N61" i="2"/>
  <c r="N59" i="2" s="1"/>
  <c r="R392" i="3"/>
  <c r="U392" i="3" s="1"/>
  <c r="U393" i="3"/>
  <c r="P338" i="3"/>
  <c r="M336" i="3"/>
  <c r="S46" i="1"/>
  <c r="S44" i="1" s="1"/>
  <c r="R65" i="1"/>
  <c r="U65" i="1" s="1"/>
  <c r="S95" i="1"/>
  <c r="N119" i="1"/>
  <c r="R119" i="1"/>
  <c r="S140" i="1"/>
  <c r="N160" i="1"/>
  <c r="L159" i="1"/>
  <c r="S158" i="1"/>
  <c r="K265" i="1"/>
  <c r="R267" i="1"/>
  <c r="U267" i="1" s="1"/>
  <c r="S283" i="1"/>
  <c r="K295" i="1"/>
  <c r="L321" i="1"/>
  <c r="O321" i="1" s="1"/>
  <c r="M357" i="1"/>
  <c r="P357" i="1" s="1"/>
  <c r="K368" i="1"/>
  <c r="L381" i="1"/>
  <c r="O381" i="1" s="1"/>
  <c r="L414" i="1"/>
  <c r="O414" i="1" s="1"/>
  <c r="J433" i="1"/>
  <c r="J460" i="1"/>
  <c r="J468" i="1"/>
  <c r="Q514" i="1"/>
  <c r="T514" i="1" s="1"/>
  <c r="R579" i="1"/>
  <c r="U579" i="1" s="1"/>
  <c r="N605" i="1"/>
  <c r="M729" i="1"/>
  <c r="P729" i="1" s="1"/>
  <c r="K783" i="2"/>
  <c r="R692" i="2"/>
  <c r="R690" i="2" s="1"/>
  <c r="K676" i="2"/>
  <c r="J374" i="2"/>
  <c r="M339" i="2"/>
  <c r="P339" i="2" s="1"/>
  <c r="I319" i="2"/>
  <c r="K319" i="2" s="1"/>
  <c r="K229" i="2"/>
  <c r="P102" i="2"/>
  <c r="L760" i="3"/>
  <c r="O760" i="3" s="1"/>
  <c r="K626" i="3"/>
  <c r="K630" i="3"/>
  <c r="U621" i="3"/>
  <c r="I615" i="3"/>
  <c r="K615" i="3" s="1"/>
  <c r="M599" i="3"/>
  <c r="P599" i="3" s="1"/>
  <c r="R576" i="3"/>
  <c r="U576" i="3" s="1"/>
  <c r="L555" i="3"/>
  <c r="O555" i="3" s="1"/>
  <c r="R534" i="3"/>
  <c r="U534" i="3" s="1"/>
  <c r="U535" i="3"/>
  <c r="K440" i="3"/>
  <c r="I423" i="3"/>
  <c r="N392" i="3"/>
  <c r="R333" i="3"/>
  <c r="U333" i="3" s="1"/>
  <c r="M100" i="3"/>
  <c r="P100" i="3" s="1"/>
  <c r="P102" i="3"/>
  <c r="S97" i="3"/>
  <c r="T19" i="3"/>
  <c r="U119" i="2"/>
  <c r="N192" i="3"/>
  <c r="N188" i="3"/>
  <c r="N186" i="3" s="1"/>
  <c r="J82" i="1"/>
  <c r="J70" i="1" s="1"/>
  <c r="P162" i="1"/>
  <c r="U271" i="1"/>
  <c r="N284" i="1"/>
  <c r="M288" i="1"/>
  <c r="P288" i="1" s="1"/>
  <c r="N309" i="1"/>
  <c r="M322" i="1"/>
  <c r="K388" i="1"/>
  <c r="J432" i="1"/>
  <c r="J446" i="1"/>
  <c r="J440" i="1" s="1"/>
  <c r="J423" i="1" s="1"/>
  <c r="J412" i="1" s="1"/>
  <c r="L577" i="1"/>
  <c r="O577" i="1" s="1"/>
  <c r="J682" i="1"/>
  <c r="K682" i="1" s="1"/>
  <c r="N734" i="1"/>
  <c r="S616" i="2"/>
  <c r="O308" i="2"/>
  <c r="L234" i="2"/>
  <c r="N175" i="2"/>
  <c r="N173" i="2" s="1"/>
  <c r="M123" i="2"/>
  <c r="P123" i="2" s="1"/>
  <c r="O77" i="2"/>
  <c r="O49" i="2"/>
  <c r="U761" i="3"/>
  <c r="T695" i="3"/>
  <c r="I689" i="3"/>
  <c r="K689" i="3" s="1"/>
  <c r="T621" i="3"/>
  <c r="Q534" i="3"/>
  <c r="T534" i="3" s="1"/>
  <c r="T535" i="3"/>
  <c r="U494" i="3"/>
  <c r="S416" i="3"/>
  <c r="M392" i="3"/>
  <c r="P392" i="3" s="1"/>
  <c r="J332" i="3"/>
  <c r="K332" i="3" s="1"/>
  <c r="J343" i="3"/>
  <c r="Q333" i="3"/>
  <c r="T333" i="3" s="1"/>
  <c r="T334" i="3"/>
  <c r="P283" i="3"/>
  <c r="N145" i="3"/>
  <c r="N26" i="3"/>
  <c r="N24" i="3" s="1"/>
  <c r="N141" i="3"/>
  <c r="N139" i="3" s="1"/>
  <c r="K108" i="3"/>
  <c r="I92" i="3"/>
  <c r="K92" i="3" s="1"/>
  <c r="N333" i="1"/>
  <c r="N582" i="1"/>
  <c r="S159" i="2"/>
  <c r="S157" i="2" s="1"/>
  <c r="L576" i="3"/>
  <c r="O576" i="3" s="1"/>
  <c r="L534" i="3"/>
  <c r="O534" i="3" s="1"/>
  <c r="O535" i="3"/>
  <c r="M493" i="3"/>
  <c r="P493" i="3" s="1"/>
  <c r="P494" i="3"/>
  <c r="L188" i="3"/>
  <c r="L189" i="3"/>
  <c r="O189" i="3" s="1"/>
  <c r="O191" i="3"/>
  <c r="R73" i="1"/>
  <c r="U73" i="1" s="1"/>
  <c r="K85" i="1"/>
  <c r="N97" i="1"/>
  <c r="N175" i="1"/>
  <c r="L268" i="1"/>
  <c r="O268" i="1" s="1"/>
  <c r="K302" i="1"/>
  <c r="K330" i="1"/>
  <c r="R335" i="1"/>
  <c r="U335" i="1" s="1"/>
  <c r="J374" i="1"/>
  <c r="Q414" i="1"/>
  <c r="T414" i="1" s="1"/>
  <c r="N415" i="1"/>
  <c r="N419" i="1"/>
  <c r="T562" i="1"/>
  <c r="M578" i="1"/>
  <c r="P578" i="1" s="1"/>
  <c r="U647" i="1"/>
  <c r="K679" i="1"/>
  <c r="R715" i="1"/>
  <c r="U715" i="1" s="1"/>
  <c r="R730" i="1"/>
  <c r="U730" i="1" s="1"/>
  <c r="K742" i="1"/>
  <c r="J702" i="2"/>
  <c r="J675" i="2"/>
  <c r="K675" i="2" s="1"/>
  <c r="M119" i="2"/>
  <c r="P119" i="2" s="1"/>
  <c r="R730" i="3"/>
  <c r="U733" i="3"/>
  <c r="N534" i="3"/>
  <c r="P518" i="3"/>
  <c r="M516" i="3"/>
  <c r="P516" i="3" s="1"/>
  <c r="L392" i="3"/>
  <c r="O392" i="3" s="1"/>
  <c r="O393" i="3"/>
  <c r="P364" i="3"/>
  <c r="M362" i="3"/>
  <c r="P362" i="3" s="1"/>
  <c r="M358" i="3"/>
  <c r="L285" i="3"/>
  <c r="O285" i="3" s="1"/>
  <c r="M179" i="3"/>
  <c r="P179" i="3" s="1"/>
  <c r="P181" i="3"/>
  <c r="M175" i="3"/>
  <c r="P178" i="3"/>
  <c r="M176" i="3"/>
  <c r="P176" i="3" s="1"/>
  <c r="Q320" i="3"/>
  <c r="T320" i="3" s="1"/>
  <c r="N306" i="3"/>
  <c r="P306" i="3" s="1"/>
  <c r="R188" i="3"/>
  <c r="U188" i="3" s="1"/>
  <c r="R189" i="3"/>
  <c r="S176" i="3"/>
  <c r="K167" i="3"/>
  <c r="I168" i="3"/>
  <c r="K168" i="3" s="1"/>
  <c r="I156" i="3"/>
  <c r="K156" i="3" s="1"/>
  <c r="I169" i="3"/>
  <c r="K169" i="3" s="1"/>
  <c r="U122" i="3"/>
  <c r="S120" i="3"/>
  <c r="M119" i="3"/>
  <c r="U96" i="3"/>
  <c r="R94" i="3"/>
  <c r="U94" i="3" s="1"/>
  <c r="P535" i="3"/>
  <c r="U514" i="3"/>
  <c r="O514" i="3"/>
  <c r="S495" i="3"/>
  <c r="S493" i="3" s="1"/>
  <c r="P393" i="3"/>
  <c r="T376" i="3"/>
  <c r="U334" i="3"/>
  <c r="O334" i="3"/>
  <c r="P325" i="3"/>
  <c r="O311" i="3"/>
  <c r="P287" i="3"/>
  <c r="T284" i="3"/>
  <c r="N284" i="3"/>
  <c r="N282" i="3" s="1"/>
  <c r="I221" i="3"/>
  <c r="K221" i="3" s="1"/>
  <c r="I213" i="3"/>
  <c r="K213" i="3" s="1"/>
  <c r="Q189" i="3"/>
  <c r="Q188" i="3"/>
  <c r="T188" i="3" s="1"/>
  <c r="U175" i="3"/>
  <c r="R173" i="3"/>
  <c r="U173" i="3" s="1"/>
  <c r="K154" i="3"/>
  <c r="I136" i="3"/>
  <c r="K136" i="3" s="1"/>
  <c r="R59" i="3"/>
  <c r="U59" i="3" s="1"/>
  <c r="U61" i="3"/>
  <c r="P52" i="3"/>
  <c r="M26" i="3"/>
  <c r="P26" i="3" s="1"/>
  <c r="M50" i="3"/>
  <c r="P50" i="3" s="1"/>
  <c r="N23" i="3"/>
  <c r="S320" i="3"/>
  <c r="L306" i="3"/>
  <c r="K292" i="3"/>
  <c r="L235" i="3"/>
  <c r="M192" i="3"/>
  <c r="P192" i="3" s="1"/>
  <c r="T178" i="3"/>
  <c r="Q176" i="3"/>
  <c r="T176" i="3" s="1"/>
  <c r="R157" i="3"/>
  <c r="U157" i="3" s="1"/>
  <c r="T122" i="3"/>
  <c r="Q120" i="3"/>
  <c r="Q23" i="3"/>
  <c r="Q119" i="3"/>
  <c r="L61" i="3"/>
  <c r="L62" i="3"/>
  <c r="O62" i="3" s="1"/>
  <c r="O64" i="3"/>
  <c r="N305" i="3"/>
  <c r="N303" i="3" s="1"/>
  <c r="U283" i="3"/>
  <c r="M272" i="3"/>
  <c r="P272" i="3" s="1"/>
  <c r="N268" i="3"/>
  <c r="U191" i="3"/>
  <c r="S186" i="3"/>
  <c r="P165" i="3"/>
  <c r="M159" i="3"/>
  <c r="Q141" i="3"/>
  <c r="T144" i="3"/>
  <c r="P122" i="3"/>
  <c r="M288" i="3"/>
  <c r="P288" i="3" s="1"/>
  <c r="M284" i="3"/>
  <c r="P271" i="3"/>
  <c r="M189" i="3"/>
  <c r="P189" i="3" s="1"/>
  <c r="P191" i="3"/>
  <c r="U187" i="3"/>
  <c r="I137" i="3"/>
  <c r="K137" i="3" s="1"/>
  <c r="K152" i="3"/>
  <c r="S119" i="3"/>
  <c r="S117" i="3" s="1"/>
  <c r="T118" i="3"/>
  <c r="M96" i="3"/>
  <c r="P99" i="3"/>
  <c r="L65" i="3"/>
  <c r="O65" i="3" s="1"/>
  <c r="O67" i="3"/>
  <c r="O19" i="3"/>
  <c r="T162" i="3"/>
  <c r="Q160" i="3"/>
  <c r="T160" i="3" s="1"/>
  <c r="Q157" i="3"/>
  <c r="T157" i="3" s="1"/>
  <c r="T99" i="3"/>
  <c r="Q97" i="3"/>
  <c r="T97" i="3" s="1"/>
  <c r="Q94" i="3"/>
  <c r="T94" i="3" s="1"/>
  <c r="U77" i="3"/>
  <c r="L26" i="3"/>
  <c r="O26" i="3" s="1"/>
  <c r="L50" i="3"/>
  <c r="O50" i="3" s="1"/>
  <c r="L23" i="3"/>
  <c r="L21" i="3" s="1"/>
  <c r="U25" i="3"/>
  <c r="I82" i="3"/>
  <c r="S19" i="3"/>
  <c r="R23" i="3"/>
  <c r="R75" i="3"/>
  <c r="U75" i="3" s="1"/>
  <c r="P67" i="3"/>
  <c r="M65" i="3"/>
  <c r="P65" i="3" s="1"/>
  <c r="M141" i="3"/>
  <c r="K84" i="3"/>
  <c r="T77" i="3"/>
  <c r="S23" i="3"/>
  <c r="S20" i="3" s="1"/>
  <c r="M23" i="3"/>
  <c r="M21" i="3" s="1"/>
  <c r="N175" i="3"/>
  <c r="N159" i="3"/>
  <c r="N157" i="3" s="1"/>
  <c r="R141" i="3"/>
  <c r="U141" i="3" s="1"/>
  <c r="L141" i="3"/>
  <c r="N119" i="3"/>
  <c r="N117" i="3" s="1"/>
  <c r="N96" i="3"/>
  <c r="N94" i="3" s="1"/>
  <c r="S74" i="3"/>
  <c r="U74" i="3" s="1"/>
  <c r="M74" i="3"/>
  <c r="M61" i="3"/>
  <c r="M46" i="3"/>
  <c r="N728" i="1"/>
  <c r="M222" i="1"/>
  <c r="L534" i="2"/>
  <c r="O534" i="2" s="1"/>
  <c r="O535" i="2"/>
  <c r="T267" i="2"/>
  <c r="L100" i="2"/>
  <c r="O100" i="2" s="1"/>
  <c r="O102" i="2"/>
  <c r="U52" i="1"/>
  <c r="M22" i="1"/>
  <c r="P22" i="1" s="1"/>
  <c r="U63" i="1"/>
  <c r="S61" i="1"/>
  <c r="U67" i="1"/>
  <c r="O77" i="1"/>
  <c r="J83" i="1"/>
  <c r="J71" i="1" s="1"/>
  <c r="I93" i="1"/>
  <c r="K93" i="1" s="1"/>
  <c r="R141" i="1"/>
  <c r="U141" i="1" s="1"/>
  <c r="R159" i="1"/>
  <c r="U159" i="1" s="1"/>
  <c r="P161" i="1"/>
  <c r="R175" i="1"/>
  <c r="U175" i="1" s="1"/>
  <c r="R304" i="1"/>
  <c r="U304" i="1" s="1"/>
  <c r="R309" i="1"/>
  <c r="U309" i="1" s="1"/>
  <c r="N323" i="1"/>
  <c r="J351" i="1"/>
  <c r="N357" i="1"/>
  <c r="L362" i="1"/>
  <c r="O362" i="1" s="1"/>
  <c r="R362" i="1"/>
  <c r="U362" i="1" s="1"/>
  <c r="M376" i="1"/>
  <c r="P376" i="1" s="1"/>
  <c r="R381" i="1"/>
  <c r="U381" i="1" s="1"/>
  <c r="N394" i="1"/>
  <c r="N392" i="1" s="1"/>
  <c r="N398" i="1"/>
  <c r="M414" i="1"/>
  <c r="P414" i="1" s="1"/>
  <c r="J447" i="1"/>
  <c r="J441" i="1" s="1"/>
  <c r="R495" i="1"/>
  <c r="U495" i="1" s="1"/>
  <c r="Q499" i="1"/>
  <c r="T499" i="1" s="1"/>
  <c r="L557" i="1"/>
  <c r="O557" i="1" s="1"/>
  <c r="Q558" i="1"/>
  <c r="T558" i="1" s="1"/>
  <c r="N557" i="1"/>
  <c r="N561" i="1"/>
  <c r="L601" i="1"/>
  <c r="O601" i="1" s="1"/>
  <c r="R617" i="1"/>
  <c r="U617" i="1" s="1"/>
  <c r="S648" i="1"/>
  <c r="K676" i="1"/>
  <c r="L691" i="1"/>
  <c r="O691" i="1" s="1"/>
  <c r="T692" i="1"/>
  <c r="K703" i="1"/>
  <c r="J702" i="1"/>
  <c r="K709" i="1"/>
  <c r="R720" i="1"/>
  <c r="U720" i="1" s="1"/>
  <c r="M761" i="1"/>
  <c r="P761" i="1" s="1"/>
  <c r="U765" i="1"/>
  <c r="K782" i="1"/>
  <c r="K785" i="1"/>
  <c r="U763" i="2"/>
  <c r="R762" i="2"/>
  <c r="R760" i="2" s="1"/>
  <c r="L728" i="2"/>
  <c r="O728" i="2" s="1"/>
  <c r="M690" i="2"/>
  <c r="P690" i="2" s="1"/>
  <c r="P691" i="2"/>
  <c r="U647" i="2"/>
  <c r="S645" i="2"/>
  <c r="T645" i="2" s="1"/>
  <c r="S644" i="2"/>
  <c r="S642" i="2" s="1"/>
  <c r="Q513" i="2"/>
  <c r="T513" i="2" s="1"/>
  <c r="T515" i="2"/>
  <c r="J332" i="2"/>
  <c r="M309" i="2"/>
  <c r="P309" i="2" s="1"/>
  <c r="P311" i="2"/>
  <c r="K209" i="2"/>
  <c r="I202" i="2"/>
  <c r="K202" i="2" s="1"/>
  <c r="P181" i="2"/>
  <c r="M179" i="2"/>
  <c r="P179" i="2" s="1"/>
  <c r="L141" i="2"/>
  <c r="O141" i="2" s="1"/>
  <c r="O144" i="2"/>
  <c r="L142" i="2"/>
  <c r="O142" i="2" s="1"/>
  <c r="O64" i="2"/>
  <c r="Q189" i="1"/>
  <c r="N766" i="1"/>
  <c r="L599" i="2"/>
  <c r="O599" i="2" s="1"/>
  <c r="O600" i="2"/>
  <c r="N62" i="1"/>
  <c r="Q65" i="1"/>
  <c r="T65" i="1" s="1"/>
  <c r="L73" i="1"/>
  <c r="R75" i="1"/>
  <c r="S75" i="1"/>
  <c r="T122" i="1"/>
  <c r="U125" i="1"/>
  <c r="K129" i="1"/>
  <c r="O144" i="1"/>
  <c r="J199" i="1"/>
  <c r="Q269" i="1"/>
  <c r="S267" i="1"/>
  <c r="Q284" i="1"/>
  <c r="T284" i="1" s="1"/>
  <c r="L306" i="1"/>
  <c r="O306" i="1" s="1"/>
  <c r="K319" i="1"/>
  <c r="Q323" i="1"/>
  <c r="T323" i="1" s="1"/>
  <c r="N336" i="1"/>
  <c r="P338" i="1"/>
  <c r="U338" i="1"/>
  <c r="N378" i="1"/>
  <c r="S416" i="1"/>
  <c r="J485" i="1"/>
  <c r="T498" i="1"/>
  <c r="P520" i="1"/>
  <c r="M557" i="1"/>
  <c r="P557" i="1" s="1"/>
  <c r="L618" i="1"/>
  <c r="O618" i="1" s="1"/>
  <c r="U624" i="1"/>
  <c r="R643" i="1"/>
  <c r="U643" i="1" s="1"/>
  <c r="J661" i="1"/>
  <c r="K661" i="1" s="1"/>
  <c r="K673" i="1"/>
  <c r="Q691" i="1"/>
  <c r="T691" i="1" s="1"/>
  <c r="J701" i="1"/>
  <c r="Q730" i="1"/>
  <c r="T730" i="1" s="1"/>
  <c r="Q763" i="1"/>
  <c r="Q763" i="2"/>
  <c r="T763" i="2" s="1"/>
  <c r="Q762" i="2"/>
  <c r="Q760" i="2" s="1"/>
  <c r="S690" i="2"/>
  <c r="Q496" i="2"/>
  <c r="T496" i="2" s="1"/>
  <c r="Q495" i="2"/>
  <c r="T495" i="2" s="1"/>
  <c r="T498" i="2"/>
  <c r="T494" i="2"/>
  <c r="I302" i="2"/>
  <c r="K302" i="2" s="1"/>
  <c r="K314" i="2"/>
  <c r="Q268" i="2"/>
  <c r="Q266" i="2" s="1"/>
  <c r="Q269" i="2"/>
  <c r="T269" i="2" s="1"/>
  <c r="T271" i="2"/>
  <c r="T25" i="2"/>
  <c r="Q24" i="2"/>
  <c r="T24" i="2" s="1"/>
  <c r="S515" i="1"/>
  <c r="S50" i="1"/>
  <c r="Q47" i="1"/>
  <c r="T47" i="1" s="1"/>
  <c r="R47" i="1"/>
  <c r="U47" i="1" s="1"/>
  <c r="L46" i="1"/>
  <c r="L44" i="1" s="1"/>
  <c r="O52" i="1"/>
  <c r="Q60" i="1"/>
  <c r="T60" i="1" s="1"/>
  <c r="M61" i="1"/>
  <c r="N73" i="1"/>
  <c r="T77" i="1"/>
  <c r="K89" i="1"/>
  <c r="N120" i="1"/>
  <c r="N140" i="1"/>
  <c r="N159" i="1"/>
  <c r="T177" i="1"/>
  <c r="O191" i="1"/>
  <c r="S268" i="1"/>
  <c r="M306" i="1"/>
  <c r="P306" i="1" s="1"/>
  <c r="R359" i="1"/>
  <c r="U359" i="1" s="1"/>
  <c r="S358" i="1"/>
  <c r="L376" i="1"/>
  <c r="O376" i="1" s="1"/>
  <c r="N381" i="1"/>
  <c r="S415" i="1"/>
  <c r="J484" i="1"/>
  <c r="L494" i="1"/>
  <c r="O494" i="1" s="1"/>
  <c r="M514" i="1"/>
  <c r="P514" i="1" s="1"/>
  <c r="R558" i="1"/>
  <c r="U558" i="1" s="1"/>
  <c r="O646" i="1"/>
  <c r="M715" i="1"/>
  <c r="L716" i="1"/>
  <c r="O716" i="1" s="1"/>
  <c r="M717" i="1"/>
  <c r="P717" i="1" s="1"/>
  <c r="Q729" i="1"/>
  <c r="T729" i="1" s="1"/>
  <c r="N731" i="1"/>
  <c r="J726" i="1"/>
  <c r="K726" i="1" s="1"/>
  <c r="T765" i="1"/>
  <c r="P762" i="2"/>
  <c r="M760" i="2"/>
  <c r="P760" i="2" s="1"/>
  <c r="L233" i="2"/>
  <c r="R516" i="1"/>
  <c r="U516" i="1" s="1"/>
  <c r="P49" i="1"/>
  <c r="U76" i="1"/>
  <c r="K87" i="1"/>
  <c r="K90" i="1"/>
  <c r="M174" i="1"/>
  <c r="P174" i="1" s="1"/>
  <c r="O178" i="1"/>
  <c r="S179" i="1"/>
  <c r="N203" i="1"/>
  <c r="O203" i="1" s="1"/>
  <c r="M304" i="1"/>
  <c r="P304" i="1" s="1"/>
  <c r="Q321" i="1"/>
  <c r="T321" i="1" s="1"/>
  <c r="R358" i="1"/>
  <c r="U358" i="1" s="1"/>
  <c r="S359" i="1"/>
  <c r="K371" i="1"/>
  <c r="R376" i="1"/>
  <c r="U376" i="1" s="1"/>
  <c r="Q394" i="1"/>
  <c r="T394" i="1" s="1"/>
  <c r="S394" i="1"/>
  <c r="S392" i="1" s="1"/>
  <c r="R398" i="1"/>
  <c r="U398" i="1" s="1"/>
  <c r="S414" i="1"/>
  <c r="N416" i="1"/>
  <c r="R419" i="1"/>
  <c r="U419" i="1" s="1"/>
  <c r="J459" i="1"/>
  <c r="M495" i="1"/>
  <c r="P495" i="1" s="1"/>
  <c r="R514" i="1"/>
  <c r="U514" i="1" s="1"/>
  <c r="N515" i="1"/>
  <c r="S578" i="1"/>
  <c r="S576" i="1" s="1"/>
  <c r="S582" i="1"/>
  <c r="M601" i="1"/>
  <c r="P601" i="1" s="1"/>
  <c r="M605" i="1"/>
  <c r="P605" i="1" s="1"/>
  <c r="Q618" i="1"/>
  <c r="M648" i="1"/>
  <c r="P648" i="1" s="1"/>
  <c r="K653" i="1"/>
  <c r="M691" i="1"/>
  <c r="P691" i="1" s="1"/>
  <c r="S717" i="1"/>
  <c r="R717" i="1"/>
  <c r="U717" i="1" s="1"/>
  <c r="S729" i="1"/>
  <c r="S728" i="1" s="1"/>
  <c r="T733" i="1"/>
  <c r="K740" i="1"/>
  <c r="L762" i="1"/>
  <c r="O762" i="1" s="1"/>
  <c r="K784" i="2"/>
  <c r="K781" i="2"/>
  <c r="K778" i="2"/>
  <c r="O762" i="2"/>
  <c r="L760" i="2"/>
  <c r="O760" i="2" s="1"/>
  <c r="Q555" i="2"/>
  <c r="T555" i="2" s="1"/>
  <c r="M306" i="2"/>
  <c r="P306" i="2" s="1"/>
  <c r="P308" i="2"/>
  <c r="M96" i="2"/>
  <c r="M97" i="2"/>
  <c r="P97" i="2" s="1"/>
  <c r="P99" i="2"/>
  <c r="S97" i="2"/>
  <c r="I83" i="2"/>
  <c r="K83" i="2" s="1"/>
  <c r="N96" i="1"/>
  <c r="N100" i="1"/>
  <c r="K92" i="1"/>
  <c r="K114" i="1"/>
  <c r="R118" i="1"/>
  <c r="U118" i="1" s="1"/>
  <c r="N141" i="1"/>
  <c r="K150" i="1"/>
  <c r="K153" i="1"/>
  <c r="P178" i="1"/>
  <c r="N25" i="1"/>
  <c r="N192" i="1"/>
  <c r="K228" i="1"/>
  <c r="N285" i="1"/>
  <c r="P287" i="1"/>
  <c r="Q377" i="1"/>
  <c r="S378" i="1"/>
  <c r="L394" i="1"/>
  <c r="O394" i="1" s="1"/>
  <c r="N495" i="1"/>
  <c r="Q536" i="1"/>
  <c r="T536" i="1" s="1"/>
  <c r="N536" i="1"/>
  <c r="M556" i="1"/>
  <c r="P556" i="1" s="1"/>
  <c r="M579" i="1"/>
  <c r="P579" i="1" s="1"/>
  <c r="N602" i="1"/>
  <c r="L617" i="1"/>
  <c r="O617" i="1" s="1"/>
  <c r="S617" i="1"/>
  <c r="R648" i="1"/>
  <c r="U648" i="1" s="1"/>
  <c r="N693" i="1"/>
  <c r="K705" i="1"/>
  <c r="K746" i="1"/>
  <c r="N762" i="1"/>
  <c r="T765" i="2"/>
  <c r="Q576" i="2"/>
  <c r="T576" i="2" s="1"/>
  <c r="M493" i="2"/>
  <c r="P493" i="2" s="1"/>
  <c r="R392" i="2"/>
  <c r="U392" i="2" s="1"/>
  <c r="L335" i="2"/>
  <c r="L336" i="2"/>
  <c r="O338" i="2"/>
  <c r="S306" i="2"/>
  <c r="U308" i="2"/>
  <c r="Q74" i="2"/>
  <c r="Q72" i="2" s="1"/>
  <c r="T72" i="2" s="1"/>
  <c r="T77" i="2"/>
  <c r="N62" i="2"/>
  <c r="P62" i="2" s="1"/>
  <c r="P64" i="2"/>
  <c r="Q730" i="2"/>
  <c r="Q728" i="2" s="1"/>
  <c r="N728" i="2"/>
  <c r="K705" i="2"/>
  <c r="T695" i="2"/>
  <c r="Q692" i="2"/>
  <c r="T692" i="2" s="1"/>
  <c r="K654" i="2"/>
  <c r="O643" i="2"/>
  <c r="U621" i="2"/>
  <c r="S619" i="2"/>
  <c r="T619" i="2" s="1"/>
  <c r="T577" i="2"/>
  <c r="N515" i="2"/>
  <c r="N513" i="2" s="1"/>
  <c r="P494" i="2"/>
  <c r="K440" i="2"/>
  <c r="U393" i="2"/>
  <c r="N392" i="2"/>
  <c r="K369" i="2"/>
  <c r="P357" i="2"/>
  <c r="K344" i="2"/>
  <c r="I332" i="2"/>
  <c r="O328" i="2"/>
  <c r="L305" i="2"/>
  <c r="L303" i="2" s="1"/>
  <c r="Q306" i="2"/>
  <c r="Q282" i="2"/>
  <c r="T282" i="2" s="1"/>
  <c r="O271" i="2"/>
  <c r="J231" i="2"/>
  <c r="J185" i="2" s="1"/>
  <c r="Q175" i="2"/>
  <c r="T175" i="2" s="1"/>
  <c r="N159" i="2"/>
  <c r="N157" i="2" s="1"/>
  <c r="I138" i="2"/>
  <c r="K138" i="2" s="1"/>
  <c r="K116" i="2"/>
  <c r="U122" i="2"/>
  <c r="N119" i="2"/>
  <c r="N117" i="2" s="1"/>
  <c r="L96" i="2"/>
  <c r="L94" i="2" s="1"/>
  <c r="O94" i="2" s="1"/>
  <c r="R97" i="2"/>
  <c r="U97" i="2" s="1"/>
  <c r="T729" i="2"/>
  <c r="S714" i="2"/>
  <c r="I615" i="2"/>
  <c r="K615" i="2" s="1"/>
  <c r="Q599" i="2"/>
  <c r="T599" i="2" s="1"/>
  <c r="M519" i="2"/>
  <c r="P519" i="2" s="1"/>
  <c r="M515" i="2"/>
  <c r="P515" i="2" s="1"/>
  <c r="S496" i="2"/>
  <c r="J458" i="2"/>
  <c r="L358" i="2"/>
  <c r="L356" i="2" s="1"/>
  <c r="U271" i="2"/>
  <c r="L214" i="2"/>
  <c r="O214" i="2" s="1"/>
  <c r="Q186" i="2"/>
  <c r="T186" i="2" s="1"/>
  <c r="L163" i="2"/>
  <c r="O163" i="2" s="1"/>
  <c r="S120" i="2"/>
  <c r="R72" i="2"/>
  <c r="U72" i="2" s="1"/>
  <c r="S59" i="2"/>
  <c r="R59" i="2"/>
  <c r="U59" i="2" s="1"/>
  <c r="N760" i="2"/>
  <c r="K678" i="2"/>
  <c r="Q534" i="2"/>
  <c r="T534" i="2" s="1"/>
  <c r="S513" i="2"/>
  <c r="K386" i="2"/>
  <c r="U378" i="2"/>
  <c r="I280" i="2"/>
  <c r="K280" i="2" s="1"/>
  <c r="P271" i="2"/>
  <c r="N141" i="2"/>
  <c r="N139" i="2" s="1"/>
  <c r="L119" i="2"/>
  <c r="L117" i="2" s="1"/>
  <c r="O117" i="2" s="1"/>
  <c r="R120" i="2"/>
  <c r="M26" i="2"/>
  <c r="P26" i="2" s="1"/>
  <c r="J701" i="2"/>
  <c r="Q644" i="2"/>
  <c r="M534" i="2"/>
  <c r="P534" i="2" s="1"/>
  <c r="M359" i="2"/>
  <c r="P359" i="2" s="1"/>
  <c r="P176" i="2"/>
  <c r="T122" i="2"/>
  <c r="I82" i="2"/>
  <c r="M74" i="2"/>
  <c r="P74" i="2" s="1"/>
  <c r="S75" i="2"/>
  <c r="O715" i="2"/>
  <c r="I701" i="2"/>
  <c r="J674" i="2"/>
  <c r="K674" i="2" s="1"/>
  <c r="T647" i="2"/>
  <c r="M616" i="2"/>
  <c r="P616" i="2" s="1"/>
  <c r="P518" i="2"/>
  <c r="J457" i="2"/>
  <c r="J456" i="2" s="1"/>
  <c r="S377" i="2"/>
  <c r="S375" i="2" s="1"/>
  <c r="K346" i="2"/>
  <c r="M335" i="2"/>
  <c r="M333" i="2" s="1"/>
  <c r="T335" i="2"/>
  <c r="S333" i="2"/>
  <c r="S320" i="2"/>
  <c r="T308" i="2"/>
  <c r="P287" i="2"/>
  <c r="U269" i="2"/>
  <c r="T187" i="2"/>
  <c r="Q176" i="2"/>
  <c r="T176" i="2" s="1"/>
  <c r="T144" i="2"/>
  <c r="P122" i="2"/>
  <c r="M120" i="2"/>
  <c r="P120" i="2" s="1"/>
  <c r="N96" i="2"/>
  <c r="N94" i="2" s="1"/>
  <c r="L74" i="2"/>
  <c r="R75" i="2"/>
  <c r="U75" i="2" s="1"/>
  <c r="S19" i="2"/>
  <c r="N47" i="1"/>
  <c r="O47" i="1" s="1"/>
  <c r="N46" i="1"/>
  <c r="N44" i="1" s="1"/>
  <c r="O49" i="1"/>
  <c r="O66" i="1"/>
  <c r="L65" i="1"/>
  <c r="O65" i="1" s="1"/>
  <c r="L60" i="1"/>
  <c r="L61" i="1"/>
  <c r="O64" i="1"/>
  <c r="L62" i="1"/>
  <c r="P268" i="1"/>
  <c r="T174" i="1"/>
  <c r="Q173" i="1"/>
  <c r="T173" i="1" s="1"/>
  <c r="S65" i="1"/>
  <c r="S25" i="1"/>
  <c r="R61" i="1"/>
  <c r="U61" i="1" s="1"/>
  <c r="U64" i="1"/>
  <c r="R62" i="1"/>
  <c r="U62" i="1" s="1"/>
  <c r="Q123" i="1"/>
  <c r="T123" i="1" s="1"/>
  <c r="S142" i="1"/>
  <c r="R644" i="1"/>
  <c r="N715" i="1"/>
  <c r="N714" i="1" s="1"/>
  <c r="R321" i="1"/>
  <c r="U321" i="1" s="1"/>
  <c r="M537" i="1"/>
  <c r="P537" i="1" s="1"/>
  <c r="M582" i="1"/>
  <c r="P582" i="1" s="1"/>
  <c r="M392" i="2"/>
  <c r="P392" i="2" s="1"/>
  <c r="P393" i="2"/>
  <c r="P174" i="2"/>
  <c r="M47" i="1"/>
  <c r="M50" i="1"/>
  <c r="P50" i="1" s="1"/>
  <c r="N65" i="1"/>
  <c r="Q73" i="1"/>
  <c r="T73" i="1" s="1"/>
  <c r="N74" i="1"/>
  <c r="L75" i="1"/>
  <c r="S78" i="1"/>
  <c r="I83" i="1"/>
  <c r="L96" i="1"/>
  <c r="L120" i="1"/>
  <c r="O120" i="1" s="1"/>
  <c r="S123" i="1"/>
  <c r="I138" i="1"/>
  <c r="K138" i="1" s="1"/>
  <c r="L175" i="1"/>
  <c r="U191" i="1"/>
  <c r="L267" i="1"/>
  <c r="T270" i="1"/>
  <c r="P271" i="1"/>
  <c r="R272" i="1"/>
  <c r="U272" i="1" s="1"/>
  <c r="U274" i="1"/>
  <c r="N283" i="1"/>
  <c r="S304" i="1"/>
  <c r="Q339" i="1"/>
  <c r="T339" i="1" s="1"/>
  <c r="K344" i="1"/>
  <c r="R357" i="1"/>
  <c r="U357" i="1" s="1"/>
  <c r="N359" i="1"/>
  <c r="O360" i="1"/>
  <c r="U360" i="1"/>
  <c r="K369" i="1"/>
  <c r="N376" i="1"/>
  <c r="N375" i="1" s="1"/>
  <c r="M378" i="1"/>
  <c r="P378" i="1" s="1"/>
  <c r="L393" i="1"/>
  <c r="O393" i="1" s="1"/>
  <c r="T400" i="1"/>
  <c r="N414" i="1"/>
  <c r="M416" i="1"/>
  <c r="P416" i="1" s="1"/>
  <c r="L516" i="1"/>
  <c r="O516" i="1" s="1"/>
  <c r="P518" i="1"/>
  <c r="M577" i="1"/>
  <c r="P577" i="1" s="1"/>
  <c r="N578" i="1"/>
  <c r="R600" i="1"/>
  <c r="N601" i="1"/>
  <c r="M602" i="1"/>
  <c r="P602" i="1" s="1"/>
  <c r="P604" i="1"/>
  <c r="N600" i="1"/>
  <c r="N617" i="1"/>
  <c r="N616" i="1" s="1"/>
  <c r="K627" i="1"/>
  <c r="J636" i="1"/>
  <c r="J635" i="1" s="1"/>
  <c r="S691" i="1"/>
  <c r="S690" i="1" s="1"/>
  <c r="R692" i="1"/>
  <c r="U692" i="1" s="1"/>
  <c r="T695" i="1"/>
  <c r="R729" i="1"/>
  <c r="U729" i="1" s="1"/>
  <c r="T767" i="1"/>
  <c r="Q766" i="1"/>
  <c r="T766" i="1" s="1"/>
  <c r="Q761" i="1"/>
  <c r="K780" i="2"/>
  <c r="U765" i="2"/>
  <c r="S762" i="2"/>
  <c r="S760" i="2" s="1"/>
  <c r="K758" i="2"/>
  <c r="L690" i="2"/>
  <c r="O690" i="2" s="1"/>
  <c r="T617" i="2"/>
  <c r="M599" i="2"/>
  <c r="P599" i="2" s="1"/>
  <c r="P600" i="2"/>
  <c r="O521" i="2"/>
  <c r="L519" i="2"/>
  <c r="O519" i="2" s="1"/>
  <c r="L515" i="2"/>
  <c r="P187" i="2"/>
  <c r="Q78" i="1"/>
  <c r="T78" i="1" s="1"/>
  <c r="L309" i="1"/>
  <c r="O309" i="1" s="1"/>
  <c r="P697" i="1"/>
  <c r="M696" i="1"/>
  <c r="P696" i="1" s="1"/>
  <c r="N763" i="1"/>
  <c r="N761" i="1"/>
  <c r="K292" i="2"/>
  <c r="I281" i="2"/>
  <c r="K281" i="2" s="1"/>
  <c r="Q62" i="1"/>
  <c r="T62" i="1" s="1"/>
  <c r="M74" i="1"/>
  <c r="K108" i="1"/>
  <c r="Q118" i="1"/>
  <c r="T118" i="1" s="1"/>
  <c r="M119" i="1"/>
  <c r="P119" i="1" s="1"/>
  <c r="R123" i="1"/>
  <c r="U123" i="1" s="1"/>
  <c r="R214" i="1"/>
  <c r="L272" i="1"/>
  <c r="O272" i="1" s="1"/>
  <c r="J332" i="1"/>
  <c r="K332" i="1" s="1"/>
  <c r="M359" i="1"/>
  <c r="J365" i="1"/>
  <c r="K365" i="1" s="1"/>
  <c r="L419" i="1"/>
  <c r="O419" i="1" s="1"/>
  <c r="L514" i="1"/>
  <c r="O514" i="1" s="1"/>
  <c r="J674" i="1"/>
  <c r="K674" i="1" s="1"/>
  <c r="N22" i="1"/>
  <c r="S62" i="1"/>
  <c r="Q75" i="1"/>
  <c r="K88" i="1"/>
  <c r="S118" i="1"/>
  <c r="Q120" i="1"/>
  <c r="T120" i="1" s="1"/>
  <c r="S141" i="1"/>
  <c r="P143" i="1"/>
  <c r="S145" i="1"/>
  <c r="K151" i="1"/>
  <c r="M175" i="1"/>
  <c r="N176" i="1"/>
  <c r="T178" i="1"/>
  <c r="Q192" i="1"/>
  <c r="T192" i="1" s="1"/>
  <c r="S192" i="1"/>
  <c r="K238" i="1"/>
  <c r="N269" i="1"/>
  <c r="U270" i="1"/>
  <c r="T271" i="1"/>
  <c r="S272" i="1"/>
  <c r="R283" i="1"/>
  <c r="U283" i="1" s="1"/>
  <c r="L304" i="1"/>
  <c r="O304" i="1" s="1"/>
  <c r="Q305" i="1"/>
  <c r="Q309" i="1"/>
  <c r="T309" i="1" s="1"/>
  <c r="N322" i="1"/>
  <c r="N320" i="1" s="1"/>
  <c r="O324" i="1"/>
  <c r="T325" i="1"/>
  <c r="R336" i="1"/>
  <c r="U336" i="1" s="1"/>
  <c r="K346" i="1"/>
  <c r="S357" i="1"/>
  <c r="P360" i="1"/>
  <c r="U363" i="1"/>
  <c r="P379" i="1"/>
  <c r="Q381" i="1"/>
  <c r="T381" i="1" s="1"/>
  <c r="O383" i="1"/>
  <c r="R393" i="1"/>
  <c r="U393" i="1" s="1"/>
  <c r="L395" i="1"/>
  <c r="O395" i="1" s="1"/>
  <c r="U397" i="1"/>
  <c r="U400" i="1"/>
  <c r="L415" i="1"/>
  <c r="O415" i="1" s="1"/>
  <c r="J425" i="1"/>
  <c r="Q494" i="1"/>
  <c r="L496" i="1"/>
  <c r="O496" i="1" s="1"/>
  <c r="O498" i="1"/>
  <c r="U498" i="1"/>
  <c r="T501" i="1"/>
  <c r="M516" i="1"/>
  <c r="P516" i="1" s="1"/>
  <c r="T517" i="1"/>
  <c r="L558" i="1"/>
  <c r="O558" i="1" s="1"/>
  <c r="T560" i="1"/>
  <c r="P581" i="1"/>
  <c r="R582" i="1"/>
  <c r="U582" i="1" s="1"/>
  <c r="O583" i="1"/>
  <c r="L600" i="1"/>
  <c r="O600" i="1" s="1"/>
  <c r="S600" i="1"/>
  <c r="T603" i="1"/>
  <c r="R605" i="1"/>
  <c r="U605" i="1" s="1"/>
  <c r="O606" i="1"/>
  <c r="L644" i="1"/>
  <c r="O644" i="1" s="1"/>
  <c r="R645" i="1"/>
  <c r="L729" i="1"/>
  <c r="O729" i="1" s="1"/>
  <c r="S731" i="2"/>
  <c r="U731" i="2" s="1"/>
  <c r="T733" i="2"/>
  <c r="S730" i="2"/>
  <c r="I689" i="2"/>
  <c r="K689" i="2" s="1"/>
  <c r="K707" i="2"/>
  <c r="M576" i="2"/>
  <c r="P576" i="2" s="1"/>
  <c r="J503" i="2"/>
  <c r="J492" i="2" s="1"/>
  <c r="K504" i="2"/>
  <c r="O495" i="2"/>
  <c r="L493" i="2"/>
  <c r="O493" i="2" s="1"/>
  <c r="R493" i="2"/>
  <c r="U493" i="2" s="1"/>
  <c r="K371" i="2"/>
  <c r="I365" i="2"/>
  <c r="K365" i="2" s="1"/>
  <c r="O321" i="2"/>
  <c r="U45" i="2"/>
  <c r="R44" i="2"/>
  <c r="U44" i="2" s="1"/>
  <c r="O25" i="2"/>
  <c r="L19" i="2"/>
  <c r="R269" i="1"/>
  <c r="M540" i="1"/>
  <c r="P540" i="1" s="1"/>
  <c r="R78" i="1"/>
  <c r="U78" i="1" s="1"/>
  <c r="S579" i="1"/>
  <c r="Q600" i="1"/>
  <c r="L602" i="1"/>
  <c r="O602" i="1" s="1"/>
  <c r="S644" i="1"/>
  <c r="M728" i="2"/>
  <c r="P728" i="2" s="1"/>
  <c r="P729" i="2"/>
  <c r="M714" i="2"/>
  <c r="P714" i="2" s="1"/>
  <c r="P715" i="2"/>
  <c r="P514" i="2"/>
  <c r="M413" i="2"/>
  <c r="P413" i="2" s="1"/>
  <c r="P64" i="1"/>
  <c r="N78" i="1"/>
  <c r="Q96" i="1"/>
  <c r="Q94" i="1" s="1"/>
  <c r="N23" i="1"/>
  <c r="N123" i="1"/>
  <c r="L141" i="1"/>
  <c r="N163" i="1"/>
  <c r="S163" i="1"/>
  <c r="Q176" i="1"/>
  <c r="T176" i="1" s="1"/>
  <c r="Q188" i="1"/>
  <c r="N189" i="1"/>
  <c r="K221" i="1"/>
  <c r="L269" i="1"/>
  <c r="O269" i="1" s="1"/>
  <c r="P325" i="1"/>
  <c r="Q334" i="1"/>
  <c r="T334" i="1" s="1"/>
  <c r="N395" i="1"/>
  <c r="O397" i="1"/>
  <c r="J424" i="1"/>
  <c r="S493" i="1"/>
  <c r="Q495" i="1"/>
  <c r="T495" i="1" s="1"/>
  <c r="Q496" i="1"/>
  <c r="S496" i="1"/>
  <c r="P498" i="1"/>
  <c r="U517" i="1"/>
  <c r="M536" i="1"/>
  <c r="S540" i="1"/>
  <c r="Q556" i="1"/>
  <c r="U560" i="1"/>
  <c r="Q577" i="1"/>
  <c r="T577" i="1" s="1"/>
  <c r="M600" i="1"/>
  <c r="Q601" i="1"/>
  <c r="T601" i="1" s="1"/>
  <c r="R602" i="1"/>
  <c r="U602" i="1" s="1"/>
  <c r="P606" i="1"/>
  <c r="M644" i="1"/>
  <c r="P644" i="1" s="1"/>
  <c r="L643" i="1"/>
  <c r="S645" i="1"/>
  <c r="S643" i="1"/>
  <c r="Q648" i="1"/>
  <c r="T648" i="1" s="1"/>
  <c r="T649" i="1"/>
  <c r="S696" i="1"/>
  <c r="R696" i="1"/>
  <c r="U696" i="1" s="1"/>
  <c r="S720" i="1"/>
  <c r="K774" i="1"/>
  <c r="I759" i="1"/>
  <c r="K759" i="1" s="1"/>
  <c r="K774" i="2"/>
  <c r="I759" i="2"/>
  <c r="K759" i="2" s="1"/>
  <c r="R730" i="2"/>
  <c r="U733" i="2"/>
  <c r="K629" i="2"/>
  <c r="K626" i="2"/>
  <c r="K630" i="2"/>
  <c r="K631" i="2"/>
  <c r="P334" i="2"/>
  <c r="N362" i="1"/>
  <c r="N375" i="2"/>
  <c r="N187" i="1"/>
  <c r="J343" i="1"/>
  <c r="L416" i="1"/>
  <c r="O416" i="1" s="1"/>
  <c r="K84" i="1"/>
  <c r="M159" i="1"/>
  <c r="M163" i="1"/>
  <c r="P163" i="1" s="1"/>
  <c r="R176" i="1"/>
  <c r="U176" i="1" s="1"/>
  <c r="L179" i="1"/>
  <c r="O179" i="1" s="1"/>
  <c r="K314" i="1"/>
  <c r="M336" i="1"/>
  <c r="N339" i="1"/>
  <c r="R395" i="1"/>
  <c r="U395" i="1" s="1"/>
  <c r="R499" i="1"/>
  <c r="U499" i="1" s="1"/>
  <c r="S499" i="1"/>
  <c r="N519" i="1"/>
  <c r="R557" i="1"/>
  <c r="U557" i="1" s="1"/>
  <c r="S561" i="1"/>
  <c r="R577" i="1"/>
  <c r="U577" i="1" s="1"/>
  <c r="Q582" i="1"/>
  <c r="T582" i="1" s="1"/>
  <c r="R601" i="1"/>
  <c r="U601" i="1" s="1"/>
  <c r="Q605" i="1"/>
  <c r="T605" i="1" s="1"/>
  <c r="I615" i="1"/>
  <c r="M643" i="1"/>
  <c r="P646" i="1"/>
  <c r="T647" i="1"/>
  <c r="Q644" i="1"/>
  <c r="L648" i="1"/>
  <c r="O648" i="1" s="1"/>
  <c r="N691" i="1"/>
  <c r="N690" i="1" s="1"/>
  <c r="P694" i="1"/>
  <c r="M693" i="1"/>
  <c r="P693" i="1" s="1"/>
  <c r="P765" i="1"/>
  <c r="M762" i="1"/>
  <c r="P762" i="1" s="1"/>
  <c r="T376" i="2"/>
  <c r="O334" i="2"/>
  <c r="S618" i="1"/>
  <c r="K628" i="1"/>
  <c r="J654" i="1"/>
  <c r="K654" i="1" s="1"/>
  <c r="L693" i="1"/>
  <c r="O693" i="1" s="1"/>
  <c r="L696" i="1"/>
  <c r="O696" i="1" s="1"/>
  <c r="R731" i="1"/>
  <c r="U731" i="1" s="1"/>
  <c r="R734" i="1"/>
  <c r="U734" i="1" s="1"/>
  <c r="K703" i="2"/>
  <c r="T691" i="2"/>
  <c r="T643" i="2"/>
  <c r="T621" i="2"/>
  <c r="Q618" i="2"/>
  <c r="T618" i="2" s="1"/>
  <c r="U617" i="2"/>
  <c r="O617" i="2"/>
  <c r="M555" i="2"/>
  <c r="P555" i="2" s="1"/>
  <c r="L413" i="2"/>
  <c r="O413" i="2" s="1"/>
  <c r="O414" i="2"/>
  <c r="M375" i="2"/>
  <c r="P375" i="2" s="1"/>
  <c r="I374" i="2"/>
  <c r="N358" i="2"/>
  <c r="N356" i="2" s="1"/>
  <c r="O341" i="2"/>
  <c r="L339" i="2"/>
  <c r="O339" i="2" s="1"/>
  <c r="R320" i="2"/>
  <c r="U320" i="2" s="1"/>
  <c r="U321" i="2"/>
  <c r="L175" i="2"/>
  <c r="O178" i="2"/>
  <c r="L176" i="2"/>
  <c r="O176" i="2" s="1"/>
  <c r="T162" i="2"/>
  <c r="Q159" i="2"/>
  <c r="T159" i="2" s="1"/>
  <c r="Q160" i="2"/>
  <c r="T160" i="2" s="1"/>
  <c r="Q645" i="1"/>
  <c r="N648" i="1"/>
  <c r="K678" i="1"/>
  <c r="K681" i="1"/>
  <c r="K700" i="1"/>
  <c r="S766" i="1"/>
  <c r="K783" i="1"/>
  <c r="S555" i="2"/>
  <c r="L555" i="2"/>
  <c r="O555" i="2" s="1"/>
  <c r="O556" i="2"/>
  <c r="R513" i="2"/>
  <c r="U513" i="2" s="1"/>
  <c r="U414" i="2"/>
  <c r="I412" i="2"/>
  <c r="K412" i="2" s="1"/>
  <c r="Q378" i="2"/>
  <c r="T378" i="2" s="1"/>
  <c r="Q377" i="2"/>
  <c r="T380" i="2"/>
  <c r="L375" i="2"/>
  <c r="O375" i="2" s="1"/>
  <c r="O376" i="2"/>
  <c r="R333" i="2"/>
  <c r="U333" i="2" s="1"/>
  <c r="U334" i="2"/>
  <c r="P304" i="2"/>
  <c r="U267" i="2"/>
  <c r="K198" i="2"/>
  <c r="I195" i="2"/>
  <c r="K195" i="2" s="1"/>
  <c r="M189" i="2"/>
  <c r="M188" i="2"/>
  <c r="P191" i="2"/>
  <c r="S175" i="2"/>
  <c r="S173" i="2" s="1"/>
  <c r="S176" i="2"/>
  <c r="P144" i="2"/>
  <c r="M23" i="2"/>
  <c r="M21" i="2" s="1"/>
  <c r="M141" i="2"/>
  <c r="P141" i="2" s="1"/>
  <c r="M142" i="2"/>
  <c r="P142" i="2" s="1"/>
  <c r="P52" i="2"/>
  <c r="M50" i="2"/>
  <c r="P50" i="2" s="1"/>
  <c r="M731" i="1"/>
  <c r="P731" i="1" s="1"/>
  <c r="L731" i="1"/>
  <c r="O731" i="1" s="1"/>
  <c r="M734" i="1"/>
  <c r="P734" i="1" s="1"/>
  <c r="L734" i="1"/>
  <c r="O734" i="1" s="1"/>
  <c r="K744" i="1"/>
  <c r="S763" i="1"/>
  <c r="K781" i="1"/>
  <c r="R555" i="2"/>
  <c r="U555" i="2" s="1"/>
  <c r="U556" i="2"/>
  <c r="T414" i="2"/>
  <c r="O361" i="2"/>
  <c r="L359" i="2"/>
  <c r="O359" i="2" s="1"/>
  <c r="R356" i="2"/>
  <c r="U356" i="2" s="1"/>
  <c r="L284" i="2"/>
  <c r="S141" i="2"/>
  <c r="S139" i="2" s="1"/>
  <c r="S23" i="2"/>
  <c r="S20" i="2" s="1"/>
  <c r="S142" i="2"/>
  <c r="U22" i="2"/>
  <c r="R19" i="2"/>
  <c r="K749" i="1"/>
  <c r="K779" i="1"/>
  <c r="Q416" i="2"/>
  <c r="T416" i="2" s="1"/>
  <c r="Q415" i="2"/>
  <c r="T415" i="2" s="1"/>
  <c r="T418" i="2"/>
  <c r="U376" i="2"/>
  <c r="Q356" i="2"/>
  <c r="T356" i="2" s="1"/>
  <c r="P338" i="2"/>
  <c r="N336" i="2"/>
  <c r="P336" i="2" s="1"/>
  <c r="O325" i="2"/>
  <c r="L323" i="2"/>
  <c r="O323" i="2" s="1"/>
  <c r="L322" i="2"/>
  <c r="O322" i="2" s="1"/>
  <c r="O290" i="2"/>
  <c r="L288" i="2"/>
  <c r="O288" i="2" s="1"/>
  <c r="K503" i="2"/>
  <c r="U380" i="2"/>
  <c r="R377" i="2"/>
  <c r="P376" i="2"/>
  <c r="P361" i="2"/>
  <c r="T357" i="2"/>
  <c r="Q320" i="2"/>
  <c r="T320" i="2" s="1"/>
  <c r="T321" i="2"/>
  <c r="O285" i="2"/>
  <c r="L243" i="2"/>
  <c r="P194" i="2"/>
  <c r="M192" i="2"/>
  <c r="P192" i="2" s="1"/>
  <c r="L188" i="2"/>
  <c r="O191" i="2"/>
  <c r="L189" i="2"/>
  <c r="O187" i="2"/>
  <c r="R175" i="2"/>
  <c r="U178" i="2"/>
  <c r="R176" i="2"/>
  <c r="U176" i="2" s="1"/>
  <c r="P165" i="2"/>
  <c r="M159" i="2"/>
  <c r="M163" i="2"/>
  <c r="P163" i="2" s="1"/>
  <c r="T158" i="2"/>
  <c r="I137" i="2"/>
  <c r="K137" i="2" s="1"/>
  <c r="K152" i="2"/>
  <c r="Q119" i="2"/>
  <c r="Q96" i="2"/>
  <c r="S24" i="2"/>
  <c r="T22" i="2"/>
  <c r="Q19" i="2"/>
  <c r="O306" i="2"/>
  <c r="Q303" i="2"/>
  <c r="P283" i="2"/>
  <c r="P267" i="2"/>
  <c r="L254" i="2"/>
  <c r="O254" i="2" s="1"/>
  <c r="I213" i="2"/>
  <c r="K213" i="2" s="1"/>
  <c r="K220" i="2"/>
  <c r="O194" i="2"/>
  <c r="L192" i="2"/>
  <c r="O192" i="2" s="1"/>
  <c r="S188" i="2"/>
  <c r="S186" i="2" s="1"/>
  <c r="S189" i="2"/>
  <c r="N322" i="2"/>
  <c r="N320" i="2" s="1"/>
  <c r="N268" i="2"/>
  <c r="N266" i="2" s="1"/>
  <c r="O267" i="2"/>
  <c r="I238" i="2"/>
  <c r="K238" i="2" s="1"/>
  <c r="N232" i="2"/>
  <c r="U191" i="2"/>
  <c r="R189" i="2"/>
  <c r="L159" i="2"/>
  <c r="O162" i="2"/>
  <c r="Q120" i="2"/>
  <c r="Q97" i="2"/>
  <c r="T97" i="2" s="1"/>
  <c r="P19" i="2"/>
  <c r="P325" i="2"/>
  <c r="M323" i="2"/>
  <c r="P323" i="2" s="1"/>
  <c r="M322" i="2"/>
  <c r="P290" i="2"/>
  <c r="M288" i="2"/>
  <c r="P288" i="2" s="1"/>
  <c r="I253" i="2"/>
  <c r="K253" i="2" s="1"/>
  <c r="K260" i="2"/>
  <c r="R186" i="2"/>
  <c r="M175" i="2"/>
  <c r="P178" i="2"/>
  <c r="R159" i="2"/>
  <c r="U162" i="2"/>
  <c r="R160" i="2"/>
  <c r="U160" i="2" s="1"/>
  <c r="Q139" i="2"/>
  <c r="T139" i="2" s="1"/>
  <c r="N78" i="2"/>
  <c r="N26" i="2"/>
  <c r="N24" i="2" s="1"/>
  <c r="N47" i="2"/>
  <c r="P47" i="2" s="1"/>
  <c r="P49" i="2"/>
  <c r="N23" i="2"/>
  <c r="N46" i="2"/>
  <c r="N44" i="2" s="1"/>
  <c r="N305" i="2"/>
  <c r="N284" i="2"/>
  <c r="N282" i="2" s="1"/>
  <c r="S268" i="2"/>
  <c r="S266" i="2" s="1"/>
  <c r="M268" i="2"/>
  <c r="K249" i="2"/>
  <c r="I242" i="2"/>
  <c r="I172" i="2"/>
  <c r="K172" i="2" s="1"/>
  <c r="K109" i="2"/>
  <c r="N74" i="2"/>
  <c r="N72" i="2" s="1"/>
  <c r="P73" i="2"/>
  <c r="O52" i="2"/>
  <c r="L26" i="2"/>
  <c r="O26" i="2" s="1"/>
  <c r="L50" i="2"/>
  <c r="O50" i="2" s="1"/>
  <c r="M46" i="2"/>
  <c r="R24" i="2"/>
  <c r="U24" i="2" s="1"/>
  <c r="U25" i="2"/>
  <c r="S305" i="2"/>
  <c r="U305" i="2" s="1"/>
  <c r="M305" i="2"/>
  <c r="M284" i="2"/>
  <c r="M282" i="2" s="1"/>
  <c r="R268" i="2"/>
  <c r="L268" i="2"/>
  <c r="O268" i="2" s="1"/>
  <c r="M145" i="2"/>
  <c r="P145" i="2" s="1"/>
  <c r="Q142" i="2"/>
  <c r="T142" i="2" s="1"/>
  <c r="O67" i="2"/>
  <c r="L65" i="2"/>
  <c r="O65" i="2" s="1"/>
  <c r="M65" i="2"/>
  <c r="P65" i="2" s="1"/>
  <c r="M61" i="2"/>
  <c r="L46" i="2"/>
  <c r="P45" i="2"/>
  <c r="P22" i="2"/>
  <c r="M272" i="2"/>
  <c r="P272" i="2" s="1"/>
  <c r="M269" i="2"/>
  <c r="P269" i="2" s="1"/>
  <c r="Q189" i="2"/>
  <c r="T189" i="2" s="1"/>
  <c r="S72" i="2"/>
  <c r="L61" i="2"/>
  <c r="P60" i="2"/>
  <c r="O22" i="2"/>
  <c r="T191" i="2"/>
  <c r="R139" i="2"/>
  <c r="U139" i="2" s="1"/>
  <c r="I136" i="2"/>
  <c r="K136" i="2" s="1"/>
  <c r="P25" i="2"/>
  <c r="K127" i="2"/>
  <c r="R23" i="2"/>
  <c r="R21" i="2" s="1"/>
  <c r="L23" i="2"/>
  <c r="L21" i="2" s="1"/>
  <c r="Q23" i="2"/>
  <c r="O361" i="1"/>
  <c r="L358" i="1"/>
  <c r="L359" i="1"/>
  <c r="S22" i="1"/>
  <c r="M97" i="1"/>
  <c r="P99" i="1"/>
  <c r="M23" i="1"/>
  <c r="N26" i="1"/>
  <c r="I116" i="1"/>
  <c r="K116" i="1" s="1"/>
  <c r="K127" i="1"/>
  <c r="M142" i="1"/>
  <c r="P142" i="1" s="1"/>
  <c r="P144" i="1"/>
  <c r="M145" i="1"/>
  <c r="P145" i="1" s="1"/>
  <c r="P147" i="1"/>
  <c r="S160" i="1"/>
  <c r="N179" i="1"/>
  <c r="N174" i="1"/>
  <c r="S187" i="1"/>
  <c r="U190" i="1"/>
  <c r="R189" i="1"/>
  <c r="R187" i="1"/>
  <c r="S269" i="1"/>
  <c r="L322" i="1"/>
  <c r="O325" i="1"/>
  <c r="O562" i="1"/>
  <c r="L561" i="1"/>
  <c r="O561" i="1" s="1"/>
  <c r="S97" i="1"/>
  <c r="S23" i="1"/>
  <c r="T99" i="1"/>
  <c r="M120" i="1"/>
  <c r="P120" i="1" s="1"/>
  <c r="P121" i="1"/>
  <c r="T307" i="1"/>
  <c r="Q306" i="1"/>
  <c r="T306" i="1" s="1"/>
  <c r="Q304" i="1"/>
  <c r="J758" i="1"/>
  <c r="K758" i="1" s="1"/>
  <c r="K772" i="1"/>
  <c r="O162" i="1"/>
  <c r="L160" i="1"/>
  <c r="O289" i="1"/>
  <c r="L288" i="1"/>
  <c r="O288" i="1" s="1"/>
  <c r="S288" i="1"/>
  <c r="T101" i="1"/>
  <c r="Q25" i="1"/>
  <c r="Q100" i="1"/>
  <c r="T100" i="1" s="1"/>
  <c r="M123" i="1"/>
  <c r="P123" i="1" s="1"/>
  <c r="P124" i="1"/>
  <c r="S176" i="1"/>
  <c r="S174" i="1"/>
  <c r="J202" i="1"/>
  <c r="K202" i="1" s="1"/>
  <c r="K209" i="1"/>
  <c r="Q358" i="1"/>
  <c r="T358" i="1" s="1"/>
  <c r="O380" i="1"/>
  <c r="L377" i="1"/>
  <c r="L378" i="1"/>
  <c r="O378" i="1" s="1"/>
  <c r="M25" i="1"/>
  <c r="S60" i="1"/>
  <c r="P66" i="1"/>
  <c r="M65" i="1"/>
  <c r="P65" i="1" s="1"/>
  <c r="S73" i="1"/>
  <c r="M78" i="1"/>
  <c r="P78" i="1" s="1"/>
  <c r="P79" i="1"/>
  <c r="T98" i="1"/>
  <c r="Q22" i="1"/>
  <c r="Q97" i="1"/>
  <c r="U102" i="1"/>
  <c r="R26" i="1"/>
  <c r="U26" i="1" s="1"/>
  <c r="M118" i="1"/>
  <c r="T143" i="1"/>
  <c r="Q142" i="1"/>
  <c r="T142" i="1" s="1"/>
  <c r="T146" i="1"/>
  <c r="Q145" i="1"/>
  <c r="T145" i="1" s="1"/>
  <c r="K152" i="1"/>
  <c r="O164" i="1"/>
  <c r="L163" i="1"/>
  <c r="O163" i="1" s="1"/>
  <c r="L158" i="1"/>
  <c r="O177" i="1"/>
  <c r="L176" i="1"/>
  <c r="L174" i="1"/>
  <c r="K198" i="1"/>
  <c r="I195" i="1"/>
  <c r="K195" i="1" s="1"/>
  <c r="K229" i="1"/>
  <c r="M284" i="1"/>
  <c r="L283" i="1"/>
  <c r="S284" i="1"/>
  <c r="S339" i="1"/>
  <c r="S334" i="1"/>
  <c r="L556" i="1"/>
  <c r="T95" i="1"/>
  <c r="O102" i="1"/>
  <c r="L26" i="1"/>
  <c r="O26" i="1" s="1"/>
  <c r="P273" i="1"/>
  <c r="M272" i="1"/>
  <c r="P272" i="1" s="1"/>
  <c r="P327" i="1"/>
  <c r="M326" i="1"/>
  <c r="P326" i="1" s="1"/>
  <c r="M321" i="1"/>
  <c r="M62" i="1"/>
  <c r="P63" i="1"/>
  <c r="P76" i="1"/>
  <c r="M75" i="1"/>
  <c r="S96" i="1"/>
  <c r="O99" i="1"/>
  <c r="L23" i="1"/>
  <c r="M100" i="1"/>
  <c r="P100" i="1" s="1"/>
  <c r="P102" i="1"/>
  <c r="M26" i="1"/>
  <c r="P26" i="1" s="1"/>
  <c r="K167" i="1"/>
  <c r="I168" i="1"/>
  <c r="I156" i="1"/>
  <c r="K156" i="1" s="1"/>
  <c r="T308" i="1"/>
  <c r="Q23" i="1"/>
  <c r="S322" i="1"/>
  <c r="S323" i="1"/>
  <c r="P45" i="1"/>
  <c r="I82" i="1"/>
  <c r="M96" i="1"/>
  <c r="U164" i="1"/>
  <c r="R158" i="1"/>
  <c r="R163" i="1"/>
  <c r="U163" i="1" s="1"/>
  <c r="M60" i="1"/>
  <c r="M73" i="1"/>
  <c r="U99" i="1"/>
  <c r="R23" i="1"/>
  <c r="S100" i="1"/>
  <c r="S26" i="1"/>
  <c r="N118" i="1"/>
  <c r="U162" i="1"/>
  <c r="R160" i="1"/>
  <c r="U160" i="1" s="1"/>
  <c r="O187" i="1"/>
  <c r="L186" i="1"/>
  <c r="U193" i="1"/>
  <c r="R192" i="1"/>
  <c r="U192" i="1" s="1"/>
  <c r="K220" i="1"/>
  <c r="K276" i="1"/>
  <c r="M285" i="1"/>
  <c r="O287" i="1"/>
  <c r="L284" i="1"/>
  <c r="L326" i="1"/>
  <c r="O326" i="1" s="1"/>
  <c r="O327" i="1"/>
  <c r="O340" i="1"/>
  <c r="L339" i="1"/>
  <c r="O339" i="1" s="1"/>
  <c r="L334" i="1"/>
  <c r="Q26" i="1"/>
  <c r="T26" i="1" s="1"/>
  <c r="Q46" i="1"/>
  <c r="L95" i="1"/>
  <c r="R95" i="1"/>
  <c r="S335" i="1"/>
  <c r="S381" i="1"/>
  <c r="S376" i="1"/>
  <c r="U418" i="1"/>
  <c r="R416" i="1"/>
  <c r="U416" i="1" s="1"/>
  <c r="R415" i="1"/>
  <c r="Q519" i="1"/>
  <c r="T519" i="1" s="1"/>
  <c r="T521" i="1"/>
  <c r="R179" i="1"/>
  <c r="U179" i="1" s="1"/>
  <c r="I172" i="1"/>
  <c r="K172" i="1" s="1"/>
  <c r="K183" i="1"/>
  <c r="N188" i="1"/>
  <c r="P190" i="1"/>
  <c r="M189" i="1"/>
  <c r="P191" i="1"/>
  <c r="T191" i="1"/>
  <c r="O193" i="1"/>
  <c r="L192" i="1"/>
  <c r="O192" i="1" s="1"/>
  <c r="M267" i="1"/>
  <c r="M269" i="1"/>
  <c r="Q272" i="1"/>
  <c r="T272" i="1" s="1"/>
  <c r="R284" i="1"/>
  <c r="U284" i="1" s="1"/>
  <c r="T286" i="1"/>
  <c r="Q285" i="1"/>
  <c r="T285" i="1" s="1"/>
  <c r="S305" i="1"/>
  <c r="S336" i="1"/>
  <c r="L335" i="1"/>
  <c r="O335" i="1" s="1"/>
  <c r="O338" i="1"/>
  <c r="P382" i="1"/>
  <c r="M381" i="1"/>
  <c r="P381" i="1" s="1"/>
  <c r="M398" i="1"/>
  <c r="P398" i="1" s="1"/>
  <c r="P399" i="1"/>
  <c r="M393" i="1"/>
  <c r="U521" i="1"/>
  <c r="R515" i="1"/>
  <c r="R519" i="1"/>
  <c r="U519" i="1" s="1"/>
  <c r="S536" i="1"/>
  <c r="S537" i="1"/>
  <c r="Q61" i="1"/>
  <c r="Q158" i="1"/>
  <c r="P177" i="1"/>
  <c r="M176" i="1"/>
  <c r="T283" i="1"/>
  <c r="R306" i="1"/>
  <c r="U306" i="1" s="1"/>
  <c r="U308" i="1"/>
  <c r="R305" i="1"/>
  <c r="L97" i="1"/>
  <c r="R97" i="1"/>
  <c r="L100" i="1"/>
  <c r="O100" i="1" s="1"/>
  <c r="R100" i="1"/>
  <c r="U100" i="1" s="1"/>
  <c r="L142" i="1"/>
  <c r="O142" i="1" s="1"/>
  <c r="R142" i="1"/>
  <c r="U142" i="1" s="1"/>
  <c r="L145" i="1"/>
  <c r="O145" i="1" s="1"/>
  <c r="R145" i="1"/>
  <c r="U145" i="1" s="1"/>
  <c r="Q160" i="1"/>
  <c r="T160" i="1" s="1"/>
  <c r="Q187" i="1"/>
  <c r="P193" i="1"/>
  <c r="M192" i="1"/>
  <c r="P192" i="1" s="1"/>
  <c r="N267" i="1"/>
  <c r="N266" i="1" s="1"/>
  <c r="Q268" i="1"/>
  <c r="U286" i="1"/>
  <c r="R285" i="1"/>
  <c r="U285" i="1" s="1"/>
  <c r="T289" i="1"/>
  <c r="Q288" i="1"/>
  <c r="T288" i="1" s="1"/>
  <c r="K296" i="1"/>
  <c r="O308" i="1"/>
  <c r="L305" i="1"/>
  <c r="S309" i="1"/>
  <c r="R326" i="1"/>
  <c r="U326" i="1" s="1"/>
  <c r="R378" i="1"/>
  <c r="U380" i="1"/>
  <c r="R377" i="1"/>
  <c r="M394" i="1"/>
  <c r="P394" i="1" s="1"/>
  <c r="P397" i="1"/>
  <c r="U497" i="1"/>
  <c r="R494" i="1"/>
  <c r="R496" i="1"/>
  <c r="L537" i="1"/>
  <c r="O537" i="1" s="1"/>
  <c r="O539" i="1"/>
  <c r="L536" i="1"/>
  <c r="S558" i="1"/>
  <c r="S556" i="1"/>
  <c r="Q74" i="1"/>
  <c r="Q119" i="1"/>
  <c r="L140" i="1"/>
  <c r="R140" i="1"/>
  <c r="O190" i="1"/>
  <c r="L189" i="1"/>
  <c r="L22" i="1"/>
  <c r="R22" i="1"/>
  <c r="L25" i="1"/>
  <c r="R25" i="1"/>
  <c r="N158" i="1"/>
  <c r="Q163" i="1"/>
  <c r="T163" i="1" s="1"/>
  <c r="P180" i="1"/>
  <c r="M179" i="1"/>
  <c r="P179" i="1" s="1"/>
  <c r="O286" i="1"/>
  <c r="L285" i="1"/>
  <c r="U289" i="1"/>
  <c r="R288" i="1"/>
  <c r="U288" i="1" s="1"/>
  <c r="I280" i="1"/>
  <c r="K280" i="1" s="1"/>
  <c r="K293" i="1"/>
  <c r="P308" i="1"/>
  <c r="M305" i="1"/>
  <c r="P310" i="1"/>
  <c r="M309" i="1"/>
  <c r="P309" i="1" s="1"/>
  <c r="M323" i="1"/>
  <c r="R322" i="1"/>
  <c r="U322" i="1" s="1"/>
  <c r="U325" i="1"/>
  <c r="S326" i="1"/>
  <c r="S321" i="1"/>
  <c r="T328" i="1"/>
  <c r="Q322" i="1"/>
  <c r="T322" i="1" s="1"/>
  <c r="M335" i="1"/>
  <c r="U340" i="1"/>
  <c r="R339" i="1"/>
  <c r="U339" i="1" s="1"/>
  <c r="S377" i="1"/>
  <c r="I456" i="1"/>
  <c r="K456" i="1" s="1"/>
  <c r="K457" i="1"/>
  <c r="J467" i="1"/>
  <c r="I484" i="1"/>
  <c r="K484" i="1" s="1"/>
  <c r="J475" i="1"/>
  <c r="P340" i="1"/>
  <c r="M339" i="1"/>
  <c r="P339" i="1" s="1"/>
  <c r="P380" i="1"/>
  <c r="M377" i="1"/>
  <c r="P377" i="1" s="1"/>
  <c r="Q395" i="1"/>
  <c r="T395" i="1" s="1"/>
  <c r="Q393" i="1"/>
  <c r="T396" i="1"/>
  <c r="I492" i="1"/>
  <c r="K492" i="1" s="1"/>
  <c r="K503" i="1"/>
  <c r="N514" i="1"/>
  <c r="Q516" i="1"/>
  <c r="T516" i="1" s="1"/>
  <c r="T518" i="1"/>
  <c r="Q515" i="1"/>
  <c r="N556" i="1"/>
  <c r="P562" i="1"/>
  <c r="M561" i="1"/>
  <c r="P561" i="1" s="1"/>
  <c r="T620" i="1"/>
  <c r="Q619" i="1"/>
  <c r="Q617" i="1"/>
  <c r="L323" i="1"/>
  <c r="R323" i="1"/>
  <c r="U323" i="1" s="1"/>
  <c r="L336" i="1"/>
  <c r="Q359" i="1"/>
  <c r="T359" i="1" s="1"/>
  <c r="T361" i="1"/>
  <c r="P364" i="1"/>
  <c r="M358" i="1"/>
  <c r="T379" i="1"/>
  <c r="Q378" i="1"/>
  <c r="Q376" i="1"/>
  <c r="I374" i="1"/>
  <c r="K374" i="1" s="1"/>
  <c r="K385" i="1"/>
  <c r="Q416" i="1"/>
  <c r="T416" i="1" s="1"/>
  <c r="T417" i="1"/>
  <c r="O500" i="1"/>
  <c r="L499" i="1"/>
  <c r="O499" i="1" s="1"/>
  <c r="T541" i="1"/>
  <c r="Q540" i="1"/>
  <c r="T540" i="1" s="1"/>
  <c r="U581" i="1"/>
  <c r="R578" i="1"/>
  <c r="U578" i="1" s="1"/>
  <c r="S362" i="1"/>
  <c r="T363" i="1"/>
  <c r="Q362" i="1"/>
  <c r="T362" i="1" s="1"/>
  <c r="Q357" i="1"/>
  <c r="T380" i="1"/>
  <c r="P421" i="1"/>
  <c r="M419" i="1"/>
  <c r="P419" i="1" s="1"/>
  <c r="P494" i="1"/>
  <c r="N496" i="1"/>
  <c r="N494" i="1"/>
  <c r="P500" i="1"/>
  <c r="M499" i="1"/>
  <c r="P499" i="1" s="1"/>
  <c r="Q535" i="1"/>
  <c r="R537" i="1"/>
  <c r="U537" i="1" s="1"/>
  <c r="U539" i="1"/>
  <c r="R536" i="1"/>
  <c r="U559" i="1"/>
  <c r="R556" i="1"/>
  <c r="O581" i="1"/>
  <c r="L578" i="1"/>
  <c r="O578" i="1" s="1"/>
  <c r="L579" i="1"/>
  <c r="O579" i="1" s="1"/>
  <c r="S395" i="1"/>
  <c r="L398" i="1"/>
  <c r="O398" i="1" s="1"/>
  <c r="T420" i="1"/>
  <c r="Q419" i="1"/>
  <c r="T419" i="1" s="1"/>
  <c r="N499" i="1"/>
  <c r="R540" i="1"/>
  <c r="U540" i="1" s="1"/>
  <c r="U542" i="1"/>
  <c r="M395" i="1"/>
  <c r="P395" i="1" s="1"/>
  <c r="T538" i="1"/>
  <c r="Q537" i="1"/>
  <c r="T537" i="1" s="1"/>
  <c r="P559" i="1"/>
  <c r="M558" i="1"/>
  <c r="P558" i="1" s="1"/>
  <c r="P621" i="1"/>
  <c r="M618" i="1"/>
  <c r="P618" i="1" s="1"/>
  <c r="N645" i="1"/>
  <c r="N643" i="1"/>
  <c r="S398" i="1"/>
  <c r="I423" i="1"/>
  <c r="K440" i="1"/>
  <c r="J477" i="1"/>
  <c r="P497" i="1"/>
  <c r="M496" i="1"/>
  <c r="P496" i="1" s="1"/>
  <c r="L515" i="1"/>
  <c r="L540" i="1"/>
  <c r="O540" i="1" s="1"/>
  <c r="O542" i="1"/>
  <c r="N558" i="1"/>
  <c r="R561" i="1"/>
  <c r="U561" i="1" s="1"/>
  <c r="N579" i="1"/>
  <c r="N577" i="1"/>
  <c r="T581" i="1"/>
  <c r="Q578" i="1"/>
  <c r="T578" i="1" s="1"/>
  <c r="O584" i="1"/>
  <c r="L582" i="1"/>
  <c r="O582" i="1" s="1"/>
  <c r="S622" i="1"/>
  <c r="O761" i="1"/>
  <c r="Q579" i="1"/>
  <c r="T579" i="1" s="1"/>
  <c r="U764" i="1"/>
  <c r="R763" i="1"/>
  <c r="U767" i="1"/>
  <c r="R766" i="1"/>
  <c r="U766" i="1" s="1"/>
  <c r="S619" i="1"/>
  <c r="J727" i="1"/>
  <c r="K727" i="1" s="1"/>
  <c r="K752" i="1"/>
  <c r="U621" i="1"/>
  <c r="T621" i="1"/>
  <c r="T623" i="1"/>
  <c r="Q622" i="1"/>
  <c r="T622" i="1" s="1"/>
  <c r="J689" i="1"/>
  <c r="K689" i="1" s="1"/>
  <c r="K707" i="1"/>
  <c r="O764" i="1"/>
  <c r="L763" i="1"/>
  <c r="O763" i="1" s="1"/>
  <c r="O767" i="1"/>
  <c r="L766" i="1"/>
  <c r="O766" i="1" s="1"/>
  <c r="I701" i="1"/>
  <c r="L619" i="1"/>
  <c r="O619" i="1" s="1"/>
  <c r="R619" i="1"/>
  <c r="L622" i="1"/>
  <c r="O622" i="1" s="1"/>
  <c r="R622" i="1"/>
  <c r="U622" i="1" s="1"/>
  <c r="K630" i="1"/>
  <c r="M763" i="1"/>
  <c r="P763" i="1" s="1"/>
  <c r="M766" i="1"/>
  <c r="P766" i="1" s="1"/>
  <c r="M619" i="1"/>
  <c r="P619" i="1" s="1"/>
  <c r="M622" i="1"/>
  <c r="P622" i="1" s="1"/>
  <c r="O692" i="1"/>
  <c r="Q693" i="1"/>
  <c r="T693" i="1" s="1"/>
  <c r="O695" i="1"/>
  <c r="U695" i="1"/>
  <c r="Q696" i="1"/>
  <c r="T696" i="1" s="1"/>
  <c r="O698" i="1"/>
  <c r="U698" i="1"/>
  <c r="U716" i="1"/>
  <c r="Q717" i="1"/>
  <c r="T717" i="1" s="1"/>
  <c r="O719" i="1"/>
  <c r="U719" i="1"/>
  <c r="Q720" i="1"/>
  <c r="T720" i="1" s="1"/>
  <c r="O722" i="1"/>
  <c r="U722" i="1"/>
  <c r="Q731" i="1"/>
  <c r="T731" i="1" s="1"/>
  <c r="O733" i="1"/>
  <c r="U733" i="1"/>
  <c r="Q734" i="1"/>
  <c r="T734" i="1" s="1"/>
  <c r="O736" i="1"/>
  <c r="U736" i="1"/>
  <c r="U693" i="1" l="1"/>
  <c r="R760" i="1"/>
  <c r="M186" i="1"/>
  <c r="S72" i="1"/>
  <c r="O188" i="3"/>
  <c r="P284" i="13"/>
  <c r="O157" i="3"/>
  <c r="P336" i="3"/>
  <c r="O59" i="15"/>
  <c r="M117" i="16"/>
  <c r="P117" i="16" s="1"/>
  <c r="P268" i="17"/>
  <c r="Q72" i="14"/>
  <c r="T72" i="14" s="1"/>
  <c r="T645" i="17"/>
  <c r="R413" i="18"/>
  <c r="U413" i="18" s="1"/>
  <c r="T306" i="18"/>
  <c r="M94" i="17"/>
  <c r="P94" i="17" s="1"/>
  <c r="T306" i="15"/>
  <c r="R642" i="16"/>
  <c r="U642" i="16" s="1"/>
  <c r="T120" i="18"/>
  <c r="Q157" i="16"/>
  <c r="T157" i="16" s="1"/>
  <c r="R493" i="15"/>
  <c r="U493" i="15" s="1"/>
  <c r="P305" i="16"/>
  <c r="U378" i="17"/>
  <c r="T378" i="17"/>
  <c r="U306" i="16"/>
  <c r="T690" i="17"/>
  <c r="K83" i="18"/>
  <c r="U693" i="14"/>
  <c r="U189" i="17"/>
  <c r="P335" i="16"/>
  <c r="T189" i="17"/>
  <c r="L117" i="18"/>
  <c r="O117" i="18" s="1"/>
  <c r="O359" i="18"/>
  <c r="P359" i="18"/>
  <c r="O305" i="18"/>
  <c r="K374" i="18"/>
  <c r="K701" i="17"/>
  <c r="K332" i="18"/>
  <c r="P358" i="18"/>
  <c r="M117" i="17"/>
  <c r="P117" i="17" s="1"/>
  <c r="U692" i="18"/>
  <c r="L72" i="17"/>
  <c r="O72" i="17" s="1"/>
  <c r="O335" i="17"/>
  <c r="O47" i="17"/>
  <c r="U378" i="18"/>
  <c r="O305" i="16"/>
  <c r="Q493" i="16"/>
  <c r="T493" i="16" s="1"/>
  <c r="U693" i="18"/>
  <c r="K701" i="18"/>
  <c r="O173" i="18"/>
  <c r="P266" i="18"/>
  <c r="P141" i="17"/>
  <c r="U120" i="18"/>
  <c r="P75" i="1"/>
  <c r="O72" i="16"/>
  <c r="P303" i="17"/>
  <c r="T763" i="18"/>
  <c r="L266" i="18"/>
  <c r="O266" i="18" s="1"/>
  <c r="M139" i="16"/>
  <c r="P139" i="16" s="1"/>
  <c r="O59" i="17"/>
  <c r="L24" i="18"/>
  <c r="O24" i="18" s="1"/>
  <c r="P141" i="18"/>
  <c r="O322" i="18"/>
  <c r="U306" i="18"/>
  <c r="L157" i="14"/>
  <c r="O157" i="14" s="1"/>
  <c r="M320" i="17"/>
  <c r="P320" i="17" s="1"/>
  <c r="L513" i="18"/>
  <c r="O513" i="18" s="1"/>
  <c r="P305" i="17"/>
  <c r="P139" i="17"/>
  <c r="U306" i="17"/>
  <c r="O75" i="1"/>
  <c r="M513" i="16"/>
  <c r="P513" i="16" s="1"/>
  <c r="N266" i="17"/>
  <c r="P266" i="17" s="1"/>
  <c r="I231" i="18"/>
  <c r="T189" i="1"/>
  <c r="T728" i="13"/>
  <c r="T97" i="14"/>
  <c r="T377" i="14"/>
  <c r="U97" i="14"/>
  <c r="Q157" i="17"/>
  <c r="T157" i="17" s="1"/>
  <c r="R173" i="17"/>
  <c r="U173" i="17" s="1"/>
  <c r="P335" i="18"/>
  <c r="T266" i="18"/>
  <c r="N356" i="18"/>
  <c r="P356" i="18" s="1"/>
  <c r="O46" i="14"/>
  <c r="I71" i="15"/>
  <c r="K71" i="15" s="1"/>
  <c r="Q642" i="16"/>
  <c r="T642" i="16" s="1"/>
  <c r="O335" i="18"/>
  <c r="U188" i="11"/>
  <c r="T97" i="15"/>
  <c r="T306" i="16"/>
  <c r="T692" i="18"/>
  <c r="T493" i="18"/>
  <c r="U189" i="1"/>
  <c r="U97" i="15"/>
  <c r="K701" i="16"/>
  <c r="S186" i="17"/>
  <c r="U186" i="17" s="1"/>
  <c r="P306" i="17"/>
  <c r="O157" i="18"/>
  <c r="O358" i="18"/>
  <c r="T495" i="18"/>
  <c r="P175" i="11"/>
  <c r="R493" i="11"/>
  <c r="U493" i="11" s="1"/>
  <c r="S186" i="15"/>
  <c r="U186" i="15" s="1"/>
  <c r="O284" i="18"/>
  <c r="O282" i="18"/>
  <c r="N333" i="18"/>
  <c r="O333" i="18" s="1"/>
  <c r="T415" i="18"/>
  <c r="U619" i="18"/>
  <c r="T269" i="18"/>
  <c r="T644" i="17"/>
  <c r="U269" i="13"/>
  <c r="O358" i="16"/>
  <c r="O141" i="17"/>
  <c r="U642" i="18"/>
  <c r="U266" i="18"/>
  <c r="L513" i="15"/>
  <c r="O513" i="15" s="1"/>
  <c r="P46" i="17"/>
  <c r="P47" i="17"/>
  <c r="Q375" i="17"/>
  <c r="T375" i="17" s="1"/>
  <c r="R690" i="17"/>
  <c r="U690" i="17" s="1"/>
  <c r="P74" i="18"/>
  <c r="P268" i="18"/>
  <c r="M24" i="18"/>
  <c r="P24" i="18" s="1"/>
  <c r="P305" i="18"/>
  <c r="M303" i="18"/>
  <c r="P303" i="18" s="1"/>
  <c r="T120" i="16"/>
  <c r="L266" i="16"/>
  <c r="O266" i="16" s="1"/>
  <c r="L320" i="17"/>
  <c r="O320" i="17" s="1"/>
  <c r="T74" i="18"/>
  <c r="O142" i="14"/>
  <c r="U692" i="16"/>
  <c r="N333" i="17"/>
  <c r="O333" i="17" s="1"/>
  <c r="L513" i="17"/>
  <c r="O513" i="17" s="1"/>
  <c r="U120" i="17"/>
  <c r="Q303" i="18"/>
  <c r="T303" i="18" s="1"/>
  <c r="O159" i="18"/>
  <c r="P142" i="18"/>
  <c r="O188" i="18"/>
  <c r="P322" i="18"/>
  <c r="U618" i="18"/>
  <c r="T266" i="16"/>
  <c r="T690" i="16"/>
  <c r="U266" i="16"/>
  <c r="O305" i="17"/>
  <c r="R413" i="17"/>
  <c r="U413" i="17" s="1"/>
  <c r="T616" i="18"/>
  <c r="T762" i="18"/>
  <c r="M94" i="18"/>
  <c r="P94" i="18" s="1"/>
  <c r="P96" i="18"/>
  <c r="M117" i="18"/>
  <c r="P117" i="18" s="1"/>
  <c r="P119" i="18"/>
  <c r="P358" i="13"/>
  <c r="Q157" i="15"/>
  <c r="T157" i="15" s="1"/>
  <c r="O59" i="16"/>
  <c r="U731" i="16"/>
  <c r="T692" i="16"/>
  <c r="U269" i="17"/>
  <c r="P356" i="17"/>
  <c r="T616" i="17"/>
  <c r="O285" i="17"/>
  <c r="U645" i="17"/>
  <c r="P46" i="18"/>
  <c r="L94" i="18"/>
  <c r="O94" i="18" s="1"/>
  <c r="U616" i="18"/>
  <c r="T693" i="17"/>
  <c r="T618" i="18"/>
  <c r="S72" i="18"/>
  <c r="U72" i="18" s="1"/>
  <c r="P306" i="18"/>
  <c r="P189" i="13"/>
  <c r="L94" i="16"/>
  <c r="O94" i="16" s="1"/>
  <c r="M513" i="17"/>
  <c r="P513" i="17" s="1"/>
  <c r="Q413" i="17"/>
  <c r="T413" i="17" s="1"/>
  <c r="P269" i="17"/>
  <c r="U618" i="17"/>
  <c r="P61" i="18"/>
  <c r="O323" i="18"/>
  <c r="U730" i="18"/>
  <c r="U159" i="18"/>
  <c r="R157" i="18"/>
  <c r="U157" i="18" s="1"/>
  <c r="Q139" i="18"/>
  <c r="T139" i="18" s="1"/>
  <c r="T141" i="18"/>
  <c r="U268" i="18"/>
  <c r="P175" i="18"/>
  <c r="M173" i="18"/>
  <c r="P173" i="18" s="1"/>
  <c r="O96" i="17"/>
  <c r="N44" i="17"/>
  <c r="P44" i="17" s="1"/>
  <c r="U763" i="17"/>
  <c r="P23" i="18"/>
  <c r="M20" i="18"/>
  <c r="M21" i="18"/>
  <c r="L59" i="18"/>
  <c r="O59" i="18" s="1"/>
  <c r="O61" i="18"/>
  <c r="U19" i="18"/>
  <c r="M157" i="18"/>
  <c r="P157" i="18" s="1"/>
  <c r="P159" i="18"/>
  <c r="U188" i="18"/>
  <c r="J492" i="18"/>
  <c r="K492" i="18" s="1"/>
  <c r="K503" i="18"/>
  <c r="U375" i="18"/>
  <c r="T186" i="18"/>
  <c r="O141" i="16"/>
  <c r="U618" i="16"/>
  <c r="L24" i="17"/>
  <c r="O24" i="17" s="1"/>
  <c r="T268" i="17"/>
  <c r="O284" i="17"/>
  <c r="O141" i="18"/>
  <c r="S18" i="18"/>
  <c r="O175" i="18"/>
  <c r="O74" i="18"/>
  <c r="N21" i="18"/>
  <c r="O21" i="18" s="1"/>
  <c r="N20" i="18"/>
  <c r="N18" i="18" s="1"/>
  <c r="Q728" i="18"/>
  <c r="T728" i="18" s="1"/>
  <c r="T730" i="18"/>
  <c r="R20" i="18"/>
  <c r="U20" i="18" s="1"/>
  <c r="U23" i="18"/>
  <c r="P59" i="18"/>
  <c r="P320" i="18"/>
  <c r="T269" i="14"/>
  <c r="N20" i="16"/>
  <c r="N18" i="16" s="1"/>
  <c r="O139" i="17"/>
  <c r="R72" i="17"/>
  <c r="U72" i="17" s="1"/>
  <c r="P61" i="17"/>
  <c r="U642" i="17"/>
  <c r="L266" i="17"/>
  <c r="O266" i="17" s="1"/>
  <c r="R21" i="18"/>
  <c r="N139" i="18"/>
  <c r="O186" i="18"/>
  <c r="L44" i="18"/>
  <c r="O46" i="18"/>
  <c r="T188" i="18"/>
  <c r="O72" i="18"/>
  <c r="U496" i="18"/>
  <c r="U377" i="18"/>
  <c r="O320" i="18"/>
  <c r="L232" i="18"/>
  <c r="O243" i="18"/>
  <c r="K82" i="18"/>
  <c r="I70" i="18"/>
  <c r="K70" i="18" s="1"/>
  <c r="U495" i="18"/>
  <c r="R493" i="18"/>
  <c r="U493" i="18" s="1"/>
  <c r="S599" i="1"/>
  <c r="O358" i="13"/>
  <c r="L320" i="15"/>
  <c r="O320" i="15" s="1"/>
  <c r="I231" i="16"/>
  <c r="K231" i="16" s="1"/>
  <c r="R139" i="17"/>
  <c r="U139" i="17" s="1"/>
  <c r="P159" i="17"/>
  <c r="Q20" i="18"/>
  <c r="T23" i="18"/>
  <c r="Q21" i="18"/>
  <c r="P139" i="18"/>
  <c r="P186" i="18"/>
  <c r="R139" i="18"/>
  <c r="U139" i="18" s="1"/>
  <c r="S21" i="18"/>
  <c r="O303" i="18"/>
  <c r="U644" i="18"/>
  <c r="P515" i="18"/>
  <c r="M513" i="18"/>
  <c r="P513" i="18" s="1"/>
  <c r="T690" i="18"/>
  <c r="R760" i="18"/>
  <c r="U760" i="18" s="1"/>
  <c r="U762" i="18"/>
  <c r="T644" i="18"/>
  <c r="S21" i="17"/>
  <c r="U21" i="17" s="1"/>
  <c r="R616" i="17"/>
  <c r="U616" i="17" s="1"/>
  <c r="L20" i="18"/>
  <c r="O23" i="18"/>
  <c r="U186" i="18"/>
  <c r="M44" i="18"/>
  <c r="P188" i="18"/>
  <c r="M72" i="18"/>
  <c r="P72" i="18" s="1"/>
  <c r="O19" i="18"/>
  <c r="M282" i="18"/>
  <c r="P282" i="18" s="1"/>
  <c r="P284" i="18"/>
  <c r="L356" i="18"/>
  <c r="T377" i="18"/>
  <c r="Q375" i="18"/>
  <c r="T375" i="18" s="1"/>
  <c r="R728" i="18"/>
  <c r="U728" i="18" s="1"/>
  <c r="T642" i="18"/>
  <c r="M513" i="14"/>
  <c r="P513" i="14" s="1"/>
  <c r="U728" i="15"/>
  <c r="U616" i="16"/>
  <c r="P173" i="17"/>
  <c r="U117" i="17"/>
  <c r="O173" i="17"/>
  <c r="T306" i="12"/>
  <c r="U97" i="13"/>
  <c r="T94" i="15"/>
  <c r="I71" i="16"/>
  <c r="K71" i="16" s="1"/>
  <c r="P356" i="16"/>
  <c r="I70" i="16"/>
  <c r="K70" i="16" s="1"/>
  <c r="L513" i="16"/>
  <c r="O513" i="16" s="1"/>
  <c r="U693" i="16"/>
  <c r="K253" i="16"/>
  <c r="Q760" i="16"/>
  <c r="T760" i="16" s="1"/>
  <c r="P175" i="17"/>
  <c r="S266" i="17"/>
  <c r="T266" i="17" s="1"/>
  <c r="M72" i="17"/>
  <c r="P72" i="17" s="1"/>
  <c r="T645" i="16"/>
  <c r="T120" i="17"/>
  <c r="S690" i="11"/>
  <c r="U690" i="11" s="1"/>
  <c r="I412" i="15"/>
  <c r="K412" i="15" s="1"/>
  <c r="P358" i="16"/>
  <c r="R493" i="16"/>
  <c r="U493" i="16" s="1"/>
  <c r="T117" i="17"/>
  <c r="M157" i="17"/>
  <c r="P157" i="17" s="1"/>
  <c r="K374" i="17"/>
  <c r="R493" i="17"/>
  <c r="U493" i="17" s="1"/>
  <c r="P59" i="17"/>
  <c r="T730" i="9"/>
  <c r="O62" i="14"/>
  <c r="O356" i="16"/>
  <c r="K374" i="16"/>
  <c r="T618" i="16"/>
  <c r="O175" i="16"/>
  <c r="N20" i="17"/>
  <c r="N18" i="17" s="1"/>
  <c r="O306" i="17"/>
  <c r="L282" i="17"/>
  <c r="O282" i="17" s="1"/>
  <c r="T760" i="17"/>
  <c r="P335" i="17"/>
  <c r="T618" i="17"/>
  <c r="U644" i="17"/>
  <c r="T642" i="17"/>
  <c r="O175" i="17"/>
  <c r="O74" i="15"/>
  <c r="U94" i="15"/>
  <c r="T728" i="15"/>
  <c r="T730" i="15"/>
  <c r="O46" i="16"/>
  <c r="R690" i="16"/>
  <c r="U690" i="16" s="1"/>
  <c r="O61" i="17"/>
  <c r="O142" i="17"/>
  <c r="R303" i="17"/>
  <c r="U303" i="17" s="1"/>
  <c r="L117" i="17"/>
  <c r="O117" i="17" s="1"/>
  <c r="Q72" i="17"/>
  <c r="T72" i="17" s="1"/>
  <c r="T74" i="17"/>
  <c r="U19" i="17"/>
  <c r="I70" i="17"/>
  <c r="K70" i="17" s="1"/>
  <c r="K82" i="17"/>
  <c r="P23" i="17"/>
  <c r="M20" i="17"/>
  <c r="O188" i="17"/>
  <c r="N186" i="17"/>
  <c r="O303" i="17"/>
  <c r="U760" i="17"/>
  <c r="P358" i="12"/>
  <c r="O284" i="13"/>
  <c r="T269" i="16"/>
  <c r="T763" i="16"/>
  <c r="Q20" i="17"/>
  <c r="T20" i="17" s="1"/>
  <c r="T23" i="17"/>
  <c r="M282" i="17"/>
  <c r="P282" i="17" s="1"/>
  <c r="P284" i="17"/>
  <c r="K423" i="17"/>
  <c r="I412" i="17"/>
  <c r="K412" i="17" s="1"/>
  <c r="T19" i="17"/>
  <c r="T730" i="17"/>
  <c r="U189" i="13"/>
  <c r="O359" i="16"/>
  <c r="O159" i="16"/>
  <c r="T730" i="16"/>
  <c r="N21" i="17"/>
  <c r="P142" i="17"/>
  <c r="P188" i="17"/>
  <c r="L356" i="17"/>
  <c r="O356" i="17" s="1"/>
  <c r="O358" i="17"/>
  <c r="M333" i="17"/>
  <c r="T762" i="17"/>
  <c r="U72" i="14"/>
  <c r="I70" i="15"/>
  <c r="K70" i="15" s="1"/>
  <c r="P359" i="16"/>
  <c r="P173" i="16"/>
  <c r="K83" i="17"/>
  <c r="I71" i="17"/>
  <c r="K71" i="17" s="1"/>
  <c r="Q303" i="17"/>
  <c r="T303" i="17" s="1"/>
  <c r="T305" i="17"/>
  <c r="Q186" i="17"/>
  <c r="T188" i="17"/>
  <c r="I231" i="17"/>
  <c r="Q21" i="17"/>
  <c r="S728" i="17"/>
  <c r="T728" i="17" s="1"/>
  <c r="T619" i="15"/>
  <c r="R760" i="16"/>
  <c r="U760" i="16" s="1"/>
  <c r="T728" i="16"/>
  <c r="U269" i="16"/>
  <c r="O23" i="17"/>
  <c r="L20" i="17"/>
  <c r="O46" i="17"/>
  <c r="T175" i="17"/>
  <c r="Q173" i="17"/>
  <c r="T173" i="17" s="1"/>
  <c r="L232" i="17"/>
  <c r="O243" i="17"/>
  <c r="U762" i="17"/>
  <c r="I71" i="10"/>
  <c r="K71" i="10" s="1"/>
  <c r="O157" i="13"/>
  <c r="T266" i="14"/>
  <c r="T72" i="15"/>
  <c r="U730" i="15"/>
  <c r="R173" i="16"/>
  <c r="U173" i="16" s="1"/>
  <c r="R413" i="16"/>
  <c r="U413" i="16" s="1"/>
  <c r="M21" i="17"/>
  <c r="U23" i="17"/>
  <c r="R20" i="17"/>
  <c r="U20" i="17" s="1"/>
  <c r="L21" i="17"/>
  <c r="M24" i="17"/>
  <c r="P24" i="17" s="1"/>
  <c r="O62" i="17"/>
  <c r="R375" i="17"/>
  <c r="U375" i="17" s="1"/>
  <c r="L157" i="17"/>
  <c r="O157" i="17" s="1"/>
  <c r="O159" i="17"/>
  <c r="T269" i="17"/>
  <c r="P358" i="17"/>
  <c r="P139" i="14"/>
  <c r="I71" i="14"/>
  <c r="K71" i="14" s="1"/>
  <c r="T760" i="15"/>
  <c r="M94" i="16"/>
  <c r="P94" i="16" s="1"/>
  <c r="K423" i="16"/>
  <c r="I412" i="16"/>
  <c r="K412" i="16" s="1"/>
  <c r="L117" i="16"/>
  <c r="O117" i="16" s="1"/>
  <c r="O141" i="11"/>
  <c r="P188" i="13"/>
  <c r="O175" i="11"/>
  <c r="N20" i="14"/>
  <c r="N18" i="14" s="1"/>
  <c r="T619" i="14"/>
  <c r="Q616" i="16"/>
  <c r="T616" i="16" s="1"/>
  <c r="U642" i="15"/>
  <c r="S690" i="13"/>
  <c r="T690" i="13" s="1"/>
  <c r="U74" i="15"/>
  <c r="U120" i="16"/>
  <c r="P268" i="16"/>
  <c r="O335" i="16"/>
  <c r="P175" i="16"/>
  <c r="U692" i="13"/>
  <c r="T189" i="15"/>
  <c r="M303" i="15"/>
  <c r="P303" i="15" s="1"/>
  <c r="O62" i="15"/>
  <c r="O356" i="13"/>
  <c r="L173" i="16"/>
  <c r="O173" i="16" s="1"/>
  <c r="U74" i="16"/>
  <c r="L21" i="16"/>
  <c r="L20" i="16"/>
  <c r="O23" i="16"/>
  <c r="P19" i="16"/>
  <c r="O61" i="16"/>
  <c r="Q375" i="16"/>
  <c r="T375" i="16" s="1"/>
  <c r="T377" i="16"/>
  <c r="L232" i="16"/>
  <c r="O243" i="16"/>
  <c r="U730" i="16"/>
  <c r="R728" i="16"/>
  <c r="U728" i="16" s="1"/>
  <c r="T119" i="13"/>
  <c r="M186" i="13"/>
  <c r="P186" i="13" s="1"/>
  <c r="P141" i="14"/>
  <c r="P268" i="14"/>
  <c r="O188" i="15"/>
  <c r="L266" i="15"/>
  <c r="O266" i="15" s="1"/>
  <c r="U644" i="15"/>
  <c r="T616" i="15"/>
  <c r="P285" i="15"/>
  <c r="R21" i="16"/>
  <c r="R20" i="16"/>
  <c r="U23" i="16"/>
  <c r="M24" i="16"/>
  <c r="P24" i="16" s="1"/>
  <c r="U188" i="16"/>
  <c r="P266" i="16"/>
  <c r="L157" i="16"/>
  <c r="O157" i="16" s="1"/>
  <c r="U305" i="16"/>
  <c r="R303" i="16"/>
  <c r="U303" i="16" s="1"/>
  <c r="M356" i="13"/>
  <c r="P356" i="13" s="1"/>
  <c r="O141" i="14"/>
  <c r="Q375" i="13"/>
  <c r="T375" i="13" s="1"/>
  <c r="P175" i="15"/>
  <c r="M44" i="16"/>
  <c r="P46" i="16"/>
  <c r="T19" i="16"/>
  <c r="O44" i="16"/>
  <c r="T72" i="16"/>
  <c r="N333" i="16"/>
  <c r="N40" i="16" s="1"/>
  <c r="T188" i="16"/>
  <c r="P159" i="16"/>
  <c r="M157" i="16"/>
  <c r="P157" i="16" s="1"/>
  <c r="Q413" i="16"/>
  <c r="T413" i="16" s="1"/>
  <c r="T415" i="16"/>
  <c r="T305" i="16"/>
  <c r="Q303" i="16"/>
  <c r="T303" i="16" s="1"/>
  <c r="T175" i="15"/>
  <c r="Q173" i="15"/>
  <c r="T173" i="15" s="1"/>
  <c r="K332" i="16"/>
  <c r="K332" i="10"/>
  <c r="U94" i="10"/>
  <c r="L266" i="11"/>
  <c r="O266" i="11" s="1"/>
  <c r="P61" i="12"/>
  <c r="O284" i="12"/>
  <c r="P284" i="12"/>
  <c r="U618" i="13"/>
  <c r="O188" i="13"/>
  <c r="P142" i="14"/>
  <c r="O285" i="14"/>
  <c r="U303" i="14"/>
  <c r="Q493" i="14"/>
  <c r="T493" i="14" s="1"/>
  <c r="L513" i="14"/>
  <c r="O513" i="14" s="1"/>
  <c r="I185" i="15"/>
  <c r="K185" i="15" s="1"/>
  <c r="R375" i="15"/>
  <c r="U375" i="15" s="1"/>
  <c r="R72" i="15"/>
  <c r="U72" i="15" s="1"/>
  <c r="M59" i="16"/>
  <c r="P59" i="16" s="1"/>
  <c r="P61" i="16"/>
  <c r="P23" i="16"/>
  <c r="M20" i="16"/>
  <c r="P188" i="16"/>
  <c r="M186" i="16"/>
  <c r="P186" i="16" s="1"/>
  <c r="L24" i="16"/>
  <c r="O24" i="16" s="1"/>
  <c r="O26" i="16"/>
  <c r="M320" i="16"/>
  <c r="P320" i="16" s="1"/>
  <c r="T186" i="16"/>
  <c r="R375" i="16"/>
  <c r="U375" i="16" s="1"/>
  <c r="K701" i="12"/>
  <c r="O119" i="13"/>
  <c r="O285" i="13"/>
  <c r="L94" i="14"/>
  <c r="O94" i="14" s="1"/>
  <c r="K332" i="15"/>
  <c r="O159" i="15"/>
  <c r="K701" i="15"/>
  <c r="Q20" i="16"/>
  <c r="T20" i="16" s="1"/>
  <c r="T23" i="16"/>
  <c r="Q21" i="16"/>
  <c r="M72" i="16"/>
  <c r="P72" i="16" s="1"/>
  <c r="P74" i="16"/>
  <c r="O74" i="16"/>
  <c r="O284" i="16"/>
  <c r="L282" i="16"/>
  <c r="O282" i="16" s="1"/>
  <c r="S18" i="16"/>
  <c r="T378" i="16"/>
  <c r="L320" i="16"/>
  <c r="O320" i="16" s="1"/>
  <c r="O186" i="16"/>
  <c r="S690" i="10"/>
  <c r="T690" i="10" s="1"/>
  <c r="O189" i="13"/>
  <c r="U120" i="15"/>
  <c r="O285" i="15"/>
  <c r="P186" i="15"/>
  <c r="O46" i="15"/>
  <c r="O157" i="15"/>
  <c r="U269" i="15"/>
  <c r="N21" i="16"/>
  <c r="P21" i="16" s="1"/>
  <c r="S21" i="16"/>
  <c r="T74" i="16"/>
  <c r="Q173" i="16"/>
  <c r="T173" i="16" s="1"/>
  <c r="R186" i="16"/>
  <c r="U186" i="16" s="1"/>
  <c r="P284" i="16"/>
  <c r="M282" i="16"/>
  <c r="P282" i="16" s="1"/>
  <c r="O188" i="16"/>
  <c r="U189" i="12"/>
  <c r="P173" i="15"/>
  <c r="U188" i="15"/>
  <c r="O358" i="15"/>
  <c r="L139" i="15"/>
  <c r="O139" i="15" s="1"/>
  <c r="O141" i="15"/>
  <c r="P268" i="15"/>
  <c r="O188" i="4"/>
  <c r="T97" i="9"/>
  <c r="M59" i="12"/>
  <c r="P59" i="12" s="1"/>
  <c r="U762" i="12"/>
  <c r="L94" i="12"/>
  <c r="O94" i="12" s="1"/>
  <c r="O335" i="13"/>
  <c r="O72" i="14"/>
  <c r="M94" i="14"/>
  <c r="P94" i="14" s="1"/>
  <c r="I231" i="14"/>
  <c r="K231" i="14" s="1"/>
  <c r="P305" i="14"/>
  <c r="Q139" i="15"/>
  <c r="T139" i="15" s="1"/>
  <c r="K374" i="15"/>
  <c r="T692" i="15"/>
  <c r="M266" i="15"/>
  <c r="P266" i="15" s="1"/>
  <c r="R173" i="13"/>
  <c r="U173" i="13" s="1"/>
  <c r="U306" i="15"/>
  <c r="T762" i="15"/>
  <c r="T303" i="12"/>
  <c r="L157" i="12"/>
  <c r="O157" i="12" s="1"/>
  <c r="L117" i="14"/>
  <c r="O117" i="14" s="1"/>
  <c r="K374" i="14"/>
  <c r="U760" i="13"/>
  <c r="T97" i="13"/>
  <c r="O186" i="15"/>
  <c r="M139" i="15"/>
  <c r="P139" i="15" s="1"/>
  <c r="O356" i="15"/>
  <c r="P282" i="15"/>
  <c r="M320" i="15"/>
  <c r="P320" i="15" s="1"/>
  <c r="P284" i="15"/>
  <c r="U97" i="10"/>
  <c r="K701" i="11"/>
  <c r="P160" i="12"/>
  <c r="M356" i="12"/>
  <c r="P356" i="12" s="1"/>
  <c r="O46" i="13"/>
  <c r="P176" i="13"/>
  <c r="I185" i="13"/>
  <c r="K185" i="13" s="1"/>
  <c r="M266" i="14"/>
  <c r="P266" i="14" s="1"/>
  <c r="K332" i="14"/>
  <c r="U306" i="14"/>
  <c r="O96" i="15"/>
  <c r="T763" i="15"/>
  <c r="P282" i="14"/>
  <c r="R21" i="15"/>
  <c r="R20" i="15"/>
  <c r="U23" i="15"/>
  <c r="T19" i="15"/>
  <c r="O44" i="15"/>
  <c r="T305" i="15"/>
  <c r="Q303" i="15"/>
  <c r="T303" i="15" s="1"/>
  <c r="R616" i="15"/>
  <c r="U616" i="15" s="1"/>
  <c r="U618" i="15"/>
  <c r="R690" i="15"/>
  <c r="U690" i="15" s="1"/>
  <c r="U692" i="15"/>
  <c r="L173" i="15"/>
  <c r="O173" i="15" s="1"/>
  <c r="O175" i="15"/>
  <c r="Q266" i="15"/>
  <c r="T266" i="15" s="1"/>
  <c r="T268" i="15"/>
  <c r="O188" i="10"/>
  <c r="M44" i="15"/>
  <c r="P46" i="15"/>
  <c r="P23" i="15"/>
  <c r="M20" i="15"/>
  <c r="T74" i="15"/>
  <c r="M117" i="15"/>
  <c r="P117" i="15" s="1"/>
  <c r="R157" i="15"/>
  <c r="U157" i="15" s="1"/>
  <c r="U159" i="15"/>
  <c r="M513" i="15"/>
  <c r="P513" i="15" s="1"/>
  <c r="O333" i="15"/>
  <c r="L139" i="9"/>
  <c r="O139" i="9" s="1"/>
  <c r="U762" i="13"/>
  <c r="T189" i="14"/>
  <c r="O336" i="14"/>
  <c r="U730" i="14"/>
  <c r="T730" i="14"/>
  <c r="M59" i="15"/>
  <c r="P59" i="15" s="1"/>
  <c r="P61" i="15"/>
  <c r="P159" i="15"/>
  <c r="M157" i="15"/>
  <c r="P157" i="15" s="1"/>
  <c r="L24" i="15"/>
  <c r="O24" i="15" s="1"/>
  <c r="O26" i="15"/>
  <c r="O61" i="15"/>
  <c r="T119" i="15"/>
  <c r="Q117" i="15"/>
  <c r="T117" i="15" s="1"/>
  <c r="P335" i="15"/>
  <c r="M333" i="15"/>
  <c r="P333" i="15" s="1"/>
  <c r="L232" i="15"/>
  <c r="O243" i="15"/>
  <c r="P358" i="15"/>
  <c r="M356" i="15"/>
  <c r="P356" i="15" s="1"/>
  <c r="O335" i="15"/>
  <c r="P62" i="1"/>
  <c r="M139" i="9"/>
  <c r="P139" i="9" s="1"/>
  <c r="O159" i="11"/>
  <c r="O285" i="12"/>
  <c r="M72" i="15"/>
  <c r="P74" i="15"/>
  <c r="S21" i="15"/>
  <c r="O94" i="15"/>
  <c r="R173" i="15"/>
  <c r="U173" i="15" s="1"/>
  <c r="U175" i="15"/>
  <c r="Q642" i="15"/>
  <c r="T642" i="15" s="1"/>
  <c r="T644" i="15"/>
  <c r="S18" i="15"/>
  <c r="T495" i="15"/>
  <c r="Q493" i="15"/>
  <c r="T493" i="15" s="1"/>
  <c r="Q690" i="15"/>
  <c r="T690" i="15" s="1"/>
  <c r="P188" i="15"/>
  <c r="T618" i="13"/>
  <c r="T762" i="13"/>
  <c r="P284" i="14"/>
  <c r="O282" i="14"/>
  <c r="P333" i="14"/>
  <c r="Q20" i="15"/>
  <c r="T20" i="15" s="1"/>
  <c r="T23" i="15"/>
  <c r="Q21" i="15"/>
  <c r="N21" i="15"/>
  <c r="P21" i="15" s="1"/>
  <c r="N20" i="15"/>
  <c r="N18" i="15" s="1"/>
  <c r="L117" i="15"/>
  <c r="O117" i="15" s="1"/>
  <c r="O119" i="15"/>
  <c r="P19" i="15"/>
  <c r="R117" i="15"/>
  <c r="U117" i="15" s="1"/>
  <c r="U119" i="15"/>
  <c r="P94" i="15"/>
  <c r="L282" i="15"/>
  <c r="O282" i="15" s="1"/>
  <c r="O284" i="15"/>
  <c r="Q413" i="15"/>
  <c r="T413" i="15" s="1"/>
  <c r="L303" i="15"/>
  <c r="O303" i="15" s="1"/>
  <c r="O305" i="15"/>
  <c r="Q375" i="15"/>
  <c r="T375" i="15" s="1"/>
  <c r="T377" i="15"/>
  <c r="L493" i="1"/>
  <c r="O493" i="1" s="1"/>
  <c r="P285" i="12"/>
  <c r="Q413" i="12"/>
  <c r="T413" i="12" s="1"/>
  <c r="S760" i="12"/>
  <c r="U760" i="12" s="1"/>
  <c r="T693" i="13"/>
  <c r="O335" i="14"/>
  <c r="L21" i="15"/>
  <c r="L20" i="15"/>
  <c r="O23" i="15"/>
  <c r="M24" i="15"/>
  <c r="P24" i="15" s="1"/>
  <c r="N72" i="15"/>
  <c r="O72" i="15" s="1"/>
  <c r="P96" i="15"/>
  <c r="R303" i="15"/>
  <c r="U303" i="15" s="1"/>
  <c r="U305" i="15"/>
  <c r="P189" i="15"/>
  <c r="R760" i="15"/>
  <c r="U760" i="15" s="1"/>
  <c r="P359" i="9"/>
  <c r="T189" i="10"/>
  <c r="O356" i="11"/>
  <c r="P159" i="12"/>
  <c r="L72" i="13"/>
  <c r="O72" i="13" s="1"/>
  <c r="T306" i="13"/>
  <c r="U762" i="14"/>
  <c r="U728" i="13"/>
  <c r="T693" i="5"/>
  <c r="I185" i="12"/>
  <c r="K185" i="12" s="1"/>
  <c r="P188" i="12"/>
  <c r="M303" i="12"/>
  <c r="P303" i="12" s="1"/>
  <c r="K242" i="13"/>
  <c r="P359" i="13"/>
  <c r="R690" i="13"/>
  <c r="S616" i="13"/>
  <c r="U616" i="13" s="1"/>
  <c r="K701" i="13"/>
  <c r="P175" i="14"/>
  <c r="P188" i="14"/>
  <c r="O284" i="14"/>
  <c r="Q728" i="14"/>
  <c r="T728" i="14" s="1"/>
  <c r="R728" i="14"/>
  <c r="U728" i="14" s="1"/>
  <c r="U75" i="14"/>
  <c r="U619" i="10"/>
  <c r="M513" i="13"/>
  <c r="P513" i="13" s="1"/>
  <c r="I231" i="11"/>
  <c r="K231" i="11" s="1"/>
  <c r="Q139" i="14"/>
  <c r="T139" i="14" s="1"/>
  <c r="M320" i="14"/>
  <c r="P320" i="14" s="1"/>
  <c r="R690" i="14"/>
  <c r="U690" i="14" s="1"/>
  <c r="Q303" i="14"/>
  <c r="T303" i="14" s="1"/>
  <c r="P335" i="14"/>
  <c r="U762" i="6"/>
  <c r="K374" i="9"/>
  <c r="T730" i="12"/>
  <c r="P157" i="12"/>
  <c r="O175" i="14"/>
  <c r="O305" i="14"/>
  <c r="L303" i="14"/>
  <c r="O303" i="14" s="1"/>
  <c r="T415" i="14"/>
  <c r="Q413" i="14"/>
  <c r="T413" i="14" s="1"/>
  <c r="U693" i="10"/>
  <c r="K82" i="11"/>
  <c r="P21" i="12"/>
  <c r="K242" i="12"/>
  <c r="L232" i="13"/>
  <c r="R642" i="13"/>
  <c r="U642" i="13" s="1"/>
  <c r="U269" i="14"/>
  <c r="U189" i="14"/>
  <c r="T119" i="14"/>
  <c r="U119" i="14"/>
  <c r="O243" i="14"/>
  <c r="L232" i="14"/>
  <c r="U19" i="14"/>
  <c r="T269" i="12"/>
  <c r="P175" i="13"/>
  <c r="O358" i="14"/>
  <c r="L356" i="14"/>
  <c r="O356" i="14" s="1"/>
  <c r="R375" i="8"/>
  <c r="U375" i="8" s="1"/>
  <c r="U730" i="9"/>
  <c r="T119" i="10"/>
  <c r="T175" i="9"/>
  <c r="I71" i="11"/>
  <c r="K71" i="11" s="1"/>
  <c r="T72" i="12"/>
  <c r="U730" i="12"/>
  <c r="T728" i="12"/>
  <c r="U94" i="13"/>
  <c r="N21" i="14"/>
  <c r="O21" i="14" s="1"/>
  <c r="P61" i="14"/>
  <c r="L173" i="14"/>
  <c r="O173" i="14" s="1"/>
  <c r="N44" i="14"/>
  <c r="P44" i="14" s="1"/>
  <c r="M117" i="14"/>
  <c r="P117" i="14" s="1"/>
  <c r="O268" i="14"/>
  <c r="L266" i="14"/>
  <c r="O266" i="14" s="1"/>
  <c r="P74" i="14"/>
  <c r="L139" i="14"/>
  <c r="O139" i="14" s="1"/>
  <c r="R760" i="14"/>
  <c r="U760" i="14" s="1"/>
  <c r="P159" i="14"/>
  <c r="U619" i="14"/>
  <c r="P23" i="14"/>
  <c r="M20" i="14"/>
  <c r="U728" i="12"/>
  <c r="M24" i="14"/>
  <c r="P24" i="14" s="1"/>
  <c r="O61" i="14"/>
  <c r="L59" i="14"/>
  <c r="O59" i="14" s="1"/>
  <c r="K423" i="10"/>
  <c r="T72" i="11"/>
  <c r="U186" i="13"/>
  <c r="U306" i="13"/>
  <c r="L20" i="14"/>
  <c r="O23" i="14"/>
  <c r="P157" i="14"/>
  <c r="N186" i="14"/>
  <c r="P186" i="14" s="1"/>
  <c r="P72" i="14"/>
  <c r="S18" i="14"/>
  <c r="U415" i="14"/>
  <c r="R413" i="14"/>
  <c r="U413" i="14" s="1"/>
  <c r="R616" i="14"/>
  <c r="U618" i="14"/>
  <c r="P61" i="13"/>
  <c r="O175" i="13"/>
  <c r="S616" i="14"/>
  <c r="T616" i="14" s="1"/>
  <c r="O285" i="9"/>
  <c r="P285" i="9"/>
  <c r="O96" i="9"/>
  <c r="L320" i="10"/>
  <c r="O320" i="10" s="1"/>
  <c r="T97" i="11"/>
  <c r="U119" i="13"/>
  <c r="M139" i="13"/>
  <c r="P139" i="13" s="1"/>
  <c r="R20" i="14"/>
  <c r="U20" i="14" s="1"/>
  <c r="U23" i="14"/>
  <c r="P59" i="14"/>
  <c r="O188" i="14"/>
  <c r="O74" i="14"/>
  <c r="S21" i="14"/>
  <c r="U21" i="14" s="1"/>
  <c r="L320" i="14"/>
  <c r="O320" i="14" s="1"/>
  <c r="K701" i="14"/>
  <c r="T762" i="14"/>
  <c r="K82" i="14"/>
  <c r="I70" i="14"/>
  <c r="K70" i="14" s="1"/>
  <c r="T760" i="14"/>
  <c r="U692" i="12"/>
  <c r="Q642" i="14"/>
  <c r="T642" i="14" s="1"/>
  <c r="T644" i="14"/>
  <c r="K374" i="2"/>
  <c r="P358" i="11"/>
  <c r="R642" i="12"/>
  <c r="U642" i="12" s="1"/>
  <c r="M24" i="13"/>
  <c r="P24" i="13" s="1"/>
  <c r="T731" i="13"/>
  <c r="Q20" i="14"/>
  <c r="T20" i="14" s="1"/>
  <c r="T23" i="14"/>
  <c r="Q21" i="14"/>
  <c r="T19" i="14"/>
  <c r="L24" i="14"/>
  <c r="O24" i="14" s="1"/>
  <c r="M21" i="14"/>
  <c r="S117" i="14"/>
  <c r="T117" i="14" s="1"/>
  <c r="M173" i="14"/>
  <c r="P173" i="14" s="1"/>
  <c r="P46" i="14"/>
  <c r="P285" i="14"/>
  <c r="R642" i="14"/>
  <c r="U642" i="14" s="1"/>
  <c r="M356" i="14"/>
  <c r="P356" i="14" s="1"/>
  <c r="P358" i="14"/>
  <c r="Q690" i="14"/>
  <c r="T690" i="14" s="1"/>
  <c r="T692" i="14"/>
  <c r="L333" i="14"/>
  <c r="O333" i="14" s="1"/>
  <c r="U268" i="14"/>
  <c r="R266" i="14"/>
  <c r="U266" i="14" s="1"/>
  <c r="I412" i="14"/>
  <c r="K412" i="14" s="1"/>
  <c r="K423" i="14"/>
  <c r="S18" i="13"/>
  <c r="N44" i="13"/>
  <c r="O44" i="13" s="1"/>
  <c r="L139" i="11"/>
  <c r="O139" i="11" s="1"/>
  <c r="U269" i="12"/>
  <c r="M117" i="13"/>
  <c r="P117" i="13" s="1"/>
  <c r="M282" i="13"/>
  <c r="P282" i="13" s="1"/>
  <c r="O358" i="12"/>
  <c r="O141" i="13"/>
  <c r="L139" i="13"/>
  <c r="O139" i="13" s="1"/>
  <c r="Q760" i="13"/>
  <c r="T760" i="13" s="1"/>
  <c r="P282" i="10"/>
  <c r="O142" i="11"/>
  <c r="P268" i="11"/>
  <c r="T119" i="12"/>
  <c r="T377" i="12"/>
  <c r="P46" i="13"/>
  <c r="S117" i="13"/>
  <c r="T117" i="13" s="1"/>
  <c r="O61" i="13"/>
  <c r="R303" i="13"/>
  <c r="U303" i="13" s="1"/>
  <c r="L513" i="13"/>
  <c r="O513" i="13" s="1"/>
  <c r="P175" i="10"/>
  <c r="P266" i="11"/>
  <c r="S21" i="13"/>
  <c r="O159" i="13"/>
  <c r="L186" i="13"/>
  <c r="O186" i="13" s="1"/>
  <c r="Q642" i="13"/>
  <c r="T642" i="13" s="1"/>
  <c r="U189" i="10"/>
  <c r="L94" i="13"/>
  <c r="O94" i="13" s="1"/>
  <c r="T94" i="13"/>
  <c r="T303" i="13"/>
  <c r="M94" i="13"/>
  <c r="P94" i="13" s="1"/>
  <c r="U731" i="13"/>
  <c r="O61" i="11"/>
  <c r="T19" i="13"/>
  <c r="N21" i="13"/>
  <c r="O21" i="13" s="1"/>
  <c r="N20" i="13"/>
  <c r="N18" i="13" s="1"/>
  <c r="R20" i="13"/>
  <c r="U20" i="13" s="1"/>
  <c r="U23" i="13"/>
  <c r="T159" i="13"/>
  <c r="Q157" i="13"/>
  <c r="T157" i="13" s="1"/>
  <c r="T188" i="13"/>
  <c r="Q186" i="13"/>
  <c r="T186" i="13" s="1"/>
  <c r="R21" i="13"/>
  <c r="L303" i="13"/>
  <c r="O303" i="13" s="1"/>
  <c r="R266" i="13"/>
  <c r="U266" i="13" s="1"/>
  <c r="Q493" i="13"/>
  <c r="T493" i="13" s="1"/>
  <c r="Q20" i="13"/>
  <c r="T20" i="13" s="1"/>
  <c r="T23" i="13"/>
  <c r="Q21" i="13"/>
  <c r="Q413" i="13"/>
  <c r="T413" i="13" s="1"/>
  <c r="T415" i="13"/>
  <c r="L157" i="10"/>
  <c r="O157" i="10" s="1"/>
  <c r="P358" i="10"/>
  <c r="T306" i="11"/>
  <c r="S186" i="12"/>
  <c r="T186" i="12" s="1"/>
  <c r="P141" i="12"/>
  <c r="U188" i="12"/>
  <c r="O282" i="12"/>
  <c r="T616" i="12"/>
  <c r="P173" i="12"/>
  <c r="P23" i="13"/>
  <c r="M20" i="13"/>
  <c r="M18" i="13" s="1"/>
  <c r="Q173" i="13"/>
  <c r="T173" i="13" s="1"/>
  <c r="M21" i="13"/>
  <c r="U117" i="13"/>
  <c r="M303" i="13"/>
  <c r="P303" i="13" s="1"/>
  <c r="M173" i="13"/>
  <c r="P173" i="13" s="1"/>
  <c r="M320" i="13"/>
  <c r="P320" i="13" s="1"/>
  <c r="Q616" i="13"/>
  <c r="O19" i="13"/>
  <c r="O322" i="13"/>
  <c r="L320" i="13"/>
  <c r="O320" i="13" s="1"/>
  <c r="R157" i="10"/>
  <c r="U157" i="10" s="1"/>
  <c r="O74" i="10"/>
  <c r="T306" i="10"/>
  <c r="R303" i="10"/>
  <c r="U303" i="10" s="1"/>
  <c r="P266" i="10"/>
  <c r="P141" i="11"/>
  <c r="Q117" i="11"/>
  <c r="T117" i="11" s="1"/>
  <c r="O119" i="12"/>
  <c r="O305" i="11"/>
  <c r="O186" i="12"/>
  <c r="P266" i="12"/>
  <c r="P159" i="13"/>
  <c r="M157" i="13"/>
  <c r="P157" i="13" s="1"/>
  <c r="M44" i="13"/>
  <c r="P268" i="13"/>
  <c r="M266" i="13"/>
  <c r="P266" i="13" s="1"/>
  <c r="L333" i="13"/>
  <c r="O333" i="13" s="1"/>
  <c r="M72" i="13"/>
  <c r="P72" i="13" s="1"/>
  <c r="O359" i="13"/>
  <c r="K82" i="13"/>
  <c r="I70" i="13"/>
  <c r="K70" i="13" s="1"/>
  <c r="R375" i="13"/>
  <c r="U375" i="13" s="1"/>
  <c r="U377" i="13"/>
  <c r="U415" i="13"/>
  <c r="R413" i="13"/>
  <c r="U413" i="13" s="1"/>
  <c r="N59" i="13"/>
  <c r="O59" i="13" s="1"/>
  <c r="U306" i="10"/>
  <c r="O358" i="10"/>
  <c r="U97" i="11"/>
  <c r="U306" i="11"/>
  <c r="L266" i="12"/>
  <c r="O266" i="12" s="1"/>
  <c r="P46" i="12"/>
  <c r="P74" i="12"/>
  <c r="K83" i="13"/>
  <c r="I71" i="13"/>
  <c r="K71" i="13" s="1"/>
  <c r="Q266" i="13"/>
  <c r="T266" i="13" s="1"/>
  <c r="L266" i="13"/>
  <c r="O266" i="13" s="1"/>
  <c r="O333" i="12"/>
  <c r="L20" i="13"/>
  <c r="L18" i="13" s="1"/>
  <c r="O23" i="13"/>
  <c r="L173" i="13"/>
  <c r="O173" i="13" s="1"/>
  <c r="M282" i="12"/>
  <c r="P282" i="12" s="1"/>
  <c r="U19" i="13"/>
  <c r="P19" i="13"/>
  <c r="R157" i="13"/>
  <c r="U157" i="13" s="1"/>
  <c r="P335" i="13"/>
  <c r="M333" i="13"/>
  <c r="P333" i="13" s="1"/>
  <c r="L282" i="13"/>
  <c r="O282" i="13" s="1"/>
  <c r="L24" i="13"/>
  <c r="O24" i="13" s="1"/>
  <c r="O285" i="11"/>
  <c r="S21" i="12"/>
  <c r="T189" i="12"/>
  <c r="P268" i="12"/>
  <c r="P175" i="12"/>
  <c r="T690" i="12"/>
  <c r="P75" i="12"/>
  <c r="T692" i="12"/>
  <c r="P356" i="10"/>
  <c r="U618" i="10"/>
  <c r="O358" i="9"/>
  <c r="R760" i="10"/>
  <c r="U760" i="10" s="1"/>
  <c r="P284" i="11"/>
  <c r="R413" i="11"/>
  <c r="U413" i="11" s="1"/>
  <c r="T619" i="11"/>
  <c r="U762" i="11"/>
  <c r="U693" i="11"/>
  <c r="P282" i="11"/>
  <c r="Q493" i="12"/>
  <c r="T493" i="12" s="1"/>
  <c r="R690" i="12"/>
  <c r="U690" i="12" s="1"/>
  <c r="I412" i="12"/>
  <c r="K412" i="12" s="1"/>
  <c r="U618" i="12"/>
  <c r="P62" i="12"/>
  <c r="O188" i="12"/>
  <c r="T75" i="12"/>
  <c r="O47" i="9"/>
  <c r="O175" i="10"/>
  <c r="P157" i="8"/>
  <c r="U305" i="11"/>
  <c r="P305" i="11"/>
  <c r="Q375" i="12"/>
  <c r="T375" i="12" s="1"/>
  <c r="K332" i="8"/>
  <c r="T378" i="10"/>
  <c r="M513" i="10"/>
  <c r="P513" i="10" s="1"/>
  <c r="L94" i="10"/>
  <c r="O94" i="10" s="1"/>
  <c r="Q413" i="11"/>
  <c r="T413" i="11" s="1"/>
  <c r="M72" i="12"/>
  <c r="P72" i="12" s="1"/>
  <c r="T117" i="12"/>
  <c r="O335" i="12"/>
  <c r="T618" i="12"/>
  <c r="N40" i="12"/>
  <c r="M94" i="12"/>
  <c r="P94" i="12" s="1"/>
  <c r="P96" i="12"/>
  <c r="I70" i="12"/>
  <c r="K70" i="12" s="1"/>
  <c r="K82" i="12"/>
  <c r="U19" i="12"/>
  <c r="P188" i="9"/>
  <c r="L356" i="9"/>
  <c r="O356" i="9" s="1"/>
  <c r="O359" i="10"/>
  <c r="O46" i="11"/>
  <c r="Q21" i="12"/>
  <c r="Q20" i="12"/>
  <c r="T23" i="12"/>
  <c r="O23" i="12"/>
  <c r="L20" i="12"/>
  <c r="L21" i="12"/>
  <c r="O21" i="12" s="1"/>
  <c r="O139" i="12"/>
  <c r="U119" i="12"/>
  <c r="M186" i="12"/>
  <c r="P186" i="12" s="1"/>
  <c r="L303" i="12"/>
  <c r="O303" i="12" s="1"/>
  <c r="K374" i="12"/>
  <c r="K82" i="10"/>
  <c r="P159" i="11"/>
  <c r="L44" i="12"/>
  <c r="O46" i="12"/>
  <c r="M117" i="12"/>
  <c r="P117" i="12" s="1"/>
  <c r="P119" i="12"/>
  <c r="U23" i="12"/>
  <c r="R20" i="12"/>
  <c r="U20" i="12" s="1"/>
  <c r="P23" i="12"/>
  <c r="M20" i="12"/>
  <c r="U175" i="12"/>
  <c r="R173" i="12"/>
  <c r="U173" i="12" s="1"/>
  <c r="O141" i="12"/>
  <c r="P139" i="12"/>
  <c r="L232" i="12"/>
  <c r="O243" i="12"/>
  <c r="R21" i="12"/>
  <c r="U616" i="12"/>
  <c r="Q642" i="12"/>
  <c r="T642" i="12" s="1"/>
  <c r="R303" i="12"/>
  <c r="U303" i="12" s="1"/>
  <c r="O322" i="12"/>
  <c r="L320" i="12"/>
  <c r="O320" i="12" s="1"/>
  <c r="O284" i="8"/>
  <c r="T269" i="9"/>
  <c r="L94" i="11"/>
  <c r="O94" i="11" s="1"/>
  <c r="L59" i="12"/>
  <c r="O59" i="12" s="1"/>
  <c r="O61" i="12"/>
  <c r="M24" i="12"/>
  <c r="P24" i="12" s="1"/>
  <c r="O175" i="12"/>
  <c r="L173" i="12"/>
  <c r="O173" i="12" s="1"/>
  <c r="O142" i="12"/>
  <c r="U306" i="12"/>
  <c r="U730" i="5"/>
  <c r="U269" i="9"/>
  <c r="P269" i="9"/>
  <c r="O46" i="10"/>
  <c r="U728" i="11"/>
  <c r="P269" i="11"/>
  <c r="U269" i="11"/>
  <c r="L72" i="12"/>
  <c r="O72" i="12" s="1"/>
  <c r="O74" i="12"/>
  <c r="Q139" i="12"/>
  <c r="T139" i="12" s="1"/>
  <c r="T141" i="12"/>
  <c r="M320" i="12"/>
  <c r="P320" i="12" s="1"/>
  <c r="P322" i="12"/>
  <c r="U159" i="12"/>
  <c r="R157" i="12"/>
  <c r="U157" i="12" s="1"/>
  <c r="P44" i="12"/>
  <c r="M513" i="12"/>
  <c r="P513" i="12" s="1"/>
  <c r="O356" i="12"/>
  <c r="L157" i="11"/>
  <c r="O157" i="11" s="1"/>
  <c r="O333" i="11"/>
  <c r="R72" i="12"/>
  <c r="U72" i="12" s="1"/>
  <c r="U74" i="12"/>
  <c r="N20" i="12"/>
  <c r="N18" i="12" s="1"/>
  <c r="K83" i="12"/>
  <c r="I71" i="12"/>
  <c r="K71" i="12" s="1"/>
  <c r="U117" i="12"/>
  <c r="L24" i="12"/>
  <c r="O24" i="12" s="1"/>
  <c r="R413" i="12"/>
  <c r="U413" i="12" s="1"/>
  <c r="L513" i="12"/>
  <c r="O513" i="12" s="1"/>
  <c r="O515" i="12"/>
  <c r="P335" i="12"/>
  <c r="M333" i="12"/>
  <c r="P333" i="12" s="1"/>
  <c r="T644" i="10"/>
  <c r="Q642" i="10"/>
  <c r="T642" i="10" s="1"/>
  <c r="O139" i="6"/>
  <c r="P356" i="9"/>
  <c r="P266" i="9"/>
  <c r="P176" i="10"/>
  <c r="M320" i="10"/>
  <c r="P320" i="10" s="1"/>
  <c r="P335" i="10"/>
  <c r="S18" i="11"/>
  <c r="O59" i="11"/>
  <c r="U186" i="11"/>
  <c r="O74" i="11"/>
  <c r="O335" i="11"/>
  <c r="O303" i="11"/>
  <c r="T120" i="11"/>
  <c r="T762" i="6"/>
  <c r="R94" i="8"/>
  <c r="U94" i="8" s="1"/>
  <c r="R266" i="9"/>
  <c r="U266" i="9" s="1"/>
  <c r="U619" i="8"/>
  <c r="M157" i="11"/>
  <c r="P157" i="11" s="1"/>
  <c r="T186" i="11"/>
  <c r="P189" i="11"/>
  <c r="T96" i="11"/>
  <c r="T760" i="11"/>
  <c r="T188" i="11"/>
  <c r="P189" i="2"/>
  <c r="U269" i="10"/>
  <c r="U616" i="10"/>
  <c r="K701" i="10"/>
  <c r="U96" i="11"/>
  <c r="K332" i="11"/>
  <c r="P303" i="11"/>
  <c r="T303" i="11"/>
  <c r="U642" i="11"/>
  <c r="T730" i="10"/>
  <c r="U730" i="11"/>
  <c r="T305" i="11"/>
  <c r="T762" i="11"/>
  <c r="U644" i="11"/>
  <c r="P46" i="9"/>
  <c r="P358" i="9"/>
  <c r="T693" i="10"/>
  <c r="O72" i="11"/>
  <c r="M117" i="11"/>
  <c r="P117" i="11" s="1"/>
  <c r="T730" i="11"/>
  <c r="R760" i="11"/>
  <c r="U760" i="11" s="1"/>
  <c r="Q728" i="9"/>
  <c r="T728" i="9" s="1"/>
  <c r="O176" i="10"/>
  <c r="T94" i="11"/>
  <c r="U94" i="11"/>
  <c r="T269" i="11"/>
  <c r="U303" i="11"/>
  <c r="N40" i="11"/>
  <c r="L21" i="11"/>
  <c r="L20" i="11"/>
  <c r="O23" i="11"/>
  <c r="L232" i="11"/>
  <c r="O243" i="11"/>
  <c r="O186" i="11"/>
  <c r="M356" i="11"/>
  <c r="P356" i="11" s="1"/>
  <c r="P515" i="11"/>
  <c r="M513" i="11"/>
  <c r="P513" i="11" s="1"/>
  <c r="R21" i="11"/>
  <c r="R20" i="11"/>
  <c r="U23" i="11"/>
  <c r="L117" i="11"/>
  <c r="O117" i="11" s="1"/>
  <c r="O119" i="11"/>
  <c r="P23" i="11"/>
  <c r="M20" i="11"/>
  <c r="M18" i="11" s="1"/>
  <c r="P19" i="11"/>
  <c r="R173" i="11"/>
  <c r="U173" i="11" s="1"/>
  <c r="Q690" i="11"/>
  <c r="T692" i="11"/>
  <c r="M320" i="9"/>
  <c r="P320" i="9" s="1"/>
  <c r="U119" i="10"/>
  <c r="T618" i="10"/>
  <c r="Q20" i="11"/>
  <c r="T23" i="11"/>
  <c r="Q21" i="11"/>
  <c r="M44" i="11"/>
  <c r="P46" i="11"/>
  <c r="R117" i="11"/>
  <c r="U117" i="11" s="1"/>
  <c r="U119" i="11"/>
  <c r="N20" i="11"/>
  <c r="N18" i="11" s="1"/>
  <c r="U72" i="11"/>
  <c r="T74" i="11"/>
  <c r="M333" i="11"/>
  <c r="P333" i="11" s="1"/>
  <c r="P335" i="11"/>
  <c r="L513" i="11"/>
  <c r="O513" i="11" s="1"/>
  <c r="O515" i="11"/>
  <c r="P142" i="11"/>
  <c r="P333" i="5"/>
  <c r="T303" i="6"/>
  <c r="O175" i="8"/>
  <c r="U644" i="9"/>
  <c r="K701" i="9"/>
  <c r="U97" i="9"/>
  <c r="P333" i="9"/>
  <c r="O282" i="8"/>
  <c r="N44" i="10"/>
  <c r="O44" i="10" s="1"/>
  <c r="O173" i="10"/>
  <c r="S117" i="10"/>
  <c r="T117" i="10" s="1"/>
  <c r="P284" i="10"/>
  <c r="P359" i="10"/>
  <c r="M59" i="11"/>
  <c r="P59" i="11" s="1"/>
  <c r="P61" i="11"/>
  <c r="S21" i="11"/>
  <c r="P94" i="11"/>
  <c r="L173" i="11"/>
  <c r="O173" i="11" s="1"/>
  <c r="M21" i="11"/>
  <c r="M173" i="11"/>
  <c r="P173" i="11" s="1"/>
  <c r="U74" i="11"/>
  <c r="P188" i="11"/>
  <c r="M186" i="11"/>
  <c r="P186" i="11" s="1"/>
  <c r="I412" i="11"/>
  <c r="K412" i="11" s="1"/>
  <c r="K423" i="11"/>
  <c r="T728" i="11"/>
  <c r="L513" i="5"/>
  <c r="O513" i="5" s="1"/>
  <c r="U642" i="8"/>
  <c r="I71" i="9"/>
  <c r="K71" i="9" s="1"/>
  <c r="T644" i="9"/>
  <c r="R173" i="10"/>
  <c r="U173" i="10" s="1"/>
  <c r="U268" i="10"/>
  <c r="L513" i="9"/>
  <c r="O513" i="9" s="1"/>
  <c r="M72" i="11"/>
  <c r="P72" i="11" s="1"/>
  <c r="P74" i="11"/>
  <c r="R157" i="11"/>
  <c r="U157" i="11" s="1"/>
  <c r="U159" i="11"/>
  <c r="O322" i="11"/>
  <c r="L320" i="11"/>
  <c r="O320" i="11" s="1"/>
  <c r="O188" i="11"/>
  <c r="T644" i="11"/>
  <c r="Q642" i="11"/>
  <c r="T642" i="11" s="1"/>
  <c r="O284" i="11"/>
  <c r="L282" i="11"/>
  <c r="O282" i="11" s="1"/>
  <c r="R616" i="11"/>
  <c r="U616" i="11" s="1"/>
  <c r="Q157" i="7"/>
  <c r="T157" i="7" s="1"/>
  <c r="U75" i="10"/>
  <c r="Q493" i="10"/>
  <c r="T493" i="10" s="1"/>
  <c r="T616" i="10"/>
  <c r="R493" i="10"/>
  <c r="U493" i="10" s="1"/>
  <c r="N21" i="11"/>
  <c r="L24" i="11"/>
  <c r="O24" i="11" s="1"/>
  <c r="O26" i="11"/>
  <c r="P96" i="11"/>
  <c r="M24" i="11"/>
  <c r="P24" i="11" s="1"/>
  <c r="Q139" i="11"/>
  <c r="T139" i="11" s="1"/>
  <c r="O44" i="11"/>
  <c r="O358" i="11"/>
  <c r="M139" i="11"/>
  <c r="P139" i="11" s="1"/>
  <c r="M320" i="11"/>
  <c r="P320" i="11" s="1"/>
  <c r="T377" i="11"/>
  <c r="Q375" i="11"/>
  <c r="T375" i="11" s="1"/>
  <c r="U377" i="11"/>
  <c r="R375" i="11"/>
  <c r="U375" i="11" s="1"/>
  <c r="O59" i="10"/>
  <c r="K632" i="1"/>
  <c r="T763" i="8"/>
  <c r="U306" i="9"/>
  <c r="U728" i="9"/>
  <c r="O61" i="10"/>
  <c r="T269" i="10"/>
  <c r="P268" i="10"/>
  <c r="T377" i="3"/>
  <c r="P284" i="8"/>
  <c r="T693" i="7"/>
  <c r="R493" i="9"/>
  <c r="U493" i="9" s="1"/>
  <c r="O335" i="10"/>
  <c r="L139" i="10"/>
  <c r="O139" i="10" s="1"/>
  <c r="P159" i="10"/>
  <c r="R173" i="9"/>
  <c r="U173" i="9" s="1"/>
  <c r="L24" i="9"/>
  <c r="O24" i="9" s="1"/>
  <c r="S21" i="10"/>
  <c r="P61" i="10"/>
  <c r="P188" i="10"/>
  <c r="Q303" i="10"/>
  <c r="T303" i="10" s="1"/>
  <c r="Q375" i="10"/>
  <c r="T375" i="10" s="1"/>
  <c r="N303" i="1"/>
  <c r="S356" i="1"/>
  <c r="U760" i="3"/>
  <c r="U763" i="3"/>
  <c r="P160" i="7"/>
  <c r="T375" i="9"/>
  <c r="K374" i="10"/>
  <c r="O282" i="10"/>
  <c r="Q20" i="10"/>
  <c r="T20" i="10" s="1"/>
  <c r="T23" i="10"/>
  <c r="Q21" i="10"/>
  <c r="L21" i="10"/>
  <c r="L20" i="10"/>
  <c r="O23" i="10"/>
  <c r="N72" i="10"/>
  <c r="O72" i="10" s="1"/>
  <c r="O268" i="10"/>
  <c r="L266" i="10"/>
  <c r="O266" i="10" s="1"/>
  <c r="M303" i="10"/>
  <c r="P303" i="10" s="1"/>
  <c r="P305" i="10"/>
  <c r="R690" i="10"/>
  <c r="U692" i="10"/>
  <c r="M493" i="1"/>
  <c r="P493" i="1" s="1"/>
  <c r="O141" i="4"/>
  <c r="P75" i="8"/>
  <c r="O159" i="8"/>
  <c r="S728" i="8"/>
  <c r="U728" i="8" s="1"/>
  <c r="O282" i="9"/>
  <c r="O333" i="9"/>
  <c r="P335" i="9"/>
  <c r="P284" i="9"/>
  <c r="P268" i="9"/>
  <c r="T186" i="9"/>
  <c r="P336" i="9"/>
  <c r="T19" i="10"/>
  <c r="T75" i="10"/>
  <c r="M44" i="10"/>
  <c r="P46" i="10"/>
  <c r="Q139" i="10"/>
  <c r="T139" i="10" s="1"/>
  <c r="P74" i="10"/>
  <c r="M157" i="10"/>
  <c r="P157" i="10" s="1"/>
  <c r="T96" i="10"/>
  <c r="Q94" i="10"/>
  <c r="T94" i="10" s="1"/>
  <c r="Q760" i="10"/>
  <c r="T760" i="10" s="1"/>
  <c r="T762" i="10"/>
  <c r="O142" i="8"/>
  <c r="L157" i="9"/>
  <c r="O157" i="9" s="1"/>
  <c r="S18" i="9"/>
  <c r="O359" i="9"/>
  <c r="T117" i="9"/>
  <c r="P23" i="10"/>
  <c r="M20" i="10"/>
  <c r="P96" i="10"/>
  <c r="L232" i="10"/>
  <c r="O243" i="10"/>
  <c r="L513" i="10"/>
  <c r="O513" i="10" s="1"/>
  <c r="R642" i="10"/>
  <c r="U642" i="10" s="1"/>
  <c r="U644" i="10"/>
  <c r="O96" i="8"/>
  <c r="Q413" i="8"/>
  <c r="T413" i="8" s="1"/>
  <c r="U306" i="8"/>
  <c r="P61" i="9"/>
  <c r="T305" i="9"/>
  <c r="T266" i="9"/>
  <c r="O188" i="9"/>
  <c r="N20" i="10"/>
  <c r="N18" i="10" s="1"/>
  <c r="N21" i="10"/>
  <c r="P21" i="10" s="1"/>
  <c r="T72" i="10"/>
  <c r="O305" i="10"/>
  <c r="L303" i="10"/>
  <c r="O303" i="10" s="1"/>
  <c r="L24" i="10"/>
  <c r="O24" i="10" s="1"/>
  <c r="O26" i="10"/>
  <c r="U72" i="10"/>
  <c r="Q413" i="10"/>
  <c r="T413" i="10" s="1"/>
  <c r="T415" i="10"/>
  <c r="N333" i="10"/>
  <c r="O333" i="10" s="1"/>
  <c r="R375" i="10"/>
  <c r="U375" i="10" s="1"/>
  <c r="U730" i="8"/>
  <c r="L72" i="9"/>
  <c r="O72" i="9" s="1"/>
  <c r="T120" i="9"/>
  <c r="R21" i="10"/>
  <c r="U23" i="10"/>
  <c r="R20" i="10"/>
  <c r="N186" i="10"/>
  <c r="P186" i="10" s="1"/>
  <c r="M139" i="10"/>
  <c r="P139" i="10" s="1"/>
  <c r="P141" i="10"/>
  <c r="O284" i="10"/>
  <c r="I231" i="10"/>
  <c r="K242" i="10"/>
  <c r="T619" i="10"/>
  <c r="U730" i="10"/>
  <c r="R728" i="10"/>
  <c r="U728" i="10" s="1"/>
  <c r="P159" i="9"/>
  <c r="U375" i="9"/>
  <c r="K374" i="8"/>
  <c r="U186" i="9"/>
  <c r="M24" i="10"/>
  <c r="P24" i="10" s="1"/>
  <c r="M59" i="10"/>
  <c r="P59" i="10" s="1"/>
  <c r="M117" i="10"/>
  <c r="P117" i="10" s="1"/>
  <c r="L117" i="10"/>
  <c r="O117" i="10" s="1"/>
  <c r="O119" i="10"/>
  <c r="M173" i="10"/>
  <c r="P173" i="10" s="1"/>
  <c r="P94" i="10"/>
  <c r="T188" i="10"/>
  <c r="Q186" i="10"/>
  <c r="T186" i="10" s="1"/>
  <c r="L356" i="10"/>
  <c r="O356" i="10" s="1"/>
  <c r="T175" i="10"/>
  <c r="Q173" i="10"/>
  <c r="T173" i="10" s="1"/>
  <c r="T728" i="10"/>
  <c r="T96" i="5"/>
  <c r="T616" i="5"/>
  <c r="I71" i="6"/>
  <c r="K71" i="6" s="1"/>
  <c r="K83" i="8"/>
  <c r="L117" i="9"/>
  <c r="O117" i="9" s="1"/>
  <c r="I70" i="9"/>
  <c r="K70" i="9" s="1"/>
  <c r="K82" i="9"/>
  <c r="O62" i="9"/>
  <c r="P97" i="1"/>
  <c r="O159" i="6"/>
  <c r="R157" i="6"/>
  <c r="U157" i="6" s="1"/>
  <c r="R413" i="6"/>
  <c r="U413" i="6" s="1"/>
  <c r="U377" i="7"/>
  <c r="T75" i="8"/>
  <c r="P335" i="8"/>
  <c r="R139" i="8"/>
  <c r="U139" i="8" s="1"/>
  <c r="T618" i="8"/>
  <c r="T120" i="8"/>
  <c r="O157" i="8"/>
  <c r="Q117" i="8"/>
  <c r="T117" i="8" s="1"/>
  <c r="M94" i="8"/>
  <c r="P94" i="8" s="1"/>
  <c r="M117" i="9"/>
  <c r="P117" i="9" s="1"/>
  <c r="M282" i="9"/>
  <c r="P282" i="9" s="1"/>
  <c r="M59" i="9"/>
  <c r="P59" i="9" s="1"/>
  <c r="M303" i="9"/>
  <c r="P303" i="9" s="1"/>
  <c r="T692" i="9"/>
  <c r="R117" i="9"/>
  <c r="U117" i="9" s="1"/>
  <c r="L320" i="9"/>
  <c r="O320" i="9" s="1"/>
  <c r="U189" i="9"/>
  <c r="O284" i="9"/>
  <c r="M513" i="9"/>
  <c r="P513" i="9" s="1"/>
  <c r="R616" i="7"/>
  <c r="U616" i="7" s="1"/>
  <c r="U693" i="7"/>
  <c r="T760" i="8"/>
  <c r="O336" i="9"/>
  <c r="U692" i="9"/>
  <c r="U690" i="8"/>
  <c r="U762" i="9"/>
  <c r="M94" i="9"/>
  <c r="P94" i="9" s="1"/>
  <c r="P96" i="9"/>
  <c r="T189" i="9"/>
  <c r="U119" i="1"/>
  <c r="T763" i="3"/>
  <c r="U74" i="6"/>
  <c r="O268" i="7"/>
  <c r="T306" i="8"/>
  <c r="L303" i="9"/>
  <c r="O303" i="9" s="1"/>
  <c r="R760" i="9"/>
  <c r="U760" i="9" s="1"/>
  <c r="Q493" i="9"/>
  <c r="T493" i="9" s="1"/>
  <c r="O188" i="2"/>
  <c r="U268" i="1"/>
  <c r="O175" i="7"/>
  <c r="Q493" i="7"/>
  <c r="T493" i="7" s="1"/>
  <c r="K701" i="7"/>
  <c r="O61" i="8"/>
  <c r="Q94" i="8"/>
  <c r="T94" i="8" s="1"/>
  <c r="O285" i="8"/>
  <c r="U763" i="8"/>
  <c r="Q94" i="9"/>
  <c r="T94" i="9" s="1"/>
  <c r="U305" i="9"/>
  <c r="P173" i="9"/>
  <c r="L186" i="9"/>
  <c r="R690" i="9"/>
  <c r="U690" i="9" s="1"/>
  <c r="O335" i="9"/>
  <c r="M72" i="9"/>
  <c r="P72" i="9" s="1"/>
  <c r="U375" i="7"/>
  <c r="T692" i="8"/>
  <c r="S555" i="1"/>
  <c r="P141" i="1"/>
  <c r="O61" i="1"/>
  <c r="K374" i="6"/>
  <c r="Q375" i="8"/>
  <c r="T375" i="8" s="1"/>
  <c r="T642" i="8"/>
  <c r="K701" i="8"/>
  <c r="U760" i="8"/>
  <c r="T269" i="8"/>
  <c r="T616" i="8"/>
  <c r="R20" i="9"/>
  <c r="U20" i="9" s="1"/>
  <c r="U23" i="9"/>
  <c r="U19" i="9"/>
  <c r="U141" i="9"/>
  <c r="R139" i="9"/>
  <c r="U139" i="9" s="1"/>
  <c r="N21" i="9"/>
  <c r="O21" i="9" s="1"/>
  <c r="N20" i="9"/>
  <c r="N18" i="9" s="1"/>
  <c r="I231" i="9"/>
  <c r="K242" i="9"/>
  <c r="K332" i="9"/>
  <c r="Q303" i="9"/>
  <c r="T303" i="9" s="1"/>
  <c r="U303" i="9"/>
  <c r="T377" i="9"/>
  <c r="R157" i="9"/>
  <c r="U157" i="9" s="1"/>
  <c r="U377" i="9"/>
  <c r="U618" i="9"/>
  <c r="M24" i="9"/>
  <c r="P24" i="9" s="1"/>
  <c r="U189" i="8"/>
  <c r="Q760" i="9"/>
  <c r="T760" i="9" s="1"/>
  <c r="T762" i="9"/>
  <c r="O173" i="9"/>
  <c r="Q157" i="9"/>
  <c r="T157" i="9" s="1"/>
  <c r="T159" i="9"/>
  <c r="P61" i="1"/>
  <c r="T377" i="5"/>
  <c r="R173" i="7"/>
  <c r="U173" i="7" s="1"/>
  <c r="U94" i="7"/>
  <c r="U188" i="7"/>
  <c r="K374" i="7"/>
  <c r="T377" i="7"/>
  <c r="T306" i="7"/>
  <c r="O74" i="8"/>
  <c r="U266" i="8"/>
  <c r="U692" i="8"/>
  <c r="O175" i="9"/>
  <c r="N186" i="9"/>
  <c r="P186" i="9" s="1"/>
  <c r="Q690" i="9"/>
  <c r="T690" i="9" s="1"/>
  <c r="O243" i="9"/>
  <c r="L232" i="9"/>
  <c r="U616" i="9"/>
  <c r="P188" i="2"/>
  <c r="P23" i="9"/>
  <c r="M20" i="9"/>
  <c r="L44" i="9"/>
  <c r="O46" i="9"/>
  <c r="S117" i="1"/>
  <c r="O186" i="6"/>
  <c r="Q20" i="9"/>
  <c r="T23" i="9"/>
  <c r="Q21" i="9"/>
  <c r="L59" i="9"/>
  <c r="O59" i="9" s="1"/>
  <c r="O61" i="9"/>
  <c r="R21" i="9"/>
  <c r="M44" i="9"/>
  <c r="L266" i="9"/>
  <c r="O266" i="9" s="1"/>
  <c r="T618" i="9"/>
  <c r="Q616" i="9"/>
  <c r="T616" i="9" s="1"/>
  <c r="Q642" i="7"/>
  <c r="T642" i="7" s="1"/>
  <c r="L117" i="8"/>
  <c r="O117" i="8" s="1"/>
  <c r="P175" i="9"/>
  <c r="R642" i="9"/>
  <c r="U642" i="9" s="1"/>
  <c r="U377" i="5"/>
  <c r="T616" i="6"/>
  <c r="L24" i="8"/>
  <c r="O24" i="8" s="1"/>
  <c r="Q157" i="8"/>
  <c r="T157" i="8" s="1"/>
  <c r="U269" i="8"/>
  <c r="T644" i="8"/>
  <c r="U644" i="8"/>
  <c r="L20" i="9"/>
  <c r="L18" i="9" s="1"/>
  <c r="O23" i="9"/>
  <c r="O19" i="9"/>
  <c r="Q139" i="9"/>
  <c r="T139" i="9" s="1"/>
  <c r="P19" i="9"/>
  <c r="M157" i="9"/>
  <c r="P157" i="9" s="1"/>
  <c r="S21" i="9"/>
  <c r="Q642" i="9"/>
  <c r="T642" i="9" s="1"/>
  <c r="S534" i="1"/>
  <c r="P61" i="2"/>
  <c r="P335" i="6"/>
  <c r="T119" i="6"/>
  <c r="T730" i="6"/>
  <c r="Q616" i="7"/>
  <c r="T616" i="7" s="1"/>
  <c r="U119" i="8"/>
  <c r="P189" i="8"/>
  <c r="U303" i="8"/>
  <c r="P268" i="8"/>
  <c r="O189" i="2"/>
  <c r="S72" i="6"/>
  <c r="T72" i="6" s="1"/>
  <c r="U642" i="6"/>
  <c r="U97" i="7"/>
  <c r="T690" i="7"/>
  <c r="P175" i="6"/>
  <c r="Q173" i="8"/>
  <c r="T173" i="8" s="1"/>
  <c r="N173" i="8"/>
  <c r="O173" i="8" s="1"/>
  <c r="P266" i="8"/>
  <c r="U74" i="8"/>
  <c r="U305" i="8"/>
  <c r="R186" i="8"/>
  <c r="U186" i="8" s="1"/>
  <c r="Q232" i="8"/>
  <c r="T243" i="8"/>
  <c r="O335" i="6"/>
  <c r="P141" i="7"/>
  <c r="O188" i="6"/>
  <c r="O189" i="8"/>
  <c r="T378" i="8"/>
  <c r="U378" i="8"/>
  <c r="T141" i="8"/>
  <c r="Q139" i="8"/>
  <c r="T139" i="8" s="1"/>
  <c r="U188" i="1"/>
  <c r="T495" i="6"/>
  <c r="L94" i="7"/>
  <c r="O94" i="7" s="1"/>
  <c r="T94" i="7"/>
  <c r="U120" i="7"/>
  <c r="P141" i="8"/>
  <c r="O141" i="8"/>
  <c r="T189" i="8"/>
  <c r="T303" i="8"/>
  <c r="O358" i="8"/>
  <c r="O268" i="8"/>
  <c r="Q690" i="8"/>
  <c r="T690" i="8" s="1"/>
  <c r="O303" i="8"/>
  <c r="P305" i="8"/>
  <c r="M117" i="8"/>
  <c r="P117" i="8" s="1"/>
  <c r="P119" i="8"/>
  <c r="M303" i="8"/>
  <c r="P303" i="8" s="1"/>
  <c r="O305" i="8"/>
  <c r="T693" i="8"/>
  <c r="P305" i="6"/>
  <c r="O61" i="7"/>
  <c r="O141" i="7"/>
  <c r="S72" i="8"/>
  <c r="U72" i="8" s="1"/>
  <c r="M24" i="8"/>
  <c r="P24" i="8" s="1"/>
  <c r="P159" i="8"/>
  <c r="T305" i="8"/>
  <c r="U616" i="8"/>
  <c r="I70" i="8"/>
  <c r="K70" i="8" s="1"/>
  <c r="K82" i="8"/>
  <c r="U120" i="8"/>
  <c r="U268" i="8"/>
  <c r="R356" i="1"/>
  <c r="U356" i="1" s="1"/>
  <c r="L690" i="1"/>
  <c r="O690" i="1" s="1"/>
  <c r="O232" i="1"/>
  <c r="R117" i="6"/>
  <c r="U117" i="6" s="1"/>
  <c r="T306" i="6"/>
  <c r="T75" i="6"/>
  <c r="U306" i="6"/>
  <c r="O282" i="7"/>
  <c r="L44" i="8"/>
  <c r="O46" i="8"/>
  <c r="K242" i="8"/>
  <c r="I231" i="8"/>
  <c r="P282" i="8"/>
  <c r="N356" i="8"/>
  <c r="O356" i="8" s="1"/>
  <c r="P61" i="5"/>
  <c r="T96" i="7"/>
  <c r="K701" i="6"/>
  <c r="P23" i="8"/>
  <c r="M20" i="8"/>
  <c r="R493" i="8"/>
  <c r="U493" i="8" s="1"/>
  <c r="U495" i="8"/>
  <c r="M356" i="8"/>
  <c r="P358" i="8"/>
  <c r="P188" i="5"/>
  <c r="U120" i="6"/>
  <c r="U268" i="6"/>
  <c r="T618" i="6"/>
  <c r="T97" i="7"/>
  <c r="Q413" i="7"/>
  <c r="T413" i="7" s="1"/>
  <c r="U762" i="7"/>
  <c r="U730" i="6"/>
  <c r="P44" i="8"/>
  <c r="N72" i="8"/>
  <c r="O72" i="8" s="1"/>
  <c r="O188" i="8"/>
  <c r="L186" i="8"/>
  <c r="O186" i="8" s="1"/>
  <c r="P61" i="8"/>
  <c r="O176" i="8"/>
  <c r="T266" i="8"/>
  <c r="K374" i="5"/>
  <c r="O47" i="5"/>
  <c r="P268" i="7"/>
  <c r="Q232" i="7"/>
  <c r="Q20" i="8"/>
  <c r="T23" i="8"/>
  <c r="Q21" i="8"/>
  <c r="R20" i="8"/>
  <c r="U23" i="8"/>
  <c r="L333" i="8"/>
  <c r="O333" i="8" s="1"/>
  <c r="O335" i="8"/>
  <c r="U75" i="8"/>
  <c r="K701" i="1"/>
  <c r="R392" i="1"/>
  <c r="U392" i="1" s="1"/>
  <c r="N555" i="1"/>
  <c r="K374" i="3"/>
  <c r="U644" i="6"/>
  <c r="U728" i="6"/>
  <c r="P186" i="7"/>
  <c r="S21" i="8"/>
  <c r="U21" i="8" s="1"/>
  <c r="P175" i="8"/>
  <c r="M173" i="8"/>
  <c r="L139" i="8"/>
  <c r="O139" i="8" s="1"/>
  <c r="P515" i="8"/>
  <c r="M513" i="8"/>
  <c r="P513" i="8" s="1"/>
  <c r="N21" i="8"/>
  <c r="O21" i="8" s="1"/>
  <c r="N20" i="8"/>
  <c r="N18" i="8" s="1"/>
  <c r="P74" i="8"/>
  <c r="L513" i="8"/>
  <c r="O513" i="8" s="1"/>
  <c r="U97" i="6"/>
  <c r="T269" i="7"/>
  <c r="O359" i="7"/>
  <c r="O284" i="7"/>
  <c r="L303" i="7"/>
  <c r="O303" i="7" s="1"/>
  <c r="M21" i="8"/>
  <c r="L20" i="8"/>
  <c r="O23" i="8"/>
  <c r="P188" i="8"/>
  <c r="M186" i="8"/>
  <c r="P186" i="8" s="1"/>
  <c r="P46" i="8"/>
  <c r="O243" i="8"/>
  <c r="L232" i="8"/>
  <c r="M333" i="8"/>
  <c r="P333" i="8" s="1"/>
  <c r="M139" i="8"/>
  <c r="P139" i="8" s="1"/>
  <c r="M320" i="8"/>
  <c r="P320" i="8" s="1"/>
  <c r="N59" i="8"/>
  <c r="O59" i="8" s="1"/>
  <c r="L320" i="8"/>
  <c r="O320" i="8" s="1"/>
  <c r="P268" i="3"/>
  <c r="O75" i="3"/>
  <c r="R157" i="4"/>
  <c r="U157" i="4" s="1"/>
  <c r="L24" i="5"/>
  <c r="O24" i="5" s="1"/>
  <c r="K83" i="5"/>
  <c r="O186" i="7"/>
  <c r="K82" i="7"/>
  <c r="I70" i="7"/>
  <c r="K70" i="7" s="1"/>
  <c r="I71" i="7"/>
  <c r="K71" i="7" s="1"/>
  <c r="K83" i="7"/>
  <c r="N157" i="1"/>
  <c r="R266" i="1"/>
  <c r="O336" i="3"/>
  <c r="P306" i="4"/>
  <c r="M94" i="5"/>
  <c r="P94" i="5" s="1"/>
  <c r="L117" i="6"/>
  <c r="O117" i="6" s="1"/>
  <c r="P46" i="6"/>
  <c r="Q139" i="7"/>
  <c r="T139" i="7" s="1"/>
  <c r="Q375" i="7"/>
  <c r="T375" i="7" s="1"/>
  <c r="U268" i="7"/>
  <c r="P176" i="7"/>
  <c r="M117" i="7"/>
  <c r="P117" i="7" s="1"/>
  <c r="P333" i="7"/>
  <c r="U269" i="7"/>
  <c r="Q303" i="7"/>
  <c r="T303" i="7" s="1"/>
  <c r="P305" i="7"/>
  <c r="M303" i="7"/>
  <c r="P303" i="7" s="1"/>
  <c r="N642" i="1"/>
  <c r="K423" i="7"/>
  <c r="I412" i="7"/>
  <c r="K412" i="7" s="1"/>
  <c r="R139" i="7"/>
  <c r="U139" i="7" s="1"/>
  <c r="U141" i="7"/>
  <c r="O141" i="6"/>
  <c r="T120" i="7"/>
  <c r="P189" i="7"/>
  <c r="P142" i="7"/>
  <c r="R303" i="7"/>
  <c r="U303" i="7" s="1"/>
  <c r="L513" i="7"/>
  <c r="O513" i="7" s="1"/>
  <c r="U377" i="3"/>
  <c r="L24" i="6"/>
  <c r="O24" i="6" s="1"/>
  <c r="U72" i="7"/>
  <c r="M24" i="7"/>
  <c r="P24" i="7" s="1"/>
  <c r="N40" i="7"/>
  <c r="S21" i="7"/>
  <c r="O358" i="7"/>
  <c r="L356" i="7"/>
  <c r="O356" i="7" s="1"/>
  <c r="S760" i="1"/>
  <c r="U760" i="1" s="1"/>
  <c r="U762" i="1"/>
  <c r="P19" i="7"/>
  <c r="M139" i="7"/>
  <c r="P139" i="7" s="1"/>
  <c r="Q760" i="7"/>
  <c r="T760" i="7" s="1"/>
  <c r="R642" i="7"/>
  <c r="U642" i="7" s="1"/>
  <c r="T97" i="6"/>
  <c r="U692" i="6"/>
  <c r="R21" i="7"/>
  <c r="R20" i="7"/>
  <c r="U23" i="7"/>
  <c r="L117" i="7"/>
  <c r="O117" i="7" s="1"/>
  <c r="O119" i="7"/>
  <c r="R157" i="7"/>
  <c r="U157" i="7" s="1"/>
  <c r="U159" i="7"/>
  <c r="U96" i="7"/>
  <c r="P159" i="7"/>
  <c r="M157" i="7"/>
  <c r="P157" i="7" s="1"/>
  <c r="S186" i="7"/>
  <c r="T186" i="7" s="1"/>
  <c r="K242" i="7"/>
  <c r="I231" i="7"/>
  <c r="U763" i="7"/>
  <c r="L157" i="7"/>
  <c r="O157" i="7" s="1"/>
  <c r="O159" i="7"/>
  <c r="P285" i="7"/>
  <c r="Q728" i="6"/>
  <c r="T728" i="6" s="1"/>
  <c r="Q20" i="7"/>
  <c r="T20" i="7" s="1"/>
  <c r="T23" i="7"/>
  <c r="Q21" i="7"/>
  <c r="O74" i="7"/>
  <c r="L72" i="7"/>
  <c r="O72" i="7" s="1"/>
  <c r="L24" i="7"/>
  <c r="O24" i="7" s="1"/>
  <c r="O26" i="7"/>
  <c r="L320" i="6"/>
  <c r="O320" i="6" s="1"/>
  <c r="M356" i="7"/>
  <c r="P356" i="7" s="1"/>
  <c r="P358" i="7"/>
  <c r="S173" i="1"/>
  <c r="S21" i="2"/>
  <c r="U21" i="2" s="1"/>
  <c r="O142" i="4"/>
  <c r="O141" i="5"/>
  <c r="P358" i="5"/>
  <c r="P268" i="5"/>
  <c r="P268" i="6"/>
  <c r="S18" i="6"/>
  <c r="Q760" i="6"/>
  <c r="T760" i="6" s="1"/>
  <c r="M44" i="7"/>
  <c r="P46" i="7"/>
  <c r="R117" i="7"/>
  <c r="U117" i="7" s="1"/>
  <c r="U119" i="7"/>
  <c r="O44" i="7"/>
  <c r="Q173" i="7"/>
  <c r="T173" i="7" s="1"/>
  <c r="T188" i="7"/>
  <c r="S266" i="7"/>
  <c r="U266" i="7" s="1"/>
  <c r="S728" i="7"/>
  <c r="T728" i="7" s="1"/>
  <c r="P335" i="7"/>
  <c r="R690" i="7"/>
  <c r="U690" i="7" s="1"/>
  <c r="U619" i="7"/>
  <c r="R173" i="1"/>
  <c r="U173" i="1" s="1"/>
  <c r="T72" i="7"/>
  <c r="P284" i="1"/>
  <c r="S186" i="1"/>
  <c r="Q173" i="5"/>
  <c r="T173" i="5" s="1"/>
  <c r="L72" i="5"/>
  <c r="O72" i="5" s="1"/>
  <c r="T690" i="5"/>
  <c r="T269" i="5"/>
  <c r="P21" i="6"/>
  <c r="M59" i="7"/>
  <c r="P59" i="7" s="1"/>
  <c r="P61" i="7"/>
  <c r="T19" i="7"/>
  <c r="O46" i="7"/>
  <c r="L173" i="7"/>
  <c r="O173" i="7" s="1"/>
  <c r="S18" i="7"/>
  <c r="P175" i="7"/>
  <c r="M173" i="7"/>
  <c r="P173" i="7" s="1"/>
  <c r="P188" i="7"/>
  <c r="M320" i="7"/>
  <c r="P320" i="7" s="1"/>
  <c r="T119" i="7"/>
  <c r="Q117" i="7"/>
  <c r="T117" i="7" s="1"/>
  <c r="O139" i="7"/>
  <c r="U74" i="7"/>
  <c r="O188" i="7"/>
  <c r="L320" i="7"/>
  <c r="O320" i="7" s="1"/>
  <c r="M513" i="7"/>
  <c r="P513" i="7" s="1"/>
  <c r="P94" i="7"/>
  <c r="O284" i="1"/>
  <c r="L21" i="7"/>
  <c r="L20" i="7"/>
  <c r="O23" i="7"/>
  <c r="L333" i="7"/>
  <c r="O333" i="7" s="1"/>
  <c r="O335" i="7"/>
  <c r="T188" i="1"/>
  <c r="O305" i="4"/>
  <c r="P284" i="6"/>
  <c r="O358" i="6"/>
  <c r="L513" i="6"/>
  <c r="O513" i="6" s="1"/>
  <c r="M72" i="7"/>
  <c r="P72" i="7" s="1"/>
  <c r="P74" i="7"/>
  <c r="P23" i="7"/>
  <c r="M20" i="7"/>
  <c r="N21" i="7"/>
  <c r="P21" i="7" s="1"/>
  <c r="N20" i="7"/>
  <c r="N18" i="7" s="1"/>
  <c r="T74" i="7"/>
  <c r="O59" i="7"/>
  <c r="L232" i="7"/>
  <c r="O243" i="7"/>
  <c r="M282" i="7"/>
  <c r="P282" i="7" s="1"/>
  <c r="P284" i="7"/>
  <c r="M266" i="7"/>
  <c r="P266" i="7" s="1"/>
  <c r="O189" i="7"/>
  <c r="U730" i="7"/>
  <c r="R728" i="7"/>
  <c r="P96" i="7"/>
  <c r="U266" i="6"/>
  <c r="T306" i="4"/>
  <c r="O305" i="6"/>
  <c r="T268" i="6"/>
  <c r="P96" i="6"/>
  <c r="S513" i="1"/>
  <c r="R413" i="5"/>
  <c r="U413" i="5" s="1"/>
  <c r="P305" i="4"/>
  <c r="O335" i="5"/>
  <c r="N157" i="6"/>
  <c r="O157" i="6" s="1"/>
  <c r="P61" i="6"/>
  <c r="M117" i="6"/>
  <c r="P117" i="6" s="1"/>
  <c r="N303" i="6"/>
  <c r="O303" i="6" s="1"/>
  <c r="U175" i="6"/>
  <c r="R173" i="6"/>
  <c r="U173" i="6" s="1"/>
  <c r="L266" i="4"/>
  <c r="O266" i="4" s="1"/>
  <c r="T189" i="4"/>
  <c r="P21" i="5"/>
  <c r="T188" i="6"/>
  <c r="N282" i="6"/>
  <c r="P282" i="6" s="1"/>
  <c r="L266" i="6"/>
  <c r="O266" i="6" s="1"/>
  <c r="R493" i="6"/>
  <c r="U493" i="6" s="1"/>
  <c r="M94" i="6"/>
  <c r="P94" i="6" s="1"/>
  <c r="T619" i="6"/>
  <c r="R94" i="6"/>
  <c r="U94" i="6" s="1"/>
  <c r="Q139" i="1"/>
  <c r="T139" i="1" s="1"/>
  <c r="U189" i="5"/>
  <c r="P269" i="5"/>
  <c r="P189" i="6"/>
  <c r="O47" i="6"/>
  <c r="U189" i="4"/>
  <c r="Q375" i="5"/>
  <c r="T375" i="5" s="1"/>
  <c r="P335" i="5"/>
  <c r="O189" i="6"/>
  <c r="N356" i="6"/>
  <c r="O356" i="6" s="1"/>
  <c r="U75" i="6"/>
  <c r="L94" i="6"/>
  <c r="O94" i="6" s="1"/>
  <c r="O96" i="6"/>
  <c r="M513" i="6"/>
  <c r="P513" i="6" s="1"/>
  <c r="P336" i="6"/>
  <c r="O141" i="3"/>
  <c r="Q303" i="3"/>
  <c r="T303" i="3" s="1"/>
  <c r="K701" i="5"/>
  <c r="R139" i="6"/>
  <c r="U139" i="6" s="1"/>
  <c r="M333" i="6"/>
  <c r="P333" i="6" s="1"/>
  <c r="L20" i="6"/>
  <c r="O23" i="6"/>
  <c r="P141" i="6"/>
  <c r="M139" i="6"/>
  <c r="P139" i="6" s="1"/>
  <c r="L232" i="6"/>
  <c r="O243" i="6"/>
  <c r="P74" i="6"/>
  <c r="O74" i="6"/>
  <c r="U377" i="6"/>
  <c r="R375" i="6"/>
  <c r="U375" i="6" s="1"/>
  <c r="U303" i="6"/>
  <c r="P159" i="6"/>
  <c r="M157" i="6"/>
  <c r="P335" i="4"/>
  <c r="U619" i="4"/>
  <c r="T188" i="5"/>
  <c r="K332" i="5"/>
  <c r="K701" i="3"/>
  <c r="R20" i="6"/>
  <c r="U20" i="6" s="1"/>
  <c r="U23" i="6"/>
  <c r="I70" i="6"/>
  <c r="K70" i="6" s="1"/>
  <c r="K82" i="6"/>
  <c r="P188" i="6"/>
  <c r="M186" i="6"/>
  <c r="P186" i="6" s="1"/>
  <c r="Q186" i="6"/>
  <c r="T186" i="6" s="1"/>
  <c r="O62" i="6"/>
  <c r="R616" i="6"/>
  <c r="U616" i="6" s="1"/>
  <c r="U618" i="6"/>
  <c r="U19" i="6"/>
  <c r="O284" i="6"/>
  <c r="L282" i="6"/>
  <c r="T375" i="6"/>
  <c r="P305" i="1"/>
  <c r="M413" i="1"/>
  <c r="P413" i="1" s="1"/>
  <c r="U117" i="3"/>
  <c r="R375" i="3"/>
  <c r="U375" i="3" s="1"/>
  <c r="L24" i="4"/>
  <c r="O24" i="4" s="1"/>
  <c r="P141" i="4"/>
  <c r="O21" i="5"/>
  <c r="L320" i="5"/>
  <c r="O320" i="5" s="1"/>
  <c r="U306" i="5"/>
  <c r="U303" i="5"/>
  <c r="R375" i="5"/>
  <c r="U375" i="5" s="1"/>
  <c r="M186" i="5"/>
  <c r="P186" i="5" s="1"/>
  <c r="O305" i="5"/>
  <c r="T19" i="6"/>
  <c r="M24" i="6"/>
  <c r="P24" i="6" s="1"/>
  <c r="O175" i="6"/>
  <c r="L173" i="6"/>
  <c r="O173" i="6" s="1"/>
  <c r="M44" i="6"/>
  <c r="P23" i="6"/>
  <c r="M20" i="6"/>
  <c r="M266" i="6"/>
  <c r="P266" i="6" s="1"/>
  <c r="U188" i="6"/>
  <c r="N72" i="6"/>
  <c r="O72" i="6" s="1"/>
  <c r="P173" i="6"/>
  <c r="U189" i="6"/>
  <c r="T377" i="6"/>
  <c r="S21" i="6"/>
  <c r="N20" i="6"/>
  <c r="N18" i="6" s="1"/>
  <c r="S690" i="6"/>
  <c r="T690" i="6" s="1"/>
  <c r="U268" i="3"/>
  <c r="P74" i="4"/>
  <c r="I412" i="5"/>
  <c r="K412" i="5" s="1"/>
  <c r="U268" i="5"/>
  <c r="T189" i="6"/>
  <c r="M59" i="6"/>
  <c r="P59" i="6" s="1"/>
  <c r="L44" i="6"/>
  <c r="O46" i="6"/>
  <c r="T117" i="6"/>
  <c r="T120" i="6"/>
  <c r="R760" i="6"/>
  <c r="U760" i="6" s="1"/>
  <c r="T306" i="2"/>
  <c r="O335" i="2"/>
  <c r="T74" i="3"/>
  <c r="S157" i="1"/>
  <c r="P142" i="5"/>
  <c r="K82" i="5"/>
  <c r="T692" i="5"/>
  <c r="Q20" i="6"/>
  <c r="T20" i="6" s="1"/>
  <c r="T23" i="6"/>
  <c r="Q21" i="6"/>
  <c r="L21" i="6"/>
  <c r="O21" i="6" s="1"/>
  <c r="L59" i="6"/>
  <c r="O59" i="6" s="1"/>
  <c r="O61" i="6"/>
  <c r="L333" i="6"/>
  <c r="O333" i="6" s="1"/>
  <c r="U186" i="6"/>
  <c r="R21" i="6"/>
  <c r="K253" i="6"/>
  <c r="I231" i="6"/>
  <c r="P358" i="6"/>
  <c r="M356" i="6"/>
  <c r="T644" i="6"/>
  <c r="Q642" i="6"/>
  <c r="T642" i="6" s="1"/>
  <c r="M320" i="6"/>
  <c r="P320" i="6" s="1"/>
  <c r="K332" i="6"/>
  <c r="T96" i="6"/>
  <c r="Q94" i="6"/>
  <c r="T94" i="6" s="1"/>
  <c r="R690" i="5"/>
  <c r="U690" i="5" s="1"/>
  <c r="R117" i="1"/>
  <c r="U120" i="4"/>
  <c r="T375" i="4"/>
  <c r="T120" i="5"/>
  <c r="P305" i="5"/>
  <c r="R266" i="5"/>
  <c r="N303" i="5"/>
  <c r="O303" i="5" s="1"/>
  <c r="O175" i="1"/>
  <c r="T618" i="3"/>
  <c r="U378" i="1"/>
  <c r="O46" i="3"/>
  <c r="P269" i="4"/>
  <c r="T189" i="5"/>
  <c r="L266" i="5"/>
  <c r="O266" i="5" s="1"/>
  <c r="M266" i="5"/>
  <c r="P266" i="5" s="1"/>
  <c r="N20" i="5"/>
  <c r="N18" i="5" s="1"/>
  <c r="Q760" i="5"/>
  <c r="T760" i="5" s="1"/>
  <c r="U120" i="5"/>
  <c r="P61" i="3"/>
  <c r="S18" i="5"/>
  <c r="O96" i="5"/>
  <c r="L94" i="5"/>
  <c r="O94" i="5" s="1"/>
  <c r="U618" i="3"/>
  <c r="P47" i="4"/>
  <c r="T731" i="4"/>
  <c r="O284" i="5"/>
  <c r="O333" i="5"/>
  <c r="L117" i="5"/>
  <c r="O117" i="5" s="1"/>
  <c r="T730" i="4"/>
  <c r="O46" i="5"/>
  <c r="Q493" i="5"/>
  <c r="T493" i="5" s="1"/>
  <c r="P284" i="5"/>
  <c r="R333" i="1"/>
  <c r="U333" i="1" s="1"/>
  <c r="Q714" i="1"/>
  <c r="T714" i="1" s="1"/>
  <c r="M282" i="1"/>
  <c r="O97" i="1"/>
  <c r="T269" i="1"/>
  <c r="M173" i="1"/>
  <c r="N413" i="1"/>
  <c r="T644" i="2"/>
  <c r="N760" i="1"/>
  <c r="O175" i="3"/>
  <c r="M513" i="3"/>
  <c r="P513" i="3" s="1"/>
  <c r="O306" i="4"/>
  <c r="U268" i="4"/>
  <c r="P46" i="5"/>
  <c r="O157" i="5"/>
  <c r="T644" i="5"/>
  <c r="P515" i="5"/>
  <c r="M513" i="5"/>
  <c r="P513" i="5" s="1"/>
  <c r="R493" i="5"/>
  <c r="U493" i="5" s="1"/>
  <c r="M117" i="5"/>
  <c r="P117" i="5" s="1"/>
  <c r="U269" i="5"/>
  <c r="T266" i="3"/>
  <c r="O282" i="4"/>
  <c r="P284" i="4"/>
  <c r="U188" i="5"/>
  <c r="R186" i="5"/>
  <c r="U186" i="5" s="1"/>
  <c r="O62" i="5"/>
  <c r="O359" i="1"/>
  <c r="K701" i="2"/>
  <c r="M513" i="1"/>
  <c r="P513" i="1" s="1"/>
  <c r="T268" i="3"/>
  <c r="M282" i="4"/>
  <c r="P282" i="4" s="1"/>
  <c r="Q20" i="5"/>
  <c r="T20" i="5" s="1"/>
  <c r="T23" i="5"/>
  <c r="Q21" i="5"/>
  <c r="M72" i="5"/>
  <c r="P72" i="5" s="1"/>
  <c r="O61" i="5"/>
  <c r="L139" i="5"/>
  <c r="O139" i="5" s="1"/>
  <c r="T119" i="5"/>
  <c r="Q117" i="5"/>
  <c r="T117" i="5" s="1"/>
  <c r="L59" i="5"/>
  <c r="O59" i="5" s="1"/>
  <c r="U19" i="5"/>
  <c r="T618" i="5"/>
  <c r="O306" i="5"/>
  <c r="R642" i="1"/>
  <c r="M117" i="2"/>
  <c r="P117" i="2" s="1"/>
  <c r="Q186" i="3"/>
  <c r="T186" i="3" s="1"/>
  <c r="K374" i="4"/>
  <c r="M303" i="4"/>
  <c r="P303" i="4" s="1"/>
  <c r="U760" i="4"/>
  <c r="P159" i="5"/>
  <c r="O159" i="5"/>
  <c r="P23" i="5"/>
  <c r="M20" i="5"/>
  <c r="P141" i="5"/>
  <c r="T306" i="5"/>
  <c r="T159" i="5"/>
  <c r="Q157" i="5"/>
  <c r="T157" i="5" s="1"/>
  <c r="R139" i="5"/>
  <c r="U139" i="5" s="1"/>
  <c r="R616" i="5"/>
  <c r="U616" i="5" s="1"/>
  <c r="U618" i="5"/>
  <c r="N356" i="5"/>
  <c r="P356" i="5" s="1"/>
  <c r="L282" i="5"/>
  <c r="O282" i="5" s="1"/>
  <c r="N59" i="1"/>
  <c r="P46" i="4"/>
  <c r="K701" i="4"/>
  <c r="L20" i="5"/>
  <c r="O23" i="5"/>
  <c r="O175" i="5"/>
  <c r="L173" i="5"/>
  <c r="O173" i="5" s="1"/>
  <c r="M59" i="5"/>
  <c r="P59" i="5" s="1"/>
  <c r="S266" i="5"/>
  <c r="T266" i="5" s="1"/>
  <c r="P175" i="5"/>
  <c r="M173" i="5"/>
  <c r="P173" i="5" s="1"/>
  <c r="T305" i="5"/>
  <c r="U305" i="5"/>
  <c r="R728" i="5"/>
  <c r="U728" i="5" s="1"/>
  <c r="R642" i="5"/>
  <c r="U642" i="5" s="1"/>
  <c r="N576" i="1"/>
  <c r="N173" i="1"/>
  <c r="M24" i="2"/>
  <c r="P24" i="2" s="1"/>
  <c r="N534" i="1"/>
  <c r="U692" i="2"/>
  <c r="P61" i="4"/>
  <c r="R20" i="5"/>
  <c r="U20" i="5" s="1"/>
  <c r="U23" i="5"/>
  <c r="L232" i="5"/>
  <c r="O243" i="5"/>
  <c r="T19" i="5"/>
  <c r="P282" i="5"/>
  <c r="T730" i="5"/>
  <c r="Q728" i="5"/>
  <c r="T728" i="5" s="1"/>
  <c r="O188" i="5"/>
  <c r="L186" i="5"/>
  <c r="O186" i="5" s="1"/>
  <c r="M44" i="5"/>
  <c r="P285" i="5"/>
  <c r="S642" i="4"/>
  <c r="T642" i="4" s="1"/>
  <c r="P139" i="5"/>
  <c r="P157" i="5"/>
  <c r="S21" i="5"/>
  <c r="U21" i="5" s="1"/>
  <c r="O19" i="5"/>
  <c r="O44" i="5"/>
  <c r="T186" i="5"/>
  <c r="M24" i="5"/>
  <c r="P24" i="5" s="1"/>
  <c r="L356" i="5"/>
  <c r="O358" i="5"/>
  <c r="M320" i="5"/>
  <c r="P320" i="5" s="1"/>
  <c r="I231" i="5"/>
  <c r="K242" i="5"/>
  <c r="Q413" i="5"/>
  <c r="T413" i="5" s="1"/>
  <c r="P19" i="5"/>
  <c r="R760" i="5"/>
  <c r="U760" i="5" s="1"/>
  <c r="L616" i="1"/>
  <c r="O616" i="1" s="1"/>
  <c r="U763" i="1"/>
  <c r="M21" i="1"/>
  <c r="O96" i="2"/>
  <c r="N72" i="1"/>
  <c r="S616" i="1"/>
  <c r="U119" i="3"/>
  <c r="P139" i="4"/>
  <c r="P268" i="4"/>
  <c r="O322" i="4"/>
  <c r="L320" i="4"/>
  <c r="O320" i="4" s="1"/>
  <c r="Q413" i="1"/>
  <c r="T413" i="1" s="1"/>
  <c r="O61" i="2"/>
  <c r="O305" i="2"/>
  <c r="P284" i="3"/>
  <c r="P142" i="4"/>
  <c r="P336" i="4"/>
  <c r="U269" i="4"/>
  <c r="N20" i="4"/>
  <c r="N18" i="4" s="1"/>
  <c r="P159" i="4"/>
  <c r="T377" i="4"/>
  <c r="U730" i="4"/>
  <c r="T268" i="4"/>
  <c r="L333" i="2"/>
  <c r="O333" i="2" s="1"/>
  <c r="U693" i="2"/>
  <c r="T760" i="3"/>
  <c r="P62" i="4"/>
  <c r="T94" i="4"/>
  <c r="Q728" i="1"/>
  <c r="T728" i="1" s="1"/>
  <c r="L139" i="2"/>
  <c r="O139" i="2" s="1"/>
  <c r="P159" i="2"/>
  <c r="R690" i="1"/>
  <c r="U690" i="1" s="1"/>
  <c r="N356" i="1"/>
  <c r="P75" i="3"/>
  <c r="U120" i="3"/>
  <c r="U616" i="3"/>
  <c r="T690" i="3"/>
  <c r="U96" i="4"/>
  <c r="P119" i="4"/>
  <c r="U94" i="4"/>
  <c r="U266" i="4"/>
  <c r="U728" i="4"/>
  <c r="S413" i="1"/>
  <c r="U75" i="1"/>
  <c r="O335" i="3"/>
  <c r="K231" i="3"/>
  <c r="I185" i="3"/>
  <c r="K185" i="3" s="1"/>
  <c r="O72" i="3"/>
  <c r="L72" i="4"/>
  <c r="O72" i="4" s="1"/>
  <c r="O74" i="4"/>
  <c r="O23" i="4"/>
  <c r="L20" i="4"/>
  <c r="P23" i="4"/>
  <c r="M21" i="4"/>
  <c r="M20" i="4"/>
  <c r="P26" i="4"/>
  <c r="M24" i="4"/>
  <c r="P24" i="4" s="1"/>
  <c r="U175" i="4"/>
  <c r="R173" i="4"/>
  <c r="U173" i="4" s="1"/>
  <c r="P44" i="4"/>
  <c r="O74" i="3"/>
  <c r="K242" i="3"/>
  <c r="K83" i="3"/>
  <c r="J458" i="1"/>
  <c r="O159" i="1"/>
  <c r="R72" i="4"/>
  <c r="U72" i="4" s="1"/>
  <c r="U74" i="4"/>
  <c r="U23" i="4"/>
  <c r="R20" i="4"/>
  <c r="S21" i="4"/>
  <c r="S20" i="4"/>
  <c r="S18" i="4" s="1"/>
  <c r="N186" i="4"/>
  <c r="P186" i="4" s="1"/>
  <c r="T305" i="4"/>
  <c r="Q303" i="4"/>
  <c r="T303" i="4" s="1"/>
  <c r="M356" i="4"/>
  <c r="P356" i="4" s="1"/>
  <c r="P358" i="4"/>
  <c r="O96" i="4"/>
  <c r="L94" i="4"/>
  <c r="O94" i="4" s="1"/>
  <c r="Q173" i="4"/>
  <c r="T173" i="4" s="1"/>
  <c r="T175" i="4"/>
  <c r="Q728" i="4"/>
  <c r="T728" i="4" s="1"/>
  <c r="O284" i="4"/>
  <c r="S690" i="4"/>
  <c r="T690" i="4" s="1"/>
  <c r="Q760" i="4"/>
  <c r="T760" i="4" s="1"/>
  <c r="T762" i="4"/>
  <c r="U496" i="1"/>
  <c r="P175" i="2"/>
  <c r="N20" i="1"/>
  <c r="T75" i="1"/>
  <c r="S18" i="2"/>
  <c r="P46" i="3"/>
  <c r="P358" i="3"/>
  <c r="R493" i="3"/>
  <c r="U493" i="3" s="1"/>
  <c r="M356" i="3"/>
  <c r="P356" i="3" s="1"/>
  <c r="U616" i="2"/>
  <c r="M94" i="4"/>
  <c r="P94" i="4" s="1"/>
  <c r="P96" i="4"/>
  <c r="M59" i="4"/>
  <c r="P59" i="4" s="1"/>
  <c r="L139" i="4"/>
  <c r="O139" i="4" s="1"/>
  <c r="T96" i="4"/>
  <c r="O243" i="4"/>
  <c r="L232" i="4"/>
  <c r="P175" i="4"/>
  <c r="P266" i="4"/>
  <c r="M320" i="4"/>
  <c r="P320" i="4" s="1"/>
  <c r="R413" i="4"/>
  <c r="U413" i="4" s="1"/>
  <c r="L303" i="4"/>
  <c r="O303" i="4" s="1"/>
  <c r="Q266" i="4"/>
  <c r="T266" i="4" s="1"/>
  <c r="K83" i="4"/>
  <c r="I71" i="4"/>
  <c r="K71" i="4" s="1"/>
  <c r="P188" i="4"/>
  <c r="T269" i="4"/>
  <c r="U645" i="2"/>
  <c r="N44" i="3"/>
  <c r="O44" i="3" s="1"/>
  <c r="P305" i="3"/>
  <c r="T692" i="3"/>
  <c r="Q21" i="4"/>
  <c r="Q20" i="4"/>
  <c r="T23" i="4"/>
  <c r="R21" i="4"/>
  <c r="L21" i="4"/>
  <c r="U119" i="4"/>
  <c r="R117" i="4"/>
  <c r="U117" i="4" s="1"/>
  <c r="I231" i="4"/>
  <c r="K242" i="4"/>
  <c r="Q232" i="4"/>
  <c r="T243" i="4"/>
  <c r="P173" i="4"/>
  <c r="O335" i="4"/>
  <c r="N333" i="4"/>
  <c r="O333" i="4" s="1"/>
  <c r="P157" i="4"/>
  <c r="U762" i="4"/>
  <c r="R642" i="4"/>
  <c r="U644" i="4"/>
  <c r="T619" i="4"/>
  <c r="U692" i="4"/>
  <c r="R690" i="4"/>
  <c r="K615" i="1"/>
  <c r="O285" i="1"/>
  <c r="T763" i="1"/>
  <c r="P47" i="1"/>
  <c r="U306" i="2"/>
  <c r="P74" i="3"/>
  <c r="P186" i="3"/>
  <c r="L44" i="4"/>
  <c r="O46" i="4"/>
  <c r="Q117" i="4"/>
  <c r="T117" i="4" s="1"/>
  <c r="T119" i="4"/>
  <c r="O159" i="4"/>
  <c r="L157" i="4"/>
  <c r="O157" i="4" s="1"/>
  <c r="R303" i="4"/>
  <c r="U303" i="4" s="1"/>
  <c r="O336" i="4"/>
  <c r="Q413" i="4"/>
  <c r="T413" i="4" s="1"/>
  <c r="T415" i="4"/>
  <c r="Q186" i="4"/>
  <c r="T186" i="4" s="1"/>
  <c r="O173" i="4"/>
  <c r="O358" i="4"/>
  <c r="Q616" i="4"/>
  <c r="T616" i="4" s="1"/>
  <c r="T618" i="4"/>
  <c r="O119" i="4"/>
  <c r="L117" i="4"/>
  <c r="O117" i="4" s="1"/>
  <c r="P285" i="1"/>
  <c r="P335" i="2"/>
  <c r="L232" i="3"/>
  <c r="Q616" i="3"/>
  <c r="T616" i="3" s="1"/>
  <c r="L59" i="4"/>
  <c r="O59" i="4" s="1"/>
  <c r="O61" i="4"/>
  <c r="N21" i="4"/>
  <c r="Q157" i="4"/>
  <c r="T157" i="4" s="1"/>
  <c r="T159" i="4"/>
  <c r="M72" i="4"/>
  <c r="P72" i="4" s="1"/>
  <c r="M513" i="4"/>
  <c r="P513" i="4" s="1"/>
  <c r="P515" i="4"/>
  <c r="O175" i="4"/>
  <c r="I70" i="4"/>
  <c r="K70" i="4" s="1"/>
  <c r="K82" i="4"/>
  <c r="R375" i="4"/>
  <c r="U375" i="4" s="1"/>
  <c r="U377" i="4"/>
  <c r="O515" i="4"/>
  <c r="L513" i="4"/>
  <c r="O513" i="4" s="1"/>
  <c r="O356" i="4"/>
  <c r="Q413" i="3"/>
  <c r="T413" i="3" s="1"/>
  <c r="T377" i="2"/>
  <c r="P359" i="1"/>
  <c r="U760" i="2"/>
  <c r="M576" i="1"/>
  <c r="P576" i="1" s="1"/>
  <c r="K332" i="2"/>
  <c r="N94" i="1"/>
  <c r="S18" i="3"/>
  <c r="L320" i="3"/>
  <c r="O320" i="3" s="1"/>
  <c r="O282" i="3"/>
  <c r="N266" i="3"/>
  <c r="P266" i="3" s="1"/>
  <c r="P188" i="3"/>
  <c r="L94" i="3"/>
  <c r="O94" i="3" s="1"/>
  <c r="O305" i="3"/>
  <c r="P160" i="1"/>
  <c r="Q375" i="3"/>
  <c r="T375" i="3" s="1"/>
  <c r="R303" i="3"/>
  <c r="U303" i="3" s="1"/>
  <c r="U269" i="3"/>
  <c r="M616" i="1"/>
  <c r="P616" i="1" s="1"/>
  <c r="L392" i="1"/>
  <c r="O392" i="1" s="1"/>
  <c r="N117" i="1"/>
  <c r="M59" i="2"/>
  <c r="P59" i="2" s="1"/>
  <c r="T74" i="2"/>
  <c r="Q173" i="2"/>
  <c r="T173" i="2" s="1"/>
  <c r="Q616" i="2"/>
  <c r="T616" i="2" s="1"/>
  <c r="L117" i="1"/>
  <c r="O117" i="1" s="1"/>
  <c r="S72" i="3"/>
  <c r="U72" i="3" s="1"/>
  <c r="T120" i="3"/>
  <c r="N173" i="3"/>
  <c r="U306" i="3"/>
  <c r="N493" i="1"/>
  <c r="P356" i="2"/>
  <c r="T731" i="2"/>
  <c r="U618" i="2"/>
  <c r="U120" i="2"/>
  <c r="L714" i="1"/>
  <c r="O714" i="1" s="1"/>
  <c r="U619" i="2"/>
  <c r="O306" i="3"/>
  <c r="M320" i="3"/>
  <c r="P320" i="3" s="1"/>
  <c r="N282" i="1"/>
  <c r="P333" i="3"/>
  <c r="U266" i="3"/>
  <c r="O119" i="3"/>
  <c r="L117" i="3"/>
  <c r="O117" i="3" s="1"/>
  <c r="O336" i="1"/>
  <c r="T120" i="2"/>
  <c r="U377" i="2"/>
  <c r="L186" i="3"/>
  <c r="O186" i="3" s="1"/>
  <c r="O333" i="3"/>
  <c r="P335" i="3"/>
  <c r="O268" i="3"/>
  <c r="L266" i="3"/>
  <c r="O266" i="3" s="1"/>
  <c r="P303" i="3"/>
  <c r="O303" i="3"/>
  <c r="R20" i="3"/>
  <c r="U23" i="3"/>
  <c r="Q139" i="3"/>
  <c r="T139" i="3" s="1"/>
  <c r="T141" i="3"/>
  <c r="U692" i="3"/>
  <c r="R690" i="3"/>
  <c r="U690" i="3" s="1"/>
  <c r="T377" i="1"/>
  <c r="S59" i="1"/>
  <c r="N303" i="2"/>
  <c r="O303" i="2" s="1"/>
  <c r="U730" i="3"/>
  <c r="R728" i="3"/>
  <c r="U728" i="3" s="1"/>
  <c r="Q493" i="3"/>
  <c r="T493" i="3" s="1"/>
  <c r="T495" i="3"/>
  <c r="U644" i="3"/>
  <c r="R642" i="3"/>
  <c r="U642" i="3" s="1"/>
  <c r="S303" i="1"/>
  <c r="P269" i="1"/>
  <c r="M555" i="1"/>
  <c r="P555" i="1" s="1"/>
  <c r="S282" i="1"/>
  <c r="N20" i="2"/>
  <c r="N18" i="2" s="1"/>
  <c r="I71" i="2"/>
  <c r="K71" i="2" s="1"/>
  <c r="L266" i="2"/>
  <c r="O266" i="2" s="1"/>
  <c r="M728" i="1"/>
  <c r="P728" i="1" s="1"/>
  <c r="Q642" i="2"/>
  <c r="T642" i="2" s="1"/>
  <c r="R72" i="1"/>
  <c r="U72" i="1" s="1"/>
  <c r="M690" i="1"/>
  <c r="P690" i="1" s="1"/>
  <c r="Q493" i="2"/>
  <c r="T493" i="2" s="1"/>
  <c r="R21" i="3"/>
  <c r="M72" i="3"/>
  <c r="P72" i="3" s="1"/>
  <c r="M24" i="3"/>
  <c r="P24" i="3" s="1"/>
  <c r="M94" i="3"/>
  <c r="P94" i="3" s="1"/>
  <c r="P96" i="3"/>
  <c r="S21" i="3"/>
  <c r="Q20" i="3"/>
  <c r="T23" i="3"/>
  <c r="Q21" i="3"/>
  <c r="N21" i="3"/>
  <c r="O21" i="3" s="1"/>
  <c r="N20" i="3"/>
  <c r="N18" i="3" s="1"/>
  <c r="M117" i="3"/>
  <c r="P117" i="3" s="1"/>
  <c r="P119" i="3"/>
  <c r="U644" i="2"/>
  <c r="M59" i="3"/>
  <c r="P59" i="3" s="1"/>
  <c r="P159" i="3"/>
  <c r="M157" i="3"/>
  <c r="P157" i="3" s="1"/>
  <c r="O159" i="3"/>
  <c r="L356" i="3"/>
  <c r="O356" i="3" s="1"/>
  <c r="O358" i="3"/>
  <c r="L760" i="1"/>
  <c r="O760" i="1" s="1"/>
  <c r="U269" i="1"/>
  <c r="N24" i="1"/>
  <c r="M72" i="2"/>
  <c r="P72" i="2" s="1"/>
  <c r="R413" i="2"/>
  <c r="U413" i="2" s="1"/>
  <c r="Q690" i="2"/>
  <c r="T690" i="2" s="1"/>
  <c r="R714" i="1"/>
  <c r="U714" i="1" s="1"/>
  <c r="U46" i="1"/>
  <c r="P23" i="3"/>
  <c r="M20" i="3"/>
  <c r="L24" i="3"/>
  <c r="O24" i="3" s="1"/>
  <c r="M282" i="3"/>
  <c r="P282" i="3" s="1"/>
  <c r="I412" i="3"/>
  <c r="K412" i="3" s="1"/>
  <c r="K423" i="3"/>
  <c r="O284" i="3"/>
  <c r="T730" i="3"/>
  <c r="Q728" i="3"/>
  <c r="T728" i="3" s="1"/>
  <c r="M173" i="3"/>
  <c r="P175" i="3"/>
  <c r="T760" i="2"/>
  <c r="S266" i="1"/>
  <c r="P141" i="3"/>
  <c r="M139" i="3"/>
  <c r="P139" i="3" s="1"/>
  <c r="R139" i="3"/>
  <c r="U139" i="3" s="1"/>
  <c r="T119" i="3"/>
  <c r="Q690" i="1"/>
  <c r="T690" i="1" s="1"/>
  <c r="M760" i="1"/>
  <c r="P760" i="1" s="1"/>
  <c r="O323" i="1"/>
  <c r="J457" i="1"/>
  <c r="J456" i="1" s="1"/>
  <c r="O160" i="1"/>
  <c r="T266" i="2"/>
  <c r="S139" i="1"/>
  <c r="U690" i="2"/>
  <c r="M44" i="3"/>
  <c r="L20" i="3"/>
  <c r="O23" i="3"/>
  <c r="R186" i="3"/>
  <c r="U186" i="3" s="1"/>
  <c r="P323" i="1"/>
  <c r="Q282" i="1"/>
  <c r="T282" i="1" s="1"/>
  <c r="M139" i="2"/>
  <c r="P139" i="2" s="1"/>
  <c r="P305" i="2"/>
  <c r="U618" i="1"/>
  <c r="O62" i="1"/>
  <c r="K82" i="3"/>
  <c r="I70" i="3"/>
  <c r="K70" i="3" s="1"/>
  <c r="Q117" i="3"/>
  <c r="T117" i="3" s="1"/>
  <c r="O61" i="3"/>
  <c r="L59" i="3"/>
  <c r="O59" i="3" s="1"/>
  <c r="L139" i="3"/>
  <c r="O139" i="3" s="1"/>
  <c r="T189" i="3"/>
  <c r="U189" i="3"/>
  <c r="R94" i="2"/>
  <c r="U94" i="2" s="1"/>
  <c r="L513" i="3"/>
  <c r="O513" i="3" s="1"/>
  <c r="M94" i="2"/>
  <c r="P94" i="2" s="1"/>
  <c r="P96" i="2"/>
  <c r="P715" i="1"/>
  <c r="M714" i="1"/>
  <c r="P714" i="1" s="1"/>
  <c r="T645" i="1"/>
  <c r="O46" i="2"/>
  <c r="L728" i="1"/>
  <c r="O728" i="1" s="1"/>
  <c r="T268" i="2"/>
  <c r="P336" i="1"/>
  <c r="U645" i="1"/>
  <c r="N21" i="1"/>
  <c r="O96" i="1"/>
  <c r="U644" i="1"/>
  <c r="L72" i="2"/>
  <c r="O72" i="2" s="1"/>
  <c r="O74" i="2"/>
  <c r="T618" i="1"/>
  <c r="O119" i="2"/>
  <c r="L186" i="2"/>
  <c r="O186" i="2" s="1"/>
  <c r="O141" i="1"/>
  <c r="L320" i="2"/>
  <c r="O320" i="2" s="1"/>
  <c r="U642" i="2"/>
  <c r="I70" i="2"/>
  <c r="K70" i="2" s="1"/>
  <c r="K82" i="2"/>
  <c r="L72" i="1"/>
  <c r="O73" i="1"/>
  <c r="M513" i="2"/>
  <c r="P513" i="2" s="1"/>
  <c r="R616" i="1"/>
  <c r="O322" i="1"/>
  <c r="T378" i="1"/>
  <c r="N513" i="1"/>
  <c r="M157" i="2"/>
  <c r="P157" i="2" s="1"/>
  <c r="O62" i="2"/>
  <c r="O336" i="2"/>
  <c r="T644" i="1"/>
  <c r="T496" i="1"/>
  <c r="O44" i="1"/>
  <c r="T730" i="2"/>
  <c r="O46" i="1"/>
  <c r="N139" i="1"/>
  <c r="P139" i="1" s="1"/>
  <c r="U188" i="2"/>
  <c r="R728" i="1"/>
  <c r="U728" i="1" s="1"/>
  <c r="U762" i="2"/>
  <c r="S642" i="1"/>
  <c r="L24" i="2"/>
  <c r="O24" i="2" s="1"/>
  <c r="L59" i="2"/>
  <c r="O59" i="2" s="1"/>
  <c r="P46" i="2"/>
  <c r="U186" i="2"/>
  <c r="U189" i="2"/>
  <c r="T305" i="2"/>
  <c r="T119" i="2"/>
  <c r="Q117" i="2"/>
  <c r="T117" i="2" s="1"/>
  <c r="P536" i="1"/>
  <c r="M534" i="1"/>
  <c r="P534" i="1" s="1"/>
  <c r="T619" i="1"/>
  <c r="L413" i="1"/>
  <c r="O413" i="1" s="1"/>
  <c r="N21" i="2"/>
  <c r="P21" i="2" s="1"/>
  <c r="R157" i="2"/>
  <c r="U157" i="2" s="1"/>
  <c r="U159" i="2"/>
  <c r="O47" i="2"/>
  <c r="O643" i="1"/>
  <c r="L642" i="1"/>
  <c r="O642" i="1" s="1"/>
  <c r="P175" i="1"/>
  <c r="P74" i="1"/>
  <c r="M186" i="2"/>
  <c r="P186" i="2" s="1"/>
  <c r="U600" i="1"/>
  <c r="R599" i="1"/>
  <c r="U599" i="1" s="1"/>
  <c r="L266" i="1"/>
  <c r="O266" i="1" s="1"/>
  <c r="O267" i="1"/>
  <c r="Q642" i="1"/>
  <c r="O74" i="1"/>
  <c r="O60" i="1"/>
  <c r="L59" i="1"/>
  <c r="P46" i="1"/>
  <c r="O189" i="1"/>
  <c r="O176" i="1"/>
  <c r="L599" i="1"/>
  <c r="O599" i="1" s="1"/>
  <c r="T19" i="2"/>
  <c r="P643" i="1"/>
  <c r="M642" i="1"/>
  <c r="P642" i="1" s="1"/>
  <c r="M599" i="1"/>
  <c r="P599" i="1" s="1"/>
  <c r="P600" i="1"/>
  <c r="R576" i="1"/>
  <c r="U576" i="1" s="1"/>
  <c r="S320" i="1"/>
  <c r="R320" i="1"/>
  <c r="U320" i="1" s="1"/>
  <c r="M375" i="1"/>
  <c r="P375" i="1" s="1"/>
  <c r="Q333" i="1"/>
  <c r="T333" i="1" s="1"/>
  <c r="S24" i="1"/>
  <c r="S20" i="1"/>
  <c r="L20" i="2"/>
  <c r="O23" i="2"/>
  <c r="U268" i="2"/>
  <c r="P322" i="2"/>
  <c r="M320" i="2"/>
  <c r="P320" i="2" s="1"/>
  <c r="P282" i="2"/>
  <c r="Q157" i="2"/>
  <c r="T157" i="2" s="1"/>
  <c r="U19" i="2"/>
  <c r="O284" i="2"/>
  <c r="L282" i="2"/>
  <c r="O282" i="2" s="1"/>
  <c r="R266" i="2"/>
  <c r="U266" i="2" s="1"/>
  <c r="P358" i="2"/>
  <c r="T762" i="2"/>
  <c r="P333" i="2"/>
  <c r="M173" i="2"/>
  <c r="P173" i="2" s="1"/>
  <c r="P322" i="1"/>
  <c r="K242" i="2"/>
  <c r="I231" i="2"/>
  <c r="U175" i="2"/>
  <c r="R173" i="2"/>
  <c r="U173" i="2" s="1"/>
  <c r="P23" i="2"/>
  <c r="M20" i="2"/>
  <c r="M303" i="2"/>
  <c r="L173" i="2"/>
  <c r="O173" i="2" s="1"/>
  <c r="O175" i="2"/>
  <c r="U730" i="2"/>
  <c r="R728" i="2"/>
  <c r="Q599" i="1"/>
  <c r="T599" i="1" s="1"/>
  <c r="T600" i="1"/>
  <c r="O19" i="2"/>
  <c r="T494" i="1"/>
  <c r="Q493" i="1"/>
  <c r="T493" i="1" s="1"/>
  <c r="O515" i="2"/>
  <c r="L513" i="2"/>
  <c r="O513" i="2" s="1"/>
  <c r="U619" i="1"/>
  <c r="M303" i="1"/>
  <c r="P189" i="1"/>
  <c r="Q576" i="1"/>
  <c r="T576" i="1" s="1"/>
  <c r="L320" i="1"/>
  <c r="O320" i="1" s="1"/>
  <c r="N19" i="1"/>
  <c r="Q20" i="2"/>
  <c r="T20" i="2" s="1"/>
  <c r="T23" i="2"/>
  <c r="Q21" i="2"/>
  <c r="T21" i="2" s="1"/>
  <c r="P268" i="2"/>
  <c r="M266" i="2"/>
  <c r="P266" i="2" s="1"/>
  <c r="L232" i="2"/>
  <c r="O243" i="2"/>
  <c r="R375" i="2"/>
  <c r="U375" i="2" s="1"/>
  <c r="Q375" i="2"/>
  <c r="T375" i="2" s="1"/>
  <c r="P159" i="1"/>
  <c r="M157" i="1"/>
  <c r="P176" i="1"/>
  <c r="P44" i="1"/>
  <c r="R20" i="2"/>
  <c r="U20" i="2" s="1"/>
  <c r="U23" i="2"/>
  <c r="M44" i="2"/>
  <c r="P284" i="2"/>
  <c r="L44" i="2"/>
  <c r="O159" i="2"/>
  <c r="L157" i="2"/>
  <c r="O157" i="2" s="1"/>
  <c r="T96" i="2"/>
  <c r="Q94" i="2"/>
  <c r="T94" i="2" s="1"/>
  <c r="S303" i="2"/>
  <c r="U303" i="2" s="1"/>
  <c r="O356" i="2"/>
  <c r="Q413" i="2"/>
  <c r="T413" i="2" s="1"/>
  <c r="T556" i="1"/>
  <c r="Q555" i="1"/>
  <c r="T555" i="1" s="1"/>
  <c r="O358" i="2"/>
  <c r="S728" i="2"/>
  <c r="T728" i="2" s="1"/>
  <c r="T761" i="1"/>
  <c r="Q760" i="1"/>
  <c r="N599" i="1"/>
  <c r="K83" i="1"/>
  <c r="I71" i="1"/>
  <c r="K71" i="1" s="1"/>
  <c r="R59" i="1"/>
  <c r="U59" i="1" s="1"/>
  <c r="U415" i="1"/>
  <c r="R413" i="1"/>
  <c r="U413" i="1" s="1"/>
  <c r="P73" i="1"/>
  <c r="M72" i="1"/>
  <c r="M94" i="1"/>
  <c r="P96" i="1"/>
  <c r="I169" i="1"/>
  <c r="K169" i="1" s="1"/>
  <c r="K168" i="1"/>
  <c r="K626" i="1"/>
  <c r="U140" i="1"/>
  <c r="R139" i="1"/>
  <c r="U139" i="1" s="1"/>
  <c r="U494" i="1"/>
  <c r="R493" i="1"/>
  <c r="U493" i="1" s="1"/>
  <c r="T187" i="1"/>
  <c r="Q186" i="1"/>
  <c r="T186" i="1" s="1"/>
  <c r="U515" i="1"/>
  <c r="R513" i="1"/>
  <c r="U513" i="1" s="1"/>
  <c r="T46" i="1"/>
  <c r="Q44" i="1"/>
  <c r="T44" i="1" s="1"/>
  <c r="K82" i="1"/>
  <c r="I70" i="1"/>
  <c r="K70" i="1" s="1"/>
  <c r="S94" i="1"/>
  <c r="T94" i="1" s="1"/>
  <c r="T96" i="1"/>
  <c r="M117" i="1"/>
  <c r="P117" i="1" s="1"/>
  <c r="P118" i="1"/>
  <c r="O140" i="1"/>
  <c r="L139" i="1"/>
  <c r="T158" i="1"/>
  <c r="Q157" i="1"/>
  <c r="T157" i="1" s="1"/>
  <c r="O283" i="1"/>
  <c r="L282" i="1"/>
  <c r="P25" i="1"/>
  <c r="M24" i="1"/>
  <c r="P24" i="1" s="1"/>
  <c r="O358" i="1"/>
  <c r="L356" i="1"/>
  <c r="I412" i="1"/>
  <c r="K412" i="1" s="1"/>
  <c r="K423" i="1"/>
  <c r="U556" i="1"/>
  <c r="R555" i="1"/>
  <c r="U555" i="1" s="1"/>
  <c r="Q392" i="1"/>
  <c r="T392" i="1" s="1"/>
  <c r="T393" i="1"/>
  <c r="R19" i="1"/>
  <c r="U22" i="1"/>
  <c r="R21" i="1"/>
  <c r="T119" i="1"/>
  <c r="Q117" i="1"/>
  <c r="L534" i="1"/>
  <c r="O534" i="1" s="1"/>
  <c r="O536" i="1"/>
  <c r="U97" i="1"/>
  <c r="T61" i="1"/>
  <c r="Q59" i="1"/>
  <c r="T59" i="1" s="1"/>
  <c r="M392" i="1"/>
  <c r="P392" i="1" s="1"/>
  <c r="P393" i="1"/>
  <c r="P267" i="1"/>
  <c r="M266" i="1"/>
  <c r="P266" i="1" s="1"/>
  <c r="L333" i="1"/>
  <c r="O333" i="1" s="1"/>
  <c r="O334" i="1"/>
  <c r="R20" i="1"/>
  <c r="U23" i="1"/>
  <c r="M320" i="1"/>
  <c r="P320" i="1" s="1"/>
  <c r="P321" i="1"/>
  <c r="R282" i="1"/>
  <c r="U282" i="1" s="1"/>
  <c r="T617" i="1"/>
  <c r="Q616" i="1"/>
  <c r="O95" i="1"/>
  <c r="L94" i="1"/>
  <c r="T23" i="1"/>
  <c r="Q20" i="1"/>
  <c r="T25" i="1"/>
  <c r="Q24" i="1"/>
  <c r="T24" i="1" s="1"/>
  <c r="Q303" i="1"/>
  <c r="T304" i="1"/>
  <c r="T376" i="1"/>
  <c r="Q375" i="1"/>
  <c r="U25" i="1"/>
  <c r="R24" i="1"/>
  <c r="U24" i="1" s="1"/>
  <c r="T268" i="1"/>
  <c r="Q266" i="1"/>
  <c r="M59" i="1"/>
  <c r="P60" i="1"/>
  <c r="O174" i="1"/>
  <c r="L173" i="1"/>
  <c r="T535" i="1"/>
  <c r="Q534" i="1"/>
  <c r="T534" i="1" s="1"/>
  <c r="O25" i="1"/>
  <c r="L24" i="1"/>
  <c r="O24" i="1" s="1"/>
  <c r="L19" i="1"/>
  <c r="O22" i="1"/>
  <c r="L21" i="1"/>
  <c r="O305" i="1"/>
  <c r="L303" i="1"/>
  <c r="N186" i="1"/>
  <c r="O186" i="1" s="1"/>
  <c r="O188" i="1"/>
  <c r="P188" i="1"/>
  <c r="R157" i="1"/>
  <c r="U157" i="1" s="1"/>
  <c r="U158" i="1"/>
  <c r="U96" i="1"/>
  <c r="O556" i="1"/>
  <c r="L555" i="1"/>
  <c r="O555" i="1" s="1"/>
  <c r="L157" i="1"/>
  <c r="O158" i="1"/>
  <c r="T97" i="1"/>
  <c r="O377" i="1"/>
  <c r="L375" i="1"/>
  <c r="O375" i="1" s="1"/>
  <c r="S21" i="1"/>
  <c r="S19" i="1"/>
  <c r="M19" i="1"/>
  <c r="Q513" i="1"/>
  <c r="T513" i="1" s="1"/>
  <c r="T515" i="1"/>
  <c r="M20" i="1"/>
  <c r="P23" i="1"/>
  <c r="Q356" i="1"/>
  <c r="T356" i="1" s="1"/>
  <c r="T357" i="1"/>
  <c r="Q320" i="1"/>
  <c r="T320" i="1" s="1"/>
  <c r="L576" i="1"/>
  <c r="O576" i="1" s="1"/>
  <c r="O515" i="1"/>
  <c r="L513" i="1"/>
  <c r="O513" i="1" s="1"/>
  <c r="T74" i="1"/>
  <c r="Q72" i="1"/>
  <c r="T72" i="1" s="1"/>
  <c r="R534" i="1"/>
  <c r="U534" i="1" s="1"/>
  <c r="U536" i="1"/>
  <c r="P358" i="1"/>
  <c r="M356" i="1"/>
  <c r="P356" i="1" s="1"/>
  <c r="P335" i="1"/>
  <c r="M333" i="1"/>
  <c r="P333" i="1" s="1"/>
  <c r="U377" i="1"/>
  <c r="R375" i="1"/>
  <c r="U305" i="1"/>
  <c r="R303" i="1"/>
  <c r="S375" i="1"/>
  <c r="U95" i="1"/>
  <c r="R94" i="1"/>
  <c r="L20" i="1"/>
  <c r="O23" i="1"/>
  <c r="S333" i="1"/>
  <c r="Q19" i="1"/>
  <c r="T22" i="1"/>
  <c r="Q21" i="1"/>
  <c r="U187" i="1"/>
  <c r="R186" i="1"/>
  <c r="T305" i="1"/>
  <c r="O356" i="18" l="1"/>
  <c r="Q18" i="17"/>
  <c r="T18" i="17" s="1"/>
  <c r="U690" i="10"/>
  <c r="T72" i="18"/>
  <c r="P333" i="18"/>
  <c r="U690" i="13"/>
  <c r="T690" i="11"/>
  <c r="T186" i="15"/>
  <c r="T186" i="17"/>
  <c r="T21" i="17"/>
  <c r="N40" i="18"/>
  <c r="K231" i="18"/>
  <c r="I185" i="18"/>
  <c r="K185" i="18" s="1"/>
  <c r="O44" i="17"/>
  <c r="P333" i="17"/>
  <c r="N40" i="17"/>
  <c r="I185" i="16"/>
  <c r="K185" i="16" s="1"/>
  <c r="P20" i="16"/>
  <c r="P186" i="17"/>
  <c r="O20" i="18"/>
  <c r="O139" i="18"/>
  <c r="I185" i="11"/>
  <c r="K185" i="11" s="1"/>
  <c r="U266" i="17"/>
  <c r="M40" i="18"/>
  <c r="P44" i="18"/>
  <c r="T21" i="18"/>
  <c r="U21" i="18"/>
  <c r="L18" i="18"/>
  <c r="O18" i="18" s="1"/>
  <c r="T20" i="18"/>
  <c r="Q18" i="18"/>
  <c r="T18" i="18" s="1"/>
  <c r="P21" i="18"/>
  <c r="T728" i="8"/>
  <c r="L40" i="18"/>
  <c r="O44" i="18"/>
  <c r="P20" i="18"/>
  <c r="M18" i="18"/>
  <c r="P18" i="18" s="1"/>
  <c r="R18" i="18"/>
  <c r="U18" i="18" s="1"/>
  <c r="O21" i="17"/>
  <c r="O20" i="17"/>
  <c r="L18" i="17"/>
  <c r="O18" i="17" s="1"/>
  <c r="P20" i="17"/>
  <c r="M18" i="17"/>
  <c r="P18" i="17" s="1"/>
  <c r="Q18" i="15"/>
  <c r="T18" i="15" s="1"/>
  <c r="O186" i="17"/>
  <c r="P21" i="17"/>
  <c r="K231" i="17"/>
  <c r="I185" i="17"/>
  <c r="K185" i="17" s="1"/>
  <c r="U728" i="17"/>
  <c r="I185" i="14"/>
  <c r="K185" i="14" s="1"/>
  <c r="L40" i="17"/>
  <c r="M40" i="17"/>
  <c r="R18" i="17"/>
  <c r="U18" i="17" s="1"/>
  <c r="M18" i="16"/>
  <c r="P18" i="16" s="1"/>
  <c r="P21" i="14"/>
  <c r="M40" i="16"/>
  <c r="P40" i="16" s="1"/>
  <c r="P44" i="16"/>
  <c r="P333" i="16"/>
  <c r="U20" i="16"/>
  <c r="R18" i="16"/>
  <c r="U18" i="16" s="1"/>
  <c r="O20" i="16"/>
  <c r="L18" i="16"/>
  <c r="O18" i="16" s="1"/>
  <c r="T21" i="16"/>
  <c r="L40" i="16"/>
  <c r="O40" i="16" s="1"/>
  <c r="U21" i="16"/>
  <c r="O21" i="16"/>
  <c r="Q18" i="16"/>
  <c r="T18" i="16" s="1"/>
  <c r="O333" i="16"/>
  <c r="T117" i="1"/>
  <c r="P20" i="15"/>
  <c r="O186" i="14"/>
  <c r="P72" i="15"/>
  <c r="N40" i="15"/>
  <c r="O44" i="14"/>
  <c r="O20" i="15"/>
  <c r="L18" i="15"/>
  <c r="O18" i="15" s="1"/>
  <c r="T21" i="15"/>
  <c r="M40" i="15"/>
  <c r="P44" i="15"/>
  <c r="U20" i="15"/>
  <c r="R18" i="15"/>
  <c r="U18" i="15" s="1"/>
  <c r="T616" i="13"/>
  <c r="T760" i="12"/>
  <c r="O21" i="15"/>
  <c r="M18" i="15"/>
  <c r="P18" i="15" s="1"/>
  <c r="U21" i="15"/>
  <c r="L40" i="15"/>
  <c r="P21" i="13"/>
  <c r="U616" i="14"/>
  <c r="R18" i="14"/>
  <c r="U18" i="14" s="1"/>
  <c r="U266" i="1"/>
  <c r="O20" i="14"/>
  <c r="L18" i="14"/>
  <c r="O18" i="14" s="1"/>
  <c r="O18" i="13"/>
  <c r="Q18" i="14"/>
  <c r="T18" i="14" s="1"/>
  <c r="P20" i="14"/>
  <c r="M18" i="14"/>
  <c r="P18" i="14" s="1"/>
  <c r="L40" i="14"/>
  <c r="R18" i="13"/>
  <c r="U18" i="13" s="1"/>
  <c r="T21" i="14"/>
  <c r="M40" i="14"/>
  <c r="U117" i="14"/>
  <c r="N40" i="14"/>
  <c r="T21" i="13"/>
  <c r="U21" i="13"/>
  <c r="M40" i="13"/>
  <c r="P44" i="13"/>
  <c r="U186" i="12"/>
  <c r="N40" i="13"/>
  <c r="P59" i="13"/>
  <c r="U117" i="10"/>
  <c r="Q18" i="13"/>
  <c r="T18" i="13" s="1"/>
  <c r="P20" i="13"/>
  <c r="P18" i="13"/>
  <c r="O20" i="13"/>
  <c r="L40" i="13"/>
  <c r="P333" i="10"/>
  <c r="M40" i="12"/>
  <c r="P40" i="12" s="1"/>
  <c r="U21" i="12"/>
  <c r="T21" i="12"/>
  <c r="R18" i="12"/>
  <c r="U18" i="12" s="1"/>
  <c r="P20" i="12"/>
  <c r="M18" i="12"/>
  <c r="P18" i="12" s="1"/>
  <c r="O20" i="12"/>
  <c r="L18" i="12"/>
  <c r="O18" i="12" s="1"/>
  <c r="P18" i="11"/>
  <c r="L40" i="12"/>
  <c r="O40" i="12" s="1"/>
  <c r="O44" i="12"/>
  <c r="T20" i="12"/>
  <c r="Q18" i="12"/>
  <c r="T18" i="12" s="1"/>
  <c r="P72" i="10"/>
  <c r="P21" i="11"/>
  <c r="T21" i="10"/>
  <c r="L40" i="11"/>
  <c r="O40" i="11" s="1"/>
  <c r="U21" i="10"/>
  <c r="M40" i="11"/>
  <c r="P40" i="11" s="1"/>
  <c r="P44" i="11"/>
  <c r="P20" i="11"/>
  <c r="U21" i="11"/>
  <c r="U20" i="11"/>
  <c r="R18" i="11"/>
  <c r="U18" i="11" s="1"/>
  <c r="O186" i="10"/>
  <c r="T21" i="11"/>
  <c r="O20" i="11"/>
  <c r="L18" i="11"/>
  <c r="O18" i="11" s="1"/>
  <c r="P303" i="1"/>
  <c r="T20" i="11"/>
  <c r="Q18" i="11"/>
  <c r="T18" i="11" s="1"/>
  <c r="O21" i="11"/>
  <c r="O303" i="1"/>
  <c r="N40" i="10"/>
  <c r="L40" i="10"/>
  <c r="O186" i="9"/>
  <c r="P21" i="9"/>
  <c r="N40" i="9"/>
  <c r="U20" i="10"/>
  <c r="R18" i="10"/>
  <c r="U18" i="10" s="1"/>
  <c r="P20" i="9"/>
  <c r="M40" i="10"/>
  <c r="P44" i="10"/>
  <c r="O20" i="10"/>
  <c r="L18" i="10"/>
  <c r="O18" i="10" s="1"/>
  <c r="O18" i="9"/>
  <c r="K231" i="10"/>
  <c r="I185" i="10"/>
  <c r="K185" i="10" s="1"/>
  <c r="P20" i="10"/>
  <c r="M18" i="10"/>
  <c r="P18" i="10" s="1"/>
  <c r="Q18" i="10"/>
  <c r="T18" i="10" s="1"/>
  <c r="O21" i="10"/>
  <c r="P72" i="1"/>
  <c r="R18" i="9"/>
  <c r="U18" i="9" s="1"/>
  <c r="T72" i="8"/>
  <c r="P59" i="1"/>
  <c r="U117" i="1"/>
  <c r="O20" i="9"/>
  <c r="T20" i="9"/>
  <c r="Q18" i="9"/>
  <c r="T18" i="9" s="1"/>
  <c r="O157" i="1"/>
  <c r="O21" i="7"/>
  <c r="U186" i="7"/>
  <c r="T266" i="7"/>
  <c r="P157" i="1"/>
  <c r="M18" i="9"/>
  <c r="P18" i="9" s="1"/>
  <c r="T21" i="9"/>
  <c r="L40" i="9"/>
  <c r="O40" i="9" s="1"/>
  <c r="O44" i="9"/>
  <c r="M40" i="9"/>
  <c r="P44" i="9"/>
  <c r="O59" i="1"/>
  <c r="P72" i="8"/>
  <c r="U21" i="9"/>
  <c r="K231" i="9"/>
  <c r="I185" i="9"/>
  <c r="K185" i="9" s="1"/>
  <c r="U642" i="4"/>
  <c r="U21" i="6"/>
  <c r="T21" i="6"/>
  <c r="U72" i="6"/>
  <c r="P356" i="8"/>
  <c r="P173" i="8"/>
  <c r="U21" i="7"/>
  <c r="T20" i="8"/>
  <c r="Q18" i="8"/>
  <c r="T18" i="8" s="1"/>
  <c r="P356" i="6"/>
  <c r="M40" i="8"/>
  <c r="L40" i="8"/>
  <c r="O44" i="8"/>
  <c r="O20" i="8"/>
  <c r="L18" i="8"/>
  <c r="O18" i="8" s="1"/>
  <c r="P20" i="8"/>
  <c r="M18" i="8"/>
  <c r="P18" i="8" s="1"/>
  <c r="P59" i="8"/>
  <c r="P21" i="8"/>
  <c r="U20" i="8"/>
  <c r="R18" i="8"/>
  <c r="U18" i="8" s="1"/>
  <c r="Q18" i="7"/>
  <c r="T21" i="7"/>
  <c r="T21" i="8"/>
  <c r="N40" i="8"/>
  <c r="K231" i="8"/>
  <c r="I185" i="8"/>
  <c r="K185" i="8" s="1"/>
  <c r="P282" i="1"/>
  <c r="Q18" i="5"/>
  <c r="T18" i="5" s="1"/>
  <c r="U186" i="1"/>
  <c r="U642" i="1"/>
  <c r="P173" i="1"/>
  <c r="O356" i="1"/>
  <c r="L40" i="7"/>
  <c r="O40" i="7" s="1"/>
  <c r="U20" i="7"/>
  <c r="R18" i="7"/>
  <c r="U18" i="7" s="1"/>
  <c r="T760" i="1"/>
  <c r="O282" i="6"/>
  <c r="P157" i="6"/>
  <c r="K231" i="7"/>
  <c r="I185" i="7"/>
  <c r="K185" i="7" s="1"/>
  <c r="U728" i="7"/>
  <c r="P20" i="7"/>
  <c r="O20" i="7"/>
  <c r="L18" i="7"/>
  <c r="O18" i="7" s="1"/>
  <c r="M18" i="7"/>
  <c r="P18" i="7" s="1"/>
  <c r="M40" i="7"/>
  <c r="P40" i="7" s="1"/>
  <c r="P44" i="7"/>
  <c r="P21" i="1"/>
  <c r="O173" i="1"/>
  <c r="U266" i="5"/>
  <c r="T18" i="7"/>
  <c r="P303" i="5"/>
  <c r="P303" i="6"/>
  <c r="T616" i="1"/>
  <c r="O20" i="2"/>
  <c r="P72" i="6"/>
  <c r="P20" i="5"/>
  <c r="P20" i="6"/>
  <c r="M18" i="6"/>
  <c r="P18" i="6" s="1"/>
  <c r="Q18" i="6"/>
  <c r="T18" i="6" s="1"/>
  <c r="O20" i="6"/>
  <c r="L18" i="6"/>
  <c r="O18" i="6" s="1"/>
  <c r="O20" i="1"/>
  <c r="N18" i="1"/>
  <c r="P303" i="2"/>
  <c r="K231" i="6"/>
  <c r="I185" i="6"/>
  <c r="K185" i="6" s="1"/>
  <c r="L40" i="6"/>
  <c r="O44" i="6"/>
  <c r="R18" i="6"/>
  <c r="U18" i="6" s="1"/>
  <c r="U690" i="6"/>
  <c r="T266" i="1"/>
  <c r="O20" i="5"/>
  <c r="M40" i="6"/>
  <c r="P44" i="6"/>
  <c r="N40" i="6"/>
  <c r="U303" i="1"/>
  <c r="O356" i="5"/>
  <c r="K231" i="5"/>
  <c r="I185" i="5"/>
  <c r="K185" i="5" s="1"/>
  <c r="P94" i="1"/>
  <c r="N40" i="3"/>
  <c r="T72" i="3"/>
  <c r="N40" i="5"/>
  <c r="R18" i="5"/>
  <c r="U18" i="5" s="1"/>
  <c r="O94" i="1"/>
  <c r="U616" i="1"/>
  <c r="M18" i="5"/>
  <c r="P18" i="5" s="1"/>
  <c r="L40" i="5"/>
  <c r="T21" i="5"/>
  <c r="P20" i="1"/>
  <c r="N40" i="4"/>
  <c r="L18" i="5"/>
  <c r="O18" i="5" s="1"/>
  <c r="M40" i="5"/>
  <c r="P44" i="5"/>
  <c r="U21" i="4"/>
  <c r="O282" i="1"/>
  <c r="U94" i="1"/>
  <c r="O72" i="1"/>
  <c r="O186" i="4"/>
  <c r="O21" i="1"/>
  <c r="T303" i="1"/>
  <c r="T21" i="4"/>
  <c r="T20" i="4"/>
  <c r="Q18" i="4"/>
  <c r="T18" i="4" s="1"/>
  <c r="M40" i="4"/>
  <c r="P20" i="4"/>
  <c r="M18" i="4"/>
  <c r="P18" i="4" s="1"/>
  <c r="K231" i="4"/>
  <c r="I185" i="4"/>
  <c r="K185" i="4" s="1"/>
  <c r="L40" i="4"/>
  <c r="O44" i="4"/>
  <c r="P21" i="4"/>
  <c r="P333" i="4"/>
  <c r="O21" i="4"/>
  <c r="U20" i="4"/>
  <c r="R18" i="4"/>
  <c r="U18" i="4" s="1"/>
  <c r="P173" i="3"/>
  <c r="U690" i="4"/>
  <c r="O20" i="4"/>
  <c r="L18" i="4"/>
  <c r="O18" i="4" s="1"/>
  <c r="O173" i="3"/>
  <c r="S18" i="1"/>
  <c r="N40" i="2"/>
  <c r="P21" i="3"/>
  <c r="L40" i="3"/>
  <c r="T21" i="3"/>
  <c r="U20" i="3"/>
  <c r="R18" i="3"/>
  <c r="U18" i="3" s="1"/>
  <c r="P44" i="3"/>
  <c r="M40" i="3"/>
  <c r="P20" i="3"/>
  <c r="M18" i="3"/>
  <c r="P18" i="3" s="1"/>
  <c r="T20" i="3"/>
  <c r="Q18" i="3"/>
  <c r="T18" i="3" s="1"/>
  <c r="U21" i="3"/>
  <c r="T642" i="1"/>
  <c r="O20" i="3"/>
  <c r="L18" i="3"/>
  <c r="O18" i="3" s="1"/>
  <c r="O21" i="2"/>
  <c r="L18" i="2"/>
  <c r="O18" i="2" s="1"/>
  <c r="O139" i="1"/>
  <c r="U20" i="1"/>
  <c r="M40" i="2"/>
  <c r="P44" i="2"/>
  <c r="R18" i="2"/>
  <c r="U18" i="2" s="1"/>
  <c r="L40" i="2"/>
  <c r="O44" i="2"/>
  <c r="U728" i="2"/>
  <c r="T303" i="2"/>
  <c r="K231" i="2"/>
  <c r="I185" i="2"/>
  <c r="K185" i="2" s="1"/>
  <c r="P186" i="1"/>
  <c r="T375" i="1"/>
  <c r="T20" i="1"/>
  <c r="U375" i="1"/>
  <c r="P20" i="2"/>
  <c r="M18" i="2"/>
  <c r="P18" i="2" s="1"/>
  <c r="Q18" i="2"/>
  <c r="T18" i="2" s="1"/>
  <c r="T21" i="1"/>
  <c r="O19" i="1"/>
  <c r="L18" i="1"/>
  <c r="U19" i="1"/>
  <c r="R18" i="1"/>
  <c r="T19" i="1"/>
  <c r="Q18" i="1"/>
  <c r="M18" i="1"/>
  <c r="P19" i="1"/>
  <c r="U21" i="1"/>
  <c r="P40" i="18" l="1"/>
  <c r="P40" i="17"/>
  <c r="O40" i="18"/>
  <c r="O40" i="17"/>
  <c r="O40" i="15"/>
  <c r="P40" i="15"/>
  <c r="P40" i="14"/>
  <c r="P40" i="13"/>
  <c r="O40" i="14"/>
  <c r="O40" i="13"/>
  <c r="O40" i="10"/>
  <c r="P40" i="10"/>
  <c r="P40" i="9"/>
  <c r="O40" i="8"/>
  <c r="P40" i="8"/>
  <c r="P40" i="6"/>
  <c r="O40" i="6"/>
  <c r="O18" i="1"/>
  <c r="P18" i="1"/>
  <c r="O40" i="3"/>
  <c r="P40" i="3"/>
  <c r="U18" i="1"/>
  <c r="O40" i="5"/>
  <c r="P40" i="4"/>
  <c r="P40" i="5"/>
  <c r="O40" i="4"/>
  <c r="T18" i="1"/>
  <c r="P40" i="2"/>
  <c r="O40" i="2"/>
</calcChain>
</file>

<file path=xl/sharedStrings.xml><?xml version="1.0" encoding="utf-8"?>
<sst xmlns="http://schemas.openxmlformats.org/spreadsheetml/2006/main" count="23649" uniqueCount="336">
  <si>
    <t>รายละเอียดแผนงาน/โครงการ ผลผลิต/กิจกรรม ปีงบประมาณ พ.ศ. 2567</t>
  </si>
  <si>
    <t>รวมภาคเหนือ</t>
  </si>
  <si>
    <t>งบประมาณตาม พ.ร.บ.</t>
  </si>
  <si>
    <t>งบประมาณกองทุน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</si>
  <si>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</si>
  <si>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</si>
  <si>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</si>
  <si>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</si>
  <si>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</si>
  <si>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</si>
  <si>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</si>
  <si>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</si>
  <si>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</si>
  <si>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</si>
  <si>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</si>
  <si>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</si>
  <si>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</si>
  <si>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 ประจำปีงบประมาณ พ.ศ. 2566 ไปพลางก่อน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</si>
  <si>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</si>
  <si>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</si>
  <si>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</si>
  <si>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</si>
  <si>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</si>
  <si>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</si>
  <si>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</si>
  <si>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</si>
  <si>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</si>
  <si>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</si>
  <si>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</si>
  <si>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</si>
  <si>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</si>
  <si>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</si>
  <si>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</si>
  <si>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</si>
  <si>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</si>
  <si>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</si>
  <si>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</si>
  <si>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</si>
  <si>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</si>
  <si>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</si>
  <si>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</si>
  <si>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</si>
  <si>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</si>
  <si>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</si>
  <si>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</si>
  <si>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</si>
  <si>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</si>
  <si>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</si>
  <si>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</si>
  <si>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</si>
  <si>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</si>
  <si>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</si>
  <si>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</si>
  <si>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</si>
  <si>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</si>
  <si>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</si>
  <si>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</si>
  <si>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</si>
  <si>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</si>
  <si>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</si>
  <si>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</si>
  <si>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</si>
  <si>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</si>
  <si>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</si>
  <si>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</si>
  <si>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</si>
  <si>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</si>
  <si>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</si>
  <si>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</si>
  <si>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</si>
  <si>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</si>
  <si>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</si>
  <si>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</si>
  <si>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</si>
  <si>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</si>
  <si>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</si>
  <si>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</si>
  <si>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</si>
  <si>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</si>
  <si>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</si>
  <si>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</si>
  <si>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</si>
  <si>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</si>
  <si>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</si>
  <si>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</si>
  <si>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</si>
  <si>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</si>
  <si>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</si>
  <si>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</si>
  <si>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</si>
  <si>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</si>
  <si>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</si>
  <si>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</si>
  <si>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</si>
  <si>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</si>
  <si>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</si>
  <si>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</si>
  <si>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</si>
  <si>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</si>
  <si>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</si>
  <si>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</si>
  <si>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</si>
  <si>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</si>
  <si>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</si>
  <si>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</si>
  <si>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</si>
  <si>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</si>
  <si>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</si>
  <si>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</si>
  <si>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</si>
  <si>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</si>
  <si>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</si>
  <si>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</si>
  <si>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</si>
  <si>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</si>
  <si>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</si>
  <si>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</si>
  <si>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</si>
  <si>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</si>
  <si>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</si>
  <si>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</si>
  <si>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</si>
  <si>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</si>
  <si>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</si>
  <si>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</si>
  <si>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</si>
  <si>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</si>
  <si>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</si>
  <si>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</si>
  <si>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</si>
  <si>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</si>
  <si>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</si>
  <si>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</si>
  <si>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</si>
  <si>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</si>
  <si>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</si>
  <si>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</si>
  <si>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</si>
  <si>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</si>
  <si>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</si>
  <si>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</si>
  <si>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</si>
  <si>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</si>
  <si>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</si>
  <si>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</si>
  <si>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</si>
  <si>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</si>
  <si>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</si>
  <si>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</si>
  <si>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</si>
  <si>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</si>
  <si>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</si>
  <si>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</si>
  <si>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</si>
  <si>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</si>
  <si>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</si>
  <si>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</si>
  <si>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</si>
  <si>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</si>
  <si>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</si>
  <si>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</si>
  <si>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</si>
  <si>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</si>
  <si>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</si>
  <si>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</si>
  <si>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</si>
  <si>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</si>
  <si>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</si>
  <si>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</si>
  <si>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</si>
  <si>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</si>
  <si>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</si>
  <si>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</si>
  <si>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</si>
  <si>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</si>
  <si>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</si>
  <si>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</si>
  <si>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</si>
  <si>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</si>
  <si>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</si>
  <si>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</si>
  <si>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</si>
  <si>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</si>
  <si>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</si>
  <si>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</si>
  <si>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</si>
  <si>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</si>
  <si>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</si>
  <si>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</si>
  <si>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</si>
  <si>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</si>
  <si>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</si>
  <si>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</si>
  <si>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</si>
  <si>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</si>
  <si>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</si>
  <si>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</si>
  <si>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</si>
  <si>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</si>
  <si>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</si>
  <si>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</si>
  <si>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</si>
  <si>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</si>
  <si>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</si>
  <si>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</si>
  <si>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</si>
  <si>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</si>
  <si>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</si>
  <si>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</si>
  <si>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</si>
  <si>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</si>
  <si>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</si>
  <si>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</si>
  <si>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</si>
  <si>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</si>
  <si>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</si>
  <si>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</si>
  <si>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</si>
  <si>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</si>
  <si>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</si>
  <si>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</si>
  <si>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</si>
  <si>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</si>
  <si>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</si>
  <si>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</si>
  <si>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</si>
  <si>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</si>
  <si>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</si>
  <si>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</si>
  <si>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</si>
  <si>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</si>
  <si>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</si>
  <si>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</si>
  <si>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</si>
  <si>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</si>
  <si>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</si>
  <si>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</si>
  <si>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</si>
  <si>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</si>
  <si>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</si>
  <si>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</si>
  <si>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</si>
  <si>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</si>
  <si>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</si>
  <si>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</si>
  <si>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</si>
  <si>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</si>
  <si>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</si>
  <si>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</si>
  <si>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</si>
  <si>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</si>
  <si>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</si>
  <si>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</si>
  <si>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</si>
  <si>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</si>
  <si>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</si>
  <si>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</si>
  <si>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</si>
  <si>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</si>
  <si>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</si>
  <si>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</si>
  <si>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</si>
  <si>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</si>
  <si>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</si>
  <si>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</si>
  <si>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</si>
  <si>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</si>
  <si>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</si>
  <si>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</si>
  <si>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</si>
  <si>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</si>
  <si>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</si>
  <si>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</si>
  <si>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</si>
  <si>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</si>
  <si>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</si>
  <si>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</si>
  <si>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</si>
  <si>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</si>
  <si>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</si>
  <si>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</si>
  <si>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</si>
  <si>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</si>
  <si>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</si>
  <si>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</si>
  <si>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</si>
  <si>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</si>
  <si>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</si>
  <si>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</si>
  <si>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</si>
  <si>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</si>
  <si>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</si>
  <si>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</si>
  <si>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</si>
  <si>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</si>
  <si>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</si>
  <si>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:</t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</si>
  <si>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</si>
  <si>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</si>
  <si>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</si>
  <si>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</si>
  <si>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</si>
  <si>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</si>
  <si>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</si>
  <si>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</si>
  <si>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</si>
  <si>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</si>
  <si>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t>- ค่าจ้างเหมาบริการ</t>
  </si>
  <si>
    <t>- ค่าใช้จ่ายในการบริหารงาน</t>
  </si>
  <si>
    <t>รวม งบประมาณ</t>
  </si>
  <si>
    <t>สำนักงานการปฏิรูปที่ดินจังหวัด กำแพงเพชร</t>
  </si>
  <si>
    <t>- งบบริหารโครงการ</t>
  </si>
  <si>
    <t>สำนักงานการปฏิรูปที่ดินจังหวัด เชียงราย</t>
  </si>
  <si>
    <t>(5) โครงการธนาคารอาหารชุมชน (เกษตรวิชญา)</t>
  </si>
  <si>
    <t>สำนักงานการปฏิรูปที่ดินจังหวัด เชียงใหม่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</si>
  <si>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</si>
  <si>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</si>
  <si>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(6) โครงการปิดทองหลังพระตามพระราชดำริฯ</t>
  </si>
  <si>
    <t>(5) โครงการศูนย์ภูฟ้าพัฒนาตามพระราชดำริฯ</t>
  </si>
  <si>
    <t>สำนักงานการปฏิรูปที่ดินจังหวัด น่าน</t>
  </si>
  <si>
    <t xml:space="preserve"> กิจกรรมการจัดที่ดินเอกชน </t>
  </si>
  <si>
    <t>ราย/แปลง</t>
  </si>
  <si>
    <t>(5) โครงการศูนย์เรียนรู้การพัฒนาเกษตรอ่างเก็บน้ำห้วยไฟฯ</t>
  </si>
  <si>
    <t>สำนักงานการปฏิรูปที่ดินจังหวัด พะเยา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</si>
  <si>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</si>
  <si>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</si>
  <si>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เพชรบูรณ์</t>
  </si>
  <si>
    <t>สำนักงานการปฏิรูปที่ดินจังหวัด แพร่</t>
  </si>
  <si>
    <t>สำนักงานการปฏิรูปที่ดินจังหวัด แม่ฮ่องสอน</t>
  </si>
  <si>
    <t>สำนักงานการปฏิรูปที่ดินจังหวัด ลำปาง</t>
  </si>
  <si>
    <t>(5) โครงการพัฒนาพื้นที่ลุ่มน้ำแม่อาวฯ</t>
  </si>
  <si>
    <t>สำนักงานการปฏิรูปที่ดินจังหวัด ลำพูน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</si>
  <si>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</si>
  <si>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</si>
  <si>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</si>
  <si>
    <t>ข้อมูล ณ วันที่ 30 เม.ย 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</si>
</sst>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_-;\-* #,##0.0_-;_-* &quot;-&quot;_-;_-@"/>
    <numFmt numFmtId="169" formatCode="_-* #,##0.00_-;\-* #,##0.00_-;_-* &quot;-&quot;????_-;_-@"/>
    <numFmt numFmtId="170" formatCode="_-* #,##0.00_-;\-* #,##0.00_-;_-* &quot;-&quot;_-;_-@"/>
  </numFmts>
  <fonts count="46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theme="1"/>
      <name val="Arial"/>
    </font>
    <font>
      <b/>
      <sz val="15"/>
      <color rgb="FFFFFFFF"/>
      <name val="Arial"/>
    </font>
    <font>
      <sz val="10"/>
      <name val="Arial"/>
    </font>
    <font>
      <b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sz val="15"/>
      <color rgb="FFFF0000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u/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sz val="14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sz val="10"/>
      <color rgb="FF000000"/>
      <name val="Arial"/>
    </font>
    <font>
      <u/>
      <sz val="15"/>
      <color rgb="FFFF0000"/>
      <name val="Arial"/>
    </font>
    <font>
      <b/>
      <u/>
      <sz val="15"/>
      <color rgb="FF000000"/>
      <name val="Arial"/>
    </font>
    <font>
      <sz val="10"/>
      <color rgb="FFFF0000"/>
      <name val="Arial"/>
    </font>
    <font>
      <u/>
      <sz val="15"/>
      <color rgb="FF000000"/>
      <name val="Arial"/>
    </font>
    <font>
      <sz val="11"/>
      <color theme="1"/>
      <name val="Arial"/>
    </font>
    <font>
      <sz val="10"/>
      <color theme="1"/>
      <name val="Arial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</fills>
  <borders count="2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824">
    <xf numFmtId="0" fontId="0" fillId="0" borderId="0" xfId="0"/>
    <xf numFmtId="0" fontId="2" fillId="2" borderId="1" xfId="0" applyFont="1" applyFill="1" applyBorder="1"/>
    <xf numFmtId="164" fontId="2" fillId="2" borderId="1" xfId="0" applyNumberFormat="1" applyFont="1" applyFill="1" applyBorder="1"/>
    <xf numFmtId="165" fontId="2" fillId="2" borderId="2" xfId="0" applyNumberFormat="1" applyFont="1" applyFill="1" applyBorder="1"/>
    <xf numFmtId="0" fontId="5" fillId="5" borderId="6" xfId="0" applyFont="1" applyFill="1" applyBorder="1" applyAlignment="1">
      <alignment horizontal="center"/>
    </xf>
    <xf numFmtId="0" fontId="2" fillId="5" borderId="2" xfId="0" applyFont="1" applyFill="1" applyBorder="1"/>
    <xf numFmtId="165" fontId="5" fillId="6" borderId="2" xfId="0" applyNumberFormat="1" applyFont="1" applyFill="1" applyBorder="1" applyAlignment="1">
      <alignment horizontal="center"/>
    </xf>
    <xf numFmtId="164" fontId="5" fillId="6" borderId="2" xfId="0" applyNumberFormat="1" applyFont="1" applyFill="1" applyBorder="1" applyAlignment="1">
      <alignment horizontal="center" wrapText="1"/>
    </xf>
    <xf numFmtId="165" fontId="5" fillId="7" borderId="2" xfId="0" applyNumberFormat="1" applyFont="1" applyFill="1" applyBorder="1" applyAlignment="1">
      <alignment horizontal="center" wrapText="1"/>
    </xf>
    <xf numFmtId="165" fontId="5" fillId="9" borderId="2" xfId="0" applyNumberFormat="1" applyFont="1" applyFill="1" applyBorder="1" applyAlignment="1">
      <alignment horizontal="center" wrapText="1"/>
    </xf>
    <xf numFmtId="165" fontId="5" fillId="8" borderId="2" xfId="0" applyNumberFormat="1" applyFont="1" applyFill="1" applyBorder="1" applyAlignment="1">
      <alignment horizontal="center"/>
    </xf>
    <xf numFmtId="165" fontId="5" fillId="7" borderId="2" xfId="0" applyNumberFormat="1" applyFont="1" applyFill="1" applyBorder="1" applyAlignment="1">
      <alignment horizontal="center"/>
    </xf>
    <xf numFmtId="165" fontId="5" fillId="9" borderId="2" xfId="0" applyNumberFormat="1" applyFont="1" applyFill="1" applyBorder="1" applyAlignment="1">
      <alignment horizontal="center"/>
    </xf>
    <xf numFmtId="0" fontId="2" fillId="10" borderId="7" xfId="0" applyFont="1" applyFill="1" applyBorder="1"/>
    <xf numFmtId="0" fontId="2" fillId="10" borderId="2" xfId="0" applyFont="1" applyFill="1" applyBorder="1"/>
    <xf numFmtId="166" fontId="2" fillId="10" borderId="2" xfId="0" applyNumberFormat="1" applyFont="1" applyFill="1" applyBorder="1"/>
    <xf numFmtId="165" fontId="2" fillId="10" borderId="2" xfId="0" applyNumberFormat="1" applyFont="1" applyFill="1" applyBorder="1"/>
    <xf numFmtId="0" fontId="2" fillId="10" borderId="8" xfId="0" applyFont="1" applyFill="1" applyBorder="1"/>
    <xf numFmtId="0" fontId="2" fillId="10" borderId="9" xfId="0" applyFont="1" applyFill="1" applyBorder="1"/>
    <xf numFmtId="0" fontId="2" fillId="10" borderId="10" xfId="0" applyFont="1" applyFill="1" applyBorder="1"/>
    <xf numFmtId="166" fontId="2" fillId="10" borderId="10" xfId="0" applyNumberFormat="1" applyFont="1" applyFill="1" applyBorder="1"/>
    <xf numFmtId="165" fontId="2" fillId="10" borderId="10" xfId="0" applyNumberFormat="1" applyFont="1" applyFill="1" applyBorder="1"/>
    <xf numFmtId="0" fontId="2" fillId="10" borderId="1" xfId="0" applyFont="1" applyFill="1" applyBorder="1"/>
    <xf numFmtId="0" fontId="2" fillId="11" borderId="2" xfId="0" applyFont="1" applyFill="1" applyBorder="1"/>
    <xf numFmtId="166" fontId="2" fillId="11" borderId="2" xfId="0" applyNumberFormat="1" applyFont="1" applyFill="1" applyBorder="1"/>
    <xf numFmtId="165" fontId="2" fillId="11" borderId="2" xfId="0" applyNumberFormat="1" applyFont="1" applyFill="1" applyBorder="1"/>
    <xf numFmtId="0" fontId="2" fillId="12" borderId="8" xfId="0" applyFont="1" applyFill="1" applyBorder="1"/>
    <xf numFmtId="0" fontId="2" fillId="12" borderId="9" xfId="0" applyFont="1" applyFill="1" applyBorder="1"/>
    <xf numFmtId="0" fontId="5" fillId="12" borderId="9" xfId="0" applyFont="1" applyFill="1" applyBorder="1"/>
    <xf numFmtId="0" fontId="6" fillId="12" borderId="9" xfId="0" applyFont="1" applyFill="1" applyBorder="1"/>
    <xf numFmtId="0" fontId="2" fillId="12" borderId="10" xfId="0" applyFont="1" applyFill="1" applyBorder="1"/>
    <xf numFmtId="0" fontId="5" fillId="12" borderId="10" xfId="0" applyFont="1" applyFill="1" applyBorder="1" applyAlignment="1">
      <alignment horizontal="center"/>
    </xf>
    <xf numFmtId="166" fontId="2" fillId="12" borderId="10" xfId="0" applyNumberFormat="1" applyFont="1" applyFill="1" applyBorder="1"/>
    <xf numFmtId="165" fontId="2" fillId="12" borderId="10" xfId="0" applyNumberFormat="1" applyFont="1" applyFill="1" applyBorder="1"/>
    <xf numFmtId="165" fontId="5" fillId="12" borderId="10" xfId="0" applyNumberFormat="1" applyFont="1" applyFill="1" applyBorder="1"/>
    <xf numFmtId="0" fontId="7" fillId="12" borderId="9" xfId="0" applyFont="1" applyFill="1" applyBorder="1"/>
    <xf numFmtId="0" fontId="7" fillId="12" borderId="10" xfId="0" applyFont="1" applyFill="1" applyBorder="1" applyAlignment="1">
      <alignment horizontal="center"/>
    </xf>
    <xf numFmtId="165" fontId="8" fillId="12" borderId="10" xfId="0" applyNumberFormat="1" applyFont="1" applyFill="1" applyBorder="1"/>
    <xf numFmtId="165" fontId="7" fillId="12" borderId="10" xfId="0" applyNumberFormat="1" applyFont="1" applyFill="1" applyBorder="1"/>
    <xf numFmtId="0" fontId="2" fillId="2" borderId="8" xfId="0" applyFont="1" applyFill="1" applyBorder="1"/>
    <xf numFmtId="0" fontId="2" fillId="2" borderId="9" xfId="0" applyFont="1" applyFill="1" applyBorder="1"/>
    <xf numFmtId="0" fontId="9" fillId="2" borderId="9" xfId="0" applyFont="1" applyFill="1" applyBorder="1"/>
    <xf numFmtId="0" fontId="2" fillId="2" borderId="10" xfId="0" applyFont="1" applyFill="1" applyBorder="1"/>
    <xf numFmtId="0" fontId="7" fillId="2" borderId="10" xfId="0" applyFont="1" applyFill="1" applyBorder="1" applyAlignment="1">
      <alignment horizontal="center"/>
    </xf>
    <xf numFmtId="166" fontId="2" fillId="2" borderId="10" xfId="0" applyNumberFormat="1" applyFont="1" applyFill="1" applyBorder="1"/>
    <xf numFmtId="165" fontId="2" fillId="2" borderId="10" xfId="0" applyNumberFormat="1" applyFont="1" applyFill="1" applyBorder="1"/>
    <xf numFmtId="165" fontId="7" fillId="2" borderId="10" xfId="0" applyNumberFormat="1" applyFont="1" applyFill="1" applyBorder="1"/>
    <xf numFmtId="0" fontId="7" fillId="2" borderId="9" xfId="0" applyFont="1" applyFill="1" applyBorder="1"/>
    <xf numFmtId="165" fontId="8" fillId="2" borderId="10" xfId="0" applyNumberFormat="1" applyFont="1" applyFill="1" applyBorder="1"/>
    <xf numFmtId="0" fontId="10" fillId="2" borderId="9" xfId="0" applyFont="1" applyFill="1" applyBorder="1"/>
    <xf numFmtId="0" fontId="2" fillId="2" borderId="7" xfId="0" applyFont="1" applyFill="1" applyBorder="1"/>
    <xf numFmtId="0" fontId="7" fillId="2" borderId="1" xfId="0" applyFont="1" applyFill="1" applyBorder="1"/>
    <xf numFmtId="0" fontId="2" fillId="2" borderId="2" xfId="0" applyFont="1" applyFill="1" applyBorder="1"/>
    <xf numFmtId="0" fontId="7" fillId="2" borderId="2" xfId="0" applyFont="1" applyFill="1" applyBorder="1" applyAlignment="1">
      <alignment horizontal="center"/>
    </xf>
    <xf numFmtId="166" fontId="2" fillId="2" borderId="2" xfId="0" applyNumberFormat="1" applyFont="1" applyFill="1" applyBorder="1"/>
    <xf numFmtId="0" fontId="5" fillId="13" borderId="7" xfId="0" applyFont="1" applyFill="1" applyBorder="1"/>
    <xf numFmtId="0" fontId="2" fillId="13" borderId="1" xfId="0" applyFont="1" applyFill="1" applyBorder="1"/>
    <xf numFmtId="0" fontId="2" fillId="13" borderId="2" xfId="0" applyFont="1" applyFill="1" applyBorder="1"/>
    <xf numFmtId="166" fontId="2" fillId="13" borderId="2" xfId="0" applyNumberFormat="1" applyFont="1" applyFill="1" applyBorder="1"/>
    <xf numFmtId="165" fontId="2" fillId="13" borderId="2" xfId="0" applyNumberFormat="1" applyFont="1" applyFill="1" applyBorder="1"/>
    <xf numFmtId="0" fontId="5" fillId="14" borderId="7" xfId="0" applyFont="1" applyFill="1" applyBorder="1"/>
    <xf numFmtId="0" fontId="2" fillId="14" borderId="1" xfId="0" applyFont="1" applyFill="1" applyBorder="1"/>
    <xf numFmtId="166" fontId="2" fillId="14" borderId="1" xfId="0" applyNumberFormat="1" applyFont="1" applyFill="1" applyBorder="1"/>
    <xf numFmtId="165" fontId="2" fillId="14" borderId="1" xfId="0" applyNumberFormat="1" applyFont="1" applyFill="1" applyBorder="1"/>
    <xf numFmtId="165" fontId="2" fillId="14" borderId="2" xfId="0" applyNumberFormat="1" applyFont="1" applyFill="1" applyBorder="1"/>
    <xf numFmtId="0" fontId="2" fillId="15" borderId="9" xfId="0" applyFont="1" applyFill="1" applyBorder="1"/>
    <xf numFmtId="0" fontId="5" fillId="15" borderId="9" xfId="0" applyFont="1" applyFill="1" applyBorder="1"/>
    <xf numFmtId="0" fontId="2" fillId="15" borderId="10" xfId="0" applyFont="1" applyFill="1" applyBorder="1"/>
    <xf numFmtId="166" fontId="2" fillId="15" borderId="10" xfId="0" applyNumberFormat="1" applyFont="1" applyFill="1" applyBorder="1"/>
    <xf numFmtId="165" fontId="2" fillId="15" borderId="10" xfId="0" applyNumberFormat="1" applyFont="1" applyFill="1" applyBorder="1"/>
    <xf numFmtId="0" fontId="2" fillId="16" borderId="8" xfId="0" applyFont="1" applyFill="1" applyBorder="1"/>
    <xf numFmtId="0" fontId="2" fillId="16" borderId="9" xfId="0" applyFont="1" applyFill="1" applyBorder="1"/>
    <xf numFmtId="0" fontId="5" fillId="16" borderId="9" xfId="0" applyFont="1" applyFill="1" applyBorder="1"/>
    <xf numFmtId="0" fontId="11" fillId="16" borderId="9" xfId="0" applyFont="1" applyFill="1" applyBorder="1"/>
    <xf numFmtId="0" fontId="2" fillId="16" borderId="10" xfId="0" applyFont="1" applyFill="1" applyBorder="1"/>
    <xf numFmtId="0" fontId="5" fillId="16" borderId="10" xfId="0" applyFont="1" applyFill="1" applyBorder="1" applyAlignment="1">
      <alignment horizontal="center"/>
    </xf>
    <xf numFmtId="166" fontId="2" fillId="16" borderId="10" xfId="0" applyNumberFormat="1" applyFont="1" applyFill="1" applyBorder="1"/>
    <xf numFmtId="165" fontId="2" fillId="16" borderId="10" xfId="0" applyNumberFormat="1" applyFont="1" applyFill="1" applyBorder="1"/>
    <xf numFmtId="165" fontId="5" fillId="16" borderId="10" xfId="0" applyNumberFormat="1" applyFont="1" applyFill="1" applyBorder="1"/>
    <xf numFmtId="0" fontId="7" fillId="16" borderId="9" xfId="0" applyFont="1" applyFill="1" applyBorder="1"/>
    <xf numFmtId="0" fontId="7" fillId="16" borderId="10" xfId="0" applyFont="1" applyFill="1" applyBorder="1" applyAlignment="1">
      <alignment horizontal="center"/>
    </xf>
    <xf numFmtId="165" fontId="8" fillId="16" borderId="10" xfId="0" applyNumberFormat="1" applyFont="1" applyFill="1" applyBorder="1"/>
    <xf numFmtId="165" fontId="7" fillId="16" borderId="10" xfId="0" applyNumberFormat="1" applyFont="1" applyFill="1" applyBorder="1"/>
    <xf numFmtId="165" fontId="8" fillId="2" borderId="10" xfId="0" applyNumberFormat="1" applyFont="1" applyFill="1" applyBorder="1" applyAlignment="1">
      <alignment horizontal="right"/>
    </xf>
    <xf numFmtId="0" fontId="2" fillId="17" borderId="1" xfId="0" applyFont="1" applyFill="1" applyBorder="1"/>
    <xf numFmtId="166" fontId="2" fillId="17" borderId="1" xfId="0" applyNumberFormat="1" applyFont="1" applyFill="1" applyBorder="1"/>
    <xf numFmtId="165" fontId="2" fillId="17" borderId="1" xfId="0" applyNumberFormat="1" applyFont="1" applyFill="1" applyBorder="1"/>
    <xf numFmtId="165" fontId="2" fillId="17" borderId="2" xfId="0" applyNumberFormat="1" applyFont="1" applyFill="1" applyBorder="1"/>
    <xf numFmtId="0" fontId="2" fillId="18" borderId="8" xfId="0" applyFont="1" applyFill="1" applyBorder="1"/>
    <xf numFmtId="0" fontId="2" fillId="18" borderId="10" xfId="0" applyFont="1" applyFill="1" applyBorder="1"/>
    <xf numFmtId="166" fontId="2" fillId="18" borderId="10" xfId="0" applyNumberFormat="1" applyFont="1" applyFill="1" applyBorder="1"/>
    <xf numFmtId="165" fontId="2" fillId="18" borderId="10" xfId="0" applyNumberFormat="1" applyFont="1" applyFill="1" applyBorder="1"/>
    <xf numFmtId="0" fontId="2" fillId="19" borderId="8" xfId="0" applyFont="1" applyFill="1" applyBorder="1"/>
    <xf numFmtId="0" fontId="5" fillId="19" borderId="9" xfId="0" applyFont="1" applyFill="1" applyBorder="1"/>
    <xf numFmtId="0" fontId="2" fillId="19" borderId="9" xfId="0" applyFont="1" applyFill="1" applyBorder="1"/>
    <xf numFmtId="0" fontId="2" fillId="19" borderId="10" xfId="0" applyFont="1" applyFill="1" applyBorder="1"/>
    <xf numFmtId="166" fontId="2" fillId="19" borderId="10" xfId="0" applyNumberFormat="1" applyFont="1" applyFill="1" applyBorder="1"/>
    <xf numFmtId="165" fontId="2" fillId="19" borderId="10" xfId="0" applyNumberFormat="1" applyFont="1" applyFill="1" applyBorder="1"/>
    <xf numFmtId="0" fontId="2" fillId="20" borderId="8" xfId="0" applyFont="1" applyFill="1" applyBorder="1"/>
    <xf numFmtId="0" fontId="2" fillId="20" borderId="9" xfId="0" applyFont="1" applyFill="1" applyBorder="1"/>
    <xf numFmtId="0" fontId="5" fillId="20" borderId="9" xfId="0" applyFont="1" applyFill="1" applyBorder="1"/>
    <xf numFmtId="0" fontId="12" fillId="20" borderId="9" xfId="0" applyFont="1" applyFill="1" applyBorder="1"/>
    <xf numFmtId="0" fontId="2" fillId="20" borderId="10" xfId="0" applyFont="1" applyFill="1" applyBorder="1"/>
    <xf numFmtId="0" fontId="5" fillId="20" borderId="10" xfId="0" applyFont="1" applyFill="1" applyBorder="1" applyAlignment="1">
      <alignment horizontal="center"/>
    </xf>
    <xf numFmtId="166" fontId="2" fillId="20" borderId="10" xfId="0" applyNumberFormat="1" applyFont="1" applyFill="1" applyBorder="1"/>
    <xf numFmtId="165" fontId="2" fillId="20" borderId="10" xfId="0" applyNumberFormat="1" applyFont="1" applyFill="1" applyBorder="1"/>
    <xf numFmtId="165" fontId="5" fillId="20" borderId="10" xfId="0" applyNumberFormat="1" applyFont="1" applyFill="1" applyBorder="1"/>
    <xf numFmtId="0" fontId="7" fillId="20" borderId="9" xfId="0" applyFont="1" applyFill="1" applyBorder="1"/>
    <xf numFmtId="0" fontId="7" fillId="20" borderId="10" xfId="0" applyFont="1" applyFill="1" applyBorder="1" applyAlignment="1">
      <alignment horizontal="center"/>
    </xf>
    <xf numFmtId="165" fontId="7" fillId="20" borderId="10" xfId="0" applyNumberFormat="1" applyFont="1" applyFill="1" applyBorder="1"/>
    <xf numFmtId="165" fontId="8" fillId="20" borderId="10" xfId="0" applyNumberFormat="1" applyFont="1" applyFill="1" applyBorder="1"/>
    <xf numFmtId="165" fontId="7" fillId="2" borderId="2" xfId="0" applyNumberFormat="1" applyFont="1" applyFill="1" applyBorder="1"/>
    <xf numFmtId="164" fontId="5" fillId="21" borderId="7" xfId="0" applyNumberFormat="1" applyFont="1" applyFill="1" applyBorder="1"/>
    <xf numFmtId="164" fontId="2" fillId="21" borderId="1" xfId="0" applyNumberFormat="1" applyFont="1" applyFill="1" applyBorder="1"/>
    <xf numFmtId="0" fontId="2" fillId="21" borderId="1" xfId="0" applyFont="1" applyFill="1" applyBorder="1"/>
    <xf numFmtId="166" fontId="2" fillId="21" borderId="1" xfId="0" applyNumberFormat="1" applyFont="1" applyFill="1" applyBorder="1"/>
    <xf numFmtId="165" fontId="2" fillId="21" borderId="1" xfId="0" applyNumberFormat="1" applyFont="1" applyFill="1" applyBorder="1"/>
    <xf numFmtId="165" fontId="2" fillId="21" borderId="2" xfId="0" applyNumberFormat="1" applyFont="1" applyFill="1" applyBorder="1"/>
    <xf numFmtId="164" fontId="5" fillId="22" borderId="8" xfId="0" applyNumberFormat="1" applyFont="1" applyFill="1" applyBorder="1"/>
    <xf numFmtId="0" fontId="2" fillId="22" borderId="9" xfId="0" applyFont="1" applyFill="1" applyBorder="1"/>
    <xf numFmtId="164" fontId="2" fillId="22" borderId="9" xfId="0" applyNumberFormat="1" applyFont="1" applyFill="1" applyBorder="1"/>
    <xf numFmtId="0" fontId="2" fillId="22" borderId="10" xfId="0" applyFont="1" applyFill="1" applyBorder="1"/>
    <xf numFmtId="166" fontId="2" fillId="22" borderId="10" xfId="0" applyNumberFormat="1" applyFont="1" applyFill="1" applyBorder="1"/>
    <xf numFmtId="165" fontId="2" fillId="22" borderId="10" xfId="0" applyNumberFormat="1" applyFont="1" applyFill="1" applyBorder="1"/>
    <xf numFmtId="167" fontId="2" fillId="12" borderId="8" xfId="0" applyNumberFormat="1" applyFont="1" applyFill="1" applyBorder="1"/>
    <xf numFmtId="164" fontId="2" fillId="12" borderId="9" xfId="0" applyNumberFormat="1" applyFont="1" applyFill="1" applyBorder="1"/>
    <xf numFmtId="0" fontId="5" fillId="12" borderId="10" xfId="0" applyFont="1" applyFill="1" applyBorder="1" applyAlignment="1">
      <alignment horizontal="center" wrapText="1"/>
    </xf>
    <xf numFmtId="166" fontId="5" fillId="12" borderId="10" xfId="0" applyNumberFormat="1" applyFont="1" applyFill="1" applyBorder="1"/>
    <xf numFmtId="167" fontId="2" fillId="2" borderId="8" xfId="0" applyNumberFormat="1" applyFont="1" applyFill="1" applyBorder="1"/>
    <xf numFmtId="0" fontId="5" fillId="2" borderId="9" xfId="0" applyFont="1" applyFill="1" applyBorder="1"/>
    <xf numFmtId="0" fontId="13" fillId="2" borderId="9" xfId="0" applyFont="1" applyFill="1" applyBorder="1"/>
    <xf numFmtId="164" fontId="5" fillId="2" borderId="10" xfId="0" applyNumberFormat="1" applyFont="1" applyFill="1" applyBorder="1" applyAlignment="1">
      <alignment horizontal="center"/>
    </xf>
    <xf numFmtId="165" fontId="5" fillId="2" borderId="10" xfId="0" applyNumberFormat="1" applyFont="1" applyFill="1" applyBorder="1"/>
    <xf numFmtId="164" fontId="7" fillId="2" borderId="10" xfId="0" applyNumberFormat="1" applyFont="1" applyFill="1" applyBorder="1" applyAlignment="1">
      <alignment horizontal="center"/>
    </xf>
    <xf numFmtId="164" fontId="7" fillId="0" borderId="10" xfId="0" applyNumberFormat="1" applyFont="1" applyBorder="1" applyAlignment="1">
      <alignment horizontal="center" wrapText="1"/>
    </xf>
    <xf numFmtId="166" fontId="2" fillId="0" borderId="10" xfId="0" applyNumberFormat="1" applyFont="1" applyBorder="1"/>
    <xf numFmtId="165" fontId="2" fillId="0" borderId="10" xfId="0" applyNumberFormat="1" applyFont="1" applyBorder="1"/>
    <xf numFmtId="164" fontId="7" fillId="0" borderId="10" xfId="0" applyNumberFormat="1" applyFont="1" applyBorder="1" applyAlignment="1">
      <alignment horizontal="center"/>
    </xf>
    <xf numFmtId="164" fontId="2" fillId="0" borderId="8" xfId="0" applyNumberFormat="1" applyFont="1" applyBorder="1"/>
    <xf numFmtId="164" fontId="2" fillId="0" borderId="9" xfId="0" applyNumberFormat="1" applyFont="1" applyBorder="1"/>
    <xf numFmtId="0" fontId="14" fillId="23" borderId="9" xfId="0" quotePrefix="1" applyFont="1" applyFill="1" applyBorder="1"/>
    <xf numFmtId="0" fontId="2" fillId="23" borderId="9" xfId="0" applyFont="1" applyFill="1" applyBorder="1"/>
    <xf numFmtId="0" fontId="2" fillId="23" borderId="10" xfId="0" applyFont="1" applyFill="1" applyBorder="1"/>
    <xf numFmtId="0" fontId="2" fillId="0" borderId="10" xfId="0" applyFont="1" applyBorder="1"/>
    <xf numFmtId="0" fontId="7" fillId="0" borderId="9" xfId="0" quotePrefix="1" applyFont="1" applyBorder="1"/>
    <xf numFmtId="0" fontId="2" fillId="0" borderId="9" xfId="0" applyFont="1" applyBorder="1"/>
    <xf numFmtId="0" fontId="5" fillId="0" borderId="10" xfId="0" applyFont="1" applyBorder="1" applyAlignment="1">
      <alignment horizontal="center" wrapText="1"/>
    </xf>
    <xf numFmtId="166" fontId="5" fillId="2" borderId="10" xfId="0" applyNumberFormat="1" applyFont="1" applyFill="1" applyBorder="1"/>
    <xf numFmtId="165" fontId="5" fillId="0" borderId="10" xfId="0" applyNumberFormat="1" applyFont="1" applyBorder="1"/>
    <xf numFmtId="0" fontId="7" fillId="0" borderId="9" xfId="0" applyFont="1" applyBorder="1"/>
    <xf numFmtId="0" fontId="7" fillId="0" borderId="10" xfId="0" applyFont="1" applyBorder="1" applyAlignment="1">
      <alignment horizontal="center"/>
    </xf>
    <xf numFmtId="166" fontId="7" fillId="0" borderId="10" xfId="0" applyNumberFormat="1" applyFont="1" applyBorder="1"/>
    <xf numFmtId="165" fontId="7" fillId="0" borderId="10" xfId="0" applyNumberFormat="1" applyFont="1" applyBorder="1"/>
    <xf numFmtId="0" fontId="7" fillId="0" borderId="10" xfId="0" applyFont="1" applyBorder="1" applyAlignment="1">
      <alignment horizontal="center" wrapText="1"/>
    </xf>
    <xf numFmtId="164" fontId="2" fillId="22" borderId="10" xfId="0" applyNumberFormat="1" applyFont="1" applyFill="1" applyBorder="1"/>
    <xf numFmtId="164" fontId="5" fillId="12" borderId="10" xfId="0" applyNumberFormat="1" applyFont="1" applyFill="1" applyBorder="1" applyAlignment="1">
      <alignment horizontal="center" wrapText="1"/>
    </xf>
    <xf numFmtId="0" fontId="8" fillId="2" borderId="9" xfId="0" applyFont="1" applyFill="1" applyBorder="1"/>
    <xf numFmtId="164" fontId="8" fillId="2" borderId="10" xfId="0" applyNumberFormat="1" applyFont="1" applyFill="1" applyBorder="1" applyAlignment="1">
      <alignment horizontal="center"/>
    </xf>
    <xf numFmtId="164" fontId="2" fillId="2" borderId="9" xfId="0" applyNumberFormat="1" applyFont="1" applyFill="1" applyBorder="1"/>
    <xf numFmtId="164" fontId="8" fillId="0" borderId="10" xfId="0" applyNumberFormat="1" applyFont="1" applyBorder="1" applyAlignment="1">
      <alignment horizontal="center" wrapText="1"/>
    </xf>
    <xf numFmtId="164" fontId="15" fillId="2" borderId="9" xfId="0" applyNumberFormat="1" applyFont="1" applyFill="1" applyBorder="1"/>
    <xf numFmtId="164" fontId="5" fillId="2" borderId="9" xfId="0" applyNumberFormat="1" applyFont="1" applyFill="1" applyBorder="1"/>
    <xf numFmtId="164" fontId="2" fillId="10" borderId="8" xfId="0" applyNumberFormat="1" applyFont="1" applyFill="1" applyBorder="1"/>
    <xf numFmtId="164" fontId="2" fillId="10" borderId="9" xfId="0" applyNumberFormat="1" applyFont="1" applyFill="1" applyBorder="1"/>
    <xf numFmtId="0" fontId="5" fillId="0" borderId="9" xfId="0" applyFont="1" applyBorder="1"/>
    <xf numFmtId="0" fontId="2" fillId="0" borderId="0" xfId="0" applyFont="1"/>
    <xf numFmtId="166" fontId="7" fillId="2" borderId="10" xfId="0" applyNumberFormat="1" applyFont="1" applyFill="1" applyBorder="1"/>
    <xf numFmtId="166" fontId="7" fillId="24" borderId="10" xfId="0" applyNumberFormat="1" applyFont="1" applyFill="1" applyBorder="1"/>
    <xf numFmtId="167" fontId="2" fillId="22" borderId="9" xfId="0" applyNumberFormat="1" applyFont="1" applyFill="1" applyBorder="1"/>
    <xf numFmtId="166" fontId="2" fillId="22" borderId="9" xfId="0" applyNumberFormat="1" applyFont="1" applyFill="1" applyBorder="1"/>
    <xf numFmtId="165" fontId="2" fillId="22" borderId="9" xfId="0" applyNumberFormat="1" applyFont="1" applyFill="1" applyBorder="1"/>
    <xf numFmtId="164" fontId="5" fillId="12" borderId="9" xfId="0" applyNumberFormat="1" applyFont="1" applyFill="1" applyBorder="1"/>
    <xf numFmtId="167" fontId="2" fillId="12" borderId="9" xfId="0" applyNumberFormat="1" applyFont="1" applyFill="1" applyBorder="1"/>
    <xf numFmtId="164" fontId="5" fillId="12" borderId="10" xfId="0" applyNumberFormat="1" applyFont="1" applyFill="1" applyBorder="1" applyAlignment="1">
      <alignment horizontal="center"/>
    </xf>
    <xf numFmtId="167" fontId="2" fillId="2" borderId="9" xfId="0" applyNumberFormat="1" applyFont="1" applyFill="1" applyBorder="1"/>
    <xf numFmtId="164" fontId="7" fillId="2" borderId="10" xfId="0" applyNumberFormat="1" applyFont="1" applyFill="1" applyBorder="1" applyAlignment="1">
      <alignment horizontal="center" wrapText="1"/>
    </xf>
    <xf numFmtId="164" fontId="8" fillId="2" borderId="10" xfId="0" applyNumberFormat="1" applyFont="1" applyFill="1" applyBorder="1" applyAlignment="1">
      <alignment horizontal="center" wrapText="1"/>
    </xf>
    <xf numFmtId="164" fontId="16" fillId="2" borderId="9" xfId="0" applyNumberFormat="1" applyFont="1" applyFill="1" applyBorder="1" applyAlignment="1">
      <alignment horizontal="center"/>
    </xf>
    <xf numFmtId="164" fontId="2" fillId="0" borderId="10" xfId="0" applyNumberFormat="1" applyFont="1" applyBorder="1"/>
    <xf numFmtId="0" fontId="8" fillId="0" borderId="9" xfId="0" applyFont="1" applyBorder="1"/>
    <xf numFmtId="164" fontId="2" fillId="2" borderId="10" xfId="0" applyNumberFormat="1" applyFont="1" applyFill="1" applyBorder="1"/>
    <xf numFmtId="164" fontId="2" fillId="10" borderId="10" xfId="0" applyNumberFormat="1" applyFont="1" applyFill="1" applyBorder="1"/>
    <xf numFmtId="166" fontId="2" fillId="12" borderId="9" xfId="0" applyNumberFormat="1" applyFont="1" applyFill="1" applyBorder="1"/>
    <xf numFmtId="167" fontId="5" fillId="12" borderId="9" xfId="0" applyNumberFormat="1" applyFont="1" applyFill="1" applyBorder="1"/>
    <xf numFmtId="166" fontId="7" fillId="2" borderId="10" xfId="0" applyNumberFormat="1" applyFont="1" applyFill="1" applyBorder="1" applyAlignment="1">
      <alignment horizontal="right"/>
    </xf>
    <xf numFmtId="167" fontId="2" fillId="2" borderId="7" xfId="0" applyNumberFormat="1" applyFont="1" applyFill="1" applyBorder="1"/>
    <xf numFmtId="164" fontId="7" fillId="0" borderId="2" xfId="0" applyNumberFormat="1" applyFont="1" applyBorder="1" applyAlignment="1">
      <alignment horizontal="center"/>
    </xf>
    <xf numFmtId="166" fontId="7" fillId="2" borderId="2" xfId="0" applyNumberFormat="1" applyFont="1" applyFill="1" applyBorder="1"/>
    <xf numFmtId="166" fontId="7" fillId="2" borderId="2" xfId="0" applyNumberFormat="1" applyFont="1" applyFill="1" applyBorder="1" applyAlignment="1">
      <alignment horizontal="right"/>
    </xf>
    <xf numFmtId="164" fontId="5" fillId="9" borderId="7" xfId="0" applyNumberFormat="1" applyFont="1" applyFill="1" applyBorder="1"/>
    <xf numFmtId="164" fontId="2" fillId="9" borderId="1" xfId="0" applyNumberFormat="1" applyFont="1" applyFill="1" applyBorder="1"/>
    <xf numFmtId="0" fontId="2" fillId="9" borderId="1" xfId="0" applyFont="1" applyFill="1" applyBorder="1"/>
    <xf numFmtId="166" fontId="2" fillId="9" borderId="1" xfId="0" applyNumberFormat="1" applyFont="1" applyFill="1" applyBorder="1"/>
    <xf numFmtId="165" fontId="2" fillId="9" borderId="1" xfId="0" applyNumberFormat="1" applyFont="1" applyFill="1" applyBorder="1"/>
    <xf numFmtId="165" fontId="2" fillId="9" borderId="2" xfId="0" applyNumberFormat="1" applyFont="1" applyFill="1" applyBorder="1"/>
    <xf numFmtId="164" fontId="5" fillId="25" borderId="8" xfId="0" applyNumberFormat="1" applyFont="1" applyFill="1" applyBorder="1"/>
    <xf numFmtId="164" fontId="2" fillId="25" borderId="9" xfId="0" applyNumberFormat="1" applyFont="1" applyFill="1" applyBorder="1"/>
    <xf numFmtId="0" fontId="2" fillId="25" borderId="9" xfId="0" applyFont="1" applyFill="1" applyBorder="1"/>
    <xf numFmtId="0" fontId="2" fillId="25" borderId="10" xfId="0" applyFont="1" applyFill="1" applyBorder="1"/>
    <xf numFmtId="166" fontId="2" fillId="25" borderId="10" xfId="0" applyNumberFormat="1" applyFont="1" applyFill="1" applyBorder="1"/>
    <xf numFmtId="165" fontId="2" fillId="25" borderId="10" xfId="0" applyNumberFormat="1" applyFont="1" applyFill="1" applyBorder="1"/>
    <xf numFmtId="164" fontId="2" fillId="23" borderId="8" xfId="0" applyNumberFormat="1" applyFont="1" applyFill="1" applyBorder="1"/>
    <xf numFmtId="0" fontId="5" fillId="23" borderId="9" xfId="0" applyFont="1" applyFill="1" applyBorder="1"/>
    <xf numFmtId="164" fontId="2" fillId="23" borderId="9" xfId="0" applyNumberFormat="1" applyFont="1" applyFill="1" applyBorder="1"/>
    <xf numFmtId="0" fontId="5" fillId="23" borderId="10" xfId="0" applyFont="1" applyFill="1" applyBorder="1" applyAlignment="1">
      <alignment horizontal="center" wrapText="1"/>
    </xf>
    <xf numFmtId="166" fontId="5" fillId="23" borderId="10" xfId="0" applyNumberFormat="1" applyFont="1" applyFill="1" applyBorder="1"/>
    <xf numFmtId="165" fontId="5" fillId="23" borderId="10" xfId="0" applyNumberFormat="1" applyFont="1" applyFill="1" applyBorder="1"/>
    <xf numFmtId="165" fontId="2" fillId="23" borderId="10" xfId="0" applyNumberFormat="1" applyFont="1" applyFill="1" applyBorder="1"/>
    <xf numFmtId="164" fontId="2" fillId="2" borderId="8" xfId="0" applyNumberFormat="1" applyFont="1" applyFill="1" applyBorder="1"/>
    <xf numFmtId="164" fontId="7" fillId="2" borderId="9" xfId="0" applyNumberFormat="1" applyFont="1" applyFill="1" applyBorder="1"/>
    <xf numFmtId="0" fontId="7" fillId="2" borderId="10" xfId="0" applyFont="1" applyFill="1" applyBorder="1" applyAlignment="1">
      <alignment horizontal="center" wrapText="1"/>
    </xf>
    <xf numFmtId="164" fontId="2" fillId="26" borderId="8" xfId="0" applyNumberFormat="1" applyFont="1" applyFill="1" applyBorder="1"/>
    <xf numFmtId="164" fontId="2" fillId="26" borderId="9" xfId="0" applyNumberFormat="1" applyFont="1" applyFill="1" applyBorder="1"/>
    <xf numFmtId="0" fontId="5" fillId="26" borderId="9" xfId="0" applyFont="1" applyFill="1" applyBorder="1"/>
    <xf numFmtId="0" fontId="2" fillId="26" borderId="9" xfId="0" applyFont="1" applyFill="1" applyBorder="1"/>
    <xf numFmtId="0" fontId="2" fillId="26" borderId="10" xfId="0" applyFont="1" applyFill="1" applyBorder="1"/>
    <xf numFmtId="0" fontId="5" fillId="26" borderId="10" xfId="0" applyFont="1" applyFill="1" applyBorder="1" applyAlignment="1">
      <alignment horizontal="center" wrapText="1"/>
    </xf>
    <xf numFmtId="166" fontId="5" fillId="26" borderId="10" xfId="0" applyNumberFormat="1" applyFont="1" applyFill="1" applyBorder="1"/>
    <xf numFmtId="165" fontId="5" fillId="26" borderId="10" xfId="0" applyNumberFormat="1" applyFont="1" applyFill="1" applyBorder="1"/>
    <xf numFmtId="165" fontId="2" fillId="26" borderId="10" xfId="0" applyNumberFormat="1" applyFont="1" applyFill="1" applyBorder="1"/>
    <xf numFmtId="0" fontId="17" fillId="2" borderId="9" xfId="0" quotePrefix="1" applyFont="1" applyFill="1" applyBorder="1"/>
    <xf numFmtId="164" fontId="5" fillId="0" borderId="10" xfId="0" applyNumberFormat="1" applyFont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6" borderId="10" xfId="0" applyFont="1" applyFill="1" applyBorder="1" applyAlignment="1">
      <alignment horizontal="center"/>
    </xf>
    <xf numFmtId="165" fontId="7" fillId="2" borderId="10" xfId="0" applyNumberFormat="1" applyFont="1" applyFill="1" applyBorder="1" applyAlignment="1">
      <alignment horizontal="right"/>
    </xf>
    <xf numFmtId="0" fontId="7" fillId="0" borderId="10" xfId="0" applyFont="1" applyBorder="1"/>
    <xf numFmtId="165" fontId="7" fillId="26" borderId="10" xfId="0" applyNumberFormat="1" applyFont="1" applyFill="1" applyBorder="1"/>
    <xf numFmtId="164" fontId="2" fillId="27" borderId="8" xfId="0" applyNumberFormat="1" applyFont="1" applyFill="1" applyBorder="1"/>
    <xf numFmtId="164" fontId="2" fillId="27" borderId="9" xfId="0" applyNumberFormat="1" applyFont="1" applyFill="1" applyBorder="1"/>
    <xf numFmtId="0" fontId="2" fillId="27" borderId="9" xfId="0" applyFont="1" applyFill="1" applyBorder="1"/>
    <xf numFmtId="0" fontId="2" fillId="27" borderId="10" xfId="0" applyFont="1" applyFill="1" applyBorder="1"/>
    <xf numFmtId="164" fontId="2" fillId="27" borderId="10" xfId="0" applyNumberFormat="1" applyFont="1" applyFill="1" applyBorder="1"/>
    <xf numFmtId="166" fontId="2" fillId="27" borderId="10" xfId="0" applyNumberFormat="1" applyFont="1" applyFill="1" applyBorder="1"/>
    <xf numFmtId="165" fontId="2" fillId="27" borderId="10" xfId="0" applyNumberFormat="1" applyFont="1" applyFill="1" applyBorder="1"/>
    <xf numFmtId="164" fontId="7" fillId="0" borderId="9" xfId="0" quotePrefix="1" applyNumberFormat="1" applyFont="1" applyBorder="1"/>
    <xf numFmtId="0" fontId="16" fillId="27" borderId="9" xfId="0" applyFont="1" applyFill="1" applyBorder="1"/>
    <xf numFmtId="0" fontId="16" fillId="27" borderId="10" xfId="0" applyFont="1" applyFill="1" applyBorder="1" applyAlignment="1">
      <alignment horizontal="center" wrapText="1"/>
    </xf>
    <xf numFmtId="167" fontId="2" fillId="27" borderId="8" xfId="0" applyNumberFormat="1" applyFont="1" applyFill="1" applyBorder="1"/>
    <xf numFmtId="0" fontId="18" fillId="27" borderId="9" xfId="0" applyFont="1" applyFill="1" applyBorder="1"/>
    <xf numFmtId="164" fontId="16" fillId="27" borderId="10" xfId="0" applyNumberFormat="1" applyFont="1" applyFill="1" applyBorder="1" applyAlignment="1">
      <alignment horizontal="center" wrapText="1"/>
    </xf>
    <xf numFmtId="0" fontId="8" fillId="27" borderId="9" xfId="0" applyFont="1" applyFill="1" applyBorder="1"/>
    <xf numFmtId="164" fontId="8" fillId="27" borderId="10" xfId="0" applyNumberFormat="1" applyFont="1" applyFill="1" applyBorder="1" applyAlignment="1">
      <alignment horizontal="center" wrapText="1"/>
    </xf>
    <xf numFmtId="164" fontId="16" fillId="27" borderId="9" xfId="0" applyNumberFormat="1" applyFont="1" applyFill="1" applyBorder="1"/>
    <xf numFmtId="0" fontId="19" fillId="27" borderId="9" xfId="0" quotePrefix="1" applyFont="1" applyFill="1" applyBorder="1"/>
    <xf numFmtId="0" fontId="8" fillId="27" borderId="10" xfId="0" applyFont="1" applyFill="1" applyBorder="1" applyAlignment="1">
      <alignment horizontal="center"/>
    </xf>
    <xf numFmtId="164" fontId="8" fillId="27" borderId="9" xfId="0" quotePrefix="1" applyNumberFormat="1" applyFont="1" applyFill="1" applyBorder="1"/>
    <xf numFmtId="0" fontId="8" fillId="27" borderId="9" xfId="0" quotePrefix="1" applyFont="1" applyFill="1" applyBorder="1"/>
    <xf numFmtId="46" fontId="2" fillId="2" borderId="8" xfId="0" applyNumberFormat="1" applyFont="1" applyFill="1" applyBorder="1"/>
    <xf numFmtId="0" fontId="7" fillId="2" borderId="9" xfId="0" quotePrefix="1" applyFont="1" applyFill="1" applyBorder="1"/>
    <xf numFmtId="164" fontId="2" fillId="0" borderId="7" xfId="0" applyNumberFormat="1" applyFont="1" applyBorder="1"/>
    <xf numFmtId="164" fontId="2" fillId="0" borderId="1" xfId="0" applyNumberFormat="1" applyFont="1" applyBorder="1"/>
    <xf numFmtId="0" fontId="7" fillId="0" borderId="1" xfId="0" quotePrefix="1" applyFont="1" applyBorder="1"/>
    <xf numFmtId="0" fontId="2" fillId="0" borderId="1" xfId="0" applyFont="1" applyBorder="1"/>
    <xf numFmtId="0" fontId="2" fillId="0" borderId="2" xfId="0" applyFont="1" applyBorder="1"/>
    <xf numFmtId="165" fontId="7" fillId="0" borderId="2" xfId="0" applyNumberFormat="1" applyFont="1" applyBorder="1" applyAlignment="1">
      <alignment horizontal="right"/>
    </xf>
    <xf numFmtId="165" fontId="2" fillId="0" borderId="2" xfId="0" applyNumberFormat="1" applyFont="1" applyBorder="1"/>
    <xf numFmtId="164" fontId="3" fillId="28" borderId="7" xfId="0" applyNumberFormat="1" applyFont="1" applyFill="1" applyBorder="1"/>
    <xf numFmtId="164" fontId="2" fillId="28" borderId="1" xfId="0" applyNumberFormat="1" applyFont="1" applyFill="1" applyBorder="1"/>
    <xf numFmtId="0" fontId="2" fillId="28" borderId="1" xfId="0" applyFont="1" applyFill="1" applyBorder="1"/>
    <xf numFmtId="166" fontId="2" fillId="28" borderId="1" xfId="0" applyNumberFormat="1" applyFont="1" applyFill="1" applyBorder="1"/>
    <xf numFmtId="165" fontId="2" fillId="28" borderId="1" xfId="0" applyNumberFormat="1" applyFont="1" applyFill="1" applyBorder="1"/>
    <xf numFmtId="165" fontId="2" fillId="28" borderId="2" xfId="0" applyNumberFormat="1" applyFont="1" applyFill="1" applyBorder="1"/>
    <xf numFmtId="164" fontId="5" fillId="29" borderId="8" xfId="0" applyNumberFormat="1" applyFont="1" applyFill="1" applyBorder="1"/>
    <xf numFmtId="0" fontId="2" fillId="29" borderId="9" xfId="0" applyFont="1" applyFill="1" applyBorder="1"/>
    <xf numFmtId="164" fontId="2" fillId="29" borderId="9" xfId="0" applyNumberFormat="1" applyFont="1" applyFill="1" applyBorder="1"/>
    <xf numFmtId="166" fontId="2" fillId="29" borderId="9" xfId="0" applyNumberFormat="1" applyFont="1" applyFill="1" applyBorder="1"/>
    <xf numFmtId="166" fontId="2" fillId="29" borderId="10" xfId="0" applyNumberFormat="1" applyFont="1" applyFill="1" applyBorder="1"/>
    <xf numFmtId="165" fontId="2" fillId="29" borderId="10" xfId="0" applyNumberFormat="1" applyFont="1" applyFill="1" applyBorder="1"/>
    <xf numFmtId="167" fontId="2" fillId="30" borderId="8" xfId="0" applyNumberFormat="1" applyFont="1" applyFill="1" applyBorder="1"/>
    <xf numFmtId="0" fontId="5" fillId="30" borderId="9" xfId="0" applyFont="1" applyFill="1" applyBorder="1"/>
    <xf numFmtId="0" fontId="2" fillId="30" borderId="9" xfId="0" applyFont="1" applyFill="1" applyBorder="1"/>
    <xf numFmtId="164" fontId="2" fillId="30" borderId="9" xfId="0" applyNumberFormat="1" applyFont="1" applyFill="1" applyBorder="1"/>
    <xf numFmtId="0" fontId="2" fillId="30" borderId="10" xfId="0" applyFont="1" applyFill="1" applyBorder="1"/>
    <xf numFmtId="0" fontId="5" fillId="30" borderId="10" xfId="0" applyFont="1" applyFill="1" applyBorder="1" applyAlignment="1">
      <alignment horizontal="center" wrapText="1"/>
    </xf>
    <xf numFmtId="166" fontId="5" fillId="30" borderId="10" xfId="0" applyNumberFormat="1" applyFont="1" applyFill="1" applyBorder="1"/>
    <xf numFmtId="165" fontId="5" fillId="30" borderId="10" xfId="0" applyNumberFormat="1" applyFont="1" applyFill="1" applyBorder="1"/>
    <xf numFmtId="165" fontId="2" fillId="30" borderId="10" xfId="0" applyNumberFormat="1" applyFont="1" applyFill="1" applyBorder="1"/>
    <xf numFmtId="164" fontId="2" fillId="10" borderId="7" xfId="0" applyNumberFormat="1" applyFont="1" applyFill="1" applyBorder="1"/>
    <xf numFmtId="164" fontId="2" fillId="10" borderId="1" xfId="0" applyNumberFormat="1" applyFont="1" applyFill="1" applyBorder="1"/>
    <xf numFmtId="164" fontId="5" fillId="31" borderId="7" xfId="0" applyNumberFormat="1" applyFont="1" applyFill="1" applyBorder="1"/>
    <xf numFmtId="164" fontId="2" fillId="31" borderId="1" xfId="0" applyNumberFormat="1" applyFont="1" applyFill="1" applyBorder="1"/>
    <xf numFmtId="0" fontId="2" fillId="31" borderId="1" xfId="0" applyFont="1" applyFill="1" applyBorder="1"/>
    <xf numFmtId="166" fontId="2" fillId="31" borderId="1" xfId="0" applyNumberFormat="1" applyFont="1" applyFill="1" applyBorder="1"/>
    <xf numFmtId="165" fontId="2" fillId="31" borderId="1" xfId="0" applyNumberFormat="1" applyFont="1" applyFill="1" applyBorder="1"/>
    <xf numFmtId="165" fontId="2" fillId="31" borderId="2" xfId="0" applyNumberFormat="1" applyFont="1" applyFill="1" applyBorder="1"/>
    <xf numFmtId="164" fontId="5" fillId="32" borderId="8" xfId="0" applyNumberFormat="1" applyFont="1" applyFill="1" applyBorder="1"/>
    <xf numFmtId="164" fontId="2" fillId="32" borderId="9" xfId="0" applyNumberFormat="1" applyFont="1" applyFill="1" applyBorder="1"/>
    <xf numFmtId="0" fontId="2" fillId="32" borderId="9" xfId="0" applyFont="1" applyFill="1" applyBorder="1"/>
    <xf numFmtId="0" fontId="2" fillId="32" borderId="10" xfId="0" applyFont="1" applyFill="1" applyBorder="1"/>
    <xf numFmtId="166" fontId="2" fillId="32" borderId="10" xfId="0" applyNumberFormat="1" applyFont="1" applyFill="1" applyBorder="1"/>
    <xf numFmtId="165" fontId="2" fillId="32" borderId="10" xfId="0" applyNumberFormat="1" applyFont="1" applyFill="1" applyBorder="1"/>
    <xf numFmtId="164" fontId="2" fillId="33" borderId="8" xfId="0" applyNumberFormat="1" applyFont="1" applyFill="1" applyBorder="1"/>
    <xf numFmtId="0" fontId="5" fillId="33" borderId="9" xfId="0" applyFont="1" applyFill="1" applyBorder="1"/>
    <xf numFmtId="0" fontId="2" fillId="33" borderId="9" xfId="0" applyFont="1" applyFill="1" applyBorder="1"/>
    <xf numFmtId="0" fontId="2" fillId="33" borderId="10" xfId="0" applyFont="1" applyFill="1" applyBorder="1"/>
    <xf numFmtId="0" fontId="5" fillId="33" borderId="10" xfId="0" applyFont="1" applyFill="1" applyBorder="1" applyAlignment="1">
      <alignment horizontal="center" wrapText="1"/>
    </xf>
    <xf numFmtId="166" fontId="5" fillId="33" borderId="10" xfId="0" applyNumberFormat="1" applyFont="1" applyFill="1" applyBorder="1"/>
    <xf numFmtId="165" fontId="5" fillId="33" borderId="10" xfId="0" applyNumberFormat="1" applyFont="1" applyFill="1" applyBorder="1"/>
    <xf numFmtId="165" fontId="2" fillId="33" borderId="10" xfId="0" applyNumberFormat="1" applyFont="1" applyFill="1" applyBorder="1"/>
    <xf numFmtId="167" fontId="2" fillId="33" borderId="8" xfId="0" applyNumberFormat="1" applyFont="1" applyFill="1" applyBorder="1"/>
    <xf numFmtId="167" fontId="2" fillId="33" borderId="9" xfId="0" applyNumberFormat="1" applyFont="1" applyFill="1" applyBorder="1"/>
    <xf numFmtId="164" fontId="2" fillId="33" borderId="9" xfId="0" applyNumberFormat="1" applyFont="1" applyFill="1" applyBorder="1"/>
    <xf numFmtId="164" fontId="20" fillId="26" borderId="9" xfId="0" applyNumberFormat="1" applyFont="1" applyFill="1" applyBorder="1"/>
    <xf numFmtId="166" fontId="5" fillId="26" borderId="10" xfId="0" applyNumberFormat="1" applyFont="1" applyFill="1" applyBorder="1" applyAlignment="1">
      <alignment horizontal="right"/>
    </xf>
    <xf numFmtId="165" fontId="5" fillId="26" borderId="10" xfId="0" applyNumberFormat="1" applyFont="1" applyFill="1" applyBorder="1" applyAlignment="1">
      <alignment horizontal="right"/>
    </xf>
    <xf numFmtId="164" fontId="21" fillId="2" borderId="9" xfId="0" applyNumberFormat="1" applyFont="1" applyFill="1" applyBorder="1"/>
    <xf numFmtId="0" fontId="22" fillId="26" borderId="9" xfId="0" applyFont="1" applyFill="1" applyBorder="1"/>
    <xf numFmtId="166" fontId="2" fillId="33" borderId="10" xfId="0" applyNumberFormat="1" applyFont="1" applyFill="1" applyBorder="1"/>
    <xf numFmtId="0" fontId="23" fillId="0" borderId="9" xfId="0" quotePrefix="1" applyFont="1" applyBorder="1"/>
    <xf numFmtId="164" fontId="21" fillId="2" borderId="1" xfId="0" applyNumberFormat="1" applyFont="1" applyFill="1" applyBorder="1"/>
    <xf numFmtId="164" fontId="5" fillId="33" borderId="9" xfId="0" applyNumberFormat="1" applyFont="1" applyFill="1" applyBorder="1"/>
    <xf numFmtId="164" fontId="5" fillId="33" borderId="10" xfId="0" applyNumberFormat="1" applyFont="1" applyFill="1" applyBorder="1" applyAlignment="1">
      <alignment horizontal="center" wrapText="1"/>
    </xf>
    <xf numFmtId="164" fontId="24" fillId="2" borderId="9" xfId="0" applyNumberFormat="1" applyFont="1" applyFill="1" applyBorder="1"/>
    <xf numFmtId="164" fontId="25" fillId="23" borderId="9" xfId="0" quotePrefix="1" applyNumberFormat="1" applyFont="1" applyFill="1" applyBorder="1"/>
    <xf numFmtId="164" fontId="8" fillId="2" borderId="9" xfId="0" applyNumberFormat="1" applyFont="1" applyFill="1" applyBorder="1"/>
    <xf numFmtId="166" fontId="8" fillId="2" borderId="10" xfId="0" applyNumberFormat="1" applyFont="1" applyFill="1" applyBorder="1"/>
    <xf numFmtId="164" fontId="2" fillId="27" borderId="1" xfId="0" applyNumberFormat="1" applyFont="1" applyFill="1" applyBorder="1"/>
    <xf numFmtId="164" fontId="2" fillId="27" borderId="2" xfId="0" applyNumberFormat="1" applyFont="1" applyFill="1" applyBorder="1"/>
    <xf numFmtId="166" fontId="2" fillId="27" borderId="2" xfId="0" applyNumberFormat="1" applyFont="1" applyFill="1" applyBorder="1"/>
    <xf numFmtId="165" fontId="2" fillId="27" borderId="2" xfId="0" applyNumberFormat="1" applyFont="1" applyFill="1" applyBorder="1"/>
    <xf numFmtId="164" fontId="2" fillId="33" borderId="10" xfId="0" applyNumberFormat="1" applyFont="1" applyFill="1" applyBorder="1"/>
    <xf numFmtId="164" fontId="5" fillId="33" borderId="10" xfId="0" applyNumberFormat="1" applyFont="1" applyFill="1" applyBorder="1" applyAlignment="1">
      <alignment horizontal="center"/>
    </xf>
    <xf numFmtId="164" fontId="5" fillId="2" borderId="9" xfId="0" applyNumberFormat="1" applyFont="1" applyFill="1" applyBorder="1" applyAlignment="1">
      <alignment horizontal="center"/>
    </xf>
    <xf numFmtId="164" fontId="5" fillId="2" borderId="10" xfId="0" applyNumberFormat="1" applyFont="1" applyFill="1" applyBorder="1" applyAlignment="1">
      <alignment horizontal="center" wrapText="1"/>
    </xf>
    <xf numFmtId="164" fontId="27" fillId="2" borderId="9" xfId="0" quotePrefix="1" applyNumberFormat="1" applyFont="1" applyFill="1" applyBorder="1"/>
    <xf numFmtId="168" fontId="7" fillId="2" borderId="10" xfId="0" applyNumberFormat="1" applyFont="1" applyFill="1" applyBorder="1"/>
    <xf numFmtId="164" fontId="7" fillId="2" borderId="9" xfId="0" quotePrefix="1" applyNumberFormat="1" applyFont="1" applyFill="1" applyBorder="1"/>
    <xf numFmtId="164" fontId="28" fillId="2" borderId="9" xfId="0" applyNumberFormat="1" applyFont="1" applyFill="1" applyBorder="1"/>
    <xf numFmtId="166" fontId="5" fillId="2" borderId="10" xfId="0" applyNumberFormat="1" applyFont="1" applyFill="1" applyBorder="1" applyAlignment="1">
      <alignment horizontal="right"/>
    </xf>
    <xf numFmtId="164" fontId="2" fillId="2" borderId="7" xfId="0" applyNumberFormat="1" applyFont="1" applyFill="1" applyBorder="1"/>
    <xf numFmtId="164" fontId="2" fillId="2" borderId="2" xfId="0" applyNumberFormat="1" applyFont="1" applyFill="1" applyBorder="1"/>
    <xf numFmtId="164" fontId="7" fillId="2" borderId="2" xfId="0" applyNumberFormat="1" applyFont="1" applyFill="1" applyBorder="1" applyAlignment="1">
      <alignment horizontal="center"/>
    </xf>
    <xf numFmtId="0" fontId="29" fillId="2" borderId="9" xfId="0" applyFont="1" applyFill="1" applyBorder="1"/>
    <xf numFmtId="164" fontId="5" fillId="2" borderId="1" xfId="0" applyNumberFormat="1" applyFont="1" applyFill="1" applyBorder="1"/>
    <xf numFmtId="166" fontId="7" fillId="24" borderId="2" xfId="0" applyNumberFormat="1" applyFont="1" applyFill="1" applyBorder="1"/>
    <xf numFmtId="164" fontId="5" fillId="34" borderId="7" xfId="0" applyNumberFormat="1" applyFont="1" applyFill="1" applyBorder="1"/>
    <xf numFmtId="164" fontId="2" fillId="34" borderId="1" xfId="0" applyNumberFormat="1" applyFont="1" applyFill="1" applyBorder="1"/>
    <xf numFmtId="0" fontId="2" fillId="34" borderId="1" xfId="0" applyFont="1" applyFill="1" applyBorder="1"/>
    <xf numFmtId="166" fontId="2" fillId="34" borderId="1" xfId="0" applyNumberFormat="1" applyFont="1" applyFill="1" applyBorder="1"/>
    <xf numFmtId="165" fontId="2" fillId="34" borderId="1" xfId="0" applyNumberFormat="1" applyFont="1" applyFill="1" applyBorder="1"/>
    <xf numFmtId="165" fontId="2" fillId="34" borderId="2" xfId="0" applyNumberFormat="1" applyFont="1" applyFill="1" applyBorder="1"/>
    <xf numFmtId="165" fontId="2" fillId="35" borderId="2" xfId="0" applyNumberFormat="1" applyFont="1" applyFill="1" applyBorder="1"/>
    <xf numFmtId="164" fontId="5" fillId="36" borderId="8" xfId="0" applyNumberFormat="1" applyFont="1" applyFill="1" applyBorder="1"/>
    <xf numFmtId="164" fontId="2" fillId="36" borderId="9" xfId="0" applyNumberFormat="1" applyFont="1" applyFill="1" applyBorder="1"/>
    <xf numFmtId="0" fontId="2" fillId="36" borderId="9" xfId="0" applyFont="1" applyFill="1" applyBorder="1"/>
    <xf numFmtId="0" fontId="2" fillId="36" borderId="10" xfId="0" applyFont="1" applyFill="1" applyBorder="1"/>
    <xf numFmtId="166" fontId="2" fillId="36" borderId="10" xfId="0" applyNumberFormat="1" applyFont="1" applyFill="1" applyBorder="1"/>
    <xf numFmtId="165" fontId="2" fillId="36" borderId="10" xfId="0" applyNumberFormat="1" applyFont="1" applyFill="1" applyBorder="1"/>
    <xf numFmtId="165" fontId="2" fillId="36" borderId="6" xfId="0" applyNumberFormat="1" applyFont="1" applyFill="1" applyBorder="1"/>
    <xf numFmtId="164" fontId="2" fillId="37" borderId="8" xfId="0" applyNumberFormat="1" applyFont="1" applyFill="1" applyBorder="1"/>
    <xf numFmtId="0" fontId="5" fillId="37" borderId="9" xfId="0" applyFont="1" applyFill="1" applyBorder="1"/>
    <xf numFmtId="164" fontId="2" fillId="37" borderId="9" xfId="0" applyNumberFormat="1" applyFont="1" applyFill="1" applyBorder="1"/>
    <xf numFmtId="0" fontId="2" fillId="37" borderId="9" xfId="0" applyFont="1" applyFill="1" applyBorder="1"/>
    <xf numFmtId="0" fontId="2" fillId="37" borderId="10" xfId="0" applyFont="1" applyFill="1" applyBorder="1"/>
    <xf numFmtId="0" fontId="5" fillId="37" borderId="10" xfId="0" applyFont="1" applyFill="1" applyBorder="1" applyAlignment="1">
      <alignment horizontal="center" wrapText="1"/>
    </xf>
    <xf numFmtId="166" fontId="5" fillId="37" borderId="10" xfId="0" applyNumberFormat="1" applyFont="1" applyFill="1" applyBorder="1"/>
    <xf numFmtId="165" fontId="5" fillId="37" borderId="10" xfId="0" applyNumberFormat="1" applyFont="1" applyFill="1" applyBorder="1"/>
    <xf numFmtId="165" fontId="2" fillId="37" borderId="10" xfId="0" applyNumberFormat="1" applyFont="1" applyFill="1" applyBorder="1"/>
    <xf numFmtId="0" fontId="7" fillId="0" borderId="1" xfId="0" applyFont="1" applyBorder="1"/>
    <xf numFmtId="0" fontId="7" fillId="2" borderId="2" xfId="0" applyFont="1" applyFill="1" applyBorder="1" applyAlignment="1">
      <alignment horizontal="center" wrapText="1"/>
    </xf>
    <xf numFmtId="164" fontId="2" fillId="27" borderId="7" xfId="0" applyNumberFormat="1" applyFont="1" applyFill="1" applyBorder="1"/>
    <xf numFmtId="0" fontId="2" fillId="27" borderId="1" xfId="0" applyFont="1" applyFill="1" applyBorder="1"/>
    <xf numFmtId="0" fontId="2" fillId="27" borderId="2" xfId="0" applyFont="1" applyFill="1" applyBorder="1"/>
    <xf numFmtId="164" fontId="5" fillId="37" borderId="10" xfId="0" applyNumberFormat="1" applyFont="1" applyFill="1" applyBorder="1" applyAlignment="1">
      <alignment horizontal="center" wrapText="1"/>
    </xf>
    <xf numFmtId="166" fontId="2" fillId="37" borderId="10" xfId="0" applyNumberFormat="1" applyFont="1" applyFill="1" applyBorder="1"/>
    <xf numFmtId="0" fontId="5" fillId="2" borderId="9" xfId="0" applyFont="1" applyFill="1" applyBorder="1" applyAlignment="1">
      <alignment horizontal="center"/>
    </xf>
    <xf numFmtId="164" fontId="16" fillId="22" borderId="8" xfId="0" applyNumberFormat="1" applyFont="1" applyFill="1" applyBorder="1"/>
    <xf numFmtId="0" fontId="16" fillId="12" borderId="9" xfId="0" applyFont="1" applyFill="1" applyBorder="1"/>
    <xf numFmtId="164" fontId="16" fillId="12" borderId="9" xfId="0" applyNumberFormat="1" applyFont="1" applyFill="1" applyBorder="1" applyAlignment="1">
      <alignment horizontal="center"/>
    </xf>
    <xf numFmtId="164" fontId="2" fillId="12" borderId="8" xfId="0" applyNumberFormat="1" applyFont="1" applyFill="1" applyBorder="1"/>
    <xf numFmtId="164" fontId="8" fillId="12" borderId="9" xfId="0" applyNumberFormat="1" applyFont="1" applyFill="1" applyBorder="1"/>
    <xf numFmtId="164" fontId="16" fillId="12" borderId="10" xfId="0" applyNumberFormat="1" applyFont="1" applyFill="1" applyBorder="1" applyAlignment="1">
      <alignment horizontal="center"/>
    </xf>
    <xf numFmtId="164" fontId="16" fillId="0" borderId="10" xfId="0" applyNumberFormat="1" applyFont="1" applyBorder="1" applyAlignment="1">
      <alignment horizontal="center" wrapText="1"/>
    </xf>
    <xf numFmtId="0" fontId="31" fillId="2" borderId="9" xfId="0" applyFont="1" applyFill="1" applyBorder="1"/>
    <xf numFmtId="164" fontId="16" fillId="0" borderId="10" xfId="0" applyNumberFormat="1" applyFont="1" applyBorder="1" applyAlignment="1">
      <alignment horizontal="center"/>
    </xf>
    <xf numFmtId="164" fontId="8" fillId="0" borderId="10" xfId="0" applyNumberFormat="1" applyFont="1" applyBorder="1" applyAlignment="1">
      <alignment horizontal="center"/>
    </xf>
    <xf numFmtId="0" fontId="32" fillId="23" borderId="9" xfId="0" quotePrefix="1" applyFont="1" applyFill="1" applyBorder="1"/>
    <xf numFmtId="164" fontId="8" fillId="0" borderId="9" xfId="0" applyNumberFormat="1" applyFont="1" applyBorder="1"/>
    <xf numFmtId="164" fontId="2" fillId="0" borderId="11" xfId="0" applyNumberFormat="1" applyFont="1" applyBorder="1"/>
    <xf numFmtId="164" fontId="2" fillId="0" borderId="12" xfId="0" applyNumberFormat="1" applyFont="1" applyBorder="1"/>
    <xf numFmtId="164" fontId="8" fillId="0" borderId="12" xfId="0" applyNumberFormat="1" applyFont="1" applyBorder="1"/>
    <xf numFmtId="0" fontId="2" fillId="0" borderId="12" xfId="0" applyFont="1" applyBorder="1"/>
    <xf numFmtId="0" fontId="2" fillId="0" borderId="13" xfId="0" applyFont="1" applyBorder="1"/>
    <xf numFmtId="164" fontId="8" fillId="0" borderId="13" xfId="0" applyNumberFormat="1" applyFont="1" applyBorder="1" applyAlignment="1">
      <alignment horizontal="center" wrapText="1"/>
    </xf>
    <xf numFmtId="166" fontId="2" fillId="2" borderId="13" xfId="0" applyNumberFormat="1" applyFont="1" applyFill="1" applyBorder="1"/>
    <xf numFmtId="165" fontId="2" fillId="0" borderId="13" xfId="0" applyNumberFormat="1" applyFont="1" applyBorder="1"/>
    <xf numFmtId="165" fontId="2" fillId="2" borderId="13" xfId="0" applyNumberFormat="1" applyFont="1" applyFill="1" applyBorder="1"/>
    <xf numFmtId="164" fontId="3" fillId="38" borderId="7" xfId="0" applyNumberFormat="1" applyFont="1" applyFill="1" applyBorder="1"/>
    <xf numFmtId="164" fontId="2" fillId="38" borderId="1" xfId="0" applyNumberFormat="1" applyFont="1" applyFill="1" applyBorder="1"/>
    <xf numFmtId="0" fontId="2" fillId="38" borderId="1" xfId="0" applyFont="1" applyFill="1" applyBorder="1"/>
    <xf numFmtId="0" fontId="2" fillId="38" borderId="2" xfId="0" applyFont="1" applyFill="1" applyBorder="1"/>
    <xf numFmtId="164" fontId="2" fillId="38" borderId="2" xfId="0" applyNumberFormat="1" applyFont="1" applyFill="1" applyBorder="1"/>
    <xf numFmtId="166" fontId="2" fillId="38" borderId="2" xfId="0" applyNumberFormat="1" applyFont="1" applyFill="1" applyBorder="1"/>
    <xf numFmtId="165" fontId="2" fillId="38" borderId="2" xfId="0" applyNumberFormat="1" applyFont="1" applyFill="1" applyBorder="1"/>
    <xf numFmtId="164" fontId="2" fillId="39" borderId="9" xfId="0" applyNumberFormat="1" applyFont="1" applyFill="1" applyBorder="1"/>
    <xf numFmtId="164" fontId="5" fillId="39" borderId="9" xfId="0" applyNumberFormat="1" applyFont="1" applyFill="1" applyBorder="1"/>
    <xf numFmtId="0" fontId="2" fillId="39" borderId="9" xfId="0" applyFont="1" applyFill="1" applyBorder="1"/>
    <xf numFmtId="0" fontId="2" fillId="39" borderId="10" xfId="0" applyFont="1" applyFill="1" applyBorder="1"/>
    <xf numFmtId="164" fontId="2" fillId="39" borderId="10" xfId="0" applyNumberFormat="1" applyFont="1" applyFill="1" applyBorder="1"/>
    <xf numFmtId="166" fontId="2" fillId="39" borderId="10" xfId="0" applyNumberFormat="1" applyFont="1" applyFill="1" applyBorder="1"/>
    <xf numFmtId="165" fontId="2" fillId="39" borderId="10" xfId="0" applyNumberFormat="1" applyFont="1" applyFill="1" applyBorder="1"/>
    <xf numFmtId="164" fontId="2" fillId="40" borderId="9" xfId="0" applyNumberFormat="1" applyFont="1" applyFill="1" applyBorder="1"/>
    <xf numFmtId="164" fontId="5" fillId="40" borderId="9" xfId="0" applyNumberFormat="1" applyFont="1" applyFill="1" applyBorder="1"/>
    <xf numFmtId="0" fontId="2" fillId="40" borderId="9" xfId="0" applyFont="1" applyFill="1" applyBorder="1"/>
    <xf numFmtId="0" fontId="2" fillId="40" borderId="10" xfId="0" applyFont="1" applyFill="1" applyBorder="1"/>
    <xf numFmtId="164" fontId="5" fillId="40" borderId="10" xfId="0" applyNumberFormat="1" applyFont="1" applyFill="1" applyBorder="1" applyAlignment="1">
      <alignment horizontal="center"/>
    </xf>
    <xf numFmtId="166" fontId="5" fillId="40" borderId="10" xfId="0" applyNumberFormat="1" applyFont="1" applyFill="1" applyBorder="1"/>
    <xf numFmtId="165" fontId="5" fillId="40" borderId="10" xfId="0" applyNumberFormat="1" applyFont="1" applyFill="1" applyBorder="1"/>
    <xf numFmtId="165" fontId="2" fillId="40" borderId="10" xfId="0" applyNumberFormat="1" applyFont="1" applyFill="1" applyBorder="1"/>
    <xf numFmtId="164" fontId="34" fillId="23" borderId="9" xfId="0" applyNumberFormat="1" applyFont="1" applyFill="1" applyBorder="1"/>
    <xf numFmtId="164" fontId="7" fillId="0" borderId="9" xfId="0" applyNumberFormat="1" applyFont="1" applyBorder="1"/>
    <xf numFmtId="164" fontId="5" fillId="0" borderId="10" xfId="0" applyNumberFormat="1" applyFont="1" applyBorder="1" applyAlignment="1">
      <alignment horizontal="center"/>
    </xf>
    <xf numFmtId="164" fontId="2" fillId="40" borderId="10" xfId="0" applyNumberFormat="1" applyFont="1" applyFill="1" applyBorder="1"/>
    <xf numFmtId="166" fontId="2" fillId="40" borderId="10" xfId="0" applyNumberFormat="1" applyFont="1" applyFill="1" applyBorder="1"/>
    <xf numFmtId="0" fontId="35" fillId="23" borderId="9" xfId="0" applyFont="1" applyFill="1" applyBorder="1"/>
    <xf numFmtId="164" fontId="7" fillId="2" borderId="10" xfId="0" applyNumberFormat="1" applyFont="1" applyFill="1" applyBorder="1"/>
    <xf numFmtId="169" fontId="2" fillId="2" borderId="10" xfId="0" applyNumberFormat="1" applyFont="1" applyFill="1" applyBorder="1"/>
    <xf numFmtId="164" fontId="5" fillId="2" borderId="10" xfId="0" applyNumberFormat="1" applyFont="1" applyFill="1" applyBorder="1"/>
    <xf numFmtId="164" fontId="7" fillId="24" borderId="10" xfId="0" applyNumberFormat="1" applyFont="1" applyFill="1" applyBorder="1"/>
    <xf numFmtId="164" fontId="36" fillId="0" borderId="1" xfId="0" applyNumberFormat="1" applyFont="1" applyBorder="1"/>
    <xf numFmtId="169" fontId="2" fillId="2" borderId="2" xfId="0" applyNumberFormat="1" applyFont="1" applyFill="1" applyBorder="1"/>
    <xf numFmtId="164" fontId="7" fillId="39" borderId="10" xfId="0" applyNumberFormat="1" applyFont="1" applyFill="1" applyBorder="1" applyAlignment="1">
      <alignment horizontal="center"/>
    </xf>
    <xf numFmtId="166" fontId="7" fillId="39" borderId="10" xfId="0" applyNumberFormat="1" applyFont="1" applyFill="1" applyBorder="1"/>
    <xf numFmtId="165" fontId="5" fillId="39" borderId="10" xfId="0" applyNumberFormat="1" applyFont="1" applyFill="1" applyBorder="1"/>
    <xf numFmtId="0" fontId="5" fillId="0" borderId="9" xfId="0" quotePrefix="1" applyFont="1" applyBorder="1"/>
    <xf numFmtId="0" fontId="37" fillId="0" borderId="9" xfId="0" applyFont="1" applyBorder="1"/>
    <xf numFmtId="164" fontId="16" fillId="39" borderId="9" xfId="0" applyNumberFormat="1" applyFont="1" applyFill="1" applyBorder="1"/>
    <xf numFmtId="164" fontId="16" fillId="39" borderId="10" xfId="0" applyNumberFormat="1" applyFont="1" applyFill="1" applyBorder="1" applyAlignment="1">
      <alignment horizontal="center"/>
    </xf>
    <xf numFmtId="165" fontId="16" fillId="39" borderId="10" xfId="0" applyNumberFormat="1" applyFont="1" applyFill="1" applyBorder="1"/>
    <xf numFmtId="0" fontId="38" fillId="23" borderId="9" xfId="0" applyFont="1" applyFill="1" applyBorder="1"/>
    <xf numFmtId="166" fontId="8" fillId="2" borderId="10" xfId="0" applyNumberFormat="1" applyFont="1" applyFill="1" applyBorder="1" applyAlignment="1">
      <alignment horizontal="right"/>
    </xf>
    <xf numFmtId="0" fontId="8" fillId="2" borderId="1" xfId="0" applyFont="1" applyFill="1" applyBorder="1"/>
    <xf numFmtId="164" fontId="8" fillId="0" borderId="2" xfId="0" applyNumberFormat="1" applyFont="1" applyBorder="1" applyAlignment="1">
      <alignment horizontal="center" wrapText="1"/>
    </xf>
    <xf numFmtId="166" fontId="8" fillId="2" borderId="2" xfId="0" applyNumberFormat="1" applyFont="1" applyFill="1" applyBorder="1" applyAlignment="1">
      <alignment horizontal="right"/>
    </xf>
    <xf numFmtId="164" fontId="5" fillId="39" borderId="10" xfId="0" applyNumberFormat="1" applyFont="1" applyFill="1" applyBorder="1" applyAlignment="1">
      <alignment horizontal="center"/>
    </xf>
    <xf numFmtId="166" fontId="5" fillId="39" borderId="10" xfId="0" applyNumberFormat="1" applyFont="1" applyFill="1" applyBorder="1"/>
    <xf numFmtId="164" fontId="2" fillId="39" borderId="8" xfId="0" applyNumberFormat="1" applyFont="1" applyFill="1" applyBorder="1"/>
    <xf numFmtId="164" fontId="5" fillId="0" borderId="9" xfId="0" applyNumberFormat="1" applyFont="1" applyBorder="1"/>
    <xf numFmtId="164" fontId="2" fillId="0" borderId="14" xfId="0" applyNumberFormat="1" applyFont="1" applyBorder="1"/>
    <xf numFmtId="164" fontId="7" fillId="0" borderId="14" xfId="0" applyNumberFormat="1" applyFont="1" applyBorder="1"/>
    <xf numFmtId="0" fontId="2" fillId="0" borderId="14" xfId="0" applyFont="1" applyBorder="1"/>
    <xf numFmtId="0" fontId="2" fillId="0" borderId="15" xfId="0" applyFont="1" applyBorder="1"/>
    <xf numFmtId="164" fontId="7" fillId="0" borderId="15" xfId="0" applyNumberFormat="1" applyFont="1" applyBorder="1" applyAlignment="1">
      <alignment horizontal="center"/>
    </xf>
    <xf numFmtId="166" fontId="2" fillId="0" borderId="15" xfId="0" applyNumberFormat="1" applyFont="1" applyBorder="1"/>
    <xf numFmtId="166" fontId="7" fillId="24" borderId="15" xfId="0" applyNumberFormat="1" applyFont="1" applyFill="1" applyBorder="1" applyAlignment="1">
      <alignment horizontal="right"/>
    </xf>
    <xf numFmtId="165" fontId="2" fillId="0" borderId="15" xfId="0" applyNumberFormat="1" applyFont="1" applyBorder="1"/>
    <xf numFmtId="167" fontId="16" fillId="2" borderId="9" xfId="0" applyNumberFormat="1" applyFont="1" applyFill="1" applyBorder="1" applyAlignment="1">
      <alignment horizontal="center"/>
    </xf>
    <xf numFmtId="164" fontId="5" fillId="13" borderId="16" xfId="0" applyNumberFormat="1" applyFont="1" applyFill="1" applyBorder="1"/>
    <xf numFmtId="164" fontId="2" fillId="13" borderId="17" xfId="0" applyNumberFormat="1" applyFont="1" applyFill="1" applyBorder="1"/>
    <xf numFmtId="0" fontId="2" fillId="13" borderId="17" xfId="0" applyFont="1" applyFill="1" applyBorder="1"/>
    <xf numFmtId="0" fontId="2" fillId="13" borderId="18" xfId="0" applyFont="1" applyFill="1" applyBorder="1"/>
    <xf numFmtId="164" fontId="5" fillId="13" borderId="17" xfId="0" applyNumberFormat="1" applyFont="1" applyFill="1" applyBorder="1"/>
    <xf numFmtId="166" fontId="2" fillId="13" borderId="17" xfId="0" applyNumberFormat="1" applyFont="1" applyFill="1" applyBorder="1"/>
    <xf numFmtId="166" fontId="2" fillId="13" borderId="18" xfId="0" applyNumberFormat="1" applyFont="1" applyFill="1" applyBorder="1"/>
    <xf numFmtId="165" fontId="2" fillId="13" borderId="18" xfId="0" applyNumberFormat="1" applyFont="1" applyFill="1" applyBorder="1"/>
    <xf numFmtId="165" fontId="7" fillId="2" borderId="2" xfId="0" applyNumberFormat="1" applyFont="1" applyFill="1" applyBorder="1" applyAlignment="1">
      <alignment horizontal="right"/>
    </xf>
    <xf numFmtId="164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164" fontId="21" fillId="0" borderId="0" xfId="0" applyNumberFormat="1" applyFont="1"/>
    <xf numFmtId="0" fontId="21" fillId="0" borderId="0" xfId="0" applyFont="1"/>
    <xf numFmtId="0" fontId="5" fillId="13" borderId="17" xfId="0" applyFont="1" applyFill="1" applyBorder="1"/>
    <xf numFmtId="0" fontId="5" fillId="13" borderId="16" xfId="0" applyFont="1" applyFill="1" applyBorder="1"/>
    <xf numFmtId="165" fontId="2" fillId="2" borderId="19" xfId="0" applyNumberFormat="1" applyFont="1" applyFill="1" applyBorder="1"/>
    <xf numFmtId="166" fontId="7" fillId="24" borderId="2" xfId="0" applyNumberFormat="1" applyFont="1" applyFill="1" applyBorder="1" applyAlignment="1">
      <alignment horizontal="right"/>
    </xf>
    <xf numFmtId="165" fontId="2" fillId="2" borderId="20" xfId="0" applyNumberFormat="1" applyFont="1" applyFill="1" applyBorder="1"/>
    <xf numFmtId="166" fontId="7" fillId="24" borderId="10" xfId="0" applyNumberFormat="1" applyFont="1" applyFill="1" applyBorder="1" applyAlignment="1">
      <alignment horizontal="right"/>
    </xf>
    <xf numFmtId="164" fontId="6" fillId="23" borderId="9" xfId="0" applyNumberFormat="1" applyFont="1" applyFill="1" applyBorder="1"/>
    <xf numFmtId="165" fontId="7" fillId="2" borderId="20" xfId="0" applyNumberFormat="1" applyFont="1" applyFill="1" applyBorder="1" applyAlignment="1">
      <alignment horizontal="right"/>
    </xf>
    <xf numFmtId="165" fontId="8" fillId="2" borderId="20" xfId="0" applyNumberFormat="1" applyFont="1" applyFill="1" applyBorder="1" applyAlignment="1">
      <alignment horizontal="right"/>
    </xf>
    <xf numFmtId="165" fontId="5" fillId="2" borderId="10" xfId="0" applyNumberFormat="1" applyFont="1" applyFill="1" applyBorder="1" applyAlignment="1">
      <alignment horizontal="right"/>
    </xf>
    <xf numFmtId="165" fontId="5" fillId="2" borderId="20" xfId="0" applyNumberFormat="1" applyFont="1" applyFill="1" applyBorder="1" applyAlignment="1">
      <alignment horizontal="right"/>
    </xf>
    <xf numFmtId="0" fontId="6" fillId="2" borderId="9" xfId="0" applyFont="1" applyFill="1" applyBorder="1"/>
    <xf numFmtId="165" fontId="2" fillId="39" borderId="20" xfId="0" applyNumberFormat="1" applyFont="1" applyFill="1" applyBorder="1"/>
    <xf numFmtId="165" fontId="5" fillId="39" borderId="10" xfId="0" applyNumberFormat="1" applyFont="1" applyFill="1" applyBorder="1" applyAlignment="1">
      <alignment horizontal="right"/>
    </xf>
    <xf numFmtId="166" fontId="5" fillId="39" borderId="10" xfId="0" applyNumberFormat="1" applyFont="1" applyFill="1" applyBorder="1" applyAlignment="1">
      <alignment horizontal="right"/>
    </xf>
    <xf numFmtId="165" fontId="39" fillId="2" borderId="10" xfId="0" applyNumberFormat="1" applyFont="1" applyFill="1" applyBorder="1"/>
    <xf numFmtId="165" fontId="39" fillId="2" borderId="20" xfId="0" applyNumberFormat="1" applyFont="1" applyFill="1" applyBorder="1"/>
    <xf numFmtId="166" fontId="23" fillId="24" borderId="10" xfId="0" applyNumberFormat="1" applyFont="1" applyFill="1" applyBorder="1" applyAlignment="1">
      <alignment horizontal="right"/>
    </xf>
    <xf numFmtId="166" fontId="39" fillId="2" borderId="10" xfId="0" applyNumberFormat="1" applyFont="1" applyFill="1" applyBorder="1"/>
    <xf numFmtId="164" fontId="23" fillId="2" borderId="10" xfId="0" applyNumberFormat="1" applyFont="1" applyFill="1" applyBorder="1" applyAlignment="1">
      <alignment horizontal="center"/>
    </xf>
    <xf numFmtId="0" fontId="39" fillId="0" borderId="10" xfId="0" applyFont="1" applyBorder="1"/>
    <xf numFmtId="0" fontId="23" fillId="0" borderId="9" xfId="0" applyFont="1" applyBorder="1"/>
    <xf numFmtId="0" fontId="39" fillId="0" borderId="9" xfId="0" applyFont="1" applyBorder="1"/>
    <xf numFmtId="164" fontId="39" fillId="0" borderId="9" xfId="0" applyNumberFormat="1" applyFont="1" applyBorder="1"/>
    <xf numFmtId="164" fontId="39" fillId="0" borderId="8" xfId="0" applyNumberFormat="1" applyFont="1" applyBorder="1"/>
    <xf numFmtId="165" fontId="23" fillId="2" borderId="10" xfId="0" applyNumberFormat="1" applyFont="1" applyFill="1" applyBorder="1" applyAlignment="1">
      <alignment horizontal="right"/>
    </xf>
    <xf numFmtId="166" fontId="23" fillId="2" borderId="10" xfId="0" applyNumberFormat="1" applyFont="1" applyFill="1" applyBorder="1" applyAlignment="1">
      <alignment horizontal="right"/>
    </xf>
    <xf numFmtId="164" fontId="39" fillId="2" borderId="10" xfId="0" applyNumberFormat="1" applyFont="1" applyFill="1" applyBorder="1"/>
    <xf numFmtId="164" fontId="23" fillId="0" borderId="9" xfId="0" applyNumberFormat="1" applyFont="1" applyBorder="1"/>
    <xf numFmtId="164" fontId="1" fillId="0" borderId="9" xfId="0" applyNumberFormat="1" applyFont="1" applyBorder="1"/>
    <xf numFmtId="164" fontId="6" fillId="23" borderId="9" xfId="0" quotePrefix="1" applyNumberFormat="1" applyFont="1" applyFill="1" applyBorder="1"/>
    <xf numFmtId="165" fontId="2" fillId="0" borderId="20" xfId="0" applyNumberFormat="1" applyFont="1" applyBorder="1"/>
    <xf numFmtId="0" fontId="18" fillId="23" borderId="9" xfId="0" applyFont="1" applyFill="1" applyBorder="1"/>
    <xf numFmtId="0" fontId="18" fillId="2" borderId="9" xfId="0" applyFont="1" applyFill="1" applyBorder="1"/>
    <xf numFmtId="165" fontId="16" fillId="39" borderId="10" xfId="0" applyNumberFormat="1" applyFont="1" applyFill="1" applyBorder="1" applyAlignment="1">
      <alignment horizontal="right"/>
    </xf>
    <xf numFmtId="165" fontId="2" fillId="27" borderId="19" xfId="0" applyNumberFormat="1" applyFont="1" applyFill="1" applyBorder="1"/>
    <xf numFmtId="165" fontId="7" fillId="0" borderId="10" xfId="0" applyNumberFormat="1" applyFont="1" applyBorder="1" applyAlignment="1">
      <alignment horizontal="right"/>
    </xf>
    <xf numFmtId="0" fontId="6" fillId="23" borderId="9" xfId="0" quotePrefix="1" applyFont="1" applyFill="1" applyBorder="1"/>
    <xf numFmtId="169" fontId="2" fillId="2" borderId="19" xfId="0" applyNumberFormat="1" applyFont="1" applyFill="1" applyBorder="1"/>
    <xf numFmtId="169" fontId="2" fillId="2" borderId="20" xfId="0" applyNumberFormat="1" applyFont="1" applyFill="1" applyBorder="1"/>
    <xf numFmtId="164" fontId="5" fillId="2" borderId="10" xfId="0" applyNumberFormat="1" applyFont="1" applyFill="1" applyBorder="1" applyAlignment="1">
      <alignment horizontal="right"/>
    </xf>
    <xf numFmtId="164" fontId="7" fillId="2" borderId="10" xfId="0" applyNumberFormat="1" applyFont="1" applyFill="1" applyBorder="1" applyAlignment="1">
      <alignment horizontal="right"/>
    </xf>
    <xf numFmtId="0" fontId="6" fillId="23" borderId="9" xfId="0" applyFont="1" applyFill="1" applyBorder="1"/>
    <xf numFmtId="165" fontId="2" fillId="40" borderId="20" xfId="0" applyNumberFormat="1" applyFont="1" applyFill="1" applyBorder="1"/>
    <xf numFmtId="165" fontId="5" fillId="40" borderId="10" xfId="0" applyNumberFormat="1" applyFont="1" applyFill="1" applyBorder="1" applyAlignment="1">
      <alignment horizontal="right"/>
    </xf>
    <xf numFmtId="166" fontId="5" fillId="40" borderId="10" xfId="0" applyNumberFormat="1" applyFont="1" applyFill="1" applyBorder="1" applyAlignment="1">
      <alignment horizontal="right"/>
    </xf>
    <xf numFmtId="165" fontId="2" fillId="38" borderId="19" xfId="0" applyNumberFormat="1" applyFont="1" applyFill="1" applyBorder="1"/>
    <xf numFmtId="165" fontId="2" fillId="2" borderId="21" xfId="0" applyNumberFormat="1" applyFont="1" applyFill="1" applyBorder="1"/>
    <xf numFmtId="0" fontId="18" fillId="23" borderId="9" xfId="0" quotePrefix="1" applyFont="1" applyFill="1" applyBorder="1"/>
    <xf numFmtId="165" fontId="2" fillId="12" borderId="20" xfId="0" applyNumberFormat="1" applyFont="1" applyFill="1" applyBorder="1"/>
    <xf numFmtId="165" fontId="2" fillId="27" borderId="20" xfId="0" applyNumberFormat="1" applyFont="1" applyFill="1" applyBorder="1"/>
    <xf numFmtId="165" fontId="2" fillId="37" borderId="20" xfId="0" applyNumberFormat="1" applyFont="1" applyFill="1" applyBorder="1"/>
    <xf numFmtId="165" fontId="5" fillId="37" borderId="10" xfId="0" applyNumberFormat="1" applyFont="1" applyFill="1" applyBorder="1" applyAlignment="1">
      <alignment horizontal="right"/>
    </xf>
    <xf numFmtId="165" fontId="2" fillId="27" borderId="15" xfId="0" applyNumberFormat="1" applyFont="1" applyFill="1" applyBorder="1"/>
    <xf numFmtId="166" fontId="2" fillId="27" borderId="15" xfId="0" applyNumberFormat="1" applyFont="1" applyFill="1" applyBorder="1"/>
    <xf numFmtId="164" fontId="2" fillId="27" borderId="15" xfId="0" applyNumberFormat="1" applyFont="1" applyFill="1" applyBorder="1"/>
    <xf numFmtId="0" fontId="2" fillId="27" borderId="15" xfId="0" applyFont="1" applyFill="1" applyBorder="1"/>
    <xf numFmtId="0" fontId="2" fillId="27" borderId="14" xfId="0" applyFont="1" applyFill="1" applyBorder="1"/>
    <xf numFmtId="164" fontId="2" fillId="27" borderId="14" xfId="0" applyNumberFormat="1" applyFont="1" applyFill="1" applyBorder="1"/>
    <xf numFmtId="164" fontId="2" fillId="27" borderId="22" xfId="0" applyNumberFormat="1" applyFont="1" applyFill="1" applyBorder="1"/>
    <xf numFmtId="165" fontId="8" fillId="2" borderId="2" xfId="0" applyNumberFormat="1" applyFont="1" applyFill="1" applyBorder="1" applyAlignment="1">
      <alignment horizontal="right"/>
    </xf>
    <xf numFmtId="166" fontId="8" fillId="24" borderId="2" xfId="0" applyNumberFormat="1" applyFont="1" applyFill="1" applyBorder="1" applyAlignment="1">
      <alignment horizontal="right"/>
    </xf>
    <xf numFmtId="0" fontId="8" fillId="2" borderId="2" xfId="0" applyFont="1" applyFill="1" applyBorder="1" applyAlignment="1">
      <alignment horizontal="center" wrapText="1"/>
    </xf>
    <xf numFmtId="0" fontId="8" fillId="0" borderId="1" xfId="0" applyFont="1" applyBorder="1"/>
    <xf numFmtId="166" fontId="8" fillId="24" borderId="10" xfId="0" applyNumberFormat="1" applyFont="1" applyFill="1" applyBorder="1" applyAlignment="1">
      <alignment horizontal="right"/>
    </xf>
    <xf numFmtId="0" fontId="8" fillId="2" borderId="10" xfId="0" applyFont="1" applyFill="1" applyBorder="1" applyAlignment="1">
      <alignment horizontal="center" wrapText="1"/>
    </xf>
    <xf numFmtId="0" fontId="16" fillId="2" borderId="9" xfId="0" applyFont="1" applyFill="1" applyBorder="1"/>
    <xf numFmtId="0" fontId="40" fillId="2" borderId="9" xfId="0" applyFont="1" applyFill="1" applyBorder="1"/>
    <xf numFmtId="164" fontId="16" fillId="2" borderId="10" xfId="0" applyNumberFormat="1" applyFont="1" applyFill="1" applyBorder="1" applyAlignment="1">
      <alignment horizontal="center"/>
    </xf>
    <xf numFmtId="165" fontId="16" fillId="37" borderId="10" xfId="0" applyNumberFormat="1" applyFont="1" applyFill="1" applyBorder="1" applyAlignment="1">
      <alignment horizontal="right"/>
    </xf>
    <xf numFmtId="166" fontId="16" fillId="37" borderId="10" xfId="0" applyNumberFormat="1" applyFont="1" applyFill="1" applyBorder="1" applyAlignment="1">
      <alignment horizontal="right"/>
    </xf>
    <xf numFmtId="0" fontId="16" fillId="37" borderId="10" xfId="0" applyFont="1" applyFill="1" applyBorder="1" applyAlignment="1">
      <alignment horizontal="center" wrapText="1"/>
    </xf>
    <xf numFmtId="0" fontId="16" fillId="37" borderId="9" xfId="0" applyFont="1" applyFill="1" applyBorder="1"/>
    <xf numFmtId="165" fontId="2" fillId="36" borderId="23" xfId="0" applyNumberFormat="1" applyFont="1" applyFill="1" applyBorder="1"/>
    <xf numFmtId="164" fontId="16" fillId="36" borderId="8" xfId="0" applyNumberFormat="1" applyFont="1" applyFill="1" applyBorder="1"/>
    <xf numFmtId="165" fontId="2" fillId="35" borderId="19" xfId="0" applyNumberFormat="1" applyFont="1" applyFill="1" applyBorder="1"/>
    <xf numFmtId="164" fontId="16" fillId="34" borderId="7" xfId="0" applyNumberFormat="1" applyFont="1" applyFill="1" applyBorder="1"/>
    <xf numFmtId="164" fontId="9" fillId="2" borderId="9" xfId="0" applyNumberFormat="1" applyFont="1" applyFill="1" applyBorder="1"/>
    <xf numFmtId="165" fontId="2" fillId="33" borderId="20" xfId="0" applyNumberFormat="1" applyFont="1" applyFill="1" applyBorder="1"/>
    <xf numFmtId="165" fontId="5" fillId="33" borderId="10" xfId="0" applyNumberFormat="1" applyFont="1" applyFill="1" applyBorder="1" applyAlignment="1">
      <alignment horizontal="right"/>
    </xf>
    <xf numFmtId="166" fontId="5" fillId="33" borderId="10" xfId="0" applyNumberFormat="1" applyFont="1" applyFill="1" applyBorder="1" applyAlignment="1">
      <alignment horizontal="right"/>
    </xf>
    <xf numFmtId="168" fontId="2" fillId="2" borderId="10" xfId="0" applyNumberFormat="1" applyFont="1" applyFill="1" applyBorder="1"/>
    <xf numFmtId="164" fontId="6" fillId="2" borderId="9" xfId="0" quotePrefix="1" applyNumberFormat="1" applyFont="1" applyFill="1" applyBorder="1"/>
    <xf numFmtId="164" fontId="6" fillId="2" borderId="9" xfId="0" applyNumberFormat="1" applyFont="1" applyFill="1" applyBorder="1"/>
    <xf numFmtId="164" fontId="39" fillId="2" borderId="9" xfId="0" applyNumberFormat="1" applyFont="1" applyFill="1" applyBorder="1"/>
    <xf numFmtId="164" fontId="23" fillId="2" borderId="9" xfId="0" applyNumberFormat="1" applyFont="1" applyFill="1" applyBorder="1"/>
    <xf numFmtId="165" fontId="5" fillId="33" borderId="18" xfId="0" applyNumberFormat="1" applyFont="1" applyFill="1" applyBorder="1" applyAlignment="1">
      <alignment horizontal="right"/>
    </xf>
    <xf numFmtId="166" fontId="5" fillId="33" borderId="18" xfId="0" applyNumberFormat="1" applyFont="1" applyFill="1" applyBorder="1" applyAlignment="1">
      <alignment horizontal="right"/>
    </xf>
    <xf numFmtId="164" fontId="5" fillId="33" borderId="18" xfId="0" applyNumberFormat="1" applyFont="1" applyFill="1" applyBorder="1" applyAlignment="1">
      <alignment horizontal="center" wrapText="1"/>
    </xf>
    <xf numFmtId="0" fontId="2" fillId="33" borderId="18" xfId="0" applyFont="1" applyFill="1" applyBorder="1"/>
    <xf numFmtId="0" fontId="2" fillId="33" borderId="17" xfId="0" applyFont="1" applyFill="1" applyBorder="1"/>
    <xf numFmtId="164" fontId="2" fillId="33" borderId="17" xfId="0" applyNumberFormat="1" applyFont="1" applyFill="1" applyBorder="1"/>
    <xf numFmtId="167" fontId="2" fillId="33" borderId="17" xfId="0" applyNumberFormat="1" applyFont="1" applyFill="1" applyBorder="1"/>
    <xf numFmtId="164" fontId="5" fillId="33" borderId="17" xfId="0" applyNumberFormat="1" applyFont="1" applyFill="1" applyBorder="1"/>
    <xf numFmtId="167" fontId="2" fillId="33" borderId="16" xfId="0" applyNumberFormat="1" applyFont="1" applyFill="1" applyBorder="1"/>
    <xf numFmtId="170" fontId="7" fillId="2" borderId="10" xfId="0" applyNumberFormat="1" applyFont="1" applyFill="1" applyBorder="1" applyAlignment="1">
      <alignment horizontal="right"/>
    </xf>
    <xf numFmtId="165" fontId="2" fillId="26" borderId="20" xfId="0" applyNumberFormat="1" applyFont="1" applyFill="1" applyBorder="1"/>
    <xf numFmtId="0" fontId="6" fillId="26" borderId="9" xfId="0" applyFont="1" applyFill="1" applyBorder="1"/>
    <xf numFmtId="165" fontId="5" fillId="26" borderId="15" xfId="0" applyNumberFormat="1" applyFont="1" applyFill="1" applyBorder="1" applyAlignment="1">
      <alignment horizontal="right"/>
    </xf>
    <xf numFmtId="166" fontId="5" fillId="26" borderId="15" xfId="0" applyNumberFormat="1" applyFont="1" applyFill="1" applyBorder="1" applyAlignment="1">
      <alignment horizontal="right"/>
    </xf>
    <xf numFmtId="0" fontId="5" fillId="26" borderId="15" xfId="0" applyFont="1" applyFill="1" applyBorder="1" applyAlignment="1">
      <alignment horizontal="center" wrapText="1"/>
    </xf>
    <xf numFmtId="0" fontId="2" fillId="26" borderId="15" xfId="0" applyFont="1" applyFill="1" applyBorder="1"/>
    <xf numFmtId="0" fontId="2" fillId="26" borderId="14" xfId="0" applyFont="1" applyFill="1" applyBorder="1"/>
    <xf numFmtId="164" fontId="6" fillId="26" borderId="14" xfId="0" applyNumberFormat="1" applyFont="1" applyFill="1" applyBorder="1"/>
    <xf numFmtId="164" fontId="2" fillId="26" borderId="14" xfId="0" applyNumberFormat="1" applyFont="1" applyFill="1" applyBorder="1"/>
    <xf numFmtId="164" fontId="2" fillId="26" borderId="22" xfId="0" applyNumberFormat="1" applyFont="1" applyFill="1" applyBorder="1"/>
    <xf numFmtId="165" fontId="5" fillId="33" borderId="15" xfId="0" applyNumberFormat="1" applyFont="1" applyFill="1" applyBorder="1" applyAlignment="1">
      <alignment horizontal="right"/>
    </xf>
    <xf numFmtId="166" fontId="5" fillId="33" borderId="15" xfId="0" applyNumberFormat="1" applyFont="1" applyFill="1" applyBorder="1" applyAlignment="1">
      <alignment horizontal="right"/>
    </xf>
    <xf numFmtId="166" fontId="5" fillId="33" borderId="24" xfId="0" applyNumberFormat="1" applyFont="1" applyFill="1" applyBorder="1" applyAlignment="1">
      <alignment horizontal="right"/>
    </xf>
    <xf numFmtId="165" fontId="2" fillId="32" borderId="20" xfId="0" applyNumberFormat="1" applyFont="1" applyFill="1" applyBorder="1"/>
    <xf numFmtId="165" fontId="2" fillId="10" borderId="20" xfId="0" applyNumberFormat="1" applyFont="1" applyFill="1" applyBorder="1"/>
    <xf numFmtId="165" fontId="8" fillId="10" borderId="10" xfId="0" applyNumberFormat="1" applyFont="1" applyFill="1" applyBorder="1" applyAlignment="1">
      <alignment horizontal="right"/>
    </xf>
    <xf numFmtId="166" fontId="8" fillId="10" borderId="10" xfId="0" applyNumberFormat="1" applyFont="1" applyFill="1" applyBorder="1" applyAlignment="1">
      <alignment horizontal="right"/>
    </xf>
    <xf numFmtId="0" fontId="8" fillId="10" borderId="10" xfId="0" applyFont="1" applyFill="1" applyBorder="1" applyAlignment="1">
      <alignment horizontal="center"/>
    </xf>
    <xf numFmtId="0" fontId="8" fillId="10" borderId="9" xfId="0" applyFont="1" applyFill="1" applyBorder="1"/>
    <xf numFmtId="165" fontId="7" fillId="10" borderId="10" xfId="0" applyNumberFormat="1" applyFont="1" applyFill="1" applyBorder="1" applyAlignment="1">
      <alignment horizontal="right"/>
    </xf>
    <xf numFmtId="166" fontId="7" fillId="10" borderId="10" xfId="0" applyNumberFormat="1" applyFont="1" applyFill="1" applyBorder="1" applyAlignment="1">
      <alignment horizontal="right"/>
    </xf>
    <xf numFmtId="0" fontId="7" fillId="10" borderId="10" xfId="0" applyFont="1" applyFill="1" applyBorder="1" applyAlignment="1">
      <alignment horizontal="center"/>
    </xf>
    <xf numFmtId="0" fontId="7" fillId="10" borderId="9" xfId="0" applyFont="1" applyFill="1" applyBorder="1"/>
    <xf numFmtId="165" fontId="2" fillId="10" borderId="19" xfId="0" applyNumberFormat="1" applyFont="1" applyFill="1" applyBorder="1"/>
    <xf numFmtId="166" fontId="7" fillId="0" borderId="10" xfId="0" applyNumberFormat="1" applyFont="1" applyBorder="1" applyAlignment="1">
      <alignment horizontal="right"/>
    </xf>
    <xf numFmtId="165" fontId="5" fillId="0" borderId="10" xfId="0" applyNumberFormat="1" applyFont="1" applyBorder="1" applyAlignment="1">
      <alignment horizontal="right"/>
    </xf>
    <xf numFmtId="165" fontId="2" fillId="30" borderId="20" xfId="0" applyNumberFormat="1" applyFont="1" applyFill="1" applyBorder="1"/>
    <xf numFmtId="165" fontId="5" fillId="30" borderId="10" xfId="0" applyNumberFormat="1" applyFont="1" applyFill="1" applyBorder="1" applyAlignment="1">
      <alignment horizontal="right"/>
    </xf>
    <xf numFmtId="166" fontId="5" fillId="30" borderId="10" xfId="0" applyNumberFormat="1" applyFont="1" applyFill="1" applyBorder="1" applyAlignment="1">
      <alignment horizontal="right"/>
    </xf>
    <xf numFmtId="165" fontId="2" fillId="29" borderId="20" xfId="0" applyNumberFormat="1" applyFont="1" applyFill="1" applyBorder="1"/>
    <xf numFmtId="165" fontId="2" fillId="0" borderId="19" xfId="0" applyNumberFormat="1" applyFont="1" applyBorder="1"/>
    <xf numFmtId="165" fontId="8" fillId="0" borderId="2" xfId="0" applyNumberFormat="1" applyFont="1" applyBorder="1" applyAlignment="1">
      <alignment horizontal="right"/>
    </xf>
    <xf numFmtId="0" fontId="8" fillId="2" borderId="2" xfId="0" applyFont="1" applyFill="1" applyBorder="1" applyAlignment="1">
      <alignment horizontal="center"/>
    </xf>
    <xf numFmtId="0" fontId="8" fillId="0" borderId="1" xfId="0" quotePrefix="1" applyFont="1" applyBorder="1"/>
    <xf numFmtId="165" fontId="7" fillId="2" borderId="15" xfId="0" applyNumberFormat="1" applyFont="1" applyFill="1" applyBorder="1" applyAlignment="1">
      <alignment horizontal="right"/>
    </xf>
    <xf numFmtId="166" fontId="7" fillId="2" borderId="15" xfId="0" applyNumberFormat="1" applyFont="1" applyFill="1" applyBorder="1" applyAlignment="1">
      <alignment horizontal="right"/>
    </xf>
    <xf numFmtId="164" fontId="7" fillId="2" borderId="15" xfId="0" applyNumberFormat="1" applyFont="1" applyFill="1" applyBorder="1" applyAlignment="1">
      <alignment horizontal="center"/>
    </xf>
    <xf numFmtId="0" fontId="2" fillId="2" borderId="15" xfId="0" applyFont="1" applyFill="1" applyBorder="1"/>
    <xf numFmtId="0" fontId="2" fillId="2" borderId="14" xfId="0" applyFont="1" applyFill="1" applyBorder="1"/>
    <xf numFmtId="0" fontId="7" fillId="2" borderId="14" xfId="0" quotePrefix="1" applyFont="1" applyFill="1" applyBorder="1"/>
    <xf numFmtId="164" fontId="2" fillId="2" borderId="14" xfId="0" applyNumberFormat="1" applyFont="1" applyFill="1" applyBorder="1"/>
    <xf numFmtId="46" fontId="2" fillId="2" borderId="22" xfId="0" applyNumberFormat="1" applyFont="1" applyFill="1" applyBorder="1"/>
    <xf numFmtId="165" fontId="39" fillId="0" borderId="10" xfId="0" applyNumberFormat="1" applyFont="1" applyBorder="1"/>
    <xf numFmtId="165" fontId="39" fillId="0" borderId="20" xfId="0" applyNumberFormat="1" applyFont="1" applyBorder="1"/>
    <xf numFmtId="166" fontId="39" fillId="0" borderId="10" xfId="0" applyNumberFormat="1" applyFont="1" applyBorder="1"/>
    <xf numFmtId="0" fontId="39" fillId="23" borderId="10" xfId="0" applyFont="1" applyFill="1" applyBorder="1"/>
    <xf numFmtId="0" fontId="39" fillId="23" borderId="9" xfId="0" applyFont="1" applyFill="1" applyBorder="1"/>
    <xf numFmtId="0" fontId="41" fillId="23" borderId="9" xfId="0" quotePrefix="1" applyFont="1" applyFill="1" applyBorder="1"/>
    <xf numFmtId="0" fontId="23" fillId="2" borderId="9" xfId="0" applyFont="1" applyFill="1" applyBorder="1"/>
    <xf numFmtId="165" fontId="23" fillId="2" borderId="20" xfId="0" applyNumberFormat="1" applyFont="1" applyFill="1" applyBorder="1" applyAlignment="1">
      <alignment horizontal="right"/>
    </xf>
    <xf numFmtId="164" fontId="23" fillId="0" borderId="10" xfId="0" applyNumberFormat="1" applyFont="1" applyBorder="1" applyAlignment="1">
      <alignment horizontal="center"/>
    </xf>
    <xf numFmtId="0" fontId="39" fillId="2" borderId="10" xfId="0" applyFont="1" applyFill="1" applyBorder="1"/>
    <xf numFmtId="0" fontId="39" fillId="2" borderId="9" xfId="0" applyFont="1" applyFill="1" applyBorder="1"/>
    <xf numFmtId="167" fontId="39" fillId="2" borderId="8" xfId="0" applyNumberFormat="1" applyFont="1" applyFill="1" applyBorder="1"/>
    <xf numFmtId="165" fontId="42" fillId="0" borderId="10" xfId="0" applyNumberFormat="1" applyFont="1" applyBorder="1"/>
    <xf numFmtId="166" fontId="42" fillId="0" borderId="10" xfId="0" applyNumberFormat="1" applyFont="1" applyBorder="1"/>
    <xf numFmtId="0" fontId="42" fillId="2" borderId="10" xfId="0" applyFont="1" applyFill="1" applyBorder="1"/>
    <xf numFmtId="0" fontId="42" fillId="2" borderId="9" xfId="0" applyFont="1" applyFill="1" applyBorder="1"/>
    <xf numFmtId="167" fontId="42" fillId="2" borderId="8" xfId="0" applyNumberFormat="1" applyFont="1" applyFill="1" applyBorder="1"/>
    <xf numFmtId="0" fontId="43" fillId="2" borderId="9" xfId="0" applyFont="1" applyFill="1" applyBorder="1"/>
    <xf numFmtId="164" fontId="23" fillId="0" borderId="10" xfId="0" applyNumberFormat="1" applyFont="1" applyBorder="1" applyAlignment="1">
      <alignment horizontal="center" wrapText="1"/>
    </xf>
    <xf numFmtId="165" fontId="42" fillId="2" borderId="10" xfId="0" applyNumberFormat="1" applyFont="1" applyFill="1" applyBorder="1"/>
    <xf numFmtId="166" fontId="42" fillId="2" borderId="10" xfId="0" applyNumberFormat="1" applyFont="1" applyFill="1" applyBorder="1"/>
    <xf numFmtId="165" fontId="1" fillId="2" borderId="10" xfId="0" applyNumberFormat="1" applyFont="1" applyFill="1" applyBorder="1" applyAlignment="1">
      <alignment horizontal="right"/>
    </xf>
    <xf numFmtId="165" fontId="1" fillId="2" borderId="20" xfId="0" applyNumberFormat="1" applyFont="1" applyFill="1" applyBorder="1" applyAlignment="1">
      <alignment horizontal="right"/>
    </xf>
    <xf numFmtId="164" fontId="1" fillId="2" borderId="10" xfId="0" applyNumberFormat="1" applyFont="1" applyFill="1" applyBorder="1" applyAlignment="1">
      <alignment horizontal="center"/>
    </xf>
    <xf numFmtId="0" fontId="41" fillId="2" borderId="9" xfId="0" applyFont="1" applyFill="1" applyBorder="1"/>
    <xf numFmtId="0" fontId="1" fillId="2" borderId="9" xfId="0" applyFont="1" applyFill="1" applyBorder="1"/>
    <xf numFmtId="165" fontId="39" fillId="23" borderId="10" xfId="0" applyNumberFormat="1" applyFont="1" applyFill="1" applyBorder="1"/>
    <xf numFmtId="165" fontId="39" fillId="23" borderId="20" xfId="0" applyNumberFormat="1" applyFont="1" applyFill="1" applyBorder="1"/>
    <xf numFmtId="165" fontId="1" fillId="23" borderId="10" xfId="0" applyNumberFormat="1" applyFont="1" applyFill="1" applyBorder="1" applyAlignment="1">
      <alignment horizontal="right"/>
    </xf>
    <xf numFmtId="166" fontId="1" fillId="23" borderId="10" xfId="0" applyNumberFormat="1" applyFont="1" applyFill="1" applyBorder="1"/>
    <xf numFmtId="0" fontId="1" fillId="23" borderId="10" xfId="0" applyFont="1" applyFill="1" applyBorder="1" applyAlignment="1">
      <alignment horizontal="center" wrapText="1"/>
    </xf>
    <xf numFmtId="164" fontId="39" fillId="23" borderId="9" xfId="0" applyNumberFormat="1" applyFont="1" applyFill="1" applyBorder="1"/>
    <xf numFmtId="0" fontId="1" fillId="23" borderId="9" xfId="0" applyFont="1" applyFill="1" applyBorder="1"/>
    <xf numFmtId="164" fontId="39" fillId="23" borderId="8" xfId="0" applyNumberFormat="1" applyFont="1" applyFill="1" applyBorder="1"/>
    <xf numFmtId="165" fontId="39" fillId="25" borderId="10" xfId="0" applyNumberFormat="1" applyFont="1" applyFill="1" applyBorder="1"/>
    <xf numFmtId="165" fontId="39" fillId="25" borderId="20" xfId="0" applyNumberFormat="1" applyFont="1" applyFill="1" applyBorder="1"/>
    <xf numFmtId="166" fontId="39" fillId="25" borderId="10" xfId="0" applyNumberFormat="1" applyFont="1" applyFill="1" applyBorder="1"/>
    <xf numFmtId="0" fontId="39" fillId="25" borderId="10" xfId="0" applyFont="1" applyFill="1" applyBorder="1"/>
    <xf numFmtId="0" fontId="39" fillId="25" borderId="9" xfId="0" applyFont="1" applyFill="1" applyBorder="1"/>
    <xf numFmtId="164" fontId="39" fillId="25" borderId="9" xfId="0" applyNumberFormat="1" applyFont="1" applyFill="1" applyBorder="1"/>
    <xf numFmtId="164" fontId="1" fillId="25" borderId="8" xfId="0" applyNumberFormat="1" applyFont="1" applyFill="1" applyBorder="1"/>
    <xf numFmtId="0" fontId="8" fillId="0" borderId="10" xfId="0" applyFont="1" applyBorder="1" applyAlignment="1">
      <alignment horizontal="center"/>
    </xf>
    <xf numFmtId="0" fontId="8" fillId="0" borderId="9" xfId="0" quotePrefix="1" applyFont="1" applyBorder="1"/>
    <xf numFmtId="164" fontId="8" fillId="0" borderId="9" xfId="0" quotePrefix="1" applyNumberFormat="1" applyFont="1" applyBorder="1"/>
    <xf numFmtId="164" fontId="16" fillId="2" borderId="9" xfId="0" applyNumberFormat="1" applyFont="1" applyFill="1" applyBorder="1"/>
    <xf numFmtId="165" fontId="7" fillId="24" borderId="10" xfId="0" applyNumberFormat="1" applyFont="1" applyFill="1" applyBorder="1" applyAlignment="1">
      <alignment horizontal="right"/>
    </xf>
    <xf numFmtId="0" fontId="18" fillId="2" borderId="9" xfId="0" quotePrefix="1" applyFont="1" applyFill="1" applyBorder="1"/>
    <xf numFmtId="165" fontId="16" fillId="26" borderId="10" xfId="0" applyNumberFormat="1" applyFont="1" applyFill="1" applyBorder="1" applyAlignment="1">
      <alignment horizontal="right"/>
    </xf>
    <xf numFmtId="166" fontId="16" fillId="26" borderId="10" xfId="0" applyNumberFormat="1" applyFont="1" applyFill="1" applyBorder="1" applyAlignment="1">
      <alignment horizontal="right"/>
    </xf>
    <xf numFmtId="0" fontId="16" fillId="26" borderId="10" xfId="0" applyFont="1" applyFill="1" applyBorder="1" applyAlignment="1">
      <alignment horizontal="center" wrapText="1"/>
    </xf>
    <xf numFmtId="0" fontId="16" fillId="26" borderId="9" xfId="0" applyFont="1" applyFill="1" applyBorder="1"/>
    <xf numFmtId="165" fontId="44" fillId="2" borderId="10" xfId="0" applyNumberFormat="1" applyFont="1" applyFill="1" applyBorder="1"/>
    <xf numFmtId="165" fontId="16" fillId="2" borderId="10" xfId="0" applyNumberFormat="1" applyFont="1" applyFill="1" applyBorder="1" applyAlignment="1">
      <alignment horizontal="right"/>
    </xf>
    <xf numFmtId="165" fontId="16" fillId="2" borderId="20" xfId="0" applyNumberFormat="1" applyFont="1" applyFill="1" applyBorder="1" applyAlignment="1">
      <alignment horizontal="right"/>
    </xf>
    <xf numFmtId="0" fontId="7" fillId="2" borderId="14" xfId="0" applyFont="1" applyFill="1" applyBorder="1"/>
    <xf numFmtId="0" fontId="6" fillId="2" borderId="9" xfId="0" quotePrefix="1" applyFont="1" applyFill="1" applyBorder="1"/>
    <xf numFmtId="165" fontId="5" fillId="2" borderId="15" xfId="0" applyNumberFormat="1" applyFont="1" applyFill="1" applyBorder="1" applyAlignment="1">
      <alignment horizontal="right"/>
    </xf>
    <xf numFmtId="165" fontId="2" fillId="2" borderId="15" xfId="0" applyNumberFormat="1" applyFont="1" applyFill="1" applyBorder="1"/>
    <xf numFmtId="165" fontId="5" fillId="2" borderId="24" xfId="0" applyNumberFormat="1" applyFont="1" applyFill="1" applyBorder="1" applyAlignment="1">
      <alignment horizontal="right"/>
    </xf>
    <xf numFmtId="165" fontId="5" fillId="24" borderId="10" xfId="0" applyNumberFormat="1" applyFont="1" applyFill="1" applyBorder="1" applyAlignment="1">
      <alignment horizontal="right"/>
    </xf>
    <xf numFmtId="165" fontId="2" fillId="23" borderId="20" xfId="0" applyNumberFormat="1" applyFont="1" applyFill="1" applyBorder="1"/>
    <xf numFmtId="165" fontId="5" fillId="23" borderId="10" xfId="0" applyNumberFormat="1" applyFont="1" applyFill="1" applyBorder="1" applyAlignment="1">
      <alignment horizontal="right"/>
    </xf>
    <xf numFmtId="166" fontId="5" fillId="23" borderId="10" xfId="0" applyNumberFormat="1" applyFont="1" applyFill="1" applyBorder="1" applyAlignment="1">
      <alignment horizontal="right"/>
    </xf>
    <xf numFmtId="165" fontId="2" fillId="25" borderId="20" xfId="0" applyNumberFormat="1" applyFont="1" applyFill="1" applyBorder="1"/>
    <xf numFmtId="164" fontId="8" fillId="0" borderId="2" xfId="0" applyNumberFormat="1" applyFont="1" applyBorder="1" applyAlignment="1">
      <alignment horizontal="center"/>
    </xf>
    <xf numFmtId="165" fontId="5" fillId="12" borderId="10" xfId="0" applyNumberFormat="1" applyFont="1" applyFill="1" applyBorder="1" applyAlignment="1">
      <alignment horizontal="right"/>
    </xf>
    <xf numFmtId="166" fontId="5" fillId="12" borderId="10" xfId="0" applyNumberFormat="1" applyFont="1" applyFill="1" applyBorder="1" applyAlignment="1">
      <alignment horizontal="right"/>
    </xf>
    <xf numFmtId="165" fontId="2" fillId="22" borderId="14" xfId="0" applyNumberFormat="1" applyFont="1" applyFill="1" applyBorder="1"/>
    <xf numFmtId="166" fontId="2" fillId="22" borderId="14" xfId="0" applyNumberFormat="1" applyFont="1" applyFill="1" applyBorder="1"/>
    <xf numFmtId="164" fontId="2" fillId="22" borderId="14" xfId="0" applyNumberFormat="1" applyFont="1" applyFill="1" applyBorder="1"/>
    <xf numFmtId="0" fontId="2" fillId="22" borderId="14" xfId="0" applyFont="1" applyFill="1" applyBorder="1"/>
    <xf numFmtId="167" fontId="2" fillId="22" borderId="14" xfId="0" applyNumberFormat="1" applyFont="1" applyFill="1" applyBorder="1"/>
    <xf numFmtId="164" fontId="5" fillId="22" borderId="22" xfId="0" applyNumberFormat="1" applyFont="1" applyFill="1" applyBorder="1"/>
    <xf numFmtId="165" fontId="2" fillId="22" borderId="20" xfId="0" applyNumberFormat="1" applyFont="1" applyFill="1" applyBorder="1"/>
    <xf numFmtId="165" fontId="7" fillId="2" borderId="19" xfId="0" applyNumberFormat="1" applyFont="1" applyFill="1" applyBorder="1" applyAlignment="1">
      <alignment horizontal="right"/>
    </xf>
    <xf numFmtId="0" fontId="8" fillId="2" borderId="10" xfId="0" applyFont="1" applyFill="1" applyBorder="1" applyAlignment="1">
      <alignment horizontal="center"/>
    </xf>
    <xf numFmtId="165" fontId="7" fillId="20" borderId="10" xfId="0" applyNumberFormat="1" applyFont="1" applyFill="1" applyBorder="1" applyAlignment="1">
      <alignment horizontal="right"/>
    </xf>
    <xf numFmtId="165" fontId="7" fillId="20" borderId="20" xfId="0" applyNumberFormat="1" applyFont="1" applyFill="1" applyBorder="1" applyAlignment="1">
      <alignment horizontal="right"/>
    </xf>
    <xf numFmtId="165" fontId="8" fillId="20" borderId="10" xfId="0" applyNumberFormat="1" applyFont="1" applyFill="1" applyBorder="1" applyAlignment="1">
      <alignment horizontal="right"/>
    </xf>
    <xf numFmtId="165" fontId="8" fillId="20" borderId="20" xfId="0" applyNumberFormat="1" applyFont="1" applyFill="1" applyBorder="1" applyAlignment="1">
      <alignment horizontal="right"/>
    </xf>
    <xf numFmtId="0" fontId="8" fillId="20" borderId="10" xfId="0" applyFont="1" applyFill="1" applyBorder="1" applyAlignment="1">
      <alignment horizontal="center"/>
    </xf>
    <xf numFmtId="0" fontId="8" fillId="20" borderId="9" xfId="0" applyFont="1" applyFill="1" applyBorder="1"/>
    <xf numFmtId="165" fontId="5" fillId="20" borderId="10" xfId="0" applyNumberFormat="1" applyFont="1" applyFill="1" applyBorder="1" applyAlignment="1">
      <alignment horizontal="right"/>
    </xf>
    <xf numFmtId="165" fontId="5" fillId="20" borderId="20" xfId="0" applyNumberFormat="1" applyFont="1" applyFill="1" applyBorder="1" applyAlignment="1">
      <alignment horizontal="right"/>
    </xf>
    <xf numFmtId="0" fontId="6" fillId="20" borderId="9" xfId="0" applyFont="1" applyFill="1" applyBorder="1"/>
    <xf numFmtId="165" fontId="2" fillId="19" borderId="20" xfId="0" applyNumberFormat="1" applyFont="1" applyFill="1" applyBorder="1"/>
    <xf numFmtId="165" fontId="2" fillId="18" borderId="20" xfId="0" applyNumberFormat="1" applyFont="1" applyFill="1" applyBorder="1"/>
    <xf numFmtId="165" fontId="7" fillId="16" borderId="10" xfId="0" applyNumberFormat="1" applyFont="1" applyFill="1" applyBorder="1" applyAlignment="1">
      <alignment horizontal="right"/>
    </xf>
    <xf numFmtId="165" fontId="7" fillId="16" borderId="20" xfId="0" applyNumberFormat="1" applyFont="1" applyFill="1" applyBorder="1" applyAlignment="1">
      <alignment horizontal="right"/>
    </xf>
    <xf numFmtId="165" fontId="8" fillId="16" borderId="10" xfId="0" applyNumberFormat="1" applyFont="1" applyFill="1" applyBorder="1" applyAlignment="1">
      <alignment horizontal="right"/>
    </xf>
    <xf numFmtId="165" fontId="8" fillId="16" borderId="20" xfId="0" applyNumberFormat="1" applyFont="1" applyFill="1" applyBorder="1" applyAlignment="1">
      <alignment horizontal="right"/>
    </xf>
    <xf numFmtId="0" fontId="8" fillId="16" borderId="10" xfId="0" applyFont="1" applyFill="1" applyBorder="1" applyAlignment="1">
      <alignment horizontal="center"/>
    </xf>
    <xf numFmtId="0" fontId="8" fillId="16" borderId="9" xfId="0" applyFont="1" applyFill="1" applyBorder="1"/>
    <xf numFmtId="165" fontId="5" fillId="16" borderId="10" xfId="0" applyNumberFormat="1" applyFont="1" applyFill="1" applyBorder="1" applyAlignment="1">
      <alignment horizontal="right"/>
    </xf>
    <xf numFmtId="165" fontId="5" fillId="16" borderId="20" xfId="0" applyNumberFormat="1" applyFont="1" applyFill="1" applyBorder="1" applyAlignment="1">
      <alignment horizontal="right"/>
    </xf>
    <xf numFmtId="0" fontId="6" fillId="16" borderId="9" xfId="0" applyFont="1" applyFill="1" applyBorder="1"/>
    <xf numFmtId="165" fontId="2" fillId="15" borderId="20" xfId="0" applyNumberFormat="1" applyFont="1" applyFill="1" applyBorder="1"/>
    <xf numFmtId="165" fontId="5" fillId="13" borderId="2" xfId="0" applyNumberFormat="1" applyFont="1" applyFill="1" applyBorder="1" applyAlignment="1">
      <alignment horizontal="right"/>
    </xf>
    <xf numFmtId="165" fontId="5" fillId="13" borderId="19" xfId="0" applyNumberFormat="1" applyFont="1" applyFill="1" applyBorder="1" applyAlignment="1">
      <alignment horizontal="right"/>
    </xf>
    <xf numFmtId="165" fontId="7" fillId="12" borderId="10" xfId="0" applyNumberFormat="1" applyFont="1" applyFill="1" applyBorder="1" applyAlignment="1">
      <alignment horizontal="right"/>
    </xf>
    <xf numFmtId="165" fontId="7" fillId="12" borderId="20" xfId="0" applyNumberFormat="1" applyFont="1" applyFill="1" applyBorder="1" applyAlignment="1">
      <alignment horizontal="right"/>
    </xf>
    <xf numFmtId="165" fontId="8" fillId="12" borderId="10" xfId="0" applyNumberFormat="1" applyFont="1" applyFill="1" applyBorder="1" applyAlignment="1">
      <alignment horizontal="right"/>
    </xf>
    <xf numFmtId="165" fontId="8" fillId="12" borderId="20" xfId="0" applyNumberFormat="1" applyFont="1" applyFill="1" applyBorder="1" applyAlignment="1">
      <alignment horizontal="right"/>
    </xf>
    <xf numFmtId="0" fontId="8" fillId="12" borderId="10" xfId="0" applyFont="1" applyFill="1" applyBorder="1" applyAlignment="1">
      <alignment horizontal="center"/>
    </xf>
    <xf numFmtId="0" fontId="8" fillId="12" borderId="9" xfId="0" applyFont="1" applyFill="1" applyBorder="1"/>
    <xf numFmtId="165" fontId="5" fillId="12" borderId="20" xfId="0" applyNumberFormat="1" applyFont="1" applyFill="1" applyBorder="1" applyAlignment="1">
      <alignment horizontal="right"/>
    </xf>
    <xf numFmtId="165" fontId="2" fillId="11" borderId="19" xfId="0" applyNumberFormat="1" applyFont="1" applyFill="1" applyBorder="1"/>
    <xf numFmtId="165" fontId="5" fillId="7" borderId="19" xfId="0" applyNumberFormat="1" applyFont="1" applyFill="1" applyBorder="1" applyAlignment="1">
      <alignment horizontal="center" wrapText="1"/>
    </xf>
    <xf numFmtId="0" fontId="3" fillId="5" borderId="2" xfId="0" applyFont="1" applyFill="1" applyBorder="1" applyAlignment="1">
      <alignment horizontal="center"/>
    </xf>
    <xf numFmtId="0" fontId="3" fillId="5" borderId="6" xfId="0" applyFont="1" applyFill="1" applyBorder="1" applyAlignment="1">
      <alignment horizontal="center"/>
    </xf>
    <xf numFmtId="165" fontId="2" fillId="2" borderId="1" xfId="0" applyNumberFormat="1" applyFont="1" applyFill="1" applyBorder="1"/>
    <xf numFmtId="165" fontId="44" fillId="2" borderId="10" xfId="0" applyNumberFormat="1" applyFont="1" applyFill="1" applyBorder="1" applyAlignment="1">
      <alignment horizontal="right"/>
    </xf>
    <xf numFmtId="165" fontId="44" fillId="2" borderId="20" xfId="0" applyNumberFormat="1" applyFont="1" applyFill="1" applyBorder="1" applyAlignment="1">
      <alignment horizontal="right"/>
    </xf>
    <xf numFmtId="165" fontId="44" fillId="2" borderId="15" xfId="0" applyNumberFormat="1" applyFont="1" applyFill="1" applyBorder="1" applyAlignment="1">
      <alignment horizontal="right"/>
    </xf>
    <xf numFmtId="165" fontId="44" fillId="2" borderId="24" xfId="0" applyNumberFormat="1" applyFont="1" applyFill="1" applyBorder="1" applyAlignment="1">
      <alignment horizontal="right"/>
    </xf>
    <xf numFmtId="166" fontId="2" fillId="27" borderId="19" xfId="0" applyNumberFormat="1" applyFont="1" applyFill="1" applyBorder="1"/>
    <xf numFmtId="166" fontId="2" fillId="27" borderId="20" xfId="0" applyNumberFormat="1" applyFont="1" applyFill="1" applyBorder="1"/>
    <xf numFmtId="166" fontId="23" fillId="2" borderId="20" xfId="0" applyNumberFormat="1" applyFont="1" applyFill="1" applyBorder="1" applyAlignment="1">
      <alignment horizontal="right"/>
    </xf>
    <xf numFmtId="166" fontId="7" fillId="2" borderId="20" xfId="0" applyNumberFormat="1" applyFont="1" applyFill="1" applyBorder="1" applyAlignment="1">
      <alignment horizontal="right"/>
    </xf>
    <xf numFmtId="166" fontId="2" fillId="0" borderId="20" xfId="0" applyNumberFormat="1" applyFont="1" applyBorder="1"/>
    <xf numFmtId="166" fontId="2" fillId="2" borderId="20" xfId="0" applyNumberFormat="1" applyFont="1" applyFill="1" applyBorder="1"/>
    <xf numFmtId="166" fontId="5" fillId="33" borderId="25" xfId="0" applyNumberFormat="1" applyFont="1" applyFill="1" applyBorder="1" applyAlignment="1">
      <alignment horizontal="right"/>
    </xf>
    <xf numFmtId="0" fontId="23" fillId="0" borderId="10" xfId="0" applyFont="1" applyBorder="1" applyAlignment="1">
      <alignment horizontal="center"/>
    </xf>
    <xf numFmtId="164" fontId="23" fillId="0" borderId="9" xfId="0" quotePrefix="1" applyNumberFormat="1" applyFont="1" applyBorder="1"/>
    <xf numFmtId="164" fontId="1" fillId="2" borderId="9" xfId="0" applyNumberFormat="1" applyFont="1" applyFill="1" applyBorder="1"/>
    <xf numFmtId="164" fontId="39" fillId="2" borderId="8" xfId="0" applyNumberFormat="1" applyFont="1" applyFill="1" applyBorder="1"/>
    <xf numFmtId="164" fontId="1" fillId="0" borderId="10" xfId="0" applyNumberFormat="1" applyFont="1" applyBorder="1" applyAlignment="1">
      <alignment horizontal="center" wrapText="1"/>
    </xf>
    <xf numFmtId="165" fontId="1" fillId="26" borderId="10" xfId="0" applyNumberFormat="1" applyFont="1" applyFill="1" applyBorder="1" applyAlignment="1">
      <alignment horizontal="right"/>
    </xf>
    <xf numFmtId="166" fontId="1" fillId="26" borderId="10" xfId="0" applyNumberFormat="1" applyFont="1" applyFill="1" applyBorder="1" applyAlignment="1">
      <alignment horizontal="right"/>
    </xf>
    <xf numFmtId="0" fontId="1" fillId="26" borderId="10" xfId="0" applyFont="1" applyFill="1" applyBorder="1" applyAlignment="1">
      <alignment horizontal="center" wrapText="1"/>
    </xf>
    <xf numFmtId="0" fontId="39" fillId="26" borderId="10" xfId="0" applyFont="1" applyFill="1" applyBorder="1"/>
    <xf numFmtId="0" fontId="39" fillId="26" borderId="9" xfId="0" applyFont="1" applyFill="1" applyBorder="1"/>
    <xf numFmtId="0" fontId="1" fillId="26" borderId="9" xfId="0" applyFont="1" applyFill="1" applyBorder="1"/>
    <xf numFmtId="164" fontId="39" fillId="26" borderId="9" xfId="0" applyNumberFormat="1" applyFont="1" applyFill="1" applyBorder="1"/>
    <xf numFmtId="164" fontId="39" fillId="26" borderId="8" xfId="0" applyNumberFormat="1" applyFont="1" applyFill="1" applyBorder="1"/>
    <xf numFmtId="0" fontId="42" fillId="0" borderId="10" xfId="0" applyFont="1" applyBorder="1"/>
    <xf numFmtId="0" fontId="42" fillId="0" borderId="9" xfId="0" applyFont="1" applyBorder="1"/>
    <xf numFmtId="164" fontId="42" fillId="0" borderId="9" xfId="0" applyNumberFormat="1" applyFont="1" applyBorder="1"/>
    <xf numFmtId="164" fontId="42" fillId="0" borderId="8" xfId="0" applyNumberFormat="1" applyFont="1" applyBorder="1"/>
    <xf numFmtId="0" fontId="42" fillId="23" borderId="10" xfId="0" applyFont="1" applyFill="1" applyBorder="1"/>
    <xf numFmtId="0" fontId="42" fillId="23" borderId="9" xfId="0" applyFont="1" applyFill="1" applyBorder="1"/>
    <xf numFmtId="164" fontId="42" fillId="2" borderId="9" xfId="0" applyNumberFormat="1" applyFont="1" applyFill="1" applyBorder="1"/>
    <xf numFmtId="164" fontId="42" fillId="2" borderId="8" xfId="0" applyNumberFormat="1" applyFont="1" applyFill="1" applyBorder="1"/>
    <xf numFmtId="0" fontId="42" fillId="26" borderId="10" xfId="0" applyFont="1" applyFill="1" applyBorder="1"/>
    <xf numFmtId="0" fontId="42" fillId="26" borderId="9" xfId="0" applyFont="1" applyFill="1" applyBorder="1"/>
    <xf numFmtId="164" fontId="42" fillId="26" borderId="9" xfId="0" applyNumberFormat="1" applyFont="1" applyFill="1" applyBorder="1"/>
    <xf numFmtId="164" fontId="42" fillId="26" borderId="8" xfId="0" applyNumberFormat="1" applyFont="1" applyFill="1" applyBorder="1"/>
    <xf numFmtId="166" fontId="7" fillId="0" borderId="15" xfId="0" applyNumberFormat="1" applyFont="1" applyBorder="1" applyAlignment="1">
      <alignment horizontal="right"/>
    </xf>
    <xf numFmtId="0" fontId="7" fillId="0" borderId="15" xfId="0" applyFont="1" applyBorder="1" applyAlignment="1">
      <alignment horizontal="center"/>
    </xf>
    <xf numFmtId="0" fontId="7" fillId="0" borderId="14" xfId="0" applyFont="1" applyBorder="1"/>
    <xf numFmtId="164" fontId="2" fillId="0" borderId="22" xfId="0" applyNumberFormat="1" applyFont="1" applyBorder="1"/>
    <xf numFmtId="166" fontId="7" fillId="39" borderId="10" xfId="0" applyNumberFormat="1" applyFont="1" applyFill="1" applyBorder="1" applyAlignment="1">
      <alignment horizontal="right"/>
    </xf>
    <xf numFmtId="0" fontId="41" fillId="2" borderId="9" xfId="0" quotePrefix="1" applyFont="1" applyFill="1" applyBorder="1"/>
    <xf numFmtId="165" fontId="39" fillId="27" borderId="2" xfId="0" applyNumberFormat="1" applyFont="1" applyFill="1" applyBorder="1"/>
    <xf numFmtId="166" fontId="39" fillId="27" borderId="2" xfId="0" applyNumberFormat="1" applyFont="1" applyFill="1" applyBorder="1"/>
    <xf numFmtId="164" fontId="39" fillId="27" borderId="2" xfId="0" applyNumberFormat="1" applyFont="1" applyFill="1" applyBorder="1"/>
    <xf numFmtId="164" fontId="39" fillId="27" borderId="1" xfId="0" applyNumberFormat="1" applyFont="1" applyFill="1" applyBorder="1"/>
    <xf numFmtId="165" fontId="39" fillId="27" borderId="10" xfId="0" applyNumberFormat="1" applyFont="1" applyFill="1" applyBorder="1"/>
    <xf numFmtId="166" fontId="39" fillId="27" borderId="10" xfId="0" applyNumberFormat="1" applyFont="1" applyFill="1" applyBorder="1"/>
    <xf numFmtId="164" fontId="39" fillId="27" borderId="10" xfId="0" applyNumberFormat="1" applyFont="1" applyFill="1" applyBorder="1"/>
    <xf numFmtId="164" fontId="39" fillId="27" borderId="9" xfId="0" applyNumberFormat="1" applyFont="1" applyFill="1" applyBorder="1"/>
    <xf numFmtId="164" fontId="39" fillId="0" borderId="10" xfId="0" applyNumberFormat="1" applyFont="1" applyBorder="1"/>
    <xf numFmtId="164" fontId="41" fillId="23" borderId="9" xfId="0" quotePrefix="1" applyNumberFormat="1" applyFont="1" applyFill="1" applyBorder="1"/>
    <xf numFmtId="164" fontId="43" fillId="2" borderId="9" xfId="0" applyNumberFormat="1" applyFont="1" applyFill="1" applyBorder="1"/>
    <xf numFmtId="164" fontId="41" fillId="2" borderId="9" xfId="0" applyNumberFormat="1" applyFont="1" applyFill="1" applyBorder="1"/>
    <xf numFmtId="165" fontId="1" fillId="33" borderId="18" xfId="0" applyNumberFormat="1" applyFont="1" applyFill="1" applyBorder="1" applyAlignment="1">
      <alignment horizontal="right"/>
    </xf>
    <xf numFmtId="166" fontId="1" fillId="33" borderId="18" xfId="0" applyNumberFormat="1" applyFont="1" applyFill="1" applyBorder="1" applyAlignment="1">
      <alignment horizontal="right"/>
    </xf>
    <xf numFmtId="164" fontId="1" fillId="33" borderId="18" xfId="0" applyNumberFormat="1" applyFont="1" applyFill="1" applyBorder="1" applyAlignment="1">
      <alignment horizontal="center" wrapText="1"/>
    </xf>
    <xf numFmtId="0" fontId="39" fillId="33" borderId="18" xfId="0" applyFont="1" applyFill="1" applyBorder="1"/>
    <xf numFmtId="0" fontId="39" fillId="33" borderId="17" xfId="0" applyFont="1" applyFill="1" applyBorder="1"/>
    <xf numFmtId="164" fontId="39" fillId="33" borderId="17" xfId="0" applyNumberFormat="1" applyFont="1" applyFill="1" applyBorder="1"/>
    <xf numFmtId="167" fontId="39" fillId="33" borderId="17" xfId="0" applyNumberFormat="1" applyFont="1" applyFill="1" applyBorder="1"/>
    <xf numFmtId="164" fontId="1" fillId="33" borderId="17" xfId="0" applyNumberFormat="1" applyFont="1" applyFill="1" applyBorder="1"/>
    <xf numFmtId="167" fontId="39" fillId="33" borderId="16" xfId="0" applyNumberFormat="1" applyFont="1" applyFill="1" applyBorder="1"/>
    <xf numFmtId="165" fontId="42" fillId="0" borderId="2" xfId="0" applyNumberFormat="1" applyFont="1" applyBorder="1"/>
    <xf numFmtId="165" fontId="42" fillId="0" borderId="19" xfId="0" applyNumberFormat="1" applyFont="1" applyBorder="1"/>
    <xf numFmtId="0" fontId="42" fillId="0" borderId="2" xfId="0" applyFont="1" applyBorder="1"/>
    <xf numFmtId="0" fontId="42" fillId="0" borderId="1" xfId="0" applyFont="1" applyBorder="1"/>
    <xf numFmtId="164" fontId="42" fillId="0" borderId="1" xfId="0" applyNumberFormat="1" applyFont="1" applyBorder="1"/>
    <xf numFmtId="164" fontId="42" fillId="0" borderId="7" xfId="0" applyNumberFormat="1" applyFont="1" applyBorder="1"/>
    <xf numFmtId="165" fontId="23" fillId="2" borderId="15" xfId="0" applyNumberFormat="1" applyFont="1" applyFill="1" applyBorder="1" applyAlignment="1">
      <alignment horizontal="right"/>
    </xf>
    <xf numFmtId="166" fontId="23" fillId="24" borderId="15" xfId="0" applyNumberFormat="1" applyFont="1" applyFill="1" applyBorder="1" applyAlignment="1">
      <alignment horizontal="right"/>
    </xf>
    <xf numFmtId="166" fontId="23" fillId="2" borderId="15" xfId="0" applyNumberFormat="1" applyFont="1" applyFill="1" applyBorder="1" applyAlignment="1">
      <alignment horizontal="right"/>
    </xf>
    <xf numFmtId="164" fontId="23" fillId="2" borderId="15" xfId="0" applyNumberFormat="1" applyFont="1" applyFill="1" applyBorder="1" applyAlignment="1">
      <alignment horizontal="center"/>
    </xf>
    <xf numFmtId="0" fontId="39" fillId="2" borderId="15" xfId="0" applyFont="1" applyFill="1" applyBorder="1"/>
    <xf numFmtId="0" fontId="39" fillId="2" borderId="14" xfId="0" applyFont="1" applyFill="1" applyBorder="1"/>
    <xf numFmtId="0" fontId="23" fillId="2" borderId="14" xfId="0" quotePrefix="1" applyFont="1" applyFill="1" applyBorder="1"/>
    <xf numFmtId="164" fontId="39" fillId="2" borderId="14" xfId="0" applyNumberFormat="1" applyFont="1" applyFill="1" applyBorder="1"/>
    <xf numFmtId="46" fontId="39" fillId="2" borderId="22" xfId="0" applyNumberFormat="1" applyFont="1" applyFill="1" applyBorder="1"/>
    <xf numFmtId="0" fontId="3" fillId="5" borderId="2" xfId="0" applyFont="1" applyFill="1" applyBorder="1" applyAlignment="1">
      <alignment horizontal="center" vertical="top"/>
    </xf>
    <xf numFmtId="0" fontId="3" fillId="5" borderId="6" xfId="0" applyFont="1" applyFill="1" applyBorder="1" applyAlignment="1">
      <alignment horizontal="center" vertical="top"/>
    </xf>
    <xf numFmtId="170" fontId="7" fillId="24" borderId="10" xfId="0" applyNumberFormat="1" applyFont="1" applyFill="1" applyBorder="1" applyAlignment="1">
      <alignment horizontal="right"/>
    </xf>
    <xf numFmtId="165" fontId="7" fillId="2" borderId="24" xfId="0" applyNumberFormat="1" applyFont="1" applyFill="1" applyBorder="1" applyAlignment="1">
      <alignment horizontal="right"/>
    </xf>
    <xf numFmtId="0" fontId="30" fillId="2" borderId="9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33" fillId="2" borderId="9" xfId="0" applyFont="1" applyFill="1" applyBorder="1"/>
    <xf numFmtId="0" fontId="5" fillId="5" borderId="5" xfId="0" applyFont="1" applyFill="1" applyBorder="1" applyAlignment="1">
      <alignment horizontal="center"/>
    </xf>
    <xf numFmtId="0" fontId="0" fillId="0" borderId="0" xfId="0"/>
    <xf numFmtId="0" fontId="4" fillId="0" borderId="6" xfId="0" applyFont="1" applyBorder="1"/>
    <xf numFmtId="0" fontId="4" fillId="0" borderId="7" xfId="0" applyFont="1" applyBorder="1"/>
    <xf numFmtId="0" fontId="4" fillId="0" borderId="1" xfId="0" applyFont="1" applyBorder="1"/>
    <xf numFmtId="0" fontId="4" fillId="0" borderId="2" xfId="0" applyFont="1" applyBorder="1"/>
    <xf numFmtId="0" fontId="2" fillId="10" borderId="7" xfId="0" applyFont="1" applyFill="1" applyBorder="1"/>
    <xf numFmtId="0" fontId="5" fillId="11" borderId="7" xfId="0" applyFont="1" applyFill="1" applyBorder="1"/>
    <xf numFmtId="0" fontId="5" fillId="17" borderId="7" xfId="0" applyFont="1" applyFill="1" applyBorder="1"/>
    <xf numFmtId="0" fontId="5" fillId="18" borderId="9" xfId="0" applyFont="1" applyFill="1" applyBorder="1"/>
    <xf numFmtId="164" fontId="26" fillId="2" borderId="1" xfId="0" applyNumberFormat="1" applyFont="1" applyFill="1" applyBorder="1"/>
    <xf numFmtId="165" fontId="5" fillId="8" borderId="1" xfId="0" applyNumberFormat="1" applyFont="1" applyFill="1" applyBorder="1" applyAlignment="1">
      <alignment horizontal="center"/>
    </xf>
    <xf numFmtId="165" fontId="5" fillId="7" borderId="1" xfId="0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164" fontId="3" fillId="3" borderId="3" xfId="0" applyNumberFormat="1" applyFont="1" applyFill="1" applyBorder="1" applyAlignment="1">
      <alignment horizontal="center"/>
    </xf>
    <xf numFmtId="0" fontId="4" fillId="0" borderId="3" xfId="0" applyFont="1" applyBorder="1"/>
    <xf numFmtId="0" fontId="4" fillId="0" borderId="4" xfId="0" applyFont="1" applyBorder="1"/>
    <xf numFmtId="164" fontId="3" fillId="4" borderId="3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64" fontId="3" fillId="3" borderId="7" xfId="0" applyNumberFormat="1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165" fontId="5" fillId="7" borderId="7" xfId="0" applyNumberFormat="1" applyFont="1" applyFill="1" applyBorder="1" applyAlignment="1">
      <alignment horizontal="center" wrapText="1"/>
    </xf>
    <xf numFmtId="164" fontId="6" fillId="2" borderId="1" xfId="0" applyNumberFormat="1" applyFont="1" applyFill="1" applyBorder="1"/>
    <xf numFmtId="0" fontId="18" fillId="2" borderId="9" xfId="0" applyFont="1" applyFill="1" applyBorder="1"/>
    <xf numFmtId="0" fontId="6" fillId="2" borderId="9" xfId="0" applyFont="1" applyFill="1" applyBorder="1"/>
    <xf numFmtId="0" fontId="3" fillId="5" borderId="5" xfId="0" applyFont="1" applyFill="1" applyBorder="1" applyAlignment="1">
      <alignment horizontal="center" vertical="top"/>
    </xf>
    <xf numFmtId="0" fontId="45" fillId="0" borderId="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U789"/>
  <sheetViews>
    <sheetView zoomScale="60" zoomScaleNormal="60"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N28" sqref="N2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20.42578125" bestFit="1" customWidth="1"/>
    <col min="10" max="10" width="18.7109375" bestFit="1" customWidth="1"/>
    <col min="11" max="11" width="12.5703125" bestFit="1" customWidth="1"/>
    <col min="12" max="14" width="23" bestFit="1" customWidth="1"/>
    <col min="15" max="15" width="20.140625" bestFit="1" customWidth="1"/>
    <col min="16" max="16" width="22" bestFit="1" customWidth="1"/>
    <col min="17" max="18" width="23" bestFit="1" customWidth="1"/>
    <col min="19" max="19" width="21.28515625" bestFit="1" customWidth="1"/>
    <col min="20" max="20" width="20.140625" bestFit="1" customWidth="1"/>
    <col min="21" max="21" width="22" bestFit="1" customWidth="1"/>
  </cols>
  <sheetData>
    <row r="1" spans="1:21" ht="15.75" customHeight="1" x14ac:dyDescent="0.3">
      <c r="A1" s="809" t="s">
        <v>0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</row>
    <row r="2" spans="1:21" ht="15.75" customHeight="1" x14ac:dyDescent="0.3">
      <c r="A2" s="809" t="s">
        <v>1</v>
      </c>
      <c r="B2" s="809"/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</row>
    <row r="3" spans="1:21" ht="15.75" customHeight="1" x14ac:dyDescent="0.3">
      <c r="A3" s="809" t="s">
        <v>335</v>
      </c>
      <c r="B3" s="809"/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9"/>
      <c r="T3" s="809"/>
      <c r="U3" s="809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810" t="s">
        <v>2</v>
      </c>
      <c r="M4" s="811"/>
      <c r="N4" s="811"/>
      <c r="O4" s="811"/>
      <c r="P4" s="812"/>
      <c r="Q4" s="813" t="s">
        <v>3</v>
      </c>
      <c r="R4" s="811"/>
      <c r="S4" s="811"/>
      <c r="T4" s="811"/>
      <c r="U4" s="812"/>
    </row>
    <row r="5" spans="1:21" ht="15.75" customHeight="1" x14ac:dyDescent="0.3">
      <c r="A5" s="796" t="s">
        <v>4</v>
      </c>
      <c r="B5" s="797"/>
      <c r="C5" s="797"/>
      <c r="D5" s="797"/>
      <c r="E5" s="797"/>
      <c r="F5" s="797"/>
      <c r="G5" s="798"/>
      <c r="H5" s="4" t="s">
        <v>5</v>
      </c>
      <c r="I5" s="814" t="s">
        <v>6</v>
      </c>
      <c r="J5" s="800"/>
      <c r="K5" s="801"/>
      <c r="L5" s="808" t="s">
        <v>7</v>
      </c>
      <c r="M5" s="801"/>
      <c r="N5" s="807" t="s">
        <v>8</v>
      </c>
      <c r="O5" s="800"/>
      <c r="P5" s="801"/>
      <c r="Q5" s="808" t="s">
        <v>7</v>
      </c>
      <c r="R5" s="801"/>
      <c r="S5" s="807" t="s">
        <v>8</v>
      </c>
      <c r="T5" s="800"/>
      <c r="U5" s="801"/>
    </row>
    <row r="6" spans="1:21" ht="15.75" customHeight="1" x14ac:dyDescent="0.3">
      <c r="A6" s="799"/>
      <c r="B6" s="800"/>
      <c r="C6" s="800"/>
      <c r="D6" s="800"/>
      <c r="E6" s="800"/>
      <c r="F6" s="800"/>
      <c r="G6" s="801"/>
      <c r="H6" s="5"/>
      <c r="I6" s="6" t="s">
        <v>9</v>
      </c>
      <c r="J6" s="7" t="s">
        <v>10</v>
      </c>
      <c r="K6" s="6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x14ac:dyDescent="0.2">
      <c r="A7" s="802"/>
      <c r="B7" s="800"/>
      <c r="C7" s="800"/>
      <c r="D7" s="800"/>
      <c r="E7" s="800"/>
      <c r="F7" s="800"/>
      <c r="G7" s="801"/>
      <c r="H7" s="14"/>
      <c r="I7" s="15"/>
      <c r="J7" s="1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</row>
    <row r="8" spans="1:21" ht="12.75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</row>
    <row r="9" spans="1:21" ht="12.75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5.75" customHeight="1" x14ac:dyDescent="0.3">
      <c r="A17" s="803" t="s">
        <v>17</v>
      </c>
      <c r="B17" s="800"/>
      <c r="C17" s="800"/>
      <c r="D17" s="800"/>
      <c r="E17" s="800"/>
      <c r="F17" s="800"/>
      <c r="G17" s="801"/>
      <c r="H17" s="23"/>
      <c r="I17" s="24"/>
      <c r="J17" s="24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5.75" customHeight="1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34">
        <f t="shared" ref="L18:N18" ca="1" si="0">L19+L20</f>
        <v>37625910</v>
      </c>
      <c r="M18" s="34">
        <f t="shared" ca="1" si="0"/>
        <v>40276604.209999993</v>
      </c>
      <c r="N18" s="34">
        <f t="shared" ca="1" si="0"/>
        <v>30450197.089999966</v>
      </c>
      <c r="O18" s="34">
        <f t="shared" ref="O18:O26" ca="1" si="1">IF(L18&gt;0,N18*100/L18,0)</f>
        <v>80.928799037684314</v>
      </c>
      <c r="P18" s="34">
        <f t="shared" ref="P18:P26" ca="1" si="2">IF(M18&gt;0,N18*100/M18,0)</f>
        <v>75.602692151588343</v>
      </c>
      <c r="Q18" s="34">
        <f t="shared" ref="Q18:S18" ca="1" si="3">Q19+Q20</f>
        <v>49708700.039999999</v>
      </c>
      <c r="R18" s="34">
        <f t="shared" ca="1" si="3"/>
        <v>49141695</v>
      </c>
      <c r="S18" s="34">
        <f t="shared" ca="1" si="3"/>
        <v>7901042.9799999902</v>
      </c>
      <c r="T18" s="34">
        <f t="shared" ref="T18:T26" ca="1" si="4">IF(Q18&gt;0,S18*100/Q18,0)</f>
        <v>15.894688401913781</v>
      </c>
      <c r="U18" s="34">
        <f t="shared" ref="U18:U26" ca="1" si="5">IF(R18&gt;0,S18*100/R18,0)</f>
        <v>16.078083957014488</v>
      </c>
    </row>
    <row r="19" spans="1:21" ht="15.75" customHeight="1" x14ac:dyDescent="0.25">
      <c r="A19" s="26"/>
      <c r="B19" s="27"/>
      <c r="C19" s="27"/>
      <c r="D19" s="27"/>
      <c r="E19" s="35" t="s">
        <v>20</v>
      </c>
      <c r="F19" s="27"/>
      <c r="G19" s="30"/>
      <c r="H19" s="36" t="s">
        <v>14</v>
      </c>
      <c r="I19" s="32"/>
      <c r="J19" s="32"/>
      <c r="K19" s="33"/>
      <c r="L19" s="37">
        <f t="shared" ref="L19:N19" ca="1" si="6">L22+L25</f>
        <v>0</v>
      </c>
      <c r="M19" s="37">
        <f t="shared" ca="1" si="6"/>
        <v>0</v>
      </c>
      <c r="N19" s="37">
        <f t="shared" ca="1" si="6"/>
        <v>0</v>
      </c>
      <c r="O19" s="37">
        <f t="shared" ca="1" si="1"/>
        <v>0</v>
      </c>
      <c r="P19" s="37">
        <f t="shared" ca="1" si="2"/>
        <v>0</v>
      </c>
      <c r="Q19" s="37">
        <f t="shared" ref="Q19:S19" ca="1" si="7">Q22+Q25</f>
        <v>0</v>
      </c>
      <c r="R19" s="37">
        <f t="shared" ca="1" si="7"/>
        <v>0</v>
      </c>
      <c r="S19" s="37">
        <f t="shared" ca="1" si="7"/>
        <v>0</v>
      </c>
      <c r="T19" s="37">
        <f t="shared" ca="1" si="4"/>
        <v>0</v>
      </c>
      <c r="U19" s="37">
        <f t="shared" ca="1" si="5"/>
        <v>0</v>
      </c>
    </row>
    <row r="20" spans="1:21" ht="15.75" customHeight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38">
        <f t="shared" ref="L20:N20" ca="1" si="8">L23+L26</f>
        <v>37625910</v>
      </c>
      <c r="M20" s="38">
        <f t="shared" ca="1" si="8"/>
        <v>40276604.209999993</v>
      </c>
      <c r="N20" s="38">
        <f t="shared" ca="1" si="8"/>
        <v>30450197.089999966</v>
      </c>
      <c r="O20" s="38">
        <f t="shared" ca="1" si="1"/>
        <v>80.928799037684314</v>
      </c>
      <c r="P20" s="38">
        <f t="shared" ca="1" si="2"/>
        <v>75.602692151588343</v>
      </c>
      <c r="Q20" s="38">
        <f t="shared" ref="Q20:S20" ca="1" si="9">Q23+Q26</f>
        <v>49708700.039999999</v>
      </c>
      <c r="R20" s="38">
        <f t="shared" ca="1" si="9"/>
        <v>49141695</v>
      </c>
      <c r="S20" s="38">
        <f t="shared" ca="1" si="9"/>
        <v>7901042.9799999902</v>
      </c>
      <c r="T20" s="38">
        <f t="shared" ca="1" si="4"/>
        <v>15.894688401913781</v>
      </c>
      <c r="U20" s="38">
        <f t="shared" ca="1" si="5"/>
        <v>16.078083957014488</v>
      </c>
    </row>
    <row r="21" spans="1:21" ht="15.75" customHeight="1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46">
        <f t="shared" ref="L21:N21" ca="1" si="10">L22+L23</f>
        <v>37625910</v>
      </c>
      <c r="M21" s="46">
        <f t="shared" ca="1" si="10"/>
        <v>40276604.209999993</v>
      </c>
      <c r="N21" s="46">
        <f t="shared" ca="1" si="10"/>
        <v>30450197.089999966</v>
      </c>
      <c r="O21" s="46">
        <f t="shared" ca="1" si="1"/>
        <v>80.928799037684314</v>
      </c>
      <c r="P21" s="46">
        <f t="shared" ca="1" si="2"/>
        <v>75.602692151588343</v>
      </c>
      <c r="Q21" s="46">
        <f t="shared" ref="Q21:S21" ca="1" si="11">Q22+Q23</f>
        <v>49708700.039999999</v>
      </c>
      <c r="R21" s="46">
        <f t="shared" ca="1" si="11"/>
        <v>49141695</v>
      </c>
      <c r="S21" s="46">
        <f t="shared" ca="1" si="11"/>
        <v>7901042.9799999902</v>
      </c>
      <c r="T21" s="46">
        <f t="shared" ca="1" si="4"/>
        <v>15.894688401913781</v>
      </c>
      <c r="U21" s="46">
        <f t="shared" ca="1" si="5"/>
        <v>16.078083957014488</v>
      </c>
    </row>
    <row r="22" spans="1:21" ht="15.75" customHeight="1" x14ac:dyDescent="0.25">
      <c r="A22" s="39"/>
      <c r="B22" s="40"/>
      <c r="C22" s="40"/>
      <c r="D22" s="40"/>
      <c r="E22" s="47" t="s">
        <v>20</v>
      </c>
      <c r="F22" s="40"/>
      <c r="G22" s="42"/>
      <c r="H22" s="43" t="s">
        <v>14</v>
      </c>
      <c r="I22" s="44"/>
      <c r="J22" s="44"/>
      <c r="K22" s="45"/>
      <c r="L22" s="48">
        <f t="shared" ref="L22:N22" ca="1" si="12">L48+L63+L76+L98+L121+L143+L161+L190+L177+L270+L286+L307+L324+L337+L360+L379+L396+L417+L497+L517+L538+L559+L580+L603+L620+L646+L694+L718+L732+L764</f>
        <v>0</v>
      </c>
      <c r="M22" s="48">
        <f t="shared" ca="1" si="12"/>
        <v>0</v>
      </c>
      <c r="N22" s="48">
        <f t="shared" ca="1" si="12"/>
        <v>0</v>
      </c>
      <c r="O22" s="48">
        <f t="shared" ca="1" si="1"/>
        <v>0</v>
      </c>
      <c r="P22" s="48">
        <f t="shared" ca="1" si="2"/>
        <v>0</v>
      </c>
      <c r="Q22" s="48">
        <f t="shared" ref="Q22:S22" ca="1" si="13">Q48+Q63+Q76+Q98+Q121+Q143+Q161+Q190+Q177+Q270+Q286+Q307+Q324+Q337+Q360+Q379+Q396+Q417+Q497+Q517+Q538+Q559+Q580+Q603+Q620+Q646+Q694+Q718+Q732+Q764</f>
        <v>0</v>
      </c>
      <c r="R22" s="48">
        <f t="shared" ca="1" si="13"/>
        <v>0</v>
      </c>
      <c r="S22" s="48">
        <f t="shared" ca="1" si="13"/>
        <v>0</v>
      </c>
      <c r="T22" s="48">
        <f t="shared" ca="1" si="4"/>
        <v>0</v>
      </c>
      <c r="U22" s="48">
        <f t="shared" ca="1" si="5"/>
        <v>0</v>
      </c>
    </row>
    <row r="23" spans="1:21" ht="15.75" customHeight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46">
        <f t="shared" ref="L23:N23" ca="1" si="14">L49+L64+L77+L99+L122+L144+L162+L191+L178+L271+L287+L308+L325+L338+L361+L380+L397+L418+L498+L518+L539+L560+L581+L604+L621+L647+L695+L719+L733+L765</f>
        <v>37625910</v>
      </c>
      <c r="M23" s="46">
        <f t="shared" ca="1" si="14"/>
        <v>40276604.209999993</v>
      </c>
      <c r="N23" s="46">
        <f t="shared" ca="1" si="14"/>
        <v>30450197.089999966</v>
      </c>
      <c r="O23" s="46">
        <f t="shared" ca="1" si="1"/>
        <v>80.928799037684314</v>
      </c>
      <c r="P23" s="46">
        <f t="shared" ca="1" si="2"/>
        <v>75.602692151588343</v>
      </c>
      <c r="Q23" s="46">
        <f t="shared" ref="Q23:S23" ca="1" si="15">Q49+Q64+Q77+Q99+Q122+Q144+Q162+Q191+Q178+Q271+Q287+Q308+Q325+Q338+Q361+Q380+Q397+Q418+Q498+Q518+Q539+Q560+Q581+Q604+Q621+Q647+Q695+Q719+Q733+Q765</f>
        <v>49708700.039999999</v>
      </c>
      <c r="R23" s="46">
        <f t="shared" ca="1" si="15"/>
        <v>49141695</v>
      </c>
      <c r="S23" s="46">
        <f t="shared" ca="1" si="15"/>
        <v>7901042.9799999902</v>
      </c>
      <c r="T23" s="46">
        <f t="shared" ca="1" si="4"/>
        <v>15.894688401913781</v>
      </c>
      <c r="U23" s="46">
        <f t="shared" ca="1" si="5"/>
        <v>16.078083957014488</v>
      </c>
    </row>
    <row r="24" spans="1:21" ht="15.75" customHeight="1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46">
        <f t="shared" ref="L24:N24" ca="1" si="16">L25+L26</f>
        <v>0</v>
      </c>
      <c r="M24" s="46">
        <f t="shared" ca="1" si="16"/>
        <v>0</v>
      </c>
      <c r="N24" s="46">
        <f t="shared" ca="1" si="16"/>
        <v>0</v>
      </c>
      <c r="O24" s="46">
        <f t="shared" ca="1" si="1"/>
        <v>0</v>
      </c>
      <c r="P24" s="46">
        <f t="shared" ca="1" si="2"/>
        <v>0</v>
      </c>
      <c r="Q24" s="46">
        <f t="shared" ref="Q24:S24" ca="1" si="17">Q25+Q26</f>
        <v>0</v>
      </c>
      <c r="R24" s="46">
        <f t="shared" ca="1" si="17"/>
        <v>0</v>
      </c>
      <c r="S24" s="46">
        <f t="shared" ca="1" si="17"/>
        <v>0</v>
      </c>
      <c r="T24" s="46">
        <f t="shared" ca="1" si="4"/>
        <v>0</v>
      </c>
      <c r="U24" s="46">
        <f t="shared" ca="1" si="5"/>
        <v>0</v>
      </c>
    </row>
    <row r="25" spans="1:21" ht="15.75" customHeight="1" x14ac:dyDescent="0.25">
      <c r="A25" s="39"/>
      <c r="B25" s="40"/>
      <c r="C25" s="40"/>
      <c r="D25" s="40"/>
      <c r="E25" s="47" t="s">
        <v>20</v>
      </c>
      <c r="F25" s="40"/>
      <c r="G25" s="42"/>
      <c r="H25" s="43" t="s">
        <v>14</v>
      </c>
      <c r="I25" s="44"/>
      <c r="J25" s="44"/>
      <c r="K25" s="45"/>
      <c r="L25" s="48">
        <f t="shared" ref="L25:N25" ca="1" si="18">L51+L66+L79+L101+L124+L146+L164+L193+L180+L273+L289+L310+L327+L340+L363+L382+L399+L420+L500+L520+L541+L562+L583+L606+L623+L649+L697+L721+L735+L767</f>
        <v>0</v>
      </c>
      <c r="M25" s="48">
        <f t="shared" ca="1" si="18"/>
        <v>0</v>
      </c>
      <c r="N25" s="48">
        <f t="shared" ca="1" si="18"/>
        <v>0</v>
      </c>
      <c r="O25" s="48">
        <f t="shared" ca="1" si="1"/>
        <v>0</v>
      </c>
      <c r="P25" s="48">
        <f t="shared" ca="1" si="2"/>
        <v>0</v>
      </c>
      <c r="Q25" s="48">
        <f t="shared" ref="Q25:S25" ca="1" si="19">Q51+Q66+Q79+Q101+Q124+Q146+Q164+Q193+Q180+Q273+Q289+Q310+Q327+Q340+Q363+Q382+Q399+Q420+Q500+Q520+Q541+Q562+Q583+Q606+Q623+Q649+Q697+Q721+Q735+Q767</f>
        <v>0</v>
      </c>
      <c r="R25" s="48">
        <f t="shared" ca="1" si="19"/>
        <v>0</v>
      </c>
      <c r="S25" s="48">
        <f t="shared" ca="1" si="19"/>
        <v>0</v>
      </c>
      <c r="T25" s="48">
        <f t="shared" ca="1" si="4"/>
        <v>0</v>
      </c>
      <c r="U25" s="48">
        <f t="shared" ca="1" si="5"/>
        <v>0</v>
      </c>
    </row>
    <row r="26" spans="1:21" ht="15.75" customHeight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46">
        <f t="shared" ref="L26:N26" ca="1" si="20">L52+L67+L80+L102+L125+L147+L165+L194+L181+L274+L290+L311+L328+L341+L364+L383+L400+L421+L501+L521+L542+L563+L584+L607+L624+L650+L698+L722+L736+L768</f>
        <v>0</v>
      </c>
      <c r="M26" s="46">
        <f t="shared" ca="1" si="20"/>
        <v>0</v>
      </c>
      <c r="N26" s="46">
        <f t="shared" ca="1" si="20"/>
        <v>0</v>
      </c>
      <c r="O26" s="46">
        <f t="shared" ca="1" si="1"/>
        <v>0</v>
      </c>
      <c r="P26" s="46">
        <f t="shared" ca="1" si="2"/>
        <v>0</v>
      </c>
      <c r="Q26" s="48">
        <f t="shared" ref="Q26:S26" ca="1" si="21">Q52+Q67+Q80+Q102+Q125+Q147+Q165+Q194+Q181+Q274+Q290+Q311+Q328+Q341+Q364+Q383+Q400+Q421+Q501+Q521+Q542+Q563+Q584+Q607+Q624+Q650+Q698+Q722+Q736+Q768</f>
        <v>0</v>
      </c>
      <c r="R26" s="48">
        <f t="shared" ca="1" si="21"/>
        <v>0</v>
      </c>
      <c r="S26" s="48">
        <f t="shared" ca="1" si="21"/>
        <v>0</v>
      </c>
      <c r="T26" s="46">
        <f t="shared" ca="1" si="4"/>
        <v>0</v>
      </c>
      <c r="U26" s="46">
        <f t="shared" ca="1" si="5"/>
        <v>0</v>
      </c>
    </row>
    <row r="27" spans="1:21" ht="15.75" customHeight="1" x14ac:dyDescent="0.25">
      <c r="A27" s="39"/>
      <c r="B27" s="40"/>
      <c r="C27" s="40"/>
      <c r="D27" s="49" t="s">
        <v>24</v>
      </c>
      <c r="E27" s="40"/>
      <c r="F27" s="40"/>
      <c r="G27" s="42"/>
      <c r="H27" s="43" t="s">
        <v>14</v>
      </c>
      <c r="I27" s="44"/>
      <c r="J27" s="44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5.75" customHeight="1" x14ac:dyDescent="0.25">
      <c r="A28" s="39"/>
      <c r="B28" s="40"/>
      <c r="C28" s="40"/>
      <c r="D28" s="40"/>
      <c r="E28" s="47" t="s">
        <v>20</v>
      </c>
      <c r="F28" s="40"/>
      <c r="G28" s="42"/>
      <c r="H28" s="43" t="s">
        <v>14</v>
      </c>
      <c r="I28" s="44"/>
      <c r="J28" s="44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5.75" customHeight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x14ac:dyDescent="0.2">
      <c r="A30" s="802"/>
      <c r="B30" s="800"/>
      <c r="C30" s="800"/>
      <c r="D30" s="800"/>
      <c r="E30" s="800"/>
      <c r="F30" s="800"/>
      <c r="G30" s="801"/>
      <c r="H30" s="14"/>
      <c r="I30" s="15"/>
      <c r="J30" s="15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73" t="s">
        <v>19</v>
      </c>
      <c r="E44" s="71"/>
      <c r="F44" s="71"/>
      <c r="G44" s="74"/>
      <c r="H44" s="75" t="s">
        <v>14</v>
      </c>
      <c r="I44" s="76"/>
      <c r="J44" s="76"/>
      <c r="K44" s="77"/>
      <c r="L44" s="78">
        <f t="shared" ref="L44:N44" ca="1" si="22">L45+L46</f>
        <v>6211395</v>
      </c>
      <c r="M44" s="78">
        <f t="shared" ca="1" si="22"/>
        <v>7124166.2099999897</v>
      </c>
      <c r="N44" s="78">
        <f t="shared" ca="1" si="22"/>
        <v>6179345.7300000004</v>
      </c>
      <c r="O44" s="78">
        <f t="shared" ref="O44:O52" ca="1" si="23">IF(L44&gt;0,N44*100/L44,0)</f>
        <v>99.484024603168848</v>
      </c>
      <c r="P44" s="78">
        <f t="shared" ref="P44:P52" ca="1" si="24">IF(M44&gt;0,N44*100/M44,0)</f>
        <v>86.737809700821245</v>
      </c>
      <c r="Q44" s="78">
        <f t="shared" ref="Q44:S44" ca="1" si="25">Q45+Q46</f>
        <v>0</v>
      </c>
      <c r="R44" s="78">
        <f t="shared" ca="1" si="25"/>
        <v>0</v>
      </c>
      <c r="S44" s="78">
        <f t="shared" ca="1" si="25"/>
        <v>0</v>
      </c>
      <c r="T44" s="78">
        <f t="shared" ref="T44:T52" ca="1" si="26">IF(Q44&gt;0,S44*100/Q44,0)</f>
        <v>0</v>
      </c>
      <c r="U44" s="78">
        <f t="shared" ref="U44:U52" ca="1" si="27">IF(R44&gt;0,S44*100/R44,0)</f>
        <v>0</v>
      </c>
    </row>
    <row r="45" spans="1:21" ht="18.75" x14ac:dyDescent="0.25">
      <c r="A45" s="70"/>
      <c r="B45" s="71"/>
      <c r="C45" s="71"/>
      <c r="D45" s="71"/>
      <c r="E45" s="79" t="s">
        <v>20</v>
      </c>
      <c r="F45" s="71"/>
      <c r="G45" s="74"/>
      <c r="H45" s="80" t="s">
        <v>14</v>
      </c>
      <c r="I45" s="76"/>
      <c r="J45" s="76"/>
      <c r="K45" s="77"/>
      <c r="L45" s="81">
        <f t="shared" ref="L45:N45" si="28">L48+L51</f>
        <v>0</v>
      </c>
      <c r="M45" s="81">
        <f t="shared" si="28"/>
        <v>0</v>
      </c>
      <c r="N45" s="81">
        <f t="shared" si="28"/>
        <v>0</v>
      </c>
      <c r="O45" s="81">
        <f t="shared" si="23"/>
        <v>0</v>
      </c>
      <c r="P45" s="81">
        <f t="shared" si="24"/>
        <v>0</v>
      </c>
      <c r="Q45" s="81">
        <f t="shared" ref="Q45:S45" si="29">Q48+Q51</f>
        <v>0</v>
      </c>
      <c r="R45" s="81">
        <f t="shared" si="29"/>
        <v>0</v>
      </c>
      <c r="S45" s="81">
        <f t="shared" si="29"/>
        <v>0</v>
      </c>
      <c r="T45" s="81">
        <f t="shared" si="26"/>
        <v>0</v>
      </c>
      <c r="U45" s="81">
        <f t="shared" si="27"/>
        <v>0</v>
      </c>
    </row>
    <row r="46" spans="1:21" ht="18.75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82">
        <f t="shared" ref="L46:N46" ca="1" si="30">L49+L52</f>
        <v>6211395</v>
      </c>
      <c r="M46" s="82">
        <f t="shared" ca="1" si="30"/>
        <v>7124166.2099999897</v>
      </c>
      <c r="N46" s="82">
        <f t="shared" ca="1" si="30"/>
        <v>6179345.7300000004</v>
      </c>
      <c r="O46" s="82">
        <f t="shared" ca="1" si="23"/>
        <v>99.484024603168848</v>
      </c>
      <c r="P46" s="82">
        <f t="shared" ca="1" si="24"/>
        <v>86.737809700821245</v>
      </c>
      <c r="Q46" s="82">
        <f t="shared" ref="Q46:S46" ca="1" si="31">Q49+Q52</f>
        <v>0</v>
      </c>
      <c r="R46" s="82">
        <f t="shared" ca="1" si="31"/>
        <v>0</v>
      </c>
      <c r="S46" s="82">
        <f t="shared" ca="1" si="31"/>
        <v>0</v>
      </c>
      <c r="T46" s="82">
        <f t="shared" ca="1" si="26"/>
        <v>0</v>
      </c>
      <c r="U46" s="82">
        <f t="shared" ca="1" si="27"/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46">
        <f t="shared" ref="L47:N47" ca="1" si="32">L48+L49</f>
        <v>6211395</v>
      </c>
      <c r="M47" s="46">
        <f t="shared" ca="1" si="32"/>
        <v>7124166.2099999897</v>
      </c>
      <c r="N47" s="46">
        <f t="shared" ca="1" si="32"/>
        <v>6179345.7300000004</v>
      </c>
      <c r="O47" s="46">
        <f t="shared" ca="1" si="23"/>
        <v>99.484024603168848</v>
      </c>
      <c r="P47" s="46">
        <f t="shared" ca="1" si="24"/>
        <v>86.737809700821245</v>
      </c>
      <c r="Q47" s="46">
        <f t="shared" ref="Q47:S47" ca="1" si="33">Q48+Q49</f>
        <v>0</v>
      </c>
      <c r="R47" s="46">
        <f t="shared" ca="1" si="33"/>
        <v>0</v>
      </c>
      <c r="S47" s="46">
        <f t="shared" ca="1" si="33"/>
        <v>0</v>
      </c>
      <c r="T47" s="46">
        <f t="shared" ca="1" si="26"/>
        <v>0</v>
      </c>
      <c r="U47" s="46">
        <f t="shared" ca="1" si="27"/>
        <v>0</v>
      </c>
    </row>
    <row r="48" spans="1:21" ht="18.75" x14ac:dyDescent="0.25">
      <c r="A48" s="39"/>
      <c r="B48" s="40"/>
      <c r="C48" s="40"/>
      <c r="D48" s="40"/>
      <c r="E48" s="47" t="s">
        <v>20</v>
      </c>
      <c r="F48" s="40"/>
      <c r="G48" s="42"/>
      <c r="H48" s="43" t="s">
        <v>14</v>
      </c>
      <c r="I48" s="44"/>
      <c r="J48" s="44"/>
      <c r="K48" s="45"/>
      <c r="L48" s="83">
        <v>0</v>
      </c>
      <c r="M48" s="83">
        <v>0</v>
      </c>
      <c r="N48" s="83">
        <v>0</v>
      </c>
      <c r="O48" s="48">
        <f t="shared" si="23"/>
        <v>0</v>
      </c>
      <c r="P48" s="48">
        <f t="shared" si="24"/>
        <v>0</v>
      </c>
      <c r="Q48" s="83">
        <v>0</v>
      </c>
      <c r="R48" s="83">
        <v>0</v>
      </c>
      <c r="S48" s="83">
        <v>0</v>
      </c>
      <c r="T48" s="48">
        <f t="shared" si="26"/>
        <v>0</v>
      </c>
      <c r="U48" s="48">
        <f t="shared" si="27"/>
        <v>0</v>
      </c>
    </row>
    <row r="49" spans="1:21" ht="18.75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46">
        <f ca="1">IFERROR(__xludf.DUMMYFUNCTION("IMPORTRANGE(""https://docs.google.com/spreadsheets/d/1jTcq05yEiRwXcBMLjiodW9e4biSGYWAHcDj22rKWQ3s/edit?usp=sharing"",""กำแพงเพชร!L49"")+IMPORTRANGE(""https://docs.google.com/spreadsheets/d/1KS0zmDSZPk8KnTAbGN-Xk6MtX1YRZD0ldgdt20K4CRk/edit?usp=sharing"","""&amp;"เชียงราย!L49"")+IMPORTRANGE(""https://docs.google.com/spreadsheets/d/1rEDxBtusbi64tE0zunoIbsTVV16HeL0oJ6trHQeQ7K8/edit?usp=sharing"",""เชียงใหม่!L49"")+IMPORTRANGE(""https://docs.google.com/spreadsheets/d/1W6MnUbDkMi6xHnHko_XkFDO9kkuL6Wqyc-6OCDFjW9I/edit?"&amp;"usp=sharing"",""ตาก!L49"")+IMPORTRANGE(""https://docs.google.com/spreadsheets/d/1IQAWArduLkta9LpYo4a_ULsyqdta6-6aDDiwpUnQT6c/edit?usp=sharing"",""นครสวรรค์!L49"")+IMPORTRANGE(""https://docs.google.com/spreadsheets/d/10s13Sk5xrltsiR-Zkbmk5DwIaDIKO8XlbJAfqy"&amp;"T7Gvg/edit?usp=sharing"",""น่าน!L49"")+IMPORTRANGE(""https://docs.google.com/spreadsheets/d/1uu4nAn4Dbi1XREnLKKotUANlKXa7yCgRcgq8HEzQYW8/edit?usp=sharing"",""พะเยา!L49"")+IMPORTRANGE(""https://docs.google.com/spreadsheets/d/1xfJKIQxVOaPDIICqsflNlLu3JacTDk"&amp;"1FP9RH4phX7mI/edit?usp=sharing"",""พิจิตร!L49"")+IMPORTRANGE(""https://docs.google.com/spreadsheets/d/1JtRfZkJMHtEhI5RdRHxYUG4FIZHqKDpNyIuN7A1Q0_k/edit?usp=sharing"",""พิษณุโลก!L49"")+IMPORTRANGE(""https://docs.google.com/spreadsheets/d/1xlcVZWUNn6SuWm0c3"&amp;"07h32SiGkd9BaeQWlAktfD3KO8/edit?usp=sharing"",""เพชรบูรณ์!L49"")+IMPORTRANGE(""https://docs.google.com/spreadsheets/d/1lOVebEIsI9qjGXl6EX66luk7wiuP2tBaryw-wKvv4e0/edit?usp=sharing"",""แพร่!L49"")+IMPORTRANGE(""https://docs.google.com/spreadsheets/d/1dQrvX"&amp;"0vEcN7Gu0fnZ0B5S90AeR19zth4XlExFBeExMY/edit?usp=sharing"",""แม่ฮ่องสอน!L49"")+IMPORTRANGE(""https://docs.google.com/spreadsheets/d/1DY4XTNNwjluuxqdfdn6qvOSlMRrZqUtmYcZR0ttFiG4/edit?usp=sharing"",""ลำปาง!L49"")+IMPORTRANGE(""https://docs.google.com/spreads"&amp;"heets/d/1ICwG78r0OFT8biBlxnBF8r7she7gNSzOvJ958PWT09c/edit?usp=sharing"",""ลำพูน!L49"")+IMPORTRANGE(""https://docs.google.com/spreadsheets/d/1B0f2xJpZUC6Z0xXnqKlZtEPzsf6L84eP1r1Q15seqRM/edit?usp=sharing"",""สุโขทัย!L49"")+IMPORTRANGE(""https://docs.google."&amp;"com/spreadsheets/d/1v0b9pFQCsKUVExMei7AgY2yQkdeNQvtOssygGsXbiKo/edit?usp=sharing"",""อุตรดิตถ์!L49"")+IMPORTRANGE(""https://docs.google.com/spreadsheets/d/1UsNK1e-WWiCo2PvGqdNfdme4m17_Ezd3J69EeeiQPD0/edit?usp=sharing"",""อุทัยธานี!L49"")"),6211395)</f>
        <v>6211395</v>
      </c>
      <c r="M49" s="46">
        <f ca="1">IFERROR(__xludf.DUMMYFUNCTION("IMPORTRANGE(""https://docs.google.com/spreadsheets/d/1jTcq05yEiRwXcBMLjiodW9e4biSGYWAHcDj22rKWQ3s/edit?usp=sharing"",""กำแพงเพชร!M49"")+IMPORTRANGE(""https://docs.google.com/spreadsheets/d/1KS0zmDSZPk8KnTAbGN-Xk6MtX1YRZD0ldgdt20K4CRk/edit?usp=sharing"","""&amp;"เชียงราย!M49"")+IMPORTRANGE(""https://docs.google.com/spreadsheets/d/1rEDxBtusbi64tE0zunoIbsTVV16HeL0oJ6trHQeQ7K8/edit?usp=sharing"",""เชียงใหม่!M49"")+IMPORTRANGE(""https://docs.google.com/spreadsheets/d/1W6MnUbDkMi6xHnHko_XkFDO9kkuL6Wqyc-6OCDFjW9I/edit?"&amp;"usp=sharing"",""ตาก!M49"")+IMPORTRANGE(""https://docs.google.com/spreadsheets/d/1IQAWArduLkta9LpYo4a_ULsyqdta6-6aDDiwpUnQT6c/edit?usp=sharing"",""นครสวรรค์!M49"")+IMPORTRANGE(""https://docs.google.com/spreadsheets/d/10s13Sk5xrltsiR-Zkbmk5DwIaDIKO8XlbJAfqy"&amp;"T7Gvg/edit?usp=sharing"",""น่าน!M49"")+IMPORTRANGE(""https://docs.google.com/spreadsheets/d/1uu4nAn4Dbi1XREnLKKotUANlKXa7yCgRcgq8HEzQYW8/edit?usp=sharing"",""พะเยา!M49"")+IMPORTRANGE(""https://docs.google.com/spreadsheets/d/1xfJKIQxVOaPDIICqsflNlLu3JacTDk"&amp;"1FP9RH4phX7mI/edit?usp=sharing"",""พิจิตร!M49"")+IMPORTRANGE(""https://docs.google.com/spreadsheets/d/1JtRfZkJMHtEhI5RdRHxYUG4FIZHqKDpNyIuN7A1Q0_k/edit?usp=sharing"",""พิษณุโลก!M49"")+IMPORTRANGE(""https://docs.google.com/spreadsheets/d/1xlcVZWUNn6SuWm0c3"&amp;"07h32SiGkd9BaeQWlAktfD3KO8/edit?usp=sharing"",""เพชรบูรณ์!M49"")+IMPORTRANGE(""https://docs.google.com/spreadsheets/d/1lOVebEIsI9qjGXl6EX66luk7wiuP2tBaryw-wKvv4e0/edit?usp=sharing"",""แพร่!M49"")+IMPORTRANGE(""https://docs.google.com/spreadsheets/d/1dQrvX"&amp;"0vEcN7Gu0fnZ0B5S90AeR19zth4XlExFBeExMY/edit?usp=sharing"",""แม่ฮ่องสอน!M49"")+IMPORTRANGE(""https://docs.google.com/spreadsheets/d/1DY4XTNNwjluuxqdfdn6qvOSlMRrZqUtmYcZR0ttFiG4/edit?usp=sharing"",""ลำปาง!M49"")+IMPORTRANGE(""https://docs.google.com/spreads"&amp;"heets/d/1ICwG78r0OFT8biBlxnBF8r7she7gNSzOvJ958PWT09c/edit?usp=sharing"",""ลำพูน!M49"")+IMPORTRANGE(""https://docs.google.com/spreadsheets/d/1B0f2xJpZUC6Z0xXnqKlZtEPzsf6L84eP1r1Q15seqRM/edit?usp=sharing"",""สุโขทัย!M49"")+IMPORTRANGE(""https://docs.google."&amp;"com/spreadsheets/d/1v0b9pFQCsKUVExMei7AgY2yQkdeNQvtOssygGsXbiKo/edit?usp=sharing"",""อุตรดิตถ์!M49"")+IMPORTRANGE(""https://docs.google.com/spreadsheets/d/1UsNK1e-WWiCo2PvGqdNfdme4m17_Ezd3J69EeeiQPD0/edit?usp=sharing"",""อุทัยธานี!M49"")"),7124166.20999999)</f>
        <v>7124166.2099999897</v>
      </c>
      <c r="N49" s="46">
        <f ca="1">IFERROR(__xludf.DUMMYFUNCTION("IMPORTRANGE(""https://docs.google.com/spreadsheets/d/1jTcq05yEiRwXcBMLjiodW9e4biSGYWAHcDj22rKWQ3s/edit?usp=sharing"",""กำแพงเพชร!N49"")+IMPORTRANGE(""https://docs.google.com/spreadsheets/d/1KS0zmDSZPk8KnTAbGN-Xk6MtX1YRZD0ldgdt20K4CRk/edit?usp=sharing"","""&amp;"เชียงราย!N49"")+IMPORTRANGE(""https://docs.google.com/spreadsheets/d/1rEDxBtusbi64tE0zunoIbsTVV16HeL0oJ6trHQeQ7K8/edit?usp=sharing"",""เชียงใหม่!N49"")+IMPORTRANGE(""https://docs.google.com/spreadsheets/d/1W6MnUbDkMi6xHnHko_XkFDO9kkuL6Wqyc-6OCDFjW9I/edit?"&amp;"usp=sharing"",""ตาก!N49"")+IMPORTRANGE(""https://docs.google.com/spreadsheets/d/1IQAWArduLkta9LpYo4a_ULsyqdta6-6aDDiwpUnQT6c/edit?usp=sharing"",""นครสวรรค์!N49"")+IMPORTRANGE(""https://docs.google.com/spreadsheets/d/10s13Sk5xrltsiR-Zkbmk5DwIaDIKO8XlbJAfqy"&amp;"T7Gvg/edit?usp=sharing"",""น่าน!N49"")+IMPORTRANGE(""https://docs.google.com/spreadsheets/d/1uu4nAn4Dbi1XREnLKKotUANlKXa7yCgRcgq8HEzQYW8/edit?usp=sharing"",""พะเยา!N49"")+IMPORTRANGE(""https://docs.google.com/spreadsheets/d/1xfJKIQxVOaPDIICqsflNlLu3JacTDk"&amp;"1FP9RH4phX7mI/edit?usp=sharing"",""พิจิตร!N49"")+IMPORTRANGE(""https://docs.google.com/spreadsheets/d/1JtRfZkJMHtEhI5RdRHxYUG4FIZHqKDpNyIuN7A1Q0_k/edit?usp=sharing"",""พิษณุโลก!N49"")+IMPORTRANGE(""https://docs.google.com/spreadsheets/d/1xlcVZWUNn6SuWm0c3"&amp;"07h32SiGkd9BaeQWlAktfD3KO8/edit?usp=sharing"",""เพชรบูรณ์!N49"")+IMPORTRANGE(""https://docs.google.com/spreadsheets/d/1lOVebEIsI9qjGXl6EX66luk7wiuP2tBaryw-wKvv4e0/edit?usp=sharing"",""แพร่!N49"")+IMPORTRANGE(""https://docs.google.com/spreadsheets/d/1dQrvX"&amp;"0vEcN7Gu0fnZ0B5S90AeR19zth4XlExFBeExMY/edit?usp=sharing"",""แม่ฮ่องสอน!N49"")+IMPORTRANGE(""https://docs.google.com/spreadsheets/d/1DY4XTNNwjluuxqdfdn6qvOSlMRrZqUtmYcZR0ttFiG4/edit?usp=sharing"",""ลำปาง!N49"")+IMPORTRANGE(""https://docs.google.com/spreads"&amp;"heets/d/1ICwG78r0OFT8biBlxnBF8r7she7gNSzOvJ958PWT09c/edit?usp=sharing"",""ลำพูน!N49"")+IMPORTRANGE(""https://docs.google.com/spreadsheets/d/1B0f2xJpZUC6Z0xXnqKlZtEPzsf6L84eP1r1Q15seqRM/edit?usp=sharing"",""สุโขทัย!N49"")+IMPORTRANGE(""https://docs.google."&amp;"com/spreadsheets/d/1v0b9pFQCsKUVExMei7AgY2yQkdeNQvtOssygGsXbiKo/edit?usp=sharing"",""อุตรดิตถ์!N49"")+IMPORTRANGE(""https://docs.google.com/spreadsheets/d/1UsNK1e-WWiCo2PvGqdNfdme4m17_Ezd3J69EeeiQPD0/edit?usp=sharing"",""อุทัยธานี!N49"")"),6179345.73)</f>
        <v>6179345.7300000004</v>
      </c>
      <c r="O49" s="46">
        <f t="shared" ca="1" si="23"/>
        <v>99.484024603168848</v>
      </c>
      <c r="P49" s="46">
        <f t="shared" ca="1" si="24"/>
        <v>86.737809700821245</v>
      </c>
      <c r="Q49" s="46">
        <f ca="1">IFERROR(__xludf.DUMMYFUNCTION("IMPORTRANGE(""https://docs.google.com/spreadsheets/d/1jTcq05yEiRwXcBMLjiodW9e4biSGYWAHcDj22rKWQ3s/edit?usp=sharing"",""กำแพงเพชร!Q49"")+IMPORTRANGE(""https://docs.google.com/spreadsheets/d/1KS0zmDSZPk8KnTAbGN-Xk6MtX1YRZD0ldgdt20K4CRk/edit?usp=sharing"","""&amp;"เชียงราย!Q49"")+IMPORTRANGE(""https://docs.google.com/spreadsheets/d/1rEDxBtusbi64tE0zunoIbsTVV16HeL0oJ6trHQeQ7K8/edit?usp=sharing"",""เชียงใหม่!Q49"")+IMPORTRANGE(""https://docs.google.com/spreadsheets/d/1W6MnUbDkMi6xHnHko_XkFDO9kkuL6Wqyc-6OCDFjW9I/edit?"&amp;"usp=sharing"",""ตาก!Q49"")+IMPORTRANGE(""https://docs.google.com/spreadsheets/d/1IQAWArduLkta9LpYo4a_ULsyqdta6-6aDDiwpUnQT6c/edit?usp=sharing"",""นครสวรรค์!Q49"")+IMPORTRANGE(""https://docs.google.com/spreadsheets/d/10s13Sk5xrltsiR-Zkbmk5DwIaDIKO8XlbJAfqy"&amp;"T7Gvg/edit?usp=sharing"",""น่าน!Q49"")+IMPORTRANGE(""https://docs.google.com/spreadsheets/d/1uu4nAn4Dbi1XREnLKKotUANlKXa7yCgRcgq8HEzQYW8/edit?usp=sharing"",""พะเยา!Q49"")+IMPORTRANGE(""https://docs.google.com/spreadsheets/d/1xfJKIQxVOaPDIICqsflNlLu3JacTDk"&amp;"1FP9RH4phX7mI/edit?usp=sharing"",""พิจิตร!Q49"")+IMPORTRANGE(""https://docs.google.com/spreadsheets/d/1JtRfZkJMHtEhI5RdRHxYUG4FIZHqKDpNyIuN7A1Q0_k/edit?usp=sharing"",""พิษณุโลก!Q49"")+IMPORTRANGE(""https://docs.google.com/spreadsheets/d/1xlcVZWUNn6SuWm0c3"&amp;"07h32SiGkd9BaeQWlAktfD3KO8/edit?usp=sharing"",""เพชรบูรณ์!Q49"")+IMPORTRANGE(""https://docs.google.com/spreadsheets/d/1lOVebEIsI9qjGXl6EX66luk7wiuP2tBaryw-wKvv4e0/edit?usp=sharing"",""แพร่!Q49"")+IMPORTRANGE(""https://docs.google.com/spreadsheets/d/1dQrvX"&amp;"0vEcN7Gu0fnZ0B5S90AeR19zth4XlExFBeExMY/edit?usp=sharing"",""แม่ฮ่องสอน!Q49"")+IMPORTRANGE(""https://docs.google.com/spreadsheets/d/1DY4XTNNwjluuxqdfdn6qvOSlMRrZqUtmYcZR0ttFiG4/edit?usp=sharing"",""ลำปาง!Q49"")+IMPORTRANGE(""https://docs.google.com/spreads"&amp;"heets/d/1ICwG78r0OFT8biBlxnBF8r7she7gNSzOvJ958PWT09c/edit?usp=sharing"",""ลำพูน!Q49"")+IMPORTRANGE(""https://docs.google.com/spreadsheets/d/1B0f2xJpZUC6Z0xXnqKlZtEPzsf6L84eP1r1Q15seqRM/edit?usp=sharing"",""สุโขทัย!Q49"")+IMPORTRANGE(""https://docs.google."&amp;"com/spreadsheets/d/1v0b9pFQCsKUVExMei7AgY2yQkdeNQvtOssygGsXbiKo/edit?usp=sharing"",""อุตรดิตถ์!Q49"")+IMPORTRANGE(""https://docs.google.com/spreadsheets/d/1UsNK1e-WWiCo2PvGqdNfdme4m17_Ezd3J69EeeiQPD0/edit?usp=sharing"",""อุทัยธานี!Q49"")"),0)</f>
        <v>0</v>
      </c>
      <c r="R49" s="46">
        <f ca="1">IFERROR(__xludf.DUMMYFUNCTION("IMPORTRANGE(""https://docs.google.com/spreadsheets/d/1jTcq05yEiRwXcBMLjiodW9e4biSGYWAHcDj22rKWQ3s/edit?usp=sharing"",""กำแพงเพชร!R49"")+IMPORTRANGE(""https://docs.google.com/spreadsheets/d/1KS0zmDSZPk8KnTAbGN-Xk6MtX1YRZD0ldgdt20K4CRk/edit?usp=sharing"","""&amp;"เชียงราย!R49"")+IMPORTRANGE(""https://docs.google.com/spreadsheets/d/1rEDxBtusbi64tE0zunoIbsTVV16HeL0oJ6trHQeQ7K8/edit?usp=sharing"",""เชียงใหม่!R49"")+IMPORTRANGE(""https://docs.google.com/spreadsheets/d/1W6MnUbDkMi6xHnHko_XkFDO9kkuL6Wqyc-6OCDFjW9I/edit?"&amp;"usp=sharing"",""ตาก!R49"")+IMPORTRANGE(""https://docs.google.com/spreadsheets/d/1IQAWArduLkta9LpYo4a_ULsyqdta6-6aDDiwpUnQT6c/edit?usp=sharing"",""นครสวรรค์!R49"")+IMPORTRANGE(""https://docs.google.com/spreadsheets/d/10s13Sk5xrltsiR-Zkbmk5DwIaDIKO8XlbJAfqy"&amp;"T7Gvg/edit?usp=sharing"",""น่าน!R49"")+IMPORTRANGE(""https://docs.google.com/spreadsheets/d/1uu4nAn4Dbi1XREnLKKotUANlKXa7yCgRcgq8HEzQYW8/edit?usp=sharing"",""พะเยา!R49"")+IMPORTRANGE(""https://docs.google.com/spreadsheets/d/1xfJKIQxVOaPDIICqsflNlLu3JacTDk"&amp;"1FP9RH4phX7mI/edit?usp=sharing"",""พิจิตร!R49"")+IMPORTRANGE(""https://docs.google.com/spreadsheets/d/1JtRfZkJMHtEhI5RdRHxYUG4FIZHqKDpNyIuN7A1Q0_k/edit?usp=sharing"",""พิษณุโลก!R49"")+IMPORTRANGE(""https://docs.google.com/spreadsheets/d/1xlcVZWUNn6SuWm0c3"&amp;"07h32SiGkd9BaeQWlAktfD3KO8/edit?usp=sharing"",""เพชรบูรณ์!R49"")+IMPORTRANGE(""https://docs.google.com/spreadsheets/d/1lOVebEIsI9qjGXl6EX66luk7wiuP2tBaryw-wKvv4e0/edit?usp=sharing"",""แพร่!R49"")+IMPORTRANGE(""https://docs.google.com/spreadsheets/d/1dQrvX"&amp;"0vEcN7Gu0fnZ0B5S90AeR19zth4XlExFBeExMY/edit?usp=sharing"",""แม่ฮ่องสอน!R49"")+IMPORTRANGE(""https://docs.google.com/spreadsheets/d/1DY4XTNNwjluuxqdfdn6qvOSlMRrZqUtmYcZR0ttFiG4/edit?usp=sharing"",""ลำปาง!R49"")+IMPORTRANGE(""https://docs.google.com/spreads"&amp;"heets/d/1ICwG78r0OFT8biBlxnBF8r7she7gNSzOvJ958PWT09c/edit?usp=sharing"",""ลำพูน!R49"")+IMPORTRANGE(""https://docs.google.com/spreadsheets/d/1B0f2xJpZUC6Z0xXnqKlZtEPzsf6L84eP1r1Q15seqRM/edit?usp=sharing"",""สุโขทัย!R49"")+IMPORTRANGE(""https://docs.google."&amp;"com/spreadsheets/d/1v0b9pFQCsKUVExMei7AgY2yQkdeNQvtOssygGsXbiKo/edit?usp=sharing"",""อุตรดิตถ์!R49"")+IMPORTRANGE(""https://docs.google.com/spreadsheets/d/1UsNK1e-WWiCo2PvGqdNfdme4m17_Ezd3J69EeeiQPD0/edit?usp=sharing"",""อุทัยธานี!R49"")"),0)</f>
        <v>0</v>
      </c>
      <c r="S49" s="46">
        <f ca="1">IFERROR(__xludf.DUMMYFUNCTION("IMPORTRANGE(""https://docs.google.com/spreadsheets/d/1jTcq05yEiRwXcBMLjiodW9e4biSGYWAHcDj22rKWQ3s/edit?usp=sharing"",""กำแพงเพชร!S49"")+IMPORTRANGE(""https://docs.google.com/spreadsheets/d/1KS0zmDSZPk8KnTAbGN-Xk6MtX1YRZD0ldgdt20K4CRk/edit?usp=sharing"","""&amp;"เชียงราย!S49"")+IMPORTRANGE(""https://docs.google.com/spreadsheets/d/1rEDxBtusbi64tE0zunoIbsTVV16HeL0oJ6trHQeQ7K8/edit?usp=sharing"",""เชียงใหม่!S49"")+IMPORTRANGE(""https://docs.google.com/spreadsheets/d/1W6MnUbDkMi6xHnHko_XkFDO9kkuL6Wqyc-6OCDFjW9I/edit?"&amp;"usp=sharing"",""ตาก!S49"")+IMPORTRANGE(""https://docs.google.com/spreadsheets/d/1IQAWArduLkta9LpYo4a_ULsyqdta6-6aDDiwpUnQT6c/edit?usp=sharing"",""นครสวรรค์!S49"")+IMPORTRANGE(""https://docs.google.com/spreadsheets/d/10s13Sk5xrltsiR-Zkbmk5DwIaDIKO8XlbJAfqy"&amp;"T7Gvg/edit?usp=sharing"",""น่าน!S49"")+IMPORTRANGE(""https://docs.google.com/spreadsheets/d/1uu4nAn4Dbi1XREnLKKotUANlKXa7yCgRcgq8HEzQYW8/edit?usp=sharing"",""พะเยา!S49"")+IMPORTRANGE(""https://docs.google.com/spreadsheets/d/1xfJKIQxVOaPDIICqsflNlLu3JacTDk"&amp;"1FP9RH4phX7mI/edit?usp=sharing"",""พิจิตร!S49"")+IMPORTRANGE(""https://docs.google.com/spreadsheets/d/1JtRfZkJMHtEhI5RdRHxYUG4FIZHqKDpNyIuN7A1Q0_k/edit?usp=sharing"",""พิษณุโลก!S49"")+IMPORTRANGE(""https://docs.google.com/spreadsheets/d/1xlcVZWUNn6SuWm0c3"&amp;"07h32SiGkd9BaeQWlAktfD3KO8/edit?usp=sharing"",""เพชรบูรณ์!S49"")+IMPORTRANGE(""https://docs.google.com/spreadsheets/d/1lOVebEIsI9qjGXl6EX66luk7wiuP2tBaryw-wKvv4e0/edit?usp=sharing"",""แพร่!S49"")+IMPORTRANGE(""https://docs.google.com/spreadsheets/d/1dQrvX"&amp;"0vEcN7Gu0fnZ0B5S90AeR19zth4XlExFBeExMY/edit?usp=sharing"",""แม่ฮ่องสอน!S49"")+IMPORTRANGE(""https://docs.google.com/spreadsheets/d/1DY4XTNNwjluuxqdfdn6qvOSlMRrZqUtmYcZR0ttFiG4/edit?usp=sharing"",""ลำปาง!S49"")+IMPORTRANGE(""https://docs.google.com/spreads"&amp;"heets/d/1ICwG78r0OFT8biBlxnBF8r7she7gNSzOvJ958PWT09c/edit?usp=sharing"",""ลำพูน!S49"")+IMPORTRANGE(""https://docs.google.com/spreadsheets/d/1B0f2xJpZUC6Z0xXnqKlZtEPzsf6L84eP1r1Q15seqRM/edit?usp=sharing"",""สุโขทัย!S49"")+IMPORTRANGE(""https://docs.google."&amp;"com/spreadsheets/d/1v0b9pFQCsKUVExMei7AgY2yQkdeNQvtOssygGsXbiKo/edit?usp=sharing"",""อุตรดิตถ์!S49"")+IMPORTRANGE(""https://docs.google.com/spreadsheets/d/1UsNK1e-WWiCo2PvGqdNfdme4m17_Ezd3J69EeeiQPD0/edit?usp=sharing"",""อุทัยธานี!S49"")"),0)</f>
        <v>0</v>
      </c>
      <c r="T49" s="46">
        <f t="shared" ca="1" si="26"/>
        <v>0</v>
      </c>
      <c r="U49" s="46">
        <f t="shared" ca="1" si="27"/>
        <v>0</v>
      </c>
    </row>
    <row r="50" spans="1:21" ht="18.75" x14ac:dyDescent="0.25">
      <c r="A50" s="39"/>
      <c r="B50" s="40"/>
      <c r="C50" s="40"/>
      <c r="D50" s="49" t="s">
        <v>23</v>
      </c>
      <c r="E50" s="40"/>
      <c r="F50" s="40"/>
      <c r="G50" s="42"/>
      <c r="H50" s="43" t="s">
        <v>14</v>
      </c>
      <c r="I50" s="44"/>
      <c r="J50" s="44"/>
      <c r="K50" s="45"/>
      <c r="L50" s="46">
        <f t="shared" ref="L50:N50" ca="1" si="34">L51+L52</f>
        <v>0</v>
      </c>
      <c r="M50" s="46">
        <f t="shared" ca="1" si="34"/>
        <v>0</v>
      </c>
      <c r="N50" s="46">
        <f t="shared" ca="1" si="34"/>
        <v>0</v>
      </c>
      <c r="O50" s="46">
        <f t="shared" ca="1" si="23"/>
        <v>0</v>
      </c>
      <c r="P50" s="46">
        <f t="shared" ca="1" si="24"/>
        <v>0</v>
      </c>
      <c r="Q50" s="46">
        <f t="shared" ref="Q50:S50" ca="1" si="35">Q51+Q52</f>
        <v>0</v>
      </c>
      <c r="R50" s="46">
        <f t="shared" ca="1" si="35"/>
        <v>0</v>
      </c>
      <c r="S50" s="46">
        <f t="shared" ca="1" si="35"/>
        <v>0</v>
      </c>
      <c r="T50" s="46">
        <f t="shared" ca="1" si="26"/>
        <v>0</v>
      </c>
      <c r="U50" s="46">
        <f t="shared" ca="1" si="27"/>
        <v>0</v>
      </c>
    </row>
    <row r="51" spans="1:21" ht="18.75" x14ac:dyDescent="0.25">
      <c r="A51" s="39"/>
      <c r="B51" s="40"/>
      <c r="C51" s="40"/>
      <c r="D51" s="40"/>
      <c r="E51" s="47" t="s">
        <v>20</v>
      </c>
      <c r="F51" s="40"/>
      <c r="G51" s="42"/>
      <c r="H51" s="43" t="s">
        <v>14</v>
      </c>
      <c r="I51" s="44"/>
      <c r="J51" s="44"/>
      <c r="K51" s="45"/>
      <c r="L51" s="83">
        <v>0</v>
      </c>
      <c r="M51" s="83">
        <v>0</v>
      </c>
      <c r="N51" s="83">
        <v>0</v>
      </c>
      <c r="O51" s="48">
        <f t="shared" si="23"/>
        <v>0</v>
      </c>
      <c r="P51" s="48">
        <f t="shared" si="24"/>
        <v>0</v>
      </c>
      <c r="Q51" s="83">
        <v>0</v>
      </c>
      <c r="R51" s="83">
        <v>0</v>
      </c>
      <c r="S51" s="83">
        <v>0</v>
      </c>
      <c r="T51" s="48">
        <f t="shared" si="26"/>
        <v>0</v>
      </c>
      <c r="U51" s="48">
        <f t="shared" si="27"/>
        <v>0</v>
      </c>
    </row>
    <row r="52" spans="1:21" ht="18.75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46">
        <f ca="1">IFERROR(__xludf.DUMMYFUNCTION("IMPORTRANGE(""https://docs.google.com/spreadsheets/d/1jTcq05yEiRwXcBMLjiodW9e4biSGYWAHcDj22rKWQ3s/edit?usp=sharing"",""กำแพงเพชร!L52"")+IMPORTRANGE(""https://docs.google.com/spreadsheets/d/1KS0zmDSZPk8KnTAbGN-Xk6MtX1YRZD0ldgdt20K4CRk/edit?usp=sharing"","""&amp;"เชียงราย!L52"")+IMPORTRANGE(""https://docs.google.com/spreadsheets/d/1rEDxBtusbi64tE0zunoIbsTVV16HeL0oJ6trHQeQ7K8/edit?usp=sharing"",""เชียงใหม่!L52"")+IMPORTRANGE(""https://docs.google.com/spreadsheets/d/1W6MnUbDkMi6xHnHko_XkFDO9kkuL6Wqyc-6OCDFjW9I/edit?"&amp;"usp=sharing"",""ตาก!L52"")+IMPORTRANGE(""https://docs.google.com/spreadsheets/d/1IQAWArduLkta9LpYo4a_ULsyqdta6-6aDDiwpUnQT6c/edit?usp=sharing"",""นครสวรรค์!L52"")+IMPORTRANGE(""https://docs.google.com/spreadsheets/d/10s13Sk5xrltsiR-Zkbmk5DwIaDIKO8XlbJAfqy"&amp;"T7Gvg/edit?usp=sharing"",""น่าน!L52"")+IMPORTRANGE(""https://docs.google.com/spreadsheets/d/1uu4nAn4Dbi1XREnLKKotUANlKXa7yCgRcgq8HEzQYW8/edit?usp=sharing"",""พะเยา!L52"")+IMPORTRANGE(""https://docs.google.com/spreadsheets/d/1xfJKIQxVOaPDIICqsflNlLu3JacTDk"&amp;"1FP9RH4phX7mI/edit?usp=sharing"",""พิจิตร!L52"")+IMPORTRANGE(""https://docs.google.com/spreadsheets/d/1JtRfZkJMHtEhI5RdRHxYUG4FIZHqKDpNyIuN7A1Q0_k/edit?usp=sharing"",""พิษณุโลก!L52"")+IMPORTRANGE(""https://docs.google.com/spreadsheets/d/1xlcVZWUNn6SuWm0c3"&amp;"07h32SiGkd9BaeQWlAktfD3KO8/edit?usp=sharing"",""เพชรบูรณ์!L52"")+IMPORTRANGE(""https://docs.google.com/spreadsheets/d/1lOVebEIsI9qjGXl6EX66luk7wiuP2tBaryw-wKvv4e0/edit?usp=sharing"",""แพร่!L52"")+IMPORTRANGE(""https://docs.google.com/spreadsheets/d/1dQrvX"&amp;"0vEcN7Gu0fnZ0B5S90AeR19zth4XlExFBeExMY/edit?usp=sharing"",""แม่ฮ่องสอน!L52"")+IMPORTRANGE(""https://docs.google.com/spreadsheets/d/1DY4XTNNwjluuxqdfdn6qvOSlMRrZqUtmYcZR0ttFiG4/edit?usp=sharing"",""ลำปาง!L52"")+IMPORTRANGE(""https://docs.google.com/spreads"&amp;"heets/d/1ICwG78r0OFT8biBlxnBF8r7she7gNSzOvJ958PWT09c/edit?usp=sharing"",""ลำพูน!L52"")+IMPORTRANGE(""https://docs.google.com/spreadsheets/d/1B0f2xJpZUC6Z0xXnqKlZtEPzsf6L84eP1r1Q15seqRM/edit?usp=sharing"",""สุโขทัย!L52"")+IMPORTRANGE(""https://docs.google."&amp;"com/spreadsheets/d/1v0b9pFQCsKUVExMei7AgY2yQkdeNQvtOssygGsXbiKo/edit?usp=sharing"",""อุตรดิตถ์!L52"")+IMPORTRANGE(""https://docs.google.com/spreadsheets/d/1UsNK1e-WWiCo2PvGqdNfdme4m17_Ezd3J69EeeiQPD0/edit?usp=sharing"",""อุทัยธานี!L52"")"),0)</f>
        <v>0</v>
      </c>
      <c r="M52" s="46">
        <f ca="1">IFERROR(__xludf.DUMMYFUNCTION("IMPORTRANGE(""https://docs.google.com/spreadsheets/d/1jTcq05yEiRwXcBMLjiodW9e4biSGYWAHcDj22rKWQ3s/edit?usp=sharing"",""กำแพงเพชร!M52"")+IMPORTRANGE(""https://docs.google.com/spreadsheets/d/1KS0zmDSZPk8KnTAbGN-Xk6MtX1YRZD0ldgdt20K4CRk/edit?usp=sharing"","""&amp;"เชียงราย!M52"")+IMPORTRANGE(""https://docs.google.com/spreadsheets/d/1rEDxBtusbi64tE0zunoIbsTVV16HeL0oJ6trHQeQ7K8/edit?usp=sharing"",""เชียงใหม่!M52"")+IMPORTRANGE(""https://docs.google.com/spreadsheets/d/1W6MnUbDkMi6xHnHko_XkFDO9kkuL6Wqyc-6OCDFjW9I/edit?"&amp;"usp=sharing"",""ตาก!M52"")+IMPORTRANGE(""https://docs.google.com/spreadsheets/d/1IQAWArduLkta9LpYo4a_ULsyqdta6-6aDDiwpUnQT6c/edit?usp=sharing"",""นครสวรรค์!M52"")+IMPORTRANGE(""https://docs.google.com/spreadsheets/d/10s13Sk5xrltsiR-Zkbmk5DwIaDIKO8XlbJAfqy"&amp;"T7Gvg/edit?usp=sharing"",""น่าน!M52"")+IMPORTRANGE(""https://docs.google.com/spreadsheets/d/1uu4nAn4Dbi1XREnLKKotUANlKXa7yCgRcgq8HEzQYW8/edit?usp=sharing"",""พะเยา!M52"")+IMPORTRANGE(""https://docs.google.com/spreadsheets/d/1xfJKIQxVOaPDIICqsflNlLu3JacTDk"&amp;"1FP9RH4phX7mI/edit?usp=sharing"",""พิจิตร!M52"")+IMPORTRANGE(""https://docs.google.com/spreadsheets/d/1JtRfZkJMHtEhI5RdRHxYUG4FIZHqKDpNyIuN7A1Q0_k/edit?usp=sharing"",""พิษณุโลก!M52"")+IMPORTRANGE(""https://docs.google.com/spreadsheets/d/1xlcVZWUNn6SuWm0c3"&amp;"07h32SiGkd9BaeQWlAktfD3KO8/edit?usp=sharing"",""เพชรบูรณ์!M52"")+IMPORTRANGE(""https://docs.google.com/spreadsheets/d/1lOVebEIsI9qjGXl6EX66luk7wiuP2tBaryw-wKvv4e0/edit?usp=sharing"",""แพร่!M52"")+IMPORTRANGE(""https://docs.google.com/spreadsheets/d/1dQrvX"&amp;"0vEcN7Gu0fnZ0B5S90AeR19zth4XlExFBeExMY/edit?usp=sharing"",""แม่ฮ่องสอน!M52"")+IMPORTRANGE(""https://docs.google.com/spreadsheets/d/1DY4XTNNwjluuxqdfdn6qvOSlMRrZqUtmYcZR0ttFiG4/edit?usp=sharing"",""ลำปาง!M52"")+IMPORTRANGE(""https://docs.google.com/spreads"&amp;"heets/d/1ICwG78r0OFT8biBlxnBF8r7she7gNSzOvJ958PWT09c/edit?usp=sharing"",""ลำพูน!M52"")+IMPORTRANGE(""https://docs.google.com/spreadsheets/d/1B0f2xJpZUC6Z0xXnqKlZtEPzsf6L84eP1r1Q15seqRM/edit?usp=sharing"",""สุโขทัย!M52"")+IMPORTRANGE(""https://docs.google."&amp;"com/spreadsheets/d/1v0b9pFQCsKUVExMei7AgY2yQkdeNQvtOssygGsXbiKo/edit?usp=sharing"",""อุตรดิตถ์!M52"")+IMPORTRANGE(""https://docs.google.com/spreadsheets/d/1UsNK1e-WWiCo2PvGqdNfdme4m17_Ezd3J69EeeiQPD0/edit?usp=sharing"",""อุทัยธานี!M52"")"),0)</f>
        <v>0</v>
      </c>
      <c r="N52" s="46">
        <f ca="1">IFERROR(__xludf.DUMMYFUNCTION("IMPORTRANGE(""https://docs.google.com/spreadsheets/d/1jTcq05yEiRwXcBMLjiodW9e4biSGYWAHcDj22rKWQ3s/edit?usp=sharing"",""กำแพงเพชร!N52"")+IMPORTRANGE(""https://docs.google.com/spreadsheets/d/1KS0zmDSZPk8KnTAbGN-Xk6MtX1YRZD0ldgdt20K4CRk/edit?usp=sharing"","""&amp;"เชียงราย!N52"")+IMPORTRANGE(""https://docs.google.com/spreadsheets/d/1rEDxBtusbi64tE0zunoIbsTVV16HeL0oJ6trHQeQ7K8/edit?usp=sharing"",""เชียงใหม่!N52"")+IMPORTRANGE(""https://docs.google.com/spreadsheets/d/1W6MnUbDkMi6xHnHko_XkFDO9kkuL6Wqyc-6OCDFjW9I/edit?"&amp;"usp=sharing"",""ตาก!N52"")+IMPORTRANGE(""https://docs.google.com/spreadsheets/d/1IQAWArduLkta9LpYo4a_ULsyqdta6-6aDDiwpUnQT6c/edit?usp=sharing"",""นครสวรรค์!N52"")+IMPORTRANGE(""https://docs.google.com/spreadsheets/d/10s13Sk5xrltsiR-Zkbmk5DwIaDIKO8XlbJAfqy"&amp;"T7Gvg/edit?usp=sharing"",""น่าน!N52"")+IMPORTRANGE(""https://docs.google.com/spreadsheets/d/1uu4nAn4Dbi1XREnLKKotUANlKXa7yCgRcgq8HEzQYW8/edit?usp=sharing"",""พะเยา!N52"")+IMPORTRANGE(""https://docs.google.com/spreadsheets/d/1xfJKIQxVOaPDIICqsflNlLu3JacTDk"&amp;"1FP9RH4phX7mI/edit?usp=sharing"",""พิจิตร!N52"")+IMPORTRANGE(""https://docs.google.com/spreadsheets/d/1JtRfZkJMHtEhI5RdRHxYUG4FIZHqKDpNyIuN7A1Q0_k/edit?usp=sharing"",""พิษณุโลก!N52"")+IMPORTRANGE(""https://docs.google.com/spreadsheets/d/1xlcVZWUNn6SuWm0c3"&amp;"07h32SiGkd9BaeQWlAktfD3KO8/edit?usp=sharing"",""เพชรบูรณ์!N52"")+IMPORTRANGE(""https://docs.google.com/spreadsheets/d/1lOVebEIsI9qjGXl6EX66luk7wiuP2tBaryw-wKvv4e0/edit?usp=sharing"",""แพร่!N52"")+IMPORTRANGE(""https://docs.google.com/spreadsheets/d/1dQrvX"&amp;"0vEcN7Gu0fnZ0B5S90AeR19zth4XlExFBeExMY/edit?usp=sharing"",""แม่ฮ่องสอน!N52"")+IMPORTRANGE(""https://docs.google.com/spreadsheets/d/1DY4XTNNwjluuxqdfdn6qvOSlMRrZqUtmYcZR0ttFiG4/edit?usp=sharing"",""ลำปาง!N52"")+IMPORTRANGE(""https://docs.google.com/spreads"&amp;"heets/d/1ICwG78r0OFT8biBlxnBF8r7she7gNSzOvJ958PWT09c/edit?usp=sharing"",""ลำพูน!N52"")+IMPORTRANGE(""https://docs.google.com/spreadsheets/d/1B0f2xJpZUC6Z0xXnqKlZtEPzsf6L84eP1r1Q15seqRM/edit?usp=sharing"",""สุโขทัย!N52"")+IMPORTRANGE(""https://docs.google."&amp;"com/spreadsheets/d/1v0b9pFQCsKUVExMei7AgY2yQkdeNQvtOssygGsXbiKo/edit?usp=sharing"",""อุตรดิตถ์!N52"")+IMPORTRANGE(""https://docs.google.com/spreadsheets/d/1UsNK1e-WWiCo2PvGqdNfdme4m17_Ezd3J69EeeiQPD0/edit?usp=sharing"",""อุทัยธานี!N52"")"),0)</f>
        <v>0</v>
      </c>
      <c r="O52" s="46">
        <f t="shared" ca="1" si="23"/>
        <v>0</v>
      </c>
      <c r="P52" s="46">
        <f t="shared" ca="1" si="24"/>
        <v>0</v>
      </c>
      <c r="Q52" s="46">
        <f ca="1">IFERROR(__xludf.DUMMYFUNCTION("IMPORTRANGE(""https://docs.google.com/spreadsheets/d/1jTcq05yEiRwXcBMLjiodW9e4biSGYWAHcDj22rKWQ3s/edit?usp=sharing"",""กำแพงเพชร!Q52"")+IMPORTRANGE(""https://docs.google.com/spreadsheets/d/1KS0zmDSZPk8KnTAbGN-Xk6MtX1YRZD0ldgdt20K4CRk/edit?usp=sharing"","""&amp;"เชียงราย!Q52"")+IMPORTRANGE(""https://docs.google.com/spreadsheets/d/1rEDxBtusbi64tE0zunoIbsTVV16HeL0oJ6trHQeQ7K8/edit?usp=sharing"",""เชียงใหม่!Q52"")+IMPORTRANGE(""https://docs.google.com/spreadsheets/d/1W6MnUbDkMi6xHnHko_XkFDO9kkuL6Wqyc-6OCDFjW9I/edit?"&amp;"usp=sharing"",""ตาก!Q52"")+IMPORTRANGE(""https://docs.google.com/spreadsheets/d/1IQAWArduLkta9LpYo4a_ULsyqdta6-6aDDiwpUnQT6c/edit?usp=sharing"",""นครสวรรค์!Q52"")+IMPORTRANGE(""https://docs.google.com/spreadsheets/d/10s13Sk5xrltsiR-Zkbmk5DwIaDIKO8XlbJAfqy"&amp;"T7Gvg/edit?usp=sharing"",""น่าน!Q52"")+IMPORTRANGE(""https://docs.google.com/spreadsheets/d/1uu4nAn4Dbi1XREnLKKotUANlKXa7yCgRcgq8HEzQYW8/edit?usp=sharing"",""พะเยา!Q52"")+IMPORTRANGE(""https://docs.google.com/spreadsheets/d/1xfJKIQxVOaPDIICqsflNlLu3JacTDk"&amp;"1FP9RH4phX7mI/edit?usp=sharing"",""พิจิตร!Q52"")+IMPORTRANGE(""https://docs.google.com/spreadsheets/d/1JtRfZkJMHtEhI5RdRHxYUG4FIZHqKDpNyIuN7A1Q0_k/edit?usp=sharing"",""พิษณุโลก!Q52"")+IMPORTRANGE(""https://docs.google.com/spreadsheets/d/1xlcVZWUNn6SuWm0c3"&amp;"07h32SiGkd9BaeQWlAktfD3KO8/edit?usp=sharing"",""เพชรบูรณ์!Q52"")+IMPORTRANGE(""https://docs.google.com/spreadsheets/d/1lOVebEIsI9qjGXl6EX66luk7wiuP2tBaryw-wKvv4e0/edit?usp=sharing"",""แพร่!Q52"")+IMPORTRANGE(""https://docs.google.com/spreadsheets/d/1dQrvX"&amp;"0vEcN7Gu0fnZ0B5S90AeR19zth4XlExFBeExMY/edit?usp=sharing"",""แม่ฮ่องสอน!Q52"")+IMPORTRANGE(""https://docs.google.com/spreadsheets/d/1DY4XTNNwjluuxqdfdn6qvOSlMRrZqUtmYcZR0ttFiG4/edit?usp=sharing"",""ลำปาง!Q52"")+IMPORTRANGE(""https://docs.google.com/spreads"&amp;"heets/d/1ICwG78r0OFT8biBlxnBF8r7she7gNSzOvJ958PWT09c/edit?usp=sharing"",""ลำพูน!Q52"")+IMPORTRANGE(""https://docs.google.com/spreadsheets/d/1B0f2xJpZUC6Z0xXnqKlZtEPzsf6L84eP1r1Q15seqRM/edit?usp=sharing"",""สุโขทัย!Q52"")+IMPORTRANGE(""https://docs.google."&amp;"com/spreadsheets/d/1v0b9pFQCsKUVExMei7AgY2yQkdeNQvtOssygGsXbiKo/edit?usp=sharing"",""อุตรดิตถ์!Q52"")+IMPORTRANGE(""https://docs.google.com/spreadsheets/d/1UsNK1e-WWiCo2PvGqdNfdme4m17_Ezd3J69EeeiQPD0/edit?usp=sharing"",""อุทัยธานี!Q52"")"),0)</f>
        <v>0</v>
      </c>
      <c r="R52" s="46">
        <f ca="1">IFERROR(__xludf.DUMMYFUNCTION("IMPORTRANGE(""https://docs.google.com/spreadsheets/d/1jTcq05yEiRwXcBMLjiodW9e4biSGYWAHcDj22rKWQ3s/edit?usp=sharing"",""กำแพงเพชร!R52"")+IMPORTRANGE(""https://docs.google.com/spreadsheets/d/1KS0zmDSZPk8KnTAbGN-Xk6MtX1YRZD0ldgdt20K4CRk/edit?usp=sharing"","""&amp;"เชียงราย!R52"")+IMPORTRANGE(""https://docs.google.com/spreadsheets/d/1rEDxBtusbi64tE0zunoIbsTVV16HeL0oJ6trHQeQ7K8/edit?usp=sharing"",""เชียงใหม่!R52"")+IMPORTRANGE(""https://docs.google.com/spreadsheets/d/1W6MnUbDkMi6xHnHko_XkFDO9kkuL6Wqyc-6OCDFjW9I/edit?"&amp;"usp=sharing"",""ตาก!R52"")+IMPORTRANGE(""https://docs.google.com/spreadsheets/d/1IQAWArduLkta9LpYo4a_ULsyqdta6-6aDDiwpUnQT6c/edit?usp=sharing"",""นครสวรรค์!R52"")+IMPORTRANGE(""https://docs.google.com/spreadsheets/d/10s13Sk5xrltsiR-Zkbmk5DwIaDIKO8XlbJAfqy"&amp;"T7Gvg/edit?usp=sharing"",""น่าน!R52"")+IMPORTRANGE(""https://docs.google.com/spreadsheets/d/1uu4nAn4Dbi1XREnLKKotUANlKXa7yCgRcgq8HEzQYW8/edit?usp=sharing"",""พะเยา!R52"")+IMPORTRANGE(""https://docs.google.com/spreadsheets/d/1xfJKIQxVOaPDIICqsflNlLu3JacTDk"&amp;"1FP9RH4phX7mI/edit?usp=sharing"",""พิจิตร!R52"")+IMPORTRANGE(""https://docs.google.com/spreadsheets/d/1JtRfZkJMHtEhI5RdRHxYUG4FIZHqKDpNyIuN7A1Q0_k/edit?usp=sharing"",""พิษณุโลก!R52"")+IMPORTRANGE(""https://docs.google.com/spreadsheets/d/1xlcVZWUNn6SuWm0c3"&amp;"07h32SiGkd9BaeQWlAktfD3KO8/edit?usp=sharing"",""เพชรบูรณ์!R52"")+IMPORTRANGE(""https://docs.google.com/spreadsheets/d/1lOVebEIsI9qjGXl6EX66luk7wiuP2tBaryw-wKvv4e0/edit?usp=sharing"",""แพร่!R52"")+IMPORTRANGE(""https://docs.google.com/spreadsheets/d/1dQrvX"&amp;"0vEcN7Gu0fnZ0B5S90AeR19zth4XlExFBeExMY/edit?usp=sharing"",""แม่ฮ่องสอน!R52"")+IMPORTRANGE(""https://docs.google.com/spreadsheets/d/1DY4XTNNwjluuxqdfdn6qvOSlMRrZqUtmYcZR0ttFiG4/edit?usp=sharing"",""ลำปาง!R52"")+IMPORTRANGE(""https://docs.google.com/spreads"&amp;"heets/d/1ICwG78r0OFT8biBlxnBF8r7she7gNSzOvJ958PWT09c/edit?usp=sharing"",""ลำพูน!R52"")+IMPORTRANGE(""https://docs.google.com/spreadsheets/d/1B0f2xJpZUC6Z0xXnqKlZtEPzsf6L84eP1r1Q15seqRM/edit?usp=sharing"",""สุโขทัย!R52"")+IMPORTRANGE(""https://docs.google."&amp;"com/spreadsheets/d/1v0b9pFQCsKUVExMei7AgY2yQkdeNQvtOssygGsXbiKo/edit?usp=sharing"",""อุตรดิตถ์!R52"")+IMPORTRANGE(""https://docs.google.com/spreadsheets/d/1UsNK1e-WWiCo2PvGqdNfdme4m17_Ezd3J69EeeiQPD0/edit?usp=sharing"",""อุทัยธานี!R52"")"),0)</f>
        <v>0</v>
      </c>
      <c r="S52" s="46">
        <f ca="1">IFERROR(__xludf.DUMMYFUNCTION("IMPORTRANGE(""https://docs.google.com/spreadsheets/d/1jTcq05yEiRwXcBMLjiodW9e4biSGYWAHcDj22rKWQ3s/edit?usp=sharing"",""กำแพงเพชร!S52"")+IMPORTRANGE(""https://docs.google.com/spreadsheets/d/1KS0zmDSZPk8KnTAbGN-Xk6MtX1YRZD0ldgdt20K4CRk/edit?usp=sharing"","""&amp;"เชียงราย!S52"")+IMPORTRANGE(""https://docs.google.com/spreadsheets/d/1rEDxBtusbi64tE0zunoIbsTVV16HeL0oJ6trHQeQ7K8/edit?usp=sharing"",""เชียงใหม่!S52"")+IMPORTRANGE(""https://docs.google.com/spreadsheets/d/1W6MnUbDkMi6xHnHko_XkFDO9kkuL6Wqyc-6OCDFjW9I/edit?"&amp;"usp=sharing"",""ตาก!S52"")+IMPORTRANGE(""https://docs.google.com/spreadsheets/d/1IQAWArduLkta9LpYo4a_ULsyqdta6-6aDDiwpUnQT6c/edit?usp=sharing"",""นครสวรรค์!S52"")+IMPORTRANGE(""https://docs.google.com/spreadsheets/d/10s13Sk5xrltsiR-Zkbmk5DwIaDIKO8XlbJAfqy"&amp;"T7Gvg/edit?usp=sharing"",""น่าน!S52"")+IMPORTRANGE(""https://docs.google.com/spreadsheets/d/1uu4nAn4Dbi1XREnLKKotUANlKXa7yCgRcgq8HEzQYW8/edit?usp=sharing"",""พะเยา!S52"")+IMPORTRANGE(""https://docs.google.com/spreadsheets/d/1xfJKIQxVOaPDIICqsflNlLu3JacTDk"&amp;"1FP9RH4phX7mI/edit?usp=sharing"",""พิจิตร!S52"")+IMPORTRANGE(""https://docs.google.com/spreadsheets/d/1JtRfZkJMHtEhI5RdRHxYUG4FIZHqKDpNyIuN7A1Q0_k/edit?usp=sharing"",""พิษณุโลก!S52"")+IMPORTRANGE(""https://docs.google.com/spreadsheets/d/1xlcVZWUNn6SuWm0c3"&amp;"07h32SiGkd9BaeQWlAktfD3KO8/edit?usp=sharing"",""เพชรบูรณ์!S52"")+IMPORTRANGE(""https://docs.google.com/spreadsheets/d/1lOVebEIsI9qjGXl6EX66luk7wiuP2tBaryw-wKvv4e0/edit?usp=sharing"",""แพร่!S52"")+IMPORTRANGE(""https://docs.google.com/spreadsheets/d/1dQrvX"&amp;"0vEcN7Gu0fnZ0B5S90AeR19zth4XlExFBeExMY/edit?usp=sharing"",""แม่ฮ่องสอน!S52"")+IMPORTRANGE(""https://docs.google.com/spreadsheets/d/1DY4XTNNwjluuxqdfdn6qvOSlMRrZqUtmYcZR0ttFiG4/edit?usp=sharing"",""ลำปาง!S52"")+IMPORTRANGE(""https://docs.google.com/spreads"&amp;"heets/d/1ICwG78r0OFT8biBlxnBF8r7she7gNSzOvJ958PWT09c/edit?usp=sharing"",""ลำพูน!S52"")+IMPORTRANGE(""https://docs.google.com/spreadsheets/d/1B0f2xJpZUC6Z0xXnqKlZtEPzsf6L84eP1r1Q15seqRM/edit?usp=sharing"",""สุโขทัย!S52"")+IMPORTRANGE(""https://docs.google."&amp;"com/spreadsheets/d/1v0b9pFQCsKUVExMei7AgY2yQkdeNQvtOssygGsXbiKo/edit?usp=sharing"",""อุตรดิตถ์!S52"")+IMPORTRANGE(""https://docs.google.com/spreadsheets/d/1UsNK1e-WWiCo2PvGqdNfdme4m17_Ezd3J69EeeiQPD0/edit?usp=sharing"",""อุทัยธานี!S52"")"),0)</f>
        <v>0</v>
      </c>
      <c r="T52" s="46">
        <f t="shared" ca="1" si="26"/>
        <v>0</v>
      </c>
      <c r="U52" s="46">
        <f t="shared" ca="1" si="27"/>
        <v>0</v>
      </c>
    </row>
    <row r="53" spans="1:21" ht="18.75" x14ac:dyDescent="0.25">
      <c r="A53" s="39"/>
      <c r="B53" s="40"/>
      <c r="C53" s="40"/>
      <c r="D53" s="49" t="s">
        <v>24</v>
      </c>
      <c r="E53" s="40"/>
      <c r="F53" s="40"/>
      <c r="G53" s="42"/>
      <c r="H53" s="43" t="s">
        <v>14</v>
      </c>
      <c r="I53" s="44"/>
      <c r="J53" s="44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x14ac:dyDescent="0.25">
      <c r="A54" s="39"/>
      <c r="B54" s="40"/>
      <c r="C54" s="40"/>
      <c r="D54" s="40"/>
      <c r="E54" s="47" t="s">
        <v>20</v>
      </c>
      <c r="F54" s="40"/>
      <c r="G54" s="42"/>
      <c r="H54" s="43" t="s">
        <v>14</v>
      </c>
      <c r="I54" s="44"/>
      <c r="J54" s="44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804" t="s">
        <v>28</v>
      </c>
      <c r="B56" s="800"/>
      <c r="C56" s="800"/>
      <c r="D56" s="800"/>
      <c r="E56" s="800"/>
      <c r="F56" s="800"/>
      <c r="G56" s="80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805" t="s">
        <v>29</v>
      </c>
      <c r="C57" s="793"/>
      <c r="D57" s="793"/>
      <c r="E57" s="793"/>
      <c r="F57" s="793"/>
      <c r="G57" s="794"/>
      <c r="H57" s="89"/>
      <c r="I57" s="90"/>
      <c r="J57" s="90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101" t="s">
        <v>19</v>
      </c>
      <c r="E59" s="99"/>
      <c r="F59" s="99"/>
      <c r="G59" s="102"/>
      <c r="H59" s="103" t="s">
        <v>14</v>
      </c>
      <c r="I59" s="104"/>
      <c r="J59" s="104"/>
      <c r="K59" s="105"/>
      <c r="L59" s="106">
        <f t="shared" ref="L59:N59" ca="1" si="36">L60+L61</f>
        <v>8691100</v>
      </c>
      <c r="M59" s="106">
        <f t="shared" ca="1" si="36"/>
        <v>8969050</v>
      </c>
      <c r="N59" s="106">
        <f t="shared" ca="1" si="36"/>
        <v>8057351.2999999998</v>
      </c>
      <c r="O59" s="106">
        <f t="shared" ref="O59:O67" ca="1" si="37">IF(L59&gt;0,N59*100/L59,0)</f>
        <v>92.708072626019728</v>
      </c>
      <c r="P59" s="106">
        <f t="shared" ref="P59:P67" ca="1" si="38">IF(M59&gt;0,N59*100/M59,0)</f>
        <v>89.835058339511988</v>
      </c>
      <c r="Q59" s="106">
        <f t="shared" ref="Q59:S59" ca="1" si="39">Q60+Q61</f>
        <v>0</v>
      </c>
      <c r="R59" s="106">
        <f t="shared" ca="1" si="39"/>
        <v>0</v>
      </c>
      <c r="S59" s="106">
        <f t="shared" ca="1" si="39"/>
        <v>0</v>
      </c>
      <c r="T59" s="106">
        <f t="shared" ref="T59:T67" ca="1" si="40">IF(Q59&gt;0,S59*100/Q59,0)</f>
        <v>0</v>
      </c>
      <c r="U59" s="106">
        <f t="shared" ref="U59:U67" ca="1" si="41">IF(R59&gt;0,S59*100/R59,0)</f>
        <v>0</v>
      </c>
    </row>
    <row r="60" spans="1:21" ht="18.75" x14ac:dyDescent="0.25">
      <c r="A60" s="98"/>
      <c r="B60" s="99"/>
      <c r="C60" s="99"/>
      <c r="D60" s="99"/>
      <c r="E60" s="107" t="s">
        <v>20</v>
      </c>
      <c r="F60" s="99"/>
      <c r="G60" s="102"/>
      <c r="H60" s="108" t="s">
        <v>14</v>
      </c>
      <c r="I60" s="104"/>
      <c r="J60" s="104"/>
      <c r="K60" s="105"/>
      <c r="L60" s="109">
        <f t="shared" ref="L60:N60" ca="1" si="42">L63+L66</f>
        <v>0</v>
      </c>
      <c r="M60" s="109">
        <f t="shared" ca="1" si="42"/>
        <v>0</v>
      </c>
      <c r="N60" s="109">
        <f t="shared" ca="1" si="42"/>
        <v>0</v>
      </c>
      <c r="O60" s="109">
        <f t="shared" ca="1" si="37"/>
        <v>0</v>
      </c>
      <c r="P60" s="109">
        <f t="shared" ca="1" si="38"/>
        <v>0</v>
      </c>
      <c r="Q60" s="110">
        <f t="shared" ref="Q60:S60" ca="1" si="43">Q63+Q66</f>
        <v>0</v>
      </c>
      <c r="R60" s="110">
        <f t="shared" ca="1" si="43"/>
        <v>0</v>
      </c>
      <c r="S60" s="110">
        <f t="shared" ca="1" si="43"/>
        <v>0</v>
      </c>
      <c r="T60" s="110">
        <f t="shared" ca="1" si="40"/>
        <v>0</v>
      </c>
      <c r="U60" s="110">
        <f t="shared" ca="1" si="41"/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109">
        <f t="shared" ref="L61:N61" ca="1" si="44">L64+L67</f>
        <v>8691100</v>
      </c>
      <c r="M61" s="109">
        <f t="shared" ca="1" si="44"/>
        <v>8969050</v>
      </c>
      <c r="N61" s="109">
        <f t="shared" ca="1" si="44"/>
        <v>8057351.2999999998</v>
      </c>
      <c r="O61" s="109">
        <f t="shared" ca="1" si="37"/>
        <v>92.708072626019728</v>
      </c>
      <c r="P61" s="109">
        <f t="shared" ca="1" si="38"/>
        <v>89.835058339511988</v>
      </c>
      <c r="Q61" s="109">
        <f t="shared" ref="Q61:S61" ca="1" si="45">Q64+Q67</f>
        <v>0</v>
      </c>
      <c r="R61" s="109">
        <f t="shared" ca="1" si="45"/>
        <v>0</v>
      </c>
      <c r="S61" s="109">
        <f t="shared" ca="1" si="45"/>
        <v>0</v>
      </c>
      <c r="T61" s="109">
        <f t="shared" ca="1" si="40"/>
        <v>0</v>
      </c>
      <c r="U61" s="109">
        <f t="shared" ca="1" si="41"/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46">
        <f t="shared" ref="L62:N62" ca="1" si="46">L63+L64</f>
        <v>8691100</v>
      </c>
      <c r="M62" s="46">
        <f t="shared" ca="1" si="46"/>
        <v>8969050</v>
      </c>
      <c r="N62" s="46">
        <f t="shared" ca="1" si="46"/>
        <v>8057351.2999999998</v>
      </c>
      <c r="O62" s="46">
        <f t="shared" ca="1" si="37"/>
        <v>92.708072626019728</v>
      </c>
      <c r="P62" s="46">
        <f t="shared" ca="1" si="38"/>
        <v>89.835058339511988</v>
      </c>
      <c r="Q62" s="46">
        <f t="shared" ref="Q62:S62" ca="1" si="47">Q63+Q64</f>
        <v>0</v>
      </c>
      <c r="R62" s="46">
        <f t="shared" ca="1" si="47"/>
        <v>0</v>
      </c>
      <c r="S62" s="46">
        <f t="shared" ca="1" si="47"/>
        <v>0</v>
      </c>
      <c r="T62" s="46">
        <f t="shared" ca="1" si="40"/>
        <v>0</v>
      </c>
      <c r="U62" s="46">
        <f t="shared" ca="1" si="41"/>
        <v>0</v>
      </c>
    </row>
    <row r="63" spans="1:21" ht="18.75" x14ac:dyDescent="0.25">
      <c r="A63" s="39"/>
      <c r="B63" s="40"/>
      <c r="C63" s="40"/>
      <c r="D63" s="40"/>
      <c r="E63" s="47" t="s">
        <v>20</v>
      </c>
      <c r="F63" s="40"/>
      <c r="G63" s="42"/>
      <c r="H63" s="43" t="s">
        <v>14</v>
      </c>
      <c r="I63" s="44"/>
      <c r="J63" s="44"/>
      <c r="K63" s="45"/>
      <c r="L63" s="46">
        <f ca="1">IFERROR(__xludf.DUMMYFUNCTION("IMPORTRANGE(""https://docs.google.com/spreadsheets/d/1jTcq05yEiRwXcBMLjiodW9e4biSGYWAHcDj22rKWQ3s/edit?usp=sharing"",""กำแพงเพชร!L63"")+IMPORTRANGE(""https://docs.google.com/spreadsheets/d/1KS0zmDSZPk8KnTAbGN-Xk6MtX1YRZD0ldgdt20K4CRk/edit?usp=sharing"","""&amp;"เชียงราย!L63"")+IMPORTRANGE(""https://docs.google.com/spreadsheets/d/1rEDxBtusbi64tE0zunoIbsTVV16HeL0oJ6trHQeQ7K8/edit?usp=sharing"",""เชียงใหม่!L63"")+IMPORTRANGE(""https://docs.google.com/spreadsheets/d/1W6MnUbDkMi6xHnHko_XkFDO9kkuL6Wqyc-6OCDFjW9I/edit?"&amp;"usp=sharing"",""ตาก!L63"")+IMPORTRANGE(""https://docs.google.com/spreadsheets/d/1IQAWArduLkta9LpYo4a_ULsyqdta6-6aDDiwpUnQT6c/edit?usp=sharing"",""นครสวรรค์!L63"")+IMPORTRANGE(""https://docs.google.com/spreadsheets/d/10s13Sk5xrltsiR-Zkbmk5DwIaDIKO8XlbJAfqy"&amp;"T7Gvg/edit?usp=sharing"",""น่าน!L63"")+IMPORTRANGE(""https://docs.google.com/spreadsheets/d/1uu4nAn4Dbi1XREnLKKotUANlKXa7yCgRcgq8HEzQYW8/edit?usp=sharing"",""พะเยา!L63"")+IMPORTRANGE(""https://docs.google.com/spreadsheets/d/1xfJKIQxVOaPDIICqsflNlLu3JacTDk"&amp;"1FP9RH4phX7mI/edit?usp=sharing"",""พิจิตร!L63"")+IMPORTRANGE(""https://docs.google.com/spreadsheets/d/1JtRfZkJMHtEhI5RdRHxYUG4FIZHqKDpNyIuN7A1Q0_k/edit?usp=sharing"",""พิษณุโลก!L63"")+IMPORTRANGE(""https://docs.google.com/spreadsheets/d/1xlcVZWUNn6SuWm0c3"&amp;"07h32SiGkd9BaeQWlAktfD3KO8/edit?usp=sharing"",""เพชรบูรณ์!L63"")+IMPORTRANGE(""https://docs.google.com/spreadsheets/d/1lOVebEIsI9qjGXl6EX66luk7wiuP2tBaryw-wKvv4e0/edit?usp=sharing"",""แพร่!L63"")+IMPORTRANGE(""https://docs.google.com/spreadsheets/d/1dQrvX"&amp;"0vEcN7Gu0fnZ0B5S90AeR19zth4XlExFBeExMY/edit?usp=sharing"",""แม่ฮ่องสอน!L63"")+IMPORTRANGE(""https://docs.google.com/spreadsheets/d/1DY4XTNNwjluuxqdfdn6qvOSlMRrZqUtmYcZR0ttFiG4/edit?usp=sharing"",""ลำปาง!L63"")+IMPORTRANGE(""https://docs.google.com/spreads"&amp;"heets/d/1ICwG78r0OFT8biBlxnBF8r7she7gNSzOvJ958PWT09c/edit?usp=sharing"",""ลำพูน!L63"")+IMPORTRANGE(""https://docs.google.com/spreadsheets/d/1B0f2xJpZUC6Z0xXnqKlZtEPzsf6L84eP1r1Q15seqRM/edit?usp=sharing"",""สุโขทัย!L63"")+IMPORTRANGE(""https://docs.google."&amp;"com/spreadsheets/d/1v0b9pFQCsKUVExMei7AgY2yQkdeNQvtOssygGsXbiKo/edit?usp=sharing"",""อุตรดิตถ์!L63"")+IMPORTRANGE(""https://docs.google.com/spreadsheets/d/1UsNK1e-WWiCo2PvGqdNfdme4m17_Ezd3J69EeeiQPD0/edit?usp=sharing"",""อุทัยธานี!L63"")"),0)</f>
        <v>0</v>
      </c>
      <c r="M63" s="46">
        <f ca="1">IFERROR(__xludf.DUMMYFUNCTION("IMPORTRANGE(""https://docs.google.com/spreadsheets/d/1jTcq05yEiRwXcBMLjiodW9e4biSGYWAHcDj22rKWQ3s/edit?usp=sharing"",""กำแพงเพชร!M63"")+IMPORTRANGE(""https://docs.google.com/spreadsheets/d/1KS0zmDSZPk8KnTAbGN-Xk6MtX1YRZD0ldgdt20K4CRk/edit?usp=sharing"","""&amp;"เชียงราย!M63"")+IMPORTRANGE(""https://docs.google.com/spreadsheets/d/1rEDxBtusbi64tE0zunoIbsTVV16HeL0oJ6trHQeQ7K8/edit?usp=sharing"",""เชียงใหม่!M63"")+IMPORTRANGE(""https://docs.google.com/spreadsheets/d/1W6MnUbDkMi6xHnHko_XkFDO9kkuL6Wqyc-6OCDFjW9I/edit?"&amp;"usp=sharing"",""ตาก!M63"")+IMPORTRANGE(""https://docs.google.com/spreadsheets/d/1IQAWArduLkta9LpYo4a_ULsyqdta6-6aDDiwpUnQT6c/edit?usp=sharing"",""นครสวรรค์!M63"")+IMPORTRANGE(""https://docs.google.com/spreadsheets/d/10s13Sk5xrltsiR-Zkbmk5DwIaDIKO8XlbJAfqy"&amp;"T7Gvg/edit?usp=sharing"",""น่าน!M63"")+IMPORTRANGE(""https://docs.google.com/spreadsheets/d/1uu4nAn4Dbi1XREnLKKotUANlKXa7yCgRcgq8HEzQYW8/edit?usp=sharing"",""พะเยา!M63"")+IMPORTRANGE(""https://docs.google.com/spreadsheets/d/1xfJKIQxVOaPDIICqsflNlLu3JacTDk"&amp;"1FP9RH4phX7mI/edit?usp=sharing"",""พิจิตร!M63"")+IMPORTRANGE(""https://docs.google.com/spreadsheets/d/1JtRfZkJMHtEhI5RdRHxYUG4FIZHqKDpNyIuN7A1Q0_k/edit?usp=sharing"",""พิษณุโลก!M63"")+IMPORTRANGE(""https://docs.google.com/spreadsheets/d/1xlcVZWUNn6SuWm0c3"&amp;"07h32SiGkd9BaeQWlAktfD3KO8/edit?usp=sharing"",""เพชรบูรณ์!M63"")+IMPORTRANGE(""https://docs.google.com/spreadsheets/d/1lOVebEIsI9qjGXl6EX66luk7wiuP2tBaryw-wKvv4e0/edit?usp=sharing"",""แพร่!M63"")+IMPORTRANGE(""https://docs.google.com/spreadsheets/d/1dQrvX"&amp;"0vEcN7Gu0fnZ0B5S90AeR19zth4XlExFBeExMY/edit?usp=sharing"",""แม่ฮ่องสอน!M63"")+IMPORTRANGE(""https://docs.google.com/spreadsheets/d/1DY4XTNNwjluuxqdfdn6qvOSlMRrZqUtmYcZR0ttFiG4/edit?usp=sharing"",""ลำปาง!M63"")+IMPORTRANGE(""https://docs.google.com/spreads"&amp;"heets/d/1ICwG78r0OFT8biBlxnBF8r7she7gNSzOvJ958PWT09c/edit?usp=sharing"",""ลำพูน!M63"")+IMPORTRANGE(""https://docs.google.com/spreadsheets/d/1B0f2xJpZUC6Z0xXnqKlZtEPzsf6L84eP1r1Q15seqRM/edit?usp=sharing"",""สุโขทัย!M63"")+IMPORTRANGE(""https://docs.google."&amp;"com/spreadsheets/d/1v0b9pFQCsKUVExMei7AgY2yQkdeNQvtOssygGsXbiKo/edit?usp=sharing"",""อุตรดิตถ์!M63"")+IMPORTRANGE(""https://docs.google.com/spreadsheets/d/1UsNK1e-WWiCo2PvGqdNfdme4m17_Ezd3J69EeeiQPD0/edit?usp=sharing"",""อุทัยธานี!M63"")"),0)</f>
        <v>0</v>
      </c>
      <c r="N63" s="46">
        <f ca="1">IFERROR(__xludf.DUMMYFUNCTION("IMPORTRANGE(""https://docs.google.com/spreadsheets/d/1jTcq05yEiRwXcBMLjiodW9e4biSGYWAHcDj22rKWQ3s/edit?usp=sharing"",""กำแพงเพชร!N63"")+IMPORTRANGE(""https://docs.google.com/spreadsheets/d/1KS0zmDSZPk8KnTAbGN-Xk6MtX1YRZD0ldgdt20K4CRk/edit?usp=sharing"","""&amp;"เชียงราย!N63"")+IMPORTRANGE(""https://docs.google.com/spreadsheets/d/1rEDxBtusbi64tE0zunoIbsTVV16HeL0oJ6trHQeQ7K8/edit?usp=sharing"",""เชียงใหม่!N63"")+IMPORTRANGE(""https://docs.google.com/spreadsheets/d/1W6MnUbDkMi6xHnHko_XkFDO9kkuL6Wqyc-6OCDFjW9I/edit?"&amp;"usp=sharing"",""ตาก!N63"")+IMPORTRANGE(""https://docs.google.com/spreadsheets/d/1IQAWArduLkta9LpYo4a_ULsyqdta6-6aDDiwpUnQT6c/edit?usp=sharing"",""นครสวรรค์!N63"")+IMPORTRANGE(""https://docs.google.com/spreadsheets/d/10s13Sk5xrltsiR-Zkbmk5DwIaDIKO8XlbJAfqy"&amp;"T7Gvg/edit?usp=sharing"",""น่าน!N63"")+IMPORTRANGE(""https://docs.google.com/spreadsheets/d/1uu4nAn4Dbi1XREnLKKotUANlKXa7yCgRcgq8HEzQYW8/edit?usp=sharing"",""พะเยา!N63"")+IMPORTRANGE(""https://docs.google.com/spreadsheets/d/1xfJKIQxVOaPDIICqsflNlLu3JacTDk"&amp;"1FP9RH4phX7mI/edit?usp=sharing"",""พิจิตร!N63"")+IMPORTRANGE(""https://docs.google.com/spreadsheets/d/1JtRfZkJMHtEhI5RdRHxYUG4FIZHqKDpNyIuN7A1Q0_k/edit?usp=sharing"",""พิษณุโลก!N63"")+IMPORTRANGE(""https://docs.google.com/spreadsheets/d/1xlcVZWUNn6SuWm0c3"&amp;"07h32SiGkd9BaeQWlAktfD3KO8/edit?usp=sharing"",""เพชรบูรณ์!N63"")+IMPORTRANGE(""https://docs.google.com/spreadsheets/d/1lOVebEIsI9qjGXl6EX66luk7wiuP2tBaryw-wKvv4e0/edit?usp=sharing"",""แพร่!N63"")+IMPORTRANGE(""https://docs.google.com/spreadsheets/d/1dQrvX"&amp;"0vEcN7Gu0fnZ0B5S90AeR19zth4XlExFBeExMY/edit?usp=sharing"",""แม่ฮ่องสอน!N63"")+IMPORTRANGE(""https://docs.google.com/spreadsheets/d/1DY4XTNNwjluuxqdfdn6qvOSlMRrZqUtmYcZR0ttFiG4/edit?usp=sharing"",""ลำปาง!N63"")+IMPORTRANGE(""https://docs.google.com/spreads"&amp;"heets/d/1ICwG78r0OFT8biBlxnBF8r7she7gNSzOvJ958PWT09c/edit?usp=sharing"",""ลำพูน!N63"")+IMPORTRANGE(""https://docs.google.com/spreadsheets/d/1B0f2xJpZUC6Z0xXnqKlZtEPzsf6L84eP1r1Q15seqRM/edit?usp=sharing"",""สุโขทัย!N63"")+IMPORTRANGE(""https://docs.google."&amp;"com/spreadsheets/d/1v0b9pFQCsKUVExMei7AgY2yQkdeNQvtOssygGsXbiKo/edit?usp=sharing"",""อุตรดิตถ์!N63"")+IMPORTRANGE(""https://docs.google.com/spreadsheets/d/1UsNK1e-WWiCo2PvGqdNfdme4m17_Ezd3J69EeeiQPD0/edit?usp=sharing"",""อุทัยธานี!N63"")"),0)</f>
        <v>0</v>
      </c>
      <c r="O63" s="46">
        <f t="shared" ca="1" si="37"/>
        <v>0</v>
      </c>
      <c r="P63" s="46">
        <f t="shared" ca="1" si="38"/>
        <v>0</v>
      </c>
      <c r="Q63" s="48">
        <f ca="1">IFERROR(__xludf.DUMMYFUNCTION("IMPORTRANGE(""https://docs.google.com/spreadsheets/d/1jTcq05yEiRwXcBMLjiodW9e4biSGYWAHcDj22rKWQ3s/edit?usp=sharing"",""กำแพงเพชร!Q63"")+IMPORTRANGE(""https://docs.google.com/spreadsheets/d/1KS0zmDSZPk8KnTAbGN-Xk6MtX1YRZD0ldgdt20K4CRk/edit?usp=sharing"","""&amp;"เชียงราย!Q63"")+IMPORTRANGE(""https://docs.google.com/spreadsheets/d/1rEDxBtusbi64tE0zunoIbsTVV16HeL0oJ6trHQeQ7K8/edit?usp=sharing"",""เชียงใหม่!Q63"")+IMPORTRANGE(""https://docs.google.com/spreadsheets/d/1W6MnUbDkMi6xHnHko_XkFDO9kkuL6Wqyc-6OCDFjW9I/edit?"&amp;"usp=sharing"",""ตาก!Q63"")+IMPORTRANGE(""https://docs.google.com/spreadsheets/d/1IQAWArduLkta9LpYo4a_ULsyqdta6-6aDDiwpUnQT6c/edit?usp=sharing"",""นครสวรรค์!Q63"")+IMPORTRANGE(""https://docs.google.com/spreadsheets/d/10s13Sk5xrltsiR-Zkbmk5DwIaDIKO8XlbJAfqy"&amp;"T7Gvg/edit?usp=sharing"",""น่าน!Q63"")+IMPORTRANGE(""https://docs.google.com/spreadsheets/d/1uu4nAn4Dbi1XREnLKKotUANlKXa7yCgRcgq8HEzQYW8/edit?usp=sharing"",""พะเยา!Q63"")+IMPORTRANGE(""https://docs.google.com/spreadsheets/d/1xfJKIQxVOaPDIICqsflNlLu3JacTDk"&amp;"1FP9RH4phX7mI/edit?usp=sharing"",""พิจิตร!Q63"")+IMPORTRANGE(""https://docs.google.com/spreadsheets/d/1JtRfZkJMHtEhI5RdRHxYUG4FIZHqKDpNyIuN7A1Q0_k/edit?usp=sharing"",""พิษณุโลก!Q63"")+IMPORTRANGE(""https://docs.google.com/spreadsheets/d/1xlcVZWUNn6SuWm0c3"&amp;"07h32SiGkd9BaeQWlAktfD3KO8/edit?usp=sharing"",""เพชรบูรณ์!Q63"")+IMPORTRANGE(""https://docs.google.com/spreadsheets/d/1lOVebEIsI9qjGXl6EX66luk7wiuP2tBaryw-wKvv4e0/edit?usp=sharing"",""แพร่!Q63"")+IMPORTRANGE(""https://docs.google.com/spreadsheets/d/1dQrvX"&amp;"0vEcN7Gu0fnZ0B5S90AeR19zth4XlExFBeExMY/edit?usp=sharing"",""แม่ฮ่องสอน!Q63"")+IMPORTRANGE(""https://docs.google.com/spreadsheets/d/1DY4XTNNwjluuxqdfdn6qvOSlMRrZqUtmYcZR0ttFiG4/edit?usp=sharing"",""ลำปาง!Q63"")+IMPORTRANGE(""https://docs.google.com/spreads"&amp;"heets/d/1ICwG78r0OFT8biBlxnBF8r7she7gNSzOvJ958PWT09c/edit?usp=sharing"",""ลำพูน!Q63"")+IMPORTRANGE(""https://docs.google.com/spreadsheets/d/1B0f2xJpZUC6Z0xXnqKlZtEPzsf6L84eP1r1Q15seqRM/edit?usp=sharing"",""สุโขทัย!Q63"")+IMPORTRANGE(""https://docs.google."&amp;"com/spreadsheets/d/1v0b9pFQCsKUVExMei7AgY2yQkdeNQvtOssygGsXbiKo/edit?usp=sharing"",""อุตรดิตถ์!Q63"")+IMPORTRANGE(""https://docs.google.com/spreadsheets/d/1UsNK1e-WWiCo2PvGqdNfdme4m17_Ezd3J69EeeiQPD0/edit?usp=sharing"",""อุทัยธานี!Q63"")"),0)</f>
        <v>0</v>
      </c>
      <c r="R63" s="48">
        <f ca="1">IFERROR(__xludf.DUMMYFUNCTION("IMPORTRANGE(""https://docs.google.com/spreadsheets/d/1jTcq05yEiRwXcBMLjiodW9e4biSGYWAHcDj22rKWQ3s/edit?usp=sharing"",""กำแพงเพชร!R63"")+IMPORTRANGE(""https://docs.google.com/spreadsheets/d/1KS0zmDSZPk8KnTAbGN-Xk6MtX1YRZD0ldgdt20K4CRk/edit?usp=sharing"","""&amp;"เชียงราย!R63"")+IMPORTRANGE(""https://docs.google.com/spreadsheets/d/1rEDxBtusbi64tE0zunoIbsTVV16HeL0oJ6trHQeQ7K8/edit?usp=sharing"",""เชียงใหม่!R63"")+IMPORTRANGE(""https://docs.google.com/spreadsheets/d/1W6MnUbDkMi6xHnHko_XkFDO9kkuL6Wqyc-6OCDFjW9I/edit?"&amp;"usp=sharing"",""ตาก!R63"")+IMPORTRANGE(""https://docs.google.com/spreadsheets/d/1IQAWArduLkta9LpYo4a_ULsyqdta6-6aDDiwpUnQT6c/edit?usp=sharing"",""นครสวรรค์!R63"")+IMPORTRANGE(""https://docs.google.com/spreadsheets/d/10s13Sk5xrltsiR-Zkbmk5DwIaDIKO8XlbJAfqy"&amp;"T7Gvg/edit?usp=sharing"",""น่าน!R63"")+IMPORTRANGE(""https://docs.google.com/spreadsheets/d/1uu4nAn4Dbi1XREnLKKotUANlKXa7yCgRcgq8HEzQYW8/edit?usp=sharing"",""พะเยา!R63"")+IMPORTRANGE(""https://docs.google.com/spreadsheets/d/1xfJKIQxVOaPDIICqsflNlLu3JacTDk"&amp;"1FP9RH4phX7mI/edit?usp=sharing"",""พิจิตร!R63"")+IMPORTRANGE(""https://docs.google.com/spreadsheets/d/1JtRfZkJMHtEhI5RdRHxYUG4FIZHqKDpNyIuN7A1Q0_k/edit?usp=sharing"",""พิษณุโลก!R63"")+IMPORTRANGE(""https://docs.google.com/spreadsheets/d/1xlcVZWUNn6SuWm0c3"&amp;"07h32SiGkd9BaeQWlAktfD3KO8/edit?usp=sharing"",""เพชรบูรณ์!R63"")+IMPORTRANGE(""https://docs.google.com/spreadsheets/d/1lOVebEIsI9qjGXl6EX66luk7wiuP2tBaryw-wKvv4e0/edit?usp=sharing"",""แพร่!R63"")+IMPORTRANGE(""https://docs.google.com/spreadsheets/d/1dQrvX"&amp;"0vEcN7Gu0fnZ0B5S90AeR19zth4XlExFBeExMY/edit?usp=sharing"",""แม่ฮ่องสอน!R63"")+IMPORTRANGE(""https://docs.google.com/spreadsheets/d/1DY4XTNNwjluuxqdfdn6qvOSlMRrZqUtmYcZR0ttFiG4/edit?usp=sharing"",""ลำปาง!R63"")+IMPORTRANGE(""https://docs.google.com/spreads"&amp;"heets/d/1ICwG78r0OFT8biBlxnBF8r7she7gNSzOvJ958PWT09c/edit?usp=sharing"",""ลำพูน!R63"")+IMPORTRANGE(""https://docs.google.com/spreadsheets/d/1B0f2xJpZUC6Z0xXnqKlZtEPzsf6L84eP1r1Q15seqRM/edit?usp=sharing"",""สุโขทัย!R63"")+IMPORTRANGE(""https://docs.google."&amp;"com/spreadsheets/d/1v0b9pFQCsKUVExMei7AgY2yQkdeNQvtOssygGsXbiKo/edit?usp=sharing"",""อุตรดิตถ์!R63"")+IMPORTRANGE(""https://docs.google.com/spreadsheets/d/1UsNK1e-WWiCo2PvGqdNfdme4m17_Ezd3J69EeeiQPD0/edit?usp=sharing"",""อุทัยธานี!R63"")"),0)</f>
        <v>0</v>
      </c>
      <c r="S63" s="48">
        <f ca="1">IFERROR(__xludf.DUMMYFUNCTION("IMPORTRANGE(""https://docs.google.com/spreadsheets/d/1jTcq05yEiRwXcBMLjiodW9e4biSGYWAHcDj22rKWQ3s/edit?usp=sharing"",""กำแพงเพชร!S63"")+IMPORTRANGE(""https://docs.google.com/spreadsheets/d/1KS0zmDSZPk8KnTAbGN-Xk6MtX1YRZD0ldgdt20K4CRk/edit?usp=sharing"","""&amp;"เชียงราย!S63"")+IMPORTRANGE(""https://docs.google.com/spreadsheets/d/1rEDxBtusbi64tE0zunoIbsTVV16HeL0oJ6trHQeQ7K8/edit?usp=sharing"",""เชียงใหม่!S63"")+IMPORTRANGE(""https://docs.google.com/spreadsheets/d/1W6MnUbDkMi6xHnHko_XkFDO9kkuL6Wqyc-6OCDFjW9I/edit?"&amp;"usp=sharing"",""ตาก!S63"")+IMPORTRANGE(""https://docs.google.com/spreadsheets/d/1IQAWArduLkta9LpYo4a_ULsyqdta6-6aDDiwpUnQT6c/edit?usp=sharing"",""นครสวรรค์!S63"")+IMPORTRANGE(""https://docs.google.com/spreadsheets/d/10s13Sk5xrltsiR-Zkbmk5DwIaDIKO8XlbJAfqy"&amp;"T7Gvg/edit?usp=sharing"",""น่าน!S63"")+IMPORTRANGE(""https://docs.google.com/spreadsheets/d/1uu4nAn4Dbi1XREnLKKotUANlKXa7yCgRcgq8HEzQYW8/edit?usp=sharing"",""พะเยา!S63"")+IMPORTRANGE(""https://docs.google.com/spreadsheets/d/1xfJKIQxVOaPDIICqsflNlLu3JacTDk"&amp;"1FP9RH4phX7mI/edit?usp=sharing"",""พิจิตร!S63"")+IMPORTRANGE(""https://docs.google.com/spreadsheets/d/1JtRfZkJMHtEhI5RdRHxYUG4FIZHqKDpNyIuN7A1Q0_k/edit?usp=sharing"",""พิษณุโลก!S63"")+IMPORTRANGE(""https://docs.google.com/spreadsheets/d/1xlcVZWUNn6SuWm0c3"&amp;"07h32SiGkd9BaeQWlAktfD3KO8/edit?usp=sharing"",""เพชรบูรณ์!S63"")+IMPORTRANGE(""https://docs.google.com/spreadsheets/d/1lOVebEIsI9qjGXl6EX66luk7wiuP2tBaryw-wKvv4e0/edit?usp=sharing"",""แพร่!S63"")+IMPORTRANGE(""https://docs.google.com/spreadsheets/d/1dQrvX"&amp;"0vEcN7Gu0fnZ0B5S90AeR19zth4XlExFBeExMY/edit?usp=sharing"",""แม่ฮ่องสอน!S63"")+IMPORTRANGE(""https://docs.google.com/spreadsheets/d/1DY4XTNNwjluuxqdfdn6qvOSlMRrZqUtmYcZR0ttFiG4/edit?usp=sharing"",""ลำปาง!S63"")+IMPORTRANGE(""https://docs.google.com/spreads"&amp;"heets/d/1ICwG78r0OFT8biBlxnBF8r7she7gNSzOvJ958PWT09c/edit?usp=sharing"",""ลำพูน!S63"")+IMPORTRANGE(""https://docs.google.com/spreadsheets/d/1B0f2xJpZUC6Z0xXnqKlZtEPzsf6L84eP1r1Q15seqRM/edit?usp=sharing"",""สุโขทัย!S63"")+IMPORTRANGE(""https://docs.google."&amp;"com/spreadsheets/d/1v0b9pFQCsKUVExMei7AgY2yQkdeNQvtOssygGsXbiKo/edit?usp=sharing"",""อุตรดิตถ์!S63"")+IMPORTRANGE(""https://docs.google.com/spreadsheets/d/1UsNK1e-WWiCo2PvGqdNfdme4m17_Ezd3J69EeeiQPD0/edit?usp=sharing"",""อุทัยธานี!S63"")"),0)</f>
        <v>0</v>
      </c>
      <c r="T63" s="48">
        <f t="shared" ca="1" si="40"/>
        <v>0</v>
      </c>
      <c r="U63" s="48">
        <f t="shared" ca="1" si="41"/>
        <v>0</v>
      </c>
    </row>
    <row r="64" spans="1:21" ht="18.75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46">
        <f ca="1">IFERROR(__xludf.DUMMYFUNCTION("IMPORTRANGE(""https://docs.google.com/spreadsheets/d/1jTcq05yEiRwXcBMLjiodW9e4biSGYWAHcDj22rKWQ3s/edit?usp=sharing"",""กำแพงเพชร!L64"")+IMPORTRANGE(""https://docs.google.com/spreadsheets/d/1KS0zmDSZPk8KnTAbGN-Xk6MtX1YRZD0ldgdt20K4CRk/edit?usp=sharing"","""&amp;"เชียงราย!L64"")+IMPORTRANGE(""https://docs.google.com/spreadsheets/d/1rEDxBtusbi64tE0zunoIbsTVV16HeL0oJ6trHQeQ7K8/edit?usp=sharing"",""เชียงใหม่!L64"")+IMPORTRANGE(""https://docs.google.com/spreadsheets/d/1W6MnUbDkMi6xHnHko_XkFDO9kkuL6Wqyc-6OCDFjW9I/edit?"&amp;"usp=sharing"",""ตาก!L64"")+IMPORTRANGE(""https://docs.google.com/spreadsheets/d/1IQAWArduLkta9LpYo4a_ULsyqdta6-6aDDiwpUnQT6c/edit?usp=sharing"",""นครสวรรค์!L64"")+IMPORTRANGE(""https://docs.google.com/spreadsheets/d/10s13Sk5xrltsiR-Zkbmk5DwIaDIKO8XlbJAfqy"&amp;"T7Gvg/edit?usp=sharing"",""น่าน!L64"")+IMPORTRANGE(""https://docs.google.com/spreadsheets/d/1uu4nAn4Dbi1XREnLKKotUANlKXa7yCgRcgq8HEzQYW8/edit?usp=sharing"",""พะเยา!L64"")+IMPORTRANGE(""https://docs.google.com/spreadsheets/d/1xfJKIQxVOaPDIICqsflNlLu3JacTDk"&amp;"1FP9RH4phX7mI/edit?usp=sharing"",""พิจิตร!L64"")+IMPORTRANGE(""https://docs.google.com/spreadsheets/d/1JtRfZkJMHtEhI5RdRHxYUG4FIZHqKDpNyIuN7A1Q0_k/edit?usp=sharing"",""พิษณุโลก!L64"")+IMPORTRANGE(""https://docs.google.com/spreadsheets/d/1xlcVZWUNn6SuWm0c3"&amp;"07h32SiGkd9BaeQWlAktfD3KO8/edit?usp=sharing"",""เพชรบูรณ์!L64"")+IMPORTRANGE(""https://docs.google.com/spreadsheets/d/1lOVebEIsI9qjGXl6EX66luk7wiuP2tBaryw-wKvv4e0/edit?usp=sharing"",""แพร่!L64"")+IMPORTRANGE(""https://docs.google.com/spreadsheets/d/1dQrvX"&amp;"0vEcN7Gu0fnZ0B5S90AeR19zth4XlExFBeExMY/edit?usp=sharing"",""แม่ฮ่องสอน!L64"")+IMPORTRANGE(""https://docs.google.com/spreadsheets/d/1DY4XTNNwjluuxqdfdn6qvOSlMRrZqUtmYcZR0ttFiG4/edit?usp=sharing"",""ลำปาง!L64"")+IMPORTRANGE(""https://docs.google.com/spreads"&amp;"heets/d/1ICwG78r0OFT8biBlxnBF8r7she7gNSzOvJ958PWT09c/edit?usp=sharing"",""ลำพูน!L64"")+IMPORTRANGE(""https://docs.google.com/spreadsheets/d/1B0f2xJpZUC6Z0xXnqKlZtEPzsf6L84eP1r1Q15seqRM/edit?usp=sharing"",""สุโขทัย!L64"")+IMPORTRANGE(""https://docs.google."&amp;"com/spreadsheets/d/1v0b9pFQCsKUVExMei7AgY2yQkdeNQvtOssygGsXbiKo/edit?usp=sharing"",""อุตรดิตถ์!L64"")+IMPORTRANGE(""https://docs.google.com/spreadsheets/d/1UsNK1e-WWiCo2PvGqdNfdme4m17_Ezd3J69EeeiQPD0/edit?usp=sharing"",""อุทัยธานี!L64"")"),8691100)</f>
        <v>8691100</v>
      </c>
      <c r="M64" s="46">
        <f ca="1">IFERROR(__xludf.DUMMYFUNCTION("IMPORTRANGE(""https://docs.google.com/spreadsheets/d/1jTcq05yEiRwXcBMLjiodW9e4biSGYWAHcDj22rKWQ3s/edit?usp=sharing"",""กำแพงเพชร!M64"")+IMPORTRANGE(""https://docs.google.com/spreadsheets/d/1KS0zmDSZPk8KnTAbGN-Xk6MtX1YRZD0ldgdt20K4CRk/edit?usp=sharing"","""&amp;"เชียงราย!M64"")+IMPORTRANGE(""https://docs.google.com/spreadsheets/d/1rEDxBtusbi64tE0zunoIbsTVV16HeL0oJ6trHQeQ7K8/edit?usp=sharing"",""เชียงใหม่!M64"")+IMPORTRANGE(""https://docs.google.com/spreadsheets/d/1W6MnUbDkMi6xHnHko_XkFDO9kkuL6Wqyc-6OCDFjW9I/edit?"&amp;"usp=sharing"",""ตาก!M64"")+IMPORTRANGE(""https://docs.google.com/spreadsheets/d/1IQAWArduLkta9LpYo4a_ULsyqdta6-6aDDiwpUnQT6c/edit?usp=sharing"",""นครสวรรค์!M64"")+IMPORTRANGE(""https://docs.google.com/spreadsheets/d/10s13Sk5xrltsiR-Zkbmk5DwIaDIKO8XlbJAfqy"&amp;"T7Gvg/edit?usp=sharing"",""น่าน!M64"")+IMPORTRANGE(""https://docs.google.com/spreadsheets/d/1uu4nAn4Dbi1XREnLKKotUANlKXa7yCgRcgq8HEzQYW8/edit?usp=sharing"",""พะเยา!M64"")+IMPORTRANGE(""https://docs.google.com/spreadsheets/d/1xfJKIQxVOaPDIICqsflNlLu3JacTDk"&amp;"1FP9RH4phX7mI/edit?usp=sharing"",""พิจิตร!M64"")+IMPORTRANGE(""https://docs.google.com/spreadsheets/d/1JtRfZkJMHtEhI5RdRHxYUG4FIZHqKDpNyIuN7A1Q0_k/edit?usp=sharing"",""พิษณุโลก!M64"")+IMPORTRANGE(""https://docs.google.com/spreadsheets/d/1xlcVZWUNn6SuWm0c3"&amp;"07h32SiGkd9BaeQWlAktfD3KO8/edit?usp=sharing"",""เพชรบูรณ์!M64"")+IMPORTRANGE(""https://docs.google.com/spreadsheets/d/1lOVebEIsI9qjGXl6EX66luk7wiuP2tBaryw-wKvv4e0/edit?usp=sharing"",""แพร่!M64"")+IMPORTRANGE(""https://docs.google.com/spreadsheets/d/1dQrvX"&amp;"0vEcN7Gu0fnZ0B5S90AeR19zth4XlExFBeExMY/edit?usp=sharing"",""แม่ฮ่องสอน!M64"")+IMPORTRANGE(""https://docs.google.com/spreadsheets/d/1DY4XTNNwjluuxqdfdn6qvOSlMRrZqUtmYcZR0ttFiG4/edit?usp=sharing"",""ลำปาง!M64"")+IMPORTRANGE(""https://docs.google.com/spreads"&amp;"heets/d/1ICwG78r0OFT8biBlxnBF8r7she7gNSzOvJ958PWT09c/edit?usp=sharing"",""ลำพูน!M64"")+IMPORTRANGE(""https://docs.google.com/spreadsheets/d/1B0f2xJpZUC6Z0xXnqKlZtEPzsf6L84eP1r1Q15seqRM/edit?usp=sharing"",""สุโขทัย!M64"")+IMPORTRANGE(""https://docs.google."&amp;"com/spreadsheets/d/1v0b9pFQCsKUVExMei7AgY2yQkdeNQvtOssygGsXbiKo/edit?usp=sharing"",""อุตรดิตถ์!M64"")+IMPORTRANGE(""https://docs.google.com/spreadsheets/d/1UsNK1e-WWiCo2PvGqdNfdme4m17_Ezd3J69EeeiQPD0/edit?usp=sharing"",""อุทัยธานี!M64"")"),8969050)</f>
        <v>8969050</v>
      </c>
      <c r="N64" s="46">
        <f ca="1">IFERROR(__xludf.DUMMYFUNCTION("IMPORTRANGE(""https://docs.google.com/spreadsheets/d/1jTcq05yEiRwXcBMLjiodW9e4biSGYWAHcDj22rKWQ3s/edit?usp=sharing"",""กำแพงเพชร!N64"")+IMPORTRANGE(""https://docs.google.com/spreadsheets/d/1KS0zmDSZPk8KnTAbGN-Xk6MtX1YRZD0ldgdt20K4CRk/edit?usp=sharing"","""&amp;"เชียงราย!N64"")+IMPORTRANGE(""https://docs.google.com/spreadsheets/d/1rEDxBtusbi64tE0zunoIbsTVV16HeL0oJ6trHQeQ7K8/edit?usp=sharing"",""เชียงใหม่!N64"")+IMPORTRANGE(""https://docs.google.com/spreadsheets/d/1W6MnUbDkMi6xHnHko_XkFDO9kkuL6Wqyc-6OCDFjW9I/edit?"&amp;"usp=sharing"",""ตาก!N64"")+IMPORTRANGE(""https://docs.google.com/spreadsheets/d/1IQAWArduLkta9LpYo4a_ULsyqdta6-6aDDiwpUnQT6c/edit?usp=sharing"",""นครสวรรค์!N64"")+IMPORTRANGE(""https://docs.google.com/spreadsheets/d/10s13Sk5xrltsiR-Zkbmk5DwIaDIKO8XlbJAfqy"&amp;"T7Gvg/edit?usp=sharing"",""น่าน!N64"")+IMPORTRANGE(""https://docs.google.com/spreadsheets/d/1uu4nAn4Dbi1XREnLKKotUANlKXa7yCgRcgq8HEzQYW8/edit?usp=sharing"",""พะเยา!N64"")+IMPORTRANGE(""https://docs.google.com/spreadsheets/d/1xfJKIQxVOaPDIICqsflNlLu3JacTDk"&amp;"1FP9RH4phX7mI/edit?usp=sharing"",""พิจิตร!N64"")+IMPORTRANGE(""https://docs.google.com/spreadsheets/d/1JtRfZkJMHtEhI5RdRHxYUG4FIZHqKDpNyIuN7A1Q0_k/edit?usp=sharing"",""พิษณุโลก!N64"")+IMPORTRANGE(""https://docs.google.com/spreadsheets/d/1xlcVZWUNn6SuWm0c3"&amp;"07h32SiGkd9BaeQWlAktfD3KO8/edit?usp=sharing"",""เพชรบูรณ์!N64"")+IMPORTRANGE(""https://docs.google.com/spreadsheets/d/1lOVebEIsI9qjGXl6EX66luk7wiuP2tBaryw-wKvv4e0/edit?usp=sharing"",""แพร่!N64"")+IMPORTRANGE(""https://docs.google.com/spreadsheets/d/1dQrvX"&amp;"0vEcN7Gu0fnZ0B5S90AeR19zth4XlExFBeExMY/edit?usp=sharing"",""แม่ฮ่องสอน!N64"")+IMPORTRANGE(""https://docs.google.com/spreadsheets/d/1DY4XTNNwjluuxqdfdn6qvOSlMRrZqUtmYcZR0ttFiG4/edit?usp=sharing"",""ลำปาง!N64"")+IMPORTRANGE(""https://docs.google.com/spreads"&amp;"heets/d/1ICwG78r0OFT8biBlxnBF8r7she7gNSzOvJ958PWT09c/edit?usp=sharing"",""ลำพูน!N64"")+IMPORTRANGE(""https://docs.google.com/spreadsheets/d/1B0f2xJpZUC6Z0xXnqKlZtEPzsf6L84eP1r1Q15seqRM/edit?usp=sharing"",""สุโขทัย!N64"")+IMPORTRANGE(""https://docs.google."&amp;"com/spreadsheets/d/1v0b9pFQCsKUVExMei7AgY2yQkdeNQvtOssygGsXbiKo/edit?usp=sharing"",""อุตรดิตถ์!N64"")+IMPORTRANGE(""https://docs.google.com/spreadsheets/d/1UsNK1e-WWiCo2PvGqdNfdme4m17_Ezd3J69EeeiQPD0/edit?usp=sharing"",""อุทัยธานี!N64"")"),8057351.3)</f>
        <v>8057351.2999999998</v>
      </c>
      <c r="O64" s="46">
        <f t="shared" ca="1" si="37"/>
        <v>92.708072626019728</v>
      </c>
      <c r="P64" s="46">
        <f t="shared" ca="1" si="38"/>
        <v>89.835058339511988</v>
      </c>
      <c r="Q64" s="46">
        <f ca="1">IFERROR(__xludf.DUMMYFUNCTION("IMPORTRANGE(""https://docs.google.com/spreadsheets/d/1jTcq05yEiRwXcBMLjiodW9e4biSGYWAHcDj22rKWQ3s/edit?usp=sharing"",""กำแพงเพชร!Q64"")+IMPORTRANGE(""https://docs.google.com/spreadsheets/d/1KS0zmDSZPk8KnTAbGN-Xk6MtX1YRZD0ldgdt20K4CRk/edit?usp=sharing"","""&amp;"เชียงราย!Q64"")+IMPORTRANGE(""https://docs.google.com/spreadsheets/d/1rEDxBtusbi64tE0zunoIbsTVV16HeL0oJ6trHQeQ7K8/edit?usp=sharing"",""เชียงใหม่!Q64"")+IMPORTRANGE(""https://docs.google.com/spreadsheets/d/1W6MnUbDkMi6xHnHko_XkFDO9kkuL6Wqyc-6OCDFjW9I/edit?"&amp;"usp=sharing"",""ตาก!Q64"")+IMPORTRANGE(""https://docs.google.com/spreadsheets/d/1IQAWArduLkta9LpYo4a_ULsyqdta6-6aDDiwpUnQT6c/edit?usp=sharing"",""นครสวรรค์!Q64"")+IMPORTRANGE(""https://docs.google.com/spreadsheets/d/10s13Sk5xrltsiR-Zkbmk5DwIaDIKO8XlbJAfqy"&amp;"T7Gvg/edit?usp=sharing"",""น่าน!Q64"")+IMPORTRANGE(""https://docs.google.com/spreadsheets/d/1uu4nAn4Dbi1XREnLKKotUANlKXa7yCgRcgq8HEzQYW8/edit?usp=sharing"",""พะเยา!Q64"")+IMPORTRANGE(""https://docs.google.com/spreadsheets/d/1xfJKIQxVOaPDIICqsflNlLu3JacTDk"&amp;"1FP9RH4phX7mI/edit?usp=sharing"",""พิจิตร!Q64"")+IMPORTRANGE(""https://docs.google.com/spreadsheets/d/1JtRfZkJMHtEhI5RdRHxYUG4FIZHqKDpNyIuN7A1Q0_k/edit?usp=sharing"",""พิษณุโลก!Q64"")+IMPORTRANGE(""https://docs.google.com/spreadsheets/d/1xlcVZWUNn6SuWm0c3"&amp;"07h32SiGkd9BaeQWlAktfD3KO8/edit?usp=sharing"",""เพชรบูรณ์!Q64"")+IMPORTRANGE(""https://docs.google.com/spreadsheets/d/1lOVebEIsI9qjGXl6EX66luk7wiuP2tBaryw-wKvv4e0/edit?usp=sharing"",""แพร่!Q64"")+IMPORTRANGE(""https://docs.google.com/spreadsheets/d/1dQrvX"&amp;"0vEcN7Gu0fnZ0B5S90AeR19zth4XlExFBeExMY/edit?usp=sharing"",""แม่ฮ่องสอน!Q64"")+IMPORTRANGE(""https://docs.google.com/spreadsheets/d/1DY4XTNNwjluuxqdfdn6qvOSlMRrZqUtmYcZR0ttFiG4/edit?usp=sharing"",""ลำปาง!Q64"")+IMPORTRANGE(""https://docs.google.com/spreads"&amp;"heets/d/1ICwG78r0OFT8biBlxnBF8r7she7gNSzOvJ958PWT09c/edit?usp=sharing"",""ลำพูน!Q64"")+IMPORTRANGE(""https://docs.google.com/spreadsheets/d/1B0f2xJpZUC6Z0xXnqKlZtEPzsf6L84eP1r1Q15seqRM/edit?usp=sharing"",""สุโขทัย!Q64"")+IMPORTRANGE(""https://docs.google."&amp;"com/spreadsheets/d/1v0b9pFQCsKUVExMei7AgY2yQkdeNQvtOssygGsXbiKo/edit?usp=sharing"",""อุตรดิตถ์!Q64"")+IMPORTRANGE(""https://docs.google.com/spreadsheets/d/1UsNK1e-WWiCo2PvGqdNfdme4m17_Ezd3J69EeeiQPD0/edit?usp=sharing"",""อุทัยธานี!Q64"")"),0)</f>
        <v>0</v>
      </c>
      <c r="R64" s="46">
        <f ca="1">IFERROR(__xludf.DUMMYFUNCTION("IMPORTRANGE(""https://docs.google.com/spreadsheets/d/1jTcq05yEiRwXcBMLjiodW9e4biSGYWAHcDj22rKWQ3s/edit?usp=sharing"",""กำแพงเพชร!R64"")+IMPORTRANGE(""https://docs.google.com/spreadsheets/d/1KS0zmDSZPk8KnTAbGN-Xk6MtX1YRZD0ldgdt20K4CRk/edit?usp=sharing"","""&amp;"เชียงราย!R64"")+IMPORTRANGE(""https://docs.google.com/spreadsheets/d/1rEDxBtusbi64tE0zunoIbsTVV16HeL0oJ6trHQeQ7K8/edit?usp=sharing"",""เชียงใหม่!R64"")+IMPORTRANGE(""https://docs.google.com/spreadsheets/d/1W6MnUbDkMi6xHnHko_XkFDO9kkuL6Wqyc-6OCDFjW9I/edit?"&amp;"usp=sharing"",""ตาก!R64"")+IMPORTRANGE(""https://docs.google.com/spreadsheets/d/1IQAWArduLkta9LpYo4a_ULsyqdta6-6aDDiwpUnQT6c/edit?usp=sharing"",""นครสวรรค์!R64"")+IMPORTRANGE(""https://docs.google.com/spreadsheets/d/10s13Sk5xrltsiR-Zkbmk5DwIaDIKO8XlbJAfqy"&amp;"T7Gvg/edit?usp=sharing"",""น่าน!R64"")+IMPORTRANGE(""https://docs.google.com/spreadsheets/d/1uu4nAn4Dbi1XREnLKKotUANlKXa7yCgRcgq8HEzQYW8/edit?usp=sharing"",""พะเยา!R64"")+IMPORTRANGE(""https://docs.google.com/spreadsheets/d/1xfJKIQxVOaPDIICqsflNlLu3JacTDk"&amp;"1FP9RH4phX7mI/edit?usp=sharing"",""พิจิตร!R64"")+IMPORTRANGE(""https://docs.google.com/spreadsheets/d/1JtRfZkJMHtEhI5RdRHxYUG4FIZHqKDpNyIuN7A1Q0_k/edit?usp=sharing"",""พิษณุโลก!R64"")+IMPORTRANGE(""https://docs.google.com/spreadsheets/d/1xlcVZWUNn6SuWm0c3"&amp;"07h32SiGkd9BaeQWlAktfD3KO8/edit?usp=sharing"",""เพชรบูรณ์!R64"")+IMPORTRANGE(""https://docs.google.com/spreadsheets/d/1lOVebEIsI9qjGXl6EX66luk7wiuP2tBaryw-wKvv4e0/edit?usp=sharing"",""แพร่!R64"")+IMPORTRANGE(""https://docs.google.com/spreadsheets/d/1dQrvX"&amp;"0vEcN7Gu0fnZ0B5S90AeR19zth4XlExFBeExMY/edit?usp=sharing"",""แม่ฮ่องสอน!R64"")+IMPORTRANGE(""https://docs.google.com/spreadsheets/d/1DY4XTNNwjluuxqdfdn6qvOSlMRrZqUtmYcZR0ttFiG4/edit?usp=sharing"",""ลำปาง!R64"")+IMPORTRANGE(""https://docs.google.com/spreads"&amp;"heets/d/1ICwG78r0OFT8biBlxnBF8r7she7gNSzOvJ958PWT09c/edit?usp=sharing"",""ลำพูน!R64"")+IMPORTRANGE(""https://docs.google.com/spreadsheets/d/1B0f2xJpZUC6Z0xXnqKlZtEPzsf6L84eP1r1Q15seqRM/edit?usp=sharing"",""สุโขทัย!R64"")+IMPORTRANGE(""https://docs.google."&amp;"com/spreadsheets/d/1v0b9pFQCsKUVExMei7AgY2yQkdeNQvtOssygGsXbiKo/edit?usp=sharing"",""อุตรดิตถ์!R64"")+IMPORTRANGE(""https://docs.google.com/spreadsheets/d/1UsNK1e-WWiCo2PvGqdNfdme4m17_Ezd3J69EeeiQPD0/edit?usp=sharing"",""อุทัยธานี!R64"")"),0)</f>
        <v>0</v>
      </c>
      <c r="S64" s="46">
        <f ca="1">IFERROR(__xludf.DUMMYFUNCTION("IMPORTRANGE(""https://docs.google.com/spreadsheets/d/1jTcq05yEiRwXcBMLjiodW9e4biSGYWAHcDj22rKWQ3s/edit?usp=sharing"",""กำแพงเพชร!S64"")+IMPORTRANGE(""https://docs.google.com/spreadsheets/d/1KS0zmDSZPk8KnTAbGN-Xk6MtX1YRZD0ldgdt20K4CRk/edit?usp=sharing"","""&amp;"เชียงราย!S64"")+IMPORTRANGE(""https://docs.google.com/spreadsheets/d/1rEDxBtusbi64tE0zunoIbsTVV16HeL0oJ6trHQeQ7K8/edit?usp=sharing"",""เชียงใหม่!S64"")+IMPORTRANGE(""https://docs.google.com/spreadsheets/d/1W6MnUbDkMi6xHnHko_XkFDO9kkuL6Wqyc-6OCDFjW9I/edit?"&amp;"usp=sharing"",""ตาก!S64"")+IMPORTRANGE(""https://docs.google.com/spreadsheets/d/1IQAWArduLkta9LpYo4a_ULsyqdta6-6aDDiwpUnQT6c/edit?usp=sharing"",""นครสวรรค์!S64"")+IMPORTRANGE(""https://docs.google.com/spreadsheets/d/10s13Sk5xrltsiR-Zkbmk5DwIaDIKO8XlbJAfqy"&amp;"T7Gvg/edit?usp=sharing"",""น่าน!S64"")+IMPORTRANGE(""https://docs.google.com/spreadsheets/d/1uu4nAn4Dbi1XREnLKKotUANlKXa7yCgRcgq8HEzQYW8/edit?usp=sharing"",""พะเยา!S64"")+IMPORTRANGE(""https://docs.google.com/spreadsheets/d/1xfJKIQxVOaPDIICqsflNlLu3JacTDk"&amp;"1FP9RH4phX7mI/edit?usp=sharing"",""พิจิตร!S64"")+IMPORTRANGE(""https://docs.google.com/spreadsheets/d/1JtRfZkJMHtEhI5RdRHxYUG4FIZHqKDpNyIuN7A1Q0_k/edit?usp=sharing"",""พิษณุโลก!S64"")+IMPORTRANGE(""https://docs.google.com/spreadsheets/d/1xlcVZWUNn6SuWm0c3"&amp;"07h32SiGkd9BaeQWlAktfD3KO8/edit?usp=sharing"",""เพชรบูรณ์!S64"")+IMPORTRANGE(""https://docs.google.com/spreadsheets/d/1lOVebEIsI9qjGXl6EX66luk7wiuP2tBaryw-wKvv4e0/edit?usp=sharing"",""แพร่!S64"")+IMPORTRANGE(""https://docs.google.com/spreadsheets/d/1dQrvX"&amp;"0vEcN7Gu0fnZ0B5S90AeR19zth4XlExFBeExMY/edit?usp=sharing"",""แม่ฮ่องสอน!S64"")+IMPORTRANGE(""https://docs.google.com/spreadsheets/d/1DY4XTNNwjluuxqdfdn6qvOSlMRrZqUtmYcZR0ttFiG4/edit?usp=sharing"",""ลำปาง!S64"")+IMPORTRANGE(""https://docs.google.com/spreads"&amp;"heets/d/1ICwG78r0OFT8biBlxnBF8r7she7gNSzOvJ958PWT09c/edit?usp=sharing"",""ลำพูน!S64"")+IMPORTRANGE(""https://docs.google.com/spreadsheets/d/1B0f2xJpZUC6Z0xXnqKlZtEPzsf6L84eP1r1Q15seqRM/edit?usp=sharing"",""สุโขทัย!S64"")+IMPORTRANGE(""https://docs.google."&amp;"com/spreadsheets/d/1v0b9pFQCsKUVExMei7AgY2yQkdeNQvtOssygGsXbiKo/edit?usp=sharing"",""อุตรดิตถ์!S64"")+IMPORTRANGE(""https://docs.google.com/spreadsheets/d/1UsNK1e-WWiCo2PvGqdNfdme4m17_Ezd3J69EeeiQPD0/edit?usp=sharing"",""อุทัยธานี!S64"")"),0)</f>
        <v>0</v>
      </c>
      <c r="T64" s="46">
        <f t="shared" ca="1" si="40"/>
        <v>0</v>
      </c>
      <c r="U64" s="46">
        <f t="shared" ca="1" si="41"/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46">
        <f t="shared" ref="L65:N65" ca="1" si="48">L66+L67</f>
        <v>0</v>
      </c>
      <c r="M65" s="46">
        <f t="shared" ca="1" si="48"/>
        <v>0</v>
      </c>
      <c r="N65" s="46">
        <f t="shared" ca="1" si="48"/>
        <v>0</v>
      </c>
      <c r="O65" s="46">
        <f t="shared" ca="1" si="37"/>
        <v>0</v>
      </c>
      <c r="P65" s="46">
        <f t="shared" ca="1" si="38"/>
        <v>0</v>
      </c>
      <c r="Q65" s="46">
        <f t="shared" ref="Q65:S65" ca="1" si="49">Q66+Q67</f>
        <v>0</v>
      </c>
      <c r="R65" s="46">
        <f t="shared" ca="1" si="49"/>
        <v>0</v>
      </c>
      <c r="S65" s="46">
        <f t="shared" ca="1" si="49"/>
        <v>0</v>
      </c>
      <c r="T65" s="46">
        <f t="shared" ca="1" si="40"/>
        <v>0</v>
      </c>
      <c r="U65" s="46">
        <f t="shared" ca="1" si="41"/>
        <v>0</v>
      </c>
    </row>
    <row r="66" spans="1:21" ht="18.75" x14ac:dyDescent="0.25">
      <c r="A66" s="39"/>
      <c r="B66" s="40"/>
      <c r="C66" s="40"/>
      <c r="D66" s="40"/>
      <c r="E66" s="47" t="s">
        <v>20</v>
      </c>
      <c r="F66" s="40"/>
      <c r="G66" s="42"/>
      <c r="H66" s="43" t="s">
        <v>14</v>
      </c>
      <c r="I66" s="44"/>
      <c r="J66" s="44"/>
      <c r="K66" s="45"/>
      <c r="L66" s="46">
        <f ca="1">IFERROR(__xludf.DUMMYFUNCTION("IMPORTRANGE(""https://docs.google.com/spreadsheets/d/1jTcq05yEiRwXcBMLjiodW9e4biSGYWAHcDj22rKWQ3s/edit?usp=sharing"",""กำแพงเพชร!L66"")+IMPORTRANGE(""https://docs.google.com/spreadsheets/d/1KS0zmDSZPk8KnTAbGN-Xk6MtX1YRZD0ldgdt20K4CRk/edit?usp=sharing"","""&amp;"เชียงราย!L66"")+IMPORTRANGE(""https://docs.google.com/spreadsheets/d/1rEDxBtusbi64tE0zunoIbsTVV16HeL0oJ6trHQeQ7K8/edit?usp=sharing"",""เชียงใหม่!L66"")+IMPORTRANGE(""https://docs.google.com/spreadsheets/d/1W6MnUbDkMi6xHnHko_XkFDO9kkuL6Wqyc-6OCDFjW9I/edit?"&amp;"usp=sharing"",""ตาก!L66"")+IMPORTRANGE(""https://docs.google.com/spreadsheets/d/1IQAWArduLkta9LpYo4a_ULsyqdta6-6aDDiwpUnQT6c/edit?usp=sharing"",""นครสวรรค์!L66"")+IMPORTRANGE(""https://docs.google.com/spreadsheets/d/10s13Sk5xrltsiR-Zkbmk5DwIaDIKO8XlbJAfqy"&amp;"T7Gvg/edit?usp=sharing"",""น่าน!L66"")+IMPORTRANGE(""https://docs.google.com/spreadsheets/d/1uu4nAn4Dbi1XREnLKKotUANlKXa7yCgRcgq8HEzQYW8/edit?usp=sharing"",""พะเยา!L66"")+IMPORTRANGE(""https://docs.google.com/spreadsheets/d/1xfJKIQxVOaPDIICqsflNlLu3JacTDk"&amp;"1FP9RH4phX7mI/edit?usp=sharing"",""พิจิตร!L66"")+IMPORTRANGE(""https://docs.google.com/spreadsheets/d/1JtRfZkJMHtEhI5RdRHxYUG4FIZHqKDpNyIuN7A1Q0_k/edit?usp=sharing"",""พิษณุโลก!L66"")+IMPORTRANGE(""https://docs.google.com/spreadsheets/d/1xlcVZWUNn6SuWm0c3"&amp;"07h32SiGkd9BaeQWlAktfD3KO8/edit?usp=sharing"",""เพชรบูรณ์!L66"")+IMPORTRANGE(""https://docs.google.com/spreadsheets/d/1lOVebEIsI9qjGXl6EX66luk7wiuP2tBaryw-wKvv4e0/edit?usp=sharing"",""แพร่!L66"")+IMPORTRANGE(""https://docs.google.com/spreadsheets/d/1dQrvX"&amp;"0vEcN7Gu0fnZ0B5S90AeR19zth4XlExFBeExMY/edit?usp=sharing"",""แม่ฮ่องสอน!L66"")+IMPORTRANGE(""https://docs.google.com/spreadsheets/d/1DY4XTNNwjluuxqdfdn6qvOSlMRrZqUtmYcZR0ttFiG4/edit?usp=sharing"",""ลำปาง!L66"")+IMPORTRANGE(""https://docs.google.com/spreads"&amp;"heets/d/1ICwG78r0OFT8biBlxnBF8r7she7gNSzOvJ958PWT09c/edit?usp=sharing"",""ลำพูน!L66"")+IMPORTRANGE(""https://docs.google.com/spreadsheets/d/1B0f2xJpZUC6Z0xXnqKlZtEPzsf6L84eP1r1Q15seqRM/edit?usp=sharing"",""สุโขทัย!L66"")+IMPORTRANGE(""https://docs.google."&amp;"com/spreadsheets/d/1v0b9pFQCsKUVExMei7AgY2yQkdeNQvtOssygGsXbiKo/edit?usp=sharing"",""อุตรดิตถ์!L66"")+IMPORTRANGE(""https://docs.google.com/spreadsheets/d/1UsNK1e-WWiCo2PvGqdNfdme4m17_Ezd3J69EeeiQPD0/edit?usp=sharing"",""อุทัยธานี!L66"")"),0)</f>
        <v>0</v>
      </c>
      <c r="M66" s="46">
        <f ca="1">IFERROR(__xludf.DUMMYFUNCTION("IMPORTRANGE(""https://docs.google.com/spreadsheets/d/1jTcq05yEiRwXcBMLjiodW9e4biSGYWAHcDj22rKWQ3s/edit?usp=sharing"",""กำแพงเพชร!M66"")+IMPORTRANGE(""https://docs.google.com/spreadsheets/d/1KS0zmDSZPk8KnTAbGN-Xk6MtX1YRZD0ldgdt20K4CRk/edit?usp=sharing"","""&amp;"เชียงราย!M66"")+IMPORTRANGE(""https://docs.google.com/spreadsheets/d/1rEDxBtusbi64tE0zunoIbsTVV16HeL0oJ6trHQeQ7K8/edit?usp=sharing"",""เชียงใหม่!M66"")+IMPORTRANGE(""https://docs.google.com/spreadsheets/d/1W6MnUbDkMi6xHnHko_XkFDO9kkuL6Wqyc-6OCDFjW9I/edit?"&amp;"usp=sharing"",""ตาก!M66"")+IMPORTRANGE(""https://docs.google.com/spreadsheets/d/1IQAWArduLkta9LpYo4a_ULsyqdta6-6aDDiwpUnQT6c/edit?usp=sharing"",""นครสวรรค์!M66"")+IMPORTRANGE(""https://docs.google.com/spreadsheets/d/10s13Sk5xrltsiR-Zkbmk5DwIaDIKO8XlbJAfqy"&amp;"T7Gvg/edit?usp=sharing"",""น่าน!M66"")+IMPORTRANGE(""https://docs.google.com/spreadsheets/d/1uu4nAn4Dbi1XREnLKKotUANlKXa7yCgRcgq8HEzQYW8/edit?usp=sharing"",""พะเยา!M66"")+IMPORTRANGE(""https://docs.google.com/spreadsheets/d/1xfJKIQxVOaPDIICqsflNlLu3JacTDk"&amp;"1FP9RH4phX7mI/edit?usp=sharing"",""พิจิตร!M66"")+IMPORTRANGE(""https://docs.google.com/spreadsheets/d/1JtRfZkJMHtEhI5RdRHxYUG4FIZHqKDpNyIuN7A1Q0_k/edit?usp=sharing"",""พิษณุโลก!M66"")+IMPORTRANGE(""https://docs.google.com/spreadsheets/d/1xlcVZWUNn6SuWm0c3"&amp;"07h32SiGkd9BaeQWlAktfD3KO8/edit?usp=sharing"",""เพชรบูรณ์!M66"")+IMPORTRANGE(""https://docs.google.com/spreadsheets/d/1lOVebEIsI9qjGXl6EX66luk7wiuP2tBaryw-wKvv4e0/edit?usp=sharing"",""แพร่!M66"")+IMPORTRANGE(""https://docs.google.com/spreadsheets/d/1dQrvX"&amp;"0vEcN7Gu0fnZ0B5S90AeR19zth4XlExFBeExMY/edit?usp=sharing"",""แม่ฮ่องสอน!M66"")+IMPORTRANGE(""https://docs.google.com/spreadsheets/d/1DY4XTNNwjluuxqdfdn6qvOSlMRrZqUtmYcZR0ttFiG4/edit?usp=sharing"",""ลำปาง!M66"")+IMPORTRANGE(""https://docs.google.com/spreads"&amp;"heets/d/1ICwG78r0OFT8biBlxnBF8r7she7gNSzOvJ958PWT09c/edit?usp=sharing"",""ลำพูน!M66"")+IMPORTRANGE(""https://docs.google.com/spreadsheets/d/1B0f2xJpZUC6Z0xXnqKlZtEPzsf6L84eP1r1Q15seqRM/edit?usp=sharing"",""สุโขทัย!M66"")+IMPORTRANGE(""https://docs.google."&amp;"com/spreadsheets/d/1v0b9pFQCsKUVExMei7AgY2yQkdeNQvtOssygGsXbiKo/edit?usp=sharing"",""อุตรดิตถ์!M66"")+IMPORTRANGE(""https://docs.google.com/spreadsheets/d/1UsNK1e-WWiCo2PvGqdNfdme4m17_Ezd3J69EeeiQPD0/edit?usp=sharing"",""อุทัยธานี!M66"")"),0)</f>
        <v>0</v>
      </c>
      <c r="N66" s="46">
        <f ca="1">IFERROR(__xludf.DUMMYFUNCTION("IMPORTRANGE(""https://docs.google.com/spreadsheets/d/1jTcq05yEiRwXcBMLjiodW9e4biSGYWAHcDj22rKWQ3s/edit?usp=sharing"",""กำแพงเพชร!N66"")+IMPORTRANGE(""https://docs.google.com/spreadsheets/d/1KS0zmDSZPk8KnTAbGN-Xk6MtX1YRZD0ldgdt20K4CRk/edit?usp=sharing"","""&amp;"เชียงราย!N66"")+IMPORTRANGE(""https://docs.google.com/spreadsheets/d/1rEDxBtusbi64tE0zunoIbsTVV16HeL0oJ6trHQeQ7K8/edit?usp=sharing"",""เชียงใหม่!N66"")+IMPORTRANGE(""https://docs.google.com/spreadsheets/d/1W6MnUbDkMi6xHnHko_XkFDO9kkuL6Wqyc-6OCDFjW9I/edit?"&amp;"usp=sharing"",""ตาก!N66"")+IMPORTRANGE(""https://docs.google.com/spreadsheets/d/1IQAWArduLkta9LpYo4a_ULsyqdta6-6aDDiwpUnQT6c/edit?usp=sharing"",""นครสวรรค์!N66"")+IMPORTRANGE(""https://docs.google.com/spreadsheets/d/10s13Sk5xrltsiR-Zkbmk5DwIaDIKO8XlbJAfqy"&amp;"T7Gvg/edit?usp=sharing"",""น่าน!N66"")+IMPORTRANGE(""https://docs.google.com/spreadsheets/d/1uu4nAn4Dbi1XREnLKKotUANlKXa7yCgRcgq8HEzQYW8/edit?usp=sharing"",""พะเยา!N66"")+IMPORTRANGE(""https://docs.google.com/spreadsheets/d/1xfJKIQxVOaPDIICqsflNlLu3JacTDk"&amp;"1FP9RH4phX7mI/edit?usp=sharing"",""พิจิตร!N66"")+IMPORTRANGE(""https://docs.google.com/spreadsheets/d/1JtRfZkJMHtEhI5RdRHxYUG4FIZHqKDpNyIuN7A1Q0_k/edit?usp=sharing"",""พิษณุโลก!N66"")+IMPORTRANGE(""https://docs.google.com/spreadsheets/d/1xlcVZWUNn6SuWm0c3"&amp;"07h32SiGkd9BaeQWlAktfD3KO8/edit?usp=sharing"",""เพชรบูรณ์!N66"")+IMPORTRANGE(""https://docs.google.com/spreadsheets/d/1lOVebEIsI9qjGXl6EX66luk7wiuP2tBaryw-wKvv4e0/edit?usp=sharing"",""แพร่!N66"")+IMPORTRANGE(""https://docs.google.com/spreadsheets/d/1dQrvX"&amp;"0vEcN7Gu0fnZ0B5S90AeR19zth4XlExFBeExMY/edit?usp=sharing"",""แม่ฮ่องสอน!N66"")+IMPORTRANGE(""https://docs.google.com/spreadsheets/d/1DY4XTNNwjluuxqdfdn6qvOSlMRrZqUtmYcZR0ttFiG4/edit?usp=sharing"",""ลำปาง!N66"")+IMPORTRANGE(""https://docs.google.com/spreads"&amp;"heets/d/1ICwG78r0OFT8biBlxnBF8r7she7gNSzOvJ958PWT09c/edit?usp=sharing"",""ลำพูน!N66"")+IMPORTRANGE(""https://docs.google.com/spreadsheets/d/1B0f2xJpZUC6Z0xXnqKlZtEPzsf6L84eP1r1Q15seqRM/edit?usp=sharing"",""สุโขทัย!N66"")+IMPORTRANGE(""https://docs.google."&amp;"com/spreadsheets/d/1v0b9pFQCsKUVExMei7AgY2yQkdeNQvtOssygGsXbiKo/edit?usp=sharing"",""อุตรดิตถ์!N66"")+IMPORTRANGE(""https://docs.google.com/spreadsheets/d/1UsNK1e-WWiCo2PvGqdNfdme4m17_Ezd3J69EeeiQPD0/edit?usp=sharing"",""อุทัยธานี!N66"")"),0)</f>
        <v>0</v>
      </c>
      <c r="O66" s="46">
        <f t="shared" ca="1" si="37"/>
        <v>0</v>
      </c>
      <c r="P66" s="46">
        <f t="shared" ca="1" si="38"/>
        <v>0</v>
      </c>
      <c r="Q66" s="48">
        <f ca="1">IFERROR(__xludf.DUMMYFUNCTION("IMPORTRANGE(""https://docs.google.com/spreadsheets/d/1jTcq05yEiRwXcBMLjiodW9e4biSGYWAHcDj22rKWQ3s/edit?usp=sharing"",""กำแพงเพชร!Q66"")+IMPORTRANGE(""https://docs.google.com/spreadsheets/d/1KS0zmDSZPk8KnTAbGN-Xk6MtX1YRZD0ldgdt20K4CRk/edit?usp=sharing"","""&amp;"เชียงราย!Q66"")+IMPORTRANGE(""https://docs.google.com/spreadsheets/d/1rEDxBtusbi64tE0zunoIbsTVV16HeL0oJ6trHQeQ7K8/edit?usp=sharing"",""เชียงใหม่!Q66"")+IMPORTRANGE(""https://docs.google.com/spreadsheets/d/1W6MnUbDkMi6xHnHko_XkFDO9kkuL6Wqyc-6OCDFjW9I/edit?"&amp;"usp=sharing"",""ตาก!Q66"")+IMPORTRANGE(""https://docs.google.com/spreadsheets/d/1IQAWArduLkta9LpYo4a_ULsyqdta6-6aDDiwpUnQT6c/edit?usp=sharing"",""นครสวรรค์!Q66"")+IMPORTRANGE(""https://docs.google.com/spreadsheets/d/10s13Sk5xrltsiR-Zkbmk5DwIaDIKO8XlbJAfqy"&amp;"T7Gvg/edit?usp=sharing"",""น่าน!Q66"")+IMPORTRANGE(""https://docs.google.com/spreadsheets/d/1uu4nAn4Dbi1XREnLKKotUANlKXa7yCgRcgq8HEzQYW8/edit?usp=sharing"",""พะเยา!Q66"")+IMPORTRANGE(""https://docs.google.com/spreadsheets/d/1xfJKIQxVOaPDIICqsflNlLu3JacTDk"&amp;"1FP9RH4phX7mI/edit?usp=sharing"",""พิจิตร!Q66"")+IMPORTRANGE(""https://docs.google.com/spreadsheets/d/1JtRfZkJMHtEhI5RdRHxYUG4FIZHqKDpNyIuN7A1Q0_k/edit?usp=sharing"",""พิษณุโลก!Q66"")+IMPORTRANGE(""https://docs.google.com/spreadsheets/d/1xlcVZWUNn6SuWm0c3"&amp;"07h32SiGkd9BaeQWlAktfD3KO8/edit?usp=sharing"",""เพชรบูรณ์!Q66"")+IMPORTRANGE(""https://docs.google.com/spreadsheets/d/1lOVebEIsI9qjGXl6EX66luk7wiuP2tBaryw-wKvv4e0/edit?usp=sharing"",""แพร่!Q66"")+IMPORTRANGE(""https://docs.google.com/spreadsheets/d/1dQrvX"&amp;"0vEcN7Gu0fnZ0B5S90AeR19zth4XlExFBeExMY/edit?usp=sharing"",""แม่ฮ่องสอน!Q66"")+IMPORTRANGE(""https://docs.google.com/spreadsheets/d/1DY4XTNNwjluuxqdfdn6qvOSlMRrZqUtmYcZR0ttFiG4/edit?usp=sharing"",""ลำปาง!Q66"")+IMPORTRANGE(""https://docs.google.com/spreads"&amp;"heets/d/1ICwG78r0OFT8biBlxnBF8r7she7gNSzOvJ958PWT09c/edit?usp=sharing"",""ลำพูน!Q66"")+IMPORTRANGE(""https://docs.google.com/spreadsheets/d/1B0f2xJpZUC6Z0xXnqKlZtEPzsf6L84eP1r1Q15seqRM/edit?usp=sharing"",""สุโขทัย!Q66"")+IMPORTRANGE(""https://docs.google."&amp;"com/spreadsheets/d/1v0b9pFQCsKUVExMei7AgY2yQkdeNQvtOssygGsXbiKo/edit?usp=sharing"",""อุตรดิตถ์!Q66"")+IMPORTRANGE(""https://docs.google.com/spreadsheets/d/1UsNK1e-WWiCo2PvGqdNfdme4m17_Ezd3J69EeeiQPD0/edit?usp=sharing"",""อุทัยธานี!Q66"")"),0)</f>
        <v>0</v>
      </c>
      <c r="R66" s="48">
        <f ca="1">IFERROR(__xludf.DUMMYFUNCTION("IMPORTRANGE(""https://docs.google.com/spreadsheets/d/1jTcq05yEiRwXcBMLjiodW9e4biSGYWAHcDj22rKWQ3s/edit?usp=sharing"",""กำแพงเพชร!R66"")+IMPORTRANGE(""https://docs.google.com/spreadsheets/d/1KS0zmDSZPk8KnTAbGN-Xk6MtX1YRZD0ldgdt20K4CRk/edit?usp=sharing"","""&amp;"เชียงราย!R66"")+IMPORTRANGE(""https://docs.google.com/spreadsheets/d/1rEDxBtusbi64tE0zunoIbsTVV16HeL0oJ6trHQeQ7K8/edit?usp=sharing"",""เชียงใหม่!R66"")+IMPORTRANGE(""https://docs.google.com/spreadsheets/d/1W6MnUbDkMi6xHnHko_XkFDO9kkuL6Wqyc-6OCDFjW9I/edit?"&amp;"usp=sharing"",""ตาก!R66"")+IMPORTRANGE(""https://docs.google.com/spreadsheets/d/1IQAWArduLkta9LpYo4a_ULsyqdta6-6aDDiwpUnQT6c/edit?usp=sharing"",""นครสวรรค์!R66"")+IMPORTRANGE(""https://docs.google.com/spreadsheets/d/10s13Sk5xrltsiR-Zkbmk5DwIaDIKO8XlbJAfqy"&amp;"T7Gvg/edit?usp=sharing"",""น่าน!R66"")+IMPORTRANGE(""https://docs.google.com/spreadsheets/d/1uu4nAn4Dbi1XREnLKKotUANlKXa7yCgRcgq8HEzQYW8/edit?usp=sharing"",""พะเยา!R66"")+IMPORTRANGE(""https://docs.google.com/spreadsheets/d/1xfJKIQxVOaPDIICqsflNlLu3JacTDk"&amp;"1FP9RH4phX7mI/edit?usp=sharing"",""พิจิตร!R66"")+IMPORTRANGE(""https://docs.google.com/spreadsheets/d/1JtRfZkJMHtEhI5RdRHxYUG4FIZHqKDpNyIuN7A1Q0_k/edit?usp=sharing"",""พิษณุโลก!R66"")+IMPORTRANGE(""https://docs.google.com/spreadsheets/d/1xlcVZWUNn6SuWm0c3"&amp;"07h32SiGkd9BaeQWlAktfD3KO8/edit?usp=sharing"",""เพชรบูรณ์!R66"")+IMPORTRANGE(""https://docs.google.com/spreadsheets/d/1lOVebEIsI9qjGXl6EX66luk7wiuP2tBaryw-wKvv4e0/edit?usp=sharing"",""แพร่!R66"")+IMPORTRANGE(""https://docs.google.com/spreadsheets/d/1dQrvX"&amp;"0vEcN7Gu0fnZ0B5S90AeR19zth4XlExFBeExMY/edit?usp=sharing"",""แม่ฮ่องสอน!R66"")+IMPORTRANGE(""https://docs.google.com/spreadsheets/d/1DY4XTNNwjluuxqdfdn6qvOSlMRrZqUtmYcZR0ttFiG4/edit?usp=sharing"",""ลำปาง!R66"")+IMPORTRANGE(""https://docs.google.com/spreads"&amp;"heets/d/1ICwG78r0OFT8biBlxnBF8r7she7gNSzOvJ958PWT09c/edit?usp=sharing"",""ลำพูน!R66"")+IMPORTRANGE(""https://docs.google.com/spreadsheets/d/1B0f2xJpZUC6Z0xXnqKlZtEPzsf6L84eP1r1Q15seqRM/edit?usp=sharing"",""สุโขทัย!R66"")+IMPORTRANGE(""https://docs.google."&amp;"com/spreadsheets/d/1v0b9pFQCsKUVExMei7AgY2yQkdeNQvtOssygGsXbiKo/edit?usp=sharing"",""อุตรดิตถ์!R66"")+IMPORTRANGE(""https://docs.google.com/spreadsheets/d/1UsNK1e-WWiCo2PvGqdNfdme4m17_Ezd3J69EeeiQPD0/edit?usp=sharing"",""อุทัยธานี!R66"")"),0)</f>
        <v>0</v>
      </c>
      <c r="S66" s="48">
        <f ca="1">IFERROR(__xludf.DUMMYFUNCTION("IMPORTRANGE(""https://docs.google.com/spreadsheets/d/1jTcq05yEiRwXcBMLjiodW9e4biSGYWAHcDj22rKWQ3s/edit?usp=sharing"",""กำแพงเพชร!S66"")+IMPORTRANGE(""https://docs.google.com/spreadsheets/d/1KS0zmDSZPk8KnTAbGN-Xk6MtX1YRZD0ldgdt20K4CRk/edit?usp=sharing"","""&amp;"เชียงราย!S66"")+IMPORTRANGE(""https://docs.google.com/spreadsheets/d/1rEDxBtusbi64tE0zunoIbsTVV16HeL0oJ6trHQeQ7K8/edit?usp=sharing"",""เชียงใหม่!S66"")+IMPORTRANGE(""https://docs.google.com/spreadsheets/d/1W6MnUbDkMi6xHnHko_XkFDO9kkuL6Wqyc-6OCDFjW9I/edit?"&amp;"usp=sharing"",""ตาก!S66"")+IMPORTRANGE(""https://docs.google.com/spreadsheets/d/1IQAWArduLkta9LpYo4a_ULsyqdta6-6aDDiwpUnQT6c/edit?usp=sharing"",""นครสวรรค์!S66"")+IMPORTRANGE(""https://docs.google.com/spreadsheets/d/10s13Sk5xrltsiR-Zkbmk5DwIaDIKO8XlbJAfqy"&amp;"T7Gvg/edit?usp=sharing"",""น่าน!S66"")+IMPORTRANGE(""https://docs.google.com/spreadsheets/d/1uu4nAn4Dbi1XREnLKKotUANlKXa7yCgRcgq8HEzQYW8/edit?usp=sharing"",""พะเยา!S66"")+IMPORTRANGE(""https://docs.google.com/spreadsheets/d/1xfJKIQxVOaPDIICqsflNlLu3JacTDk"&amp;"1FP9RH4phX7mI/edit?usp=sharing"",""พิจิตร!S66"")+IMPORTRANGE(""https://docs.google.com/spreadsheets/d/1JtRfZkJMHtEhI5RdRHxYUG4FIZHqKDpNyIuN7A1Q0_k/edit?usp=sharing"",""พิษณุโลก!S66"")+IMPORTRANGE(""https://docs.google.com/spreadsheets/d/1xlcVZWUNn6SuWm0c3"&amp;"07h32SiGkd9BaeQWlAktfD3KO8/edit?usp=sharing"",""เพชรบูรณ์!S66"")+IMPORTRANGE(""https://docs.google.com/spreadsheets/d/1lOVebEIsI9qjGXl6EX66luk7wiuP2tBaryw-wKvv4e0/edit?usp=sharing"",""แพร่!S66"")+IMPORTRANGE(""https://docs.google.com/spreadsheets/d/1dQrvX"&amp;"0vEcN7Gu0fnZ0B5S90AeR19zth4XlExFBeExMY/edit?usp=sharing"",""แม่ฮ่องสอน!S66"")+IMPORTRANGE(""https://docs.google.com/spreadsheets/d/1DY4XTNNwjluuxqdfdn6qvOSlMRrZqUtmYcZR0ttFiG4/edit?usp=sharing"",""ลำปาง!S66"")+IMPORTRANGE(""https://docs.google.com/spreads"&amp;"heets/d/1ICwG78r0OFT8biBlxnBF8r7she7gNSzOvJ958PWT09c/edit?usp=sharing"",""ลำพูน!S66"")+IMPORTRANGE(""https://docs.google.com/spreadsheets/d/1B0f2xJpZUC6Z0xXnqKlZtEPzsf6L84eP1r1Q15seqRM/edit?usp=sharing"",""สุโขทัย!S66"")+IMPORTRANGE(""https://docs.google."&amp;"com/spreadsheets/d/1v0b9pFQCsKUVExMei7AgY2yQkdeNQvtOssygGsXbiKo/edit?usp=sharing"",""อุตรดิตถ์!S66"")+IMPORTRANGE(""https://docs.google.com/spreadsheets/d/1UsNK1e-WWiCo2PvGqdNfdme4m17_Ezd3J69EeeiQPD0/edit?usp=sharing"",""อุทัยธานี!S66"")"),0)</f>
        <v>0</v>
      </c>
      <c r="T66" s="48">
        <f t="shared" ca="1" si="40"/>
        <v>0</v>
      </c>
      <c r="U66" s="48">
        <f t="shared" ca="1" si="41"/>
        <v>0</v>
      </c>
    </row>
    <row r="67" spans="1:21" ht="18.75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111">
        <f ca="1">IFERROR(__xludf.DUMMYFUNCTION("IMPORTRANGE(""https://docs.google.com/spreadsheets/d/1jTcq05yEiRwXcBMLjiodW9e4biSGYWAHcDj22rKWQ3s/edit?usp=sharing"",""กำแพงเพชร!L67"")+IMPORTRANGE(""https://docs.google.com/spreadsheets/d/1KS0zmDSZPk8KnTAbGN-Xk6MtX1YRZD0ldgdt20K4CRk/edit?usp=sharing"","""&amp;"เชียงราย!L67"")+IMPORTRANGE(""https://docs.google.com/spreadsheets/d/1rEDxBtusbi64tE0zunoIbsTVV16HeL0oJ6trHQeQ7K8/edit?usp=sharing"",""เชียงใหม่!L67"")+IMPORTRANGE(""https://docs.google.com/spreadsheets/d/1W6MnUbDkMi6xHnHko_XkFDO9kkuL6Wqyc-6OCDFjW9I/edit?"&amp;"usp=sharing"",""ตาก!L67"")+IMPORTRANGE(""https://docs.google.com/spreadsheets/d/1IQAWArduLkta9LpYo4a_ULsyqdta6-6aDDiwpUnQT6c/edit?usp=sharing"",""นครสวรรค์!L67"")+IMPORTRANGE(""https://docs.google.com/spreadsheets/d/10s13Sk5xrltsiR-Zkbmk5DwIaDIKO8XlbJAfqy"&amp;"T7Gvg/edit?usp=sharing"",""น่าน!L67"")+IMPORTRANGE(""https://docs.google.com/spreadsheets/d/1uu4nAn4Dbi1XREnLKKotUANlKXa7yCgRcgq8HEzQYW8/edit?usp=sharing"",""พะเยา!L67"")+IMPORTRANGE(""https://docs.google.com/spreadsheets/d/1xfJKIQxVOaPDIICqsflNlLu3JacTDk"&amp;"1FP9RH4phX7mI/edit?usp=sharing"",""พิจิตร!L67"")+IMPORTRANGE(""https://docs.google.com/spreadsheets/d/1JtRfZkJMHtEhI5RdRHxYUG4FIZHqKDpNyIuN7A1Q0_k/edit?usp=sharing"",""พิษณุโลก!L67"")+IMPORTRANGE(""https://docs.google.com/spreadsheets/d/1xlcVZWUNn6SuWm0c3"&amp;"07h32SiGkd9BaeQWlAktfD3KO8/edit?usp=sharing"",""เพชรบูรณ์!L67"")+IMPORTRANGE(""https://docs.google.com/spreadsheets/d/1lOVebEIsI9qjGXl6EX66luk7wiuP2tBaryw-wKvv4e0/edit?usp=sharing"",""แพร่!L67"")+IMPORTRANGE(""https://docs.google.com/spreadsheets/d/1dQrvX"&amp;"0vEcN7Gu0fnZ0B5S90AeR19zth4XlExFBeExMY/edit?usp=sharing"",""แม่ฮ่องสอน!L67"")+IMPORTRANGE(""https://docs.google.com/spreadsheets/d/1DY4XTNNwjluuxqdfdn6qvOSlMRrZqUtmYcZR0ttFiG4/edit?usp=sharing"",""ลำปาง!L67"")+IMPORTRANGE(""https://docs.google.com/spreads"&amp;"heets/d/1ICwG78r0OFT8biBlxnBF8r7she7gNSzOvJ958PWT09c/edit?usp=sharing"",""ลำพูน!L67"")+IMPORTRANGE(""https://docs.google.com/spreadsheets/d/1B0f2xJpZUC6Z0xXnqKlZtEPzsf6L84eP1r1Q15seqRM/edit?usp=sharing"",""สุโขทัย!L67"")+IMPORTRANGE(""https://docs.google."&amp;"com/spreadsheets/d/1v0b9pFQCsKUVExMei7AgY2yQkdeNQvtOssygGsXbiKo/edit?usp=sharing"",""อุตรดิตถ์!L67"")+IMPORTRANGE(""https://docs.google.com/spreadsheets/d/1UsNK1e-WWiCo2PvGqdNfdme4m17_Ezd3J69EeeiQPD0/edit?usp=sharing"",""อุทัยธานี!L67"")"),0)</f>
        <v>0</v>
      </c>
      <c r="M67" s="111">
        <f ca="1">IFERROR(__xludf.DUMMYFUNCTION("IMPORTRANGE(""https://docs.google.com/spreadsheets/d/1jTcq05yEiRwXcBMLjiodW9e4biSGYWAHcDj22rKWQ3s/edit?usp=sharing"",""กำแพงเพชร!M67"")+IMPORTRANGE(""https://docs.google.com/spreadsheets/d/1KS0zmDSZPk8KnTAbGN-Xk6MtX1YRZD0ldgdt20K4CRk/edit?usp=sharing"","""&amp;"เชียงราย!M67"")+IMPORTRANGE(""https://docs.google.com/spreadsheets/d/1rEDxBtusbi64tE0zunoIbsTVV16HeL0oJ6trHQeQ7K8/edit?usp=sharing"",""เชียงใหม่!M67"")+IMPORTRANGE(""https://docs.google.com/spreadsheets/d/1W6MnUbDkMi6xHnHko_XkFDO9kkuL6Wqyc-6OCDFjW9I/edit?"&amp;"usp=sharing"",""ตาก!M67"")+IMPORTRANGE(""https://docs.google.com/spreadsheets/d/1IQAWArduLkta9LpYo4a_ULsyqdta6-6aDDiwpUnQT6c/edit?usp=sharing"",""นครสวรรค์!M67"")+IMPORTRANGE(""https://docs.google.com/spreadsheets/d/10s13Sk5xrltsiR-Zkbmk5DwIaDIKO8XlbJAfqy"&amp;"T7Gvg/edit?usp=sharing"",""น่าน!M67"")+IMPORTRANGE(""https://docs.google.com/spreadsheets/d/1uu4nAn4Dbi1XREnLKKotUANlKXa7yCgRcgq8HEzQYW8/edit?usp=sharing"",""พะเยา!M67"")+IMPORTRANGE(""https://docs.google.com/spreadsheets/d/1xfJKIQxVOaPDIICqsflNlLu3JacTDk"&amp;"1FP9RH4phX7mI/edit?usp=sharing"",""พิจิตร!M67"")+IMPORTRANGE(""https://docs.google.com/spreadsheets/d/1JtRfZkJMHtEhI5RdRHxYUG4FIZHqKDpNyIuN7A1Q0_k/edit?usp=sharing"",""พิษณุโลก!M67"")+IMPORTRANGE(""https://docs.google.com/spreadsheets/d/1xlcVZWUNn6SuWm0c3"&amp;"07h32SiGkd9BaeQWlAktfD3KO8/edit?usp=sharing"",""เพชรบูรณ์!M67"")+IMPORTRANGE(""https://docs.google.com/spreadsheets/d/1lOVebEIsI9qjGXl6EX66luk7wiuP2tBaryw-wKvv4e0/edit?usp=sharing"",""แพร่!M67"")+IMPORTRANGE(""https://docs.google.com/spreadsheets/d/1dQrvX"&amp;"0vEcN7Gu0fnZ0B5S90AeR19zth4XlExFBeExMY/edit?usp=sharing"",""แม่ฮ่องสอน!M67"")+IMPORTRANGE(""https://docs.google.com/spreadsheets/d/1DY4XTNNwjluuxqdfdn6qvOSlMRrZqUtmYcZR0ttFiG4/edit?usp=sharing"",""ลำปาง!M67"")+IMPORTRANGE(""https://docs.google.com/spreads"&amp;"heets/d/1ICwG78r0OFT8biBlxnBF8r7she7gNSzOvJ958PWT09c/edit?usp=sharing"",""ลำพูน!M67"")+IMPORTRANGE(""https://docs.google.com/spreadsheets/d/1B0f2xJpZUC6Z0xXnqKlZtEPzsf6L84eP1r1Q15seqRM/edit?usp=sharing"",""สุโขทัย!M67"")+IMPORTRANGE(""https://docs.google."&amp;"com/spreadsheets/d/1v0b9pFQCsKUVExMei7AgY2yQkdeNQvtOssygGsXbiKo/edit?usp=sharing"",""อุตรดิตถ์!M67"")+IMPORTRANGE(""https://docs.google.com/spreadsheets/d/1UsNK1e-WWiCo2PvGqdNfdme4m17_Ezd3J69EeeiQPD0/edit?usp=sharing"",""อุทัยธานี!M67"")"),0)</f>
        <v>0</v>
      </c>
      <c r="N67" s="111">
        <f ca="1">IFERROR(__xludf.DUMMYFUNCTION("IMPORTRANGE(""https://docs.google.com/spreadsheets/d/1jTcq05yEiRwXcBMLjiodW9e4biSGYWAHcDj22rKWQ3s/edit?usp=sharing"",""กำแพงเพชร!N67"")+IMPORTRANGE(""https://docs.google.com/spreadsheets/d/1KS0zmDSZPk8KnTAbGN-Xk6MtX1YRZD0ldgdt20K4CRk/edit?usp=sharing"","""&amp;"เชียงราย!N67"")+IMPORTRANGE(""https://docs.google.com/spreadsheets/d/1rEDxBtusbi64tE0zunoIbsTVV16HeL0oJ6trHQeQ7K8/edit?usp=sharing"",""เชียงใหม่!N67"")+IMPORTRANGE(""https://docs.google.com/spreadsheets/d/1W6MnUbDkMi6xHnHko_XkFDO9kkuL6Wqyc-6OCDFjW9I/edit?"&amp;"usp=sharing"",""ตาก!N67"")+IMPORTRANGE(""https://docs.google.com/spreadsheets/d/1IQAWArduLkta9LpYo4a_ULsyqdta6-6aDDiwpUnQT6c/edit?usp=sharing"",""นครสวรรค์!N67"")+IMPORTRANGE(""https://docs.google.com/spreadsheets/d/10s13Sk5xrltsiR-Zkbmk5DwIaDIKO8XlbJAfqy"&amp;"T7Gvg/edit?usp=sharing"",""น่าน!N67"")+IMPORTRANGE(""https://docs.google.com/spreadsheets/d/1uu4nAn4Dbi1XREnLKKotUANlKXa7yCgRcgq8HEzQYW8/edit?usp=sharing"",""พะเยา!N67"")+IMPORTRANGE(""https://docs.google.com/spreadsheets/d/1xfJKIQxVOaPDIICqsflNlLu3JacTDk"&amp;"1FP9RH4phX7mI/edit?usp=sharing"",""พิจิตร!N67"")+IMPORTRANGE(""https://docs.google.com/spreadsheets/d/1JtRfZkJMHtEhI5RdRHxYUG4FIZHqKDpNyIuN7A1Q0_k/edit?usp=sharing"",""พิษณุโลก!N67"")+IMPORTRANGE(""https://docs.google.com/spreadsheets/d/1xlcVZWUNn6SuWm0c3"&amp;"07h32SiGkd9BaeQWlAktfD3KO8/edit?usp=sharing"",""เพชรบูรณ์!N67"")+IMPORTRANGE(""https://docs.google.com/spreadsheets/d/1lOVebEIsI9qjGXl6EX66luk7wiuP2tBaryw-wKvv4e0/edit?usp=sharing"",""แพร่!N67"")+IMPORTRANGE(""https://docs.google.com/spreadsheets/d/1dQrvX"&amp;"0vEcN7Gu0fnZ0B5S90AeR19zth4XlExFBeExMY/edit?usp=sharing"",""แม่ฮ่องสอน!N67"")+IMPORTRANGE(""https://docs.google.com/spreadsheets/d/1DY4XTNNwjluuxqdfdn6qvOSlMRrZqUtmYcZR0ttFiG4/edit?usp=sharing"",""ลำปาง!N67"")+IMPORTRANGE(""https://docs.google.com/spreads"&amp;"heets/d/1ICwG78r0OFT8biBlxnBF8r7she7gNSzOvJ958PWT09c/edit?usp=sharing"",""ลำพูน!N67"")+IMPORTRANGE(""https://docs.google.com/spreadsheets/d/1B0f2xJpZUC6Z0xXnqKlZtEPzsf6L84eP1r1Q15seqRM/edit?usp=sharing"",""สุโขทัย!N67"")+IMPORTRANGE(""https://docs.google."&amp;"com/spreadsheets/d/1v0b9pFQCsKUVExMei7AgY2yQkdeNQvtOssygGsXbiKo/edit?usp=sharing"",""อุตรดิตถ์!N67"")+IMPORTRANGE(""https://docs.google.com/spreadsheets/d/1UsNK1e-WWiCo2PvGqdNfdme4m17_Ezd3J69EeeiQPD0/edit?usp=sharing"",""อุทัยธานี!N67"")"),0)</f>
        <v>0</v>
      </c>
      <c r="O67" s="111">
        <f t="shared" ca="1" si="37"/>
        <v>0</v>
      </c>
      <c r="P67" s="111">
        <f t="shared" ca="1" si="38"/>
        <v>0</v>
      </c>
      <c r="Q67" s="111">
        <f ca="1">IFERROR(__xludf.DUMMYFUNCTION("IMPORTRANGE(""https://docs.google.com/spreadsheets/d/1jTcq05yEiRwXcBMLjiodW9e4biSGYWAHcDj22rKWQ3s/edit?usp=sharing"",""กำแพงเพชร!Q67"")+IMPORTRANGE(""https://docs.google.com/spreadsheets/d/1KS0zmDSZPk8KnTAbGN-Xk6MtX1YRZD0ldgdt20K4CRk/edit?usp=sharing"","""&amp;"เชียงราย!Q67"")+IMPORTRANGE(""https://docs.google.com/spreadsheets/d/1rEDxBtusbi64tE0zunoIbsTVV16HeL0oJ6trHQeQ7K8/edit?usp=sharing"",""เชียงใหม่!Q67"")+IMPORTRANGE(""https://docs.google.com/spreadsheets/d/1W6MnUbDkMi6xHnHko_XkFDO9kkuL6Wqyc-6OCDFjW9I/edit?"&amp;"usp=sharing"",""ตาก!Q67"")+IMPORTRANGE(""https://docs.google.com/spreadsheets/d/1IQAWArduLkta9LpYo4a_ULsyqdta6-6aDDiwpUnQT6c/edit?usp=sharing"",""นครสวรรค์!Q67"")+IMPORTRANGE(""https://docs.google.com/spreadsheets/d/10s13Sk5xrltsiR-Zkbmk5DwIaDIKO8XlbJAfqy"&amp;"T7Gvg/edit?usp=sharing"",""น่าน!Q67"")+IMPORTRANGE(""https://docs.google.com/spreadsheets/d/1uu4nAn4Dbi1XREnLKKotUANlKXa7yCgRcgq8HEzQYW8/edit?usp=sharing"",""พะเยา!Q67"")+IMPORTRANGE(""https://docs.google.com/spreadsheets/d/1xfJKIQxVOaPDIICqsflNlLu3JacTDk"&amp;"1FP9RH4phX7mI/edit?usp=sharing"",""พิจิตร!Q67"")+IMPORTRANGE(""https://docs.google.com/spreadsheets/d/1JtRfZkJMHtEhI5RdRHxYUG4FIZHqKDpNyIuN7A1Q0_k/edit?usp=sharing"",""พิษณุโลก!Q67"")+IMPORTRANGE(""https://docs.google.com/spreadsheets/d/1xlcVZWUNn6SuWm0c3"&amp;"07h32SiGkd9BaeQWlAktfD3KO8/edit?usp=sharing"",""เพชรบูรณ์!Q67"")+IMPORTRANGE(""https://docs.google.com/spreadsheets/d/1lOVebEIsI9qjGXl6EX66luk7wiuP2tBaryw-wKvv4e0/edit?usp=sharing"",""แพร่!Q67"")+IMPORTRANGE(""https://docs.google.com/spreadsheets/d/1dQrvX"&amp;"0vEcN7Gu0fnZ0B5S90AeR19zth4XlExFBeExMY/edit?usp=sharing"",""แม่ฮ่องสอน!Q67"")+IMPORTRANGE(""https://docs.google.com/spreadsheets/d/1DY4XTNNwjluuxqdfdn6qvOSlMRrZqUtmYcZR0ttFiG4/edit?usp=sharing"",""ลำปาง!Q67"")+IMPORTRANGE(""https://docs.google.com/spreads"&amp;"heets/d/1ICwG78r0OFT8biBlxnBF8r7she7gNSzOvJ958PWT09c/edit?usp=sharing"",""ลำพูน!Q67"")+IMPORTRANGE(""https://docs.google.com/spreadsheets/d/1B0f2xJpZUC6Z0xXnqKlZtEPzsf6L84eP1r1Q15seqRM/edit?usp=sharing"",""สุโขทัย!Q67"")+IMPORTRANGE(""https://docs.google."&amp;"com/spreadsheets/d/1v0b9pFQCsKUVExMei7AgY2yQkdeNQvtOssygGsXbiKo/edit?usp=sharing"",""อุตรดิตถ์!Q67"")+IMPORTRANGE(""https://docs.google.com/spreadsheets/d/1UsNK1e-WWiCo2PvGqdNfdme4m17_Ezd3J69EeeiQPD0/edit?usp=sharing"",""อุทัยธานี!Q67"")"),0)</f>
        <v>0</v>
      </c>
      <c r="R67" s="111">
        <f ca="1">IFERROR(__xludf.DUMMYFUNCTION("IMPORTRANGE(""https://docs.google.com/spreadsheets/d/1jTcq05yEiRwXcBMLjiodW9e4biSGYWAHcDj22rKWQ3s/edit?usp=sharing"",""กำแพงเพชร!R67"")+IMPORTRANGE(""https://docs.google.com/spreadsheets/d/1KS0zmDSZPk8KnTAbGN-Xk6MtX1YRZD0ldgdt20K4CRk/edit?usp=sharing"","""&amp;"เชียงราย!R67"")+IMPORTRANGE(""https://docs.google.com/spreadsheets/d/1rEDxBtusbi64tE0zunoIbsTVV16HeL0oJ6trHQeQ7K8/edit?usp=sharing"",""เชียงใหม่!R67"")+IMPORTRANGE(""https://docs.google.com/spreadsheets/d/1W6MnUbDkMi6xHnHko_XkFDO9kkuL6Wqyc-6OCDFjW9I/edit?"&amp;"usp=sharing"",""ตาก!R67"")+IMPORTRANGE(""https://docs.google.com/spreadsheets/d/1IQAWArduLkta9LpYo4a_ULsyqdta6-6aDDiwpUnQT6c/edit?usp=sharing"",""นครสวรรค์!R67"")+IMPORTRANGE(""https://docs.google.com/spreadsheets/d/10s13Sk5xrltsiR-Zkbmk5DwIaDIKO8XlbJAfqy"&amp;"T7Gvg/edit?usp=sharing"",""น่าน!R67"")+IMPORTRANGE(""https://docs.google.com/spreadsheets/d/1uu4nAn4Dbi1XREnLKKotUANlKXa7yCgRcgq8HEzQYW8/edit?usp=sharing"",""พะเยา!R67"")+IMPORTRANGE(""https://docs.google.com/spreadsheets/d/1xfJKIQxVOaPDIICqsflNlLu3JacTDk"&amp;"1FP9RH4phX7mI/edit?usp=sharing"",""พิจิตร!R67"")+IMPORTRANGE(""https://docs.google.com/spreadsheets/d/1JtRfZkJMHtEhI5RdRHxYUG4FIZHqKDpNyIuN7A1Q0_k/edit?usp=sharing"",""พิษณุโลก!R67"")+IMPORTRANGE(""https://docs.google.com/spreadsheets/d/1xlcVZWUNn6SuWm0c3"&amp;"07h32SiGkd9BaeQWlAktfD3KO8/edit?usp=sharing"",""เพชรบูรณ์!R67"")+IMPORTRANGE(""https://docs.google.com/spreadsheets/d/1lOVebEIsI9qjGXl6EX66luk7wiuP2tBaryw-wKvv4e0/edit?usp=sharing"",""แพร่!R67"")+IMPORTRANGE(""https://docs.google.com/spreadsheets/d/1dQrvX"&amp;"0vEcN7Gu0fnZ0B5S90AeR19zth4XlExFBeExMY/edit?usp=sharing"",""แม่ฮ่องสอน!R67"")+IMPORTRANGE(""https://docs.google.com/spreadsheets/d/1DY4XTNNwjluuxqdfdn6qvOSlMRrZqUtmYcZR0ttFiG4/edit?usp=sharing"",""ลำปาง!R67"")+IMPORTRANGE(""https://docs.google.com/spreads"&amp;"heets/d/1ICwG78r0OFT8biBlxnBF8r7she7gNSzOvJ958PWT09c/edit?usp=sharing"",""ลำพูน!R67"")+IMPORTRANGE(""https://docs.google.com/spreadsheets/d/1B0f2xJpZUC6Z0xXnqKlZtEPzsf6L84eP1r1Q15seqRM/edit?usp=sharing"",""สุโขทัย!R67"")+IMPORTRANGE(""https://docs.google."&amp;"com/spreadsheets/d/1v0b9pFQCsKUVExMei7AgY2yQkdeNQvtOssygGsXbiKo/edit?usp=sharing"",""อุตรดิตถ์!R67"")+IMPORTRANGE(""https://docs.google.com/spreadsheets/d/1UsNK1e-WWiCo2PvGqdNfdme4m17_Ezd3J69EeeiQPD0/edit?usp=sharing"",""อุทัยธานี!R67"")"),0)</f>
        <v>0</v>
      </c>
      <c r="S67" s="111">
        <f ca="1">IFERROR(__xludf.DUMMYFUNCTION("IMPORTRANGE(""https://docs.google.com/spreadsheets/d/1jTcq05yEiRwXcBMLjiodW9e4biSGYWAHcDj22rKWQ3s/edit?usp=sharing"",""กำแพงเพชร!S67"")+IMPORTRANGE(""https://docs.google.com/spreadsheets/d/1KS0zmDSZPk8KnTAbGN-Xk6MtX1YRZD0ldgdt20K4CRk/edit?usp=sharing"","""&amp;"เชียงราย!S67"")+IMPORTRANGE(""https://docs.google.com/spreadsheets/d/1rEDxBtusbi64tE0zunoIbsTVV16HeL0oJ6trHQeQ7K8/edit?usp=sharing"",""เชียงใหม่!S67"")+IMPORTRANGE(""https://docs.google.com/spreadsheets/d/1W6MnUbDkMi6xHnHko_XkFDO9kkuL6Wqyc-6OCDFjW9I/edit?"&amp;"usp=sharing"",""ตาก!S67"")+IMPORTRANGE(""https://docs.google.com/spreadsheets/d/1IQAWArduLkta9LpYo4a_ULsyqdta6-6aDDiwpUnQT6c/edit?usp=sharing"",""นครสวรรค์!S67"")+IMPORTRANGE(""https://docs.google.com/spreadsheets/d/10s13Sk5xrltsiR-Zkbmk5DwIaDIKO8XlbJAfqy"&amp;"T7Gvg/edit?usp=sharing"",""น่าน!S67"")+IMPORTRANGE(""https://docs.google.com/spreadsheets/d/1uu4nAn4Dbi1XREnLKKotUANlKXa7yCgRcgq8HEzQYW8/edit?usp=sharing"",""พะเยา!S67"")+IMPORTRANGE(""https://docs.google.com/spreadsheets/d/1xfJKIQxVOaPDIICqsflNlLu3JacTDk"&amp;"1FP9RH4phX7mI/edit?usp=sharing"",""พิจิตร!S67"")+IMPORTRANGE(""https://docs.google.com/spreadsheets/d/1JtRfZkJMHtEhI5RdRHxYUG4FIZHqKDpNyIuN7A1Q0_k/edit?usp=sharing"",""พิษณุโลก!S67"")+IMPORTRANGE(""https://docs.google.com/spreadsheets/d/1xlcVZWUNn6SuWm0c3"&amp;"07h32SiGkd9BaeQWlAktfD3KO8/edit?usp=sharing"",""เพชรบูรณ์!S67"")+IMPORTRANGE(""https://docs.google.com/spreadsheets/d/1lOVebEIsI9qjGXl6EX66luk7wiuP2tBaryw-wKvv4e0/edit?usp=sharing"",""แพร่!S67"")+IMPORTRANGE(""https://docs.google.com/spreadsheets/d/1dQrvX"&amp;"0vEcN7Gu0fnZ0B5S90AeR19zth4XlExFBeExMY/edit?usp=sharing"",""แม่ฮ่องสอน!S67"")+IMPORTRANGE(""https://docs.google.com/spreadsheets/d/1DY4XTNNwjluuxqdfdn6qvOSlMRrZqUtmYcZR0ttFiG4/edit?usp=sharing"",""ลำปาง!S67"")+IMPORTRANGE(""https://docs.google.com/spreads"&amp;"heets/d/1ICwG78r0OFT8biBlxnBF8r7she7gNSzOvJ958PWT09c/edit?usp=sharing"",""ลำพูน!S67"")+IMPORTRANGE(""https://docs.google.com/spreadsheets/d/1B0f2xJpZUC6Z0xXnqKlZtEPzsf6L84eP1r1Q15seqRM/edit?usp=sharing"",""สุโขทัย!S67"")+IMPORTRANGE(""https://docs.google."&amp;"com/spreadsheets/d/1v0b9pFQCsKUVExMei7AgY2yQkdeNQvtOssygGsXbiKo/edit?usp=sharing"",""อุตรดิตถ์!S67"")+IMPORTRANGE(""https://docs.google.com/spreadsheets/d/1UsNK1e-WWiCo2PvGqdNfdme4m17_Ezd3J69EeeiQPD0/edit?usp=sharing"",""อุทัยธานี!S67"")"),0)</f>
        <v>0</v>
      </c>
      <c r="T67" s="111">
        <f t="shared" ca="1" si="40"/>
        <v>0</v>
      </c>
      <c r="U67" s="111">
        <f t="shared" ca="1" si="41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127">
        <f t="shared" ref="I70:J70" ca="1" si="50">I82</f>
        <v>16</v>
      </c>
      <c r="J70" s="127">
        <f t="shared" ca="1" si="50"/>
        <v>5</v>
      </c>
      <c r="K70" s="34">
        <f t="shared" ref="K70:K71" ca="1" si="51">IF(I70&gt;0,J70*100/I70,0)</f>
        <v>31.25</v>
      </c>
      <c r="L70" s="33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127">
        <f t="shared" ref="I71:J71" ca="1" si="52">I83</f>
        <v>791</v>
      </c>
      <c r="J71" s="127">
        <f t="shared" ca="1" si="52"/>
        <v>188</v>
      </c>
      <c r="K71" s="34">
        <f t="shared" ca="1" si="51"/>
        <v>23.767383059418457</v>
      </c>
      <c r="L71" s="33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129" t="s">
        <v>18</v>
      </c>
      <c r="D72" s="130" t="s">
        <v>19</v>
      </c>
      <c r="E72" s="40"/>
      <c r="F72" s="40"/>
      <c r="G72" s="42"/>
      <c r="H72" s="131" t="s">
        <v>14</v>
      </c>
      <c r="I72" s="44"/>
      <c r="J72" s="44"/>
      <c r="K72" s="45"/>
      <c r="L72" s="132">
        <f t="shared" ref="L72:N72" ca="1" si="53">L73+L74</f>
        <v>2660000</v>
      </c>
      <c r="M72" s="132">
        <f t="shared" ca="1" si="53"/>
        <v>2739132</v>
      </c>
      <c r="N72" s="132">
        <f t="shared" ca="1" si="53"/>
        <v>1695598.8199999901</v>
      </c>
      <c r="O72" s="132">
        <f t="shared" ref="O72:O80" ca="1" si="54">IF(L72&gt;0,N72*100/L72,0)</f>
        <v>63.744316541353015</v>
      </c>
      <c r="P72" s="132">
        <f t="shared" ref="P72:P80" ca="1" si="55">IF(M72&gt;0,N72*100/M72,0)</f>
        <v>61.902778690475309</v>
      </c>
      <c r="Q72" s="132">
        <f t="shared" ref="Q72:S72" ca="1" si="56">Q73+Q74</f>
        <v>9235733</v>
      </c>
      <c r="R72" s="132">
        <f t="shared" ca="1" si="56"/>
        <v>9235733</v>
      </c>
      <c r="S72" s="132">
        <f t="shared" ca="1" si="56"/>
        <v>819380</v>
      </c>
      <c r="T72" s="132">
        <f t="shared" ref="T72:T80" ca="1" si="57">IF(Q72&gt;0,S72*100/Q72,0)</f>
        <v>8.8718459054630525</v>
      </c>
      <c r="U72" s="132">
        <f t="shared" ref="U72:U80" ca="1" si="58">IF(R72&gt;0,S72*100/R72,0)</f>
        <v>8.8718459054630525</v>
      </c>
    </row>
    <row r="73" spans="1:21" ht="18.75" x14ac:dyDescent="0.25">
      <c r="A73" s="128"/>
      <c r="B73" s="40"/>
      <c r="C73" s="40"/>
      <c r="D73" s="40"/>
      <c r="E73" s="47" t="s">
        <v>20</v>
      </c>
      <c r="F73" s="40"/>
      <c r="G73" s="42"/>
      <c r="H73" s="133" t="s">
        <v>14</v>
      </c>
      <c r="I73" s="44"/>
      <c r="J73" s="44"/>
      <c r="K73" s="45"/>
      <c r="L73" s="46">
        <f t="shared" ref="L73:N73" ca="1" si="59">L76+L79</f>
        <v>0</v>
      </c>
      <c r="M73" s="46">
        <f t="shared" ca="1" si="59"/>
        <v>0</v>
      </c>
      <c r="N73" s="46">
        <f t="shared" ca="1" si="59"/>
        <v>0</v>
      </c>
      <c r="O73" s="46">
        <f t="shared" ca="1" si="54"/>
        <v>0</v>
      </c>
      <c r="P73" s="46">
        <f t="shared" ca="1" si="55"/>
        <v>0</v>
      </c>
      <c r="Q73" s="48">
        <f t="shared" ref="Q73:S73" ca="1" si="60">Q76+Q79</f>
        <v>0</v>
      </c>
      <c r="R73" s="48">
        <f t="shared" ca="1" si="60"/>
        <v>0</v>
      </c>
      <c r="S73" s="48">
        <f t="shared" ca="1" si="60"/>
        <v>0</v>
      </c>
      <c r="T73" s="48">
        <f t="shared" ca="1" si="57"/>
        <v>0</v>
      </c>
      <c r="U73" s="48">
        <f t="shared" ca="1" si="58"/>
        <v>0</v>
      </c>
    </row>
    <row r="74" spans="1:21" ht="18.75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46">
        <f t="shared" ref="L74:N74" ca="1" si="61">L77+L80</f>
        <v>2660000</v>
      </c>
      <c r="M74" s="46">
        <f t="shared" ca="1" si="61"/>
        <v>2739132</v>
      </c>
      <c r="N74" s="46">
        <f t="shared" ca="1" si="61"/>
        <v>1695598.8199999901</v>
      </c>
      <c r="O74" s="46">
        <f t="shared" ca="1" si="54"/>
        <v>63.744316541353015</v>
      </c>
      <c r="P74" s="46">
        <f t="shared" ca="1" si="55"/>
        <v>61.902778690475309</v>
      </c>
      <c r="Q74" s="46">
        <f t="shared" ref="Q74:S74" ca="1" si="62">Q77+Q80</f>
        <v>9235733</v>
      </c>
      <c r="R74" s="46">
        <f t="shared" ca="1" si="62"/>
        <v>9235733</v>
      </c>
      <c r="S74" s="46">
        <f t="shared" ca="1" si="62"/>
        <v>819380</v>
      </c>
      <c r="T74" s="46">
        <f t="shared" ca="1" si="57"/>
        <v>8.8718459054630525</v>
      </c>
      <c r="U74" s="46">
        <f t="shared" ca="1" si="58"/>
        <v>8.8718459054630525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46">
        <f t="shared" ref="L75:N75" ca="1" si="63">L76+L77</f>
        <v>2660000</v>
      </c>
      <c r="M75" s="46">
        <f t="shared" ca="1" si="63"/>
        <v>2739132</v>
      </c>
      <c r="N75" s="46">
        <f t="shared" ca="1" si="63"/>
        <v>1695598.8199999901</v>
      </c>
      <c r="O75" s="46">
        <f t="shared" ca="1" si="54"/>
        <v>63.744316541353015</v>
      </c>
      <c r="P75" s="46">
        <f t="shared" ca="1" si="55"/>
        <v>61.902778690475309</v>
      </c>
      <c r="Q75" s="46">
        <f t="shared" ref="Q75:S75" ca="1" si="64">Q76+Q77</f>
        <v>9235733</v>
      </c>
      <c r="R75" s="46">
        <f t="shared" ca="1" si="64"/>
        <v>9235733</v>
      </c>
      <c r="S75" s="46">
        <f t="shared" ca="1" si="64"/>
        <v>819380</v>
      </c>
      <c r="T75" s="46">
        <f t="shared" ca="1" si="57"/>
        <v>8.8718459054630525</v>
      </c>
      <c r="U75" s="46">
        <f t="shared" ca="1" si="58"/>
        <v>8.8718459054630525</v>
      </c>
    </row>
    <row r="76" spans="1:21" ht="18.75" x14ac:dyDescent="0.25">
      <c r="A76" s="128"/>
      <c r="B76" s="40"/>
      <c r="C76" s="40"/>
      <c r="D76" s="40"/>
      <c r="E76" s="47" t="s">
        <v>36</v>
      </c>
      <c r="F76" s="40"/>
      <c r="G76" s="42"/>
      <c r="H76" s="134" t="s">
        <v>14</v>
      </c>
      <c r="I76" s="135"/>
      <c r="J76" s="135"/>
      <c r="K76" s="136"/>
      <c r="L76" s="46">
        <f ca="1">IFERROR(__xludf.DUMMYFUNCTION("IMPORTRANGE(""https://docs.google.com/spreadsheets/d/1jTcq05yEiRwXcBMLjiodW9e4biSGYWAHcDj22rKWQ3s/edit?usp=sharing"",""กำแพงเพชร!L76"")+IMPORTRANGE(""https://docs.google.com/spreadsheets/d/1KS0zmDSZPk8KnTAbGN-Xk6MtX1YRZD0ldgdt20K4CRk/edit?usp=sharing"","""&amp;"เชียงราย!L76"")+IMPORTRANGE(""https://docs.google.com/spreadsheets/d/1rEDxBtusbi64tE0zunoIbsTVV16HeL0oJ6trHQeQ7K8/edit?usp=sharing"",""เชียงใหม่!L76"")+IMPORTRANGE(""https://docs.google.com/spreadsheets/d/1W6MnUbDkMi6xHnHko_XkFDO9kkuL6Wqyc-6OCDFjW9I/edit?"&amp;"usp=sharing"",""ตาก!L76"")+IMPORTRANGE(""https://docs.google.com/spreadsheets/d/1IQAWArduLkta9LpYo4a_ULsyqdta6-6aDDiwpUnQT6c/edit?usp=sharing"",""นครสวรรค์!L76"")+IMPORTRANGE(""https://docs.google.com/spreadsheets/d/10s13Sk5xrltsiR-Zkbmk5DwIaDIKO8XlbJAfqy"&amp;"T7Gvg/edit?usp=sharing"",""น่าน!L76"")+IMPORTRANGE(""https://docs.google.com/spreadsheets/d/1uu4nAn4Dbi1XREnLKKotUANlKXa7yCgRcgq8HEzQYW8/edit?usp=sharing"",""พะเยา!L76"")+IMPORTRANGE(""https://docs.google.com/spreadsheets/d/1xfJKIQxVOaPDIICqsflNlLu3JacTDk"&amp;"1FP9RH4phX7mI/edit?usp=sharing"",""พิจิตร!L76"")+IMPORTRANGE(""https://docs.google.com/spreadsheets/d/1JtRfZkJMHtEhI5RdRHxYUG4FIZHqKDpNyIuN7A1Q0_k/edit?usp=sharing"",""พิษณุโลก!L76"")+IMPORTRANGE(""https://docs.google.com/spreadsheets/d/1xlcVZWUNn6SuWm0c3"&amp;"07h32SiGkd9BaeQWlAktfD3KO8/edit?usp=sharing"",""เพชรบูรณ์!L76"")+IMPORTRANGE(""https://docs.google.com/spreadsheets/d/1lOVebEIsI9qjGXl6EX66luk7wiuP2tBaryw-wKvv4e0/edit?usp=sharing"",""แพร่!L76"")+IMPORTRANGE(""https://docs.google.com/spreadsheets/d/1dQrvX"&amp;"0vEcN7Gu0fnZ0B5S90AeR19zth4XlExFBeExMY/edit?usp=sharing"",""แม่ฮ่องสอน!L76"")+IMPORTRANGE(""https://docs.google.com/spreadsheets/d/1DY4XTNNwjluuxqdfdn6qvOSlMRrZqUtmYcZR0ttFiG4/edit?usp=sharing"",""ลำปาง!L76"")+IMPORTRANGE(""https://docs.google.com/spreads"&amp;"heets/d/1ICwG78r0OFT8biBlxnBF8r7she7gNSzOvJ958PWT09c/edit?usp=sharing"",""ลำพูน!L76"")+IMPORTRANGE(""https://docs.google.com/spreadsheets/d/1B0f2xJpZUC6Z0xXnqKlZtEPzsf6L84eP1r1Q15seqRM/edit?usp=sharing"",""สุโขทัย!L76"")+IMPORTRANGE(""https://docs.google."&amp;"com/spreadsheets/d/1v0b9pFQCsKUVExMei7AgY2yQkdeNQvtOssygGsXbiKo/edit?usp=sharing"",""อุตรดิตถ์!L76"")+IMPORTRANGE(""https://docs.google.com/spreadsheets/d/1UsNK1e-WWiCo2PvGqdNfdme4m17_Ezd3J69EeeiQPD0/edit?usp=sharing"",""อุทัยธานี!L76"")"),0)</f>
        <v>0</v>
      </c>
      <c r="M76" s="46">
        <f ca="1">IFERROR(__xludf.DUMMYFUNCTION("IMPORTRANGE(""https://docs.google.com/spreadsheets/d/1jTcq05yEiRwXcBMLjiodW9e4biSGYWAHcDj22rKWQ3s/edit?usp=sharing"",""กำแพงเพชร!M76"")+IMPORTRANGE(""https://docs.google.com/spreadsheets/d/1KS0zmDSZPk8KnTAbGN-Xk6MtX1YRZD0ldgdt20K4CRk/edit?usp=sharing"","""&amp;"เชียงราย!M76"")+IMPORTRANGE(""https://docs.google.com/spreadsheets/d/1rEDxBtusbi64tE0zunoIbsTVV16HeL0oJ6trHQeQ7K8/edit?usp=sharing"",""เชียงใหม่!M76"")+IMPORTRANGE(""https://docs.google.com/spreadsheets/d/1W6MnUbDkMi6xHnHko_XkFDO9kkuL6Wqyc-6OCDFjW9I/edit?"&amp;"usp=sharing"",""ตาก!M76"")+IMPORTRANGE(""https://docs.google.com/spreadsheets/d/1IQAWArduLkta9LpYo4a_ULsyqdta6-6aDDiwpUnQT6c/edit?usp=sharing"",""นครสวรรค์!M76"")+IMPORTRANGE(""https://docs.google.com/spreadsheets/d/10s13Sk5xrltsiR-Zkbmk5DwIaDIKO8XlbJAfqy"&amp;"T7Gvg/edit?usp=sharing"",""น่าน!M76"")+IMPORTRANGE(""https://docs.google.com/spreadsheets/d/1uu4nAn4Dbi1XREnLKKotUANlKXa7yCgRcgq8HEzQYW8/edit?usp=sharing"",""พะเยา!M76"")+IMPORTRANGE(""https://docs.google.com/spreadsheets/d/1xfJKIQxVOaPDIICqsflNlLu3JacTDk"&amp;"1FP9RH4phX7mI/edit?usp=sharing"",""พิจิตร!M76"")+IMPORTRANGE(""https://docs.google.com/spreadsheets/d/1JtRfZkJMHtEhI5RdRHxYUG4FIZHqKDpNyIuN7A1Q0_k/edit?usp=sharing"",""พิษณุโลก!M76"")+IMPORTRANGE(""https://docs.google.com/spreadsheets/d/1xlcVZWUNn6SuWm0c3"&amp;"07h32SiGkd9BaeQWlAktfD3KO8/edit?usp=sharing"",""เพชรบูรณ์!M76"")+IMPORTRANGE(""https://docs.google.com/spreadsheets/d/1lOVebEIsI9qjGXl6EX66luk7wiuP2tBaryw-wKvv4e0/edit?usp=sharing"",""แพร่!M76"")+IMPORTRANGE(""https://docs.google.com/spreadsheets/d/1dQrvX"&amp;"0vEcN7Gu0fnZ0B5S90AeR19zth4XlExFBeExMY/edit?usp=sharing"",""แม่ฮ่องสอน!M76"")+IMPORTRANGE(""https://docs.google.com/spreadsheets/d/1DY4XTNNwjluuxqdfdn6qvOSlMRrZqUtmYcZR0ttFiG4/edit?usp=sharing"",""ลำปาง!M76"")+IMPORTRANGE(""https://docs.google.com/spreads"&amp;"heets/d/1ICwG78r0OFT8biBlxnBF8r7she7gNSzOvJ958PWT09c/edit?usp=sharing"",""ลำพูน!M76"")+IMPORTRANGE(""https://docs.google.com/spreadsheets/d/1B0f2xJpZUC6Z0xXnqKlZtEPzsf6L84eP1r1Q15seqRM/edit?usp=sharing"",""สุโขทัย!M76"")+IMPORTRANGE(""https://docs.google."&amp;"com/spreadsheets/d/1v0b9pFQCsKUVExMei7AgY2yQkdeNQvtOssygGsXbiKo/edit?usp=sharing"",""อุตรดิตถ์!M76"")+IMPORTRANGE(""https://docs.google.com/spreadsheets/d/1UsNK1e-WWiCo2PvGqdNfdme4m17_Ezd3J69EeeiQPD0/edit?usp=sharing"",""อุทัยธานี!M76"")"),0)</f>
        <v>0</v>
      </c>
      <c r="N76" s="46">
        <f ca="1">IFERROR(__xludf.DUMMYFUNCTION("IMPORTRANGE(""https://docs.google.com/spreadsheets/d/1jTcq05yEiRwXcBMLjiodW9e4biSGYWAHcDj22rKWQ3s/edit?usp=sharing"",""กำแพงเพชร!N76"")+IMPORTRANGE(""https://docs.google.com/spreadsheets/d/1KS0zmDSZPk8KnTAbGN-Xk6MtX1YRZD0ldgdt20K4CRk/edit?usp=sharing"","""&amp;"เชียงราย!N76"")+IMPORTRANGE(""https://docs.google.com/spreadsheets/d/1rEDxBtusbi64tE0zunoIbsTVV16HeL0oJ6trHQeQ7K8/edit?usp=sharing"",""เชียงใหม่!N76"")+IMPORTRANGE(""https://docs.google.com/spreadsheets/d/1W6MnUbDkMi6xHnHko_XkFDO9kkuL6Wqyc-6OCDFjW9I/edit?"&amp;"usp=sharing"",""ตาก!N76"")+IMPORTRANGE(""https://docs.google.com/spreadsheets/d/1IQAWArduLkta9LpYo4a_ULsyqdta6-6aDDiwpUnQT6c/edit?usp=sharing"",""นครสวรรค์!N76"")+IMPORTRANGE(""https://docs.google.com/spreadsheets/d/10s13Sk5xrltsiR-Zkbmk5DwIaDIKO8XlbJAfqy"&amp;"T7Gvg/edit?usp=sharing"",""น่าน!N76"")+IMPORTRANGE(""https://docs.google.com/spreadsheets/d/1uu4nAn4Dbi1XREnLKKotUANlKXa7yCgRcgq8HEzQYW8/edit?usp=sharing"",""พะเยา!N76"")+IMPORTRANGE(""https://docs.google.com/spreadsheets/d/1xfJKIQxVOaPDIICqsflNlLu3JacTDk"&amp;"1FP9RH4phX7mI/edit?usp=sharing"",""พิจิตร!N76"")+IMPORTRANGE(""https://docs.google.com/spreadsheets/d/1JtRfZkJMHtEhI5RdRHxYUG4FIZHqKDpNyIuN7A1Q0_k/edit?usp=sharing"",""พิษณุโลก!N76"")+IMPORTRANGE(""https://docs.google.com/spreadsheets/d/1xlcVZWUNn6SuWm0c3"&amp;"07h32SiGkd9BaeQWlAktfD3KO8/edit?usp=sharing"",""เพชรบูรณ์!N76"")+IMPORTRANGE(""https://docs.google.com/spreadsheets/d/1lOVebEIsI9qjGXl6EX66luk7wiuP2tBaryw-wKvv4e0/edit?usp=sharing"",""แพร่!N76"")+IMPORTRANGE(""https://docs.google.com/spreadsheets/d/1dQrvX"&amp;"0vEcN7Gu0fnZ0B5S90AeR19zth4XlExFBeExMY/edit?usp=sharing"",""แม่ฮ่องสอน!N76"")+IMPORTRANGE(""https://docs.google.com/spreadsheets/d/1DY4XTNNwjluuxqdfdn6qvOSlMRrZqUtmYcZR0ttFiG4/edit?usp=sharing"",""ลำปาง!N76"")+IMPORTRANGE(""https://docs.google.com/spreads"&amp;"heets/d/1ICwG78r0OFT8biBlxnBF8r7she7gNSzOvJ958PWT09c/edit?usp=sharing"",""ลำพูน!N76"")+IMPORTRANGE(""https://docs.google.com/spreadsheets/d/1B0f2xJpZUC6Z0xXnqKlZtEPzsf6L84eP1r1Q15seqRM/edit?usp=sharing"",""สุโขทัย!N76"")+IMPORTRANGE(""https://docs.google."&amp;"com/spreadsheets/d/1v0b9pFQCsKUVExMei7AgY2yQkdeNQvtOssygGsXbiKo/edit?usp=sharing"",""อุตรดิตถ์!N76"")+IMPORTRANGE(""https://docs.google.com/spreadsheets/d/1UsNK1e-WWiCo2PvGqdNfdme4m17_Ezd3J69EeeiQPD0/edit?usp=sharing"",""อุทัยธานี!N76"")"),0)</f>
        <v>0</v>
      </c>
      <c r="O76" s="46">
        <f t="shared" ca="1" si="54"/>
        <v>0</v>
      </c>
      <c r="P76" s="46">
        <f t="shared" ca="1" si="55"/>
        <v>0</v>
      </c>
      <c r="Q76" s="48">
        <f ca="1">IFERROR(__xludf.DUMMYFUNCTION("IMPORTRANGE(""https://docs.google.com/spreadsheets/d/1jTcq05yEiRwXcBMLjiodW9e4biSGYWAHcDj22rKWQ3s/edit?usp=sharing"",""กำแพงเพชร!Q76"")+IMPORTRANGE(""https://docs.google.com/spreadsheets/d/1KS0zmDSZPk8KnTAbGN-Xk6MtX1YRZD0ldgdt20K4CRk/edit?usp=sharing"","""&amp;"เชียงราย!Q76"")+IMPORTRANGE(""https://docs.google.com/spreadsheets/d/1rEDxBtusbi64tE0zunoIbsTVV16HeL0oJ6trHQeQ7K8/edit?usp=sharing"",""เชียงใหม่!Q76"")+IMPORTRANGE(""https://docs.google.com/spreadsheets/d/1W6MnUbDkMi6xHnHko_XkFDO9kkuL6Wqyc-6OCDFjW9I/edit?"&amp;"usp=sharing"",""ตาก!Q76"")+IMPORTRANGE(""https://docs.google.com/spreadsheets/d/1IQAWArduLkta9LpYo4a_ULsyqdta6-6aDDiwpUnQT6c/edit?usp=sharing"",""นครสวรรค์!Q76"")+IMPORTRANGE(""https://docs.google.com/spreadsheets/d/10s13Sk5xrltsiR-Zkbmk5DwIaDIKO8XlbJAfqy"&amp;"T7Gvg/edit?usp=sharing"",""น่าน!Q76"")+IMPORTRANGE(""https://docs.google.com/spreadsheets/d/1uu4nAn4Dbi1XREnLKKotUANlKXa7yCgRcgq8HEzQYW8/edit?usp=sharing"",""พะเยา!Q76"")+IMPORTRANGE(""https://docs.google.com/spreadsheets/d/1xfJKIQxVOaPDIICqsflNlLu3JacTDk"&amp;"1FP9RH4phX7mI/edit?usp=sharing"",""พิจิตร!Q76"")+IMPORTRANGE(""https://docs.google.com/spreadsheets/d/1JtRfZkJMHtEhI5RdRHxYUG4FIZHqKDpNyIuN7A1Q0_k/edit?usp=sharing"",""พิษณุโลก!Q76"")+IMPORTRANGE(""https://docs.google.com/spreadsheets/d/1xlcVZWUNn6SuWm0c3"&amp;"07h32SiGkd9BaeQWlAktfD3KO8/edit?usp=sharing"",""เพชรบูรณ์!Q76"")+IMPORTRANGE(""https://docs.google.com/spreadsheets/d/1lOVebEIsI9qjGXl6EX66luk7wiuP2tBaryw-wKvv4e0/edit?usp=sharing"",""แพร่!Q76"")+IMPORTRANGE(""https://docs.google.com/spreadsheets/d/1dQrvX"&amp;"0vEcN7Gu0fnZ0B5S90AeR19zth4XlExFBeExMY/edit?usp=sharing"",""แม่ฮ่องสอน!Q76"")+IMPORTRANGE(""https://docs.google.com/spreadsheets/d/1DY4XTNNwjluuxqdfdn6qvOSlMRrZqUtmYcZR0ttFiG4/edit?usp=sharing"",""ลำปาง!Q76"")+IMPORTRANGE(""https://docs.google.com/spreads"&amp;"heets/d/1ICwG78r0OFT8biBlxnBF8r7she7gNSzOvJ958PWT09c/edit?usp=sharing"",""ลำพูน!Q76"")+IMPORTRANGE(""https://docs.google.com/spreadsheets/d/1B0f2xJpZUC6Z0xXnqKlZtEPzsf6L84eP1r1Q15seqRM/edit?usp=sharing"",""สุโขทัย!Q76"")+IMPORTRANGE(""https://docs.google."&amp;"com/spreadsheets/d/1v0b9pFQCsKUVExMei7AgY2yQkdeNQvtOssygGsXbiKo/edit?usp=sharing"",""อุตรดิตถ์!Q76"")+IMPORTRANGE(""https://docs.google.com/spreadsheets/d/1UsNK1e-WWiCo2PvGqdNfdme4m17_Ezd3J69EeeiQPD0/edit?usp=sharing"",""อุทัยธานี!Q76"")"),0)</f>
        <v>0</v>
      </c>
      <c r="R76" s="48">
        <f ca="1">IFERROR(__xludf.DUMMYFUNCTION("IMPORTRANGE(""https://docs.google.com/spreadsheets/d/1jTcq05yEiRwXcBMLjiodW9e4biSGYWAHcDj22rKWQ3s/edit?usp=sharing"",""กำแพงเพชร!R76"")+IMPORTRANGE(""https://docs.google.com/spreadsheets/d/1KS0zmDSZPk8KnTAbGN-Xk6MtX1YRZD0ldgdt20K4CRk/edit?usp=sharing"","""&amp;"เชียงราย!R76"")+IMPORTRANGE(""https://docs.google.com/spreadsheets/d/1rEDxBtusbi64tE0zunoIbsTVV16HeL0oJ6trHQeQ7K8/edit?usp=sharing"",""เชียงใหม่!R76"")+IMPORTRANGE(""https://docs.google.com/spreadsheets/d/1W6MnUbDkMi6xHnHko_XkFDO9kkuL6Wqyc-6OCDFjW9I/edit?"&amp;"usp=sharing"",""ตาก!R76"")+IMPORTRANGE(""https://docs.google.com/spreadsheets/d/1IQAWArduLkta9LpYo4a_ULsyqdta6-6aDDiwpUnQT6c/edit?usp=sharing"",""นครสวรรค์!R76"")+IMPORTRANGE(""https://docs.google.com/spreadsheets/d/10s13Sk5xrltsiR-Zkbmk5DwIaDIKO8XlbJAfqy"&amp;"T7Gvg/edit?usp=sharing"",""น่าน!R76"")+IMPORTRANGE(""https://docs.google.com/spreadsheets/d/1uu4nAn4Dbi1XREnLKKotUANlKXa7yCgRcgq8HEzQYW8/edit?usp=sharing"",""พะเยา!R76"")+IMPORTRANGE(""https://docs.google.com/spreadsheets/d/1xfJKIQxVOaPDIICqsflNlLu3JacTDk"&amp;"1FP9RH4phX7mI/edit?usp=sharing"",""พิจิตร!R76"")+IMPORTRANGE(""https://docs.google.com/spreadsheets/d/1JtRfZkJMHtEhI5RdRHxYUG4FIZHqKDpNyIuN7A1Q0_k/edit?usp=sharing"",""พิษณุโลก!R76"")+IMPORTRANGE(""https://docs.google.com/spreadsheets/d/1xlcVZWUNn6SuWm0c3"&amp;"07h32SiGkd9BaeQWlAktfD3KO8/edit?usp=sharing"",""เพชรบูรณ์!R76"")+IMPORTRANGE(""https://docs.google.com/spreadsheets/d/1lOVebEIsI9qjGXl6EX66luk7wiuP2tBaryw-wKvv4e0/edit?usp=sharing"",""แพร่!R76"")+IMPORTRANGE(""https://docs.google.com/spreadsheets/d/1dQrvX"&amp;"0vEcN7Gu0fnZ0B5S90AeR19zth4XlExFBeExMY/edit?usp=sharing"",""แม่ฮ่องสอน!R76"")+IMPORTRANGE(""https://docs.google.com/spreadsheets/d/1DY4XTNNwjluuxqdfdn6qvOSlMRrZqUtmYcZR0ttFiG4/edit?usp=sharing"",""ลำปาง!R76"")+IMPORTRANGE(""https://docs.google.com/spreads"&amp;"heets/d/1ICwG78r0OFT8biBlxnBF8r7she7gNSzOvJ958PWT09c/edit?usp=sharing"",""ลำพูน!R76"")+IMPORTRANGE(""https://docs.google.com/spreadsheets/d/1B0f2xJpZUC6Z0xXnqKlZtEPzsf6L84eP1r1Q15seqRM/edit?usp=sharing"",""สุโขทัย!R76"")+IMPORTRANGE(""https://docs.google."&amp;"com/spreadsheets/d/1v0b9pFQCsKUVExMei7AgY2yQkdeNQvtOssygGsXbiKo/edit?usp=sharing"",""อุตรดิตถ์!R76"")+IMPORTRANGE(""https://docs.google.com/spreadsheets/d/1UsNK1e-WWiCo2PvGqdNfdme4m17_Ezd3J69EeeiQPD0/edit?usp=sharing"",""อุทัยธานี!R76"")"),0)</f>
        <v>0</v>
      </c>
      <c r="S76" s="48">
        <f ca="1">IFERROR(__xludf.DUMMYFUNCTION("IMPORTRANGE(""https://docs.google.com/spreadsheets/d/1jTcq05yEiRwXcBMLjiodW9e4biSGYWAHcDj22rKWQ3s/edit?usp=sharing"",""กำแพงเพชร!S76"")+IMPORTRANGE(""https://docs.google.com/spreadsheets/d/1KS0zmDSZPk8KnTAbGN-Xk6MtX1YRZD0ldgdt20K4CRk/edit?usp=sharing"","""&amp;"เชียงราย!S76"")+IMPORTRANGE(""https://docs.google.com/spreadsheets/d/1rEDxBtusbi64tE0zunoIbsTVV16HeL0oJ6trHQeQ7K8/edit?usp=sharing"",""เชียงใหม่!S76"")+IMPORTRANGE(""https://docs.google.com/spreadsheets/d/1W6MnUbDkMi6xHnHko_XkFDO9kkuL6Wqyc-6OCDFjW9I/edit?"&amp;"usp=sharing"",""ตาก!S76"")+IMPORTRANGE(""https://docs.google.com/spreadsheets/d/1IQAWArduLkta9LpYo4a_ULsyqdta6-6aDDiwpUnQT6c/edit?usp=sharing"",""นครสวรรค์!S76"")+IMPORTRANGE(""https://docs.google.com/spreadsheets/d/10s13Sk5xrltsiR-Zkbmk5DwIaDIKO8XlbJAfqy"&amp;"T7Gvg/edit?usp=sharing"",""น่าน!S76"")+IMPORTRANGE(""https://docs.google.com/spreadsheets/d/1uu4nAn4Dbi1XREnLKKotUANlKXa7yCgRcgq8HEzQYW8/edit?usp=sharing"",""พะเยา!S76"")+IMPORTRANGE(""https://docs.google.com/spreadsheets/d/1xfJKIQxVOaPDIICqsflNlLu3JacTDk"&amp;"1FP9RH4phX7mI/edit?usp=sharing"",""พิจิตร!S76"")+IMPORTRANGE(""https://docs.google.com/spreadsheets/d/1JtRfZkJMHtEhI5RdRHxYUG4FIZHqKDpNyIuN7A1Q0_k/edit?usp=sharing"",""พิษณุโลก!S76"")+IMPORTRANGE(""https://docs.google.com/spreadsheets/d/1xlcVZWUNn6SuWm0c3"&amp;"07h32SiGkd9BaeQWlAktfD3KO8/edit?usp=sharing"",""เพชรบูรณ์!S76"")+IMPORTRANGE(""https://docs.google.com/spreadsheets/d/1lOVebEIsI9qjGXl6EX66luk7wiuP2tBaryw-wKvv4e0/edit?usp=sharing"",""แพร่!S76"")+IMPORTRANGE(""https://docs.google.com/spreadsheets/d/1dQrvX"&amp;"0vEcN7Gu0fnZ0B5S90AeR19zth4XlExFBeExMY/edit?usp=sharing"",""แม่ฮ่องสอน!S76"")+IMPORTRANGE(""https://docs.google.com/spreadsheets/d/1DY4XTNNwjluuxqdfdn6qvOSlMRrZqUtmYcZR0ttFiG4/edit?usp=sharing"",""ลำปาง!S76"")+IMPORTRANGE(""https://docs.google.com/spreads"&amp;"heets/d/1ICwG78r0OFT8biBlxnBF8r7she7gNSzOvJ958PWT09c/edit?usp=sharing"",""ลำพูน!S76"")+IMPORTRANGE(""https://docs.google.com/spreadsheets/d/1B0f2xJpZUC6Z0xXnqKlZtEPzsf6L84eP1r1Q15seqRM/edit?usp=sharing"",""สุโขทัย!S76"")+IMPORTRANGE(""https://docs.google."&amp;"com/spreadsheets/d/1v0b9pFQCsKUVExMei7AgY2yQkdeNQvtOssygGsXbiKo/edit?usp=sharing"",""อุตรดิตถ์!S76"")+IMPORTRANGE(""https://docs.google.com/spreadsheets/d/1UsNK1e-WWiCo2PvGqdNfdme4m17_Ezd3J69EeeiQPD0/edit?usp=sharing"",""อุทัยธานี!S76"")"),0)</f>
        <v>0</v>
      </c>
      <c r="T76" s="48">
        <f t="shared" ca="1" si="57"/>
        <v>0</v>
      </c>
      <c r="U76" s="48">
        <f t="shared" ca="1" si="58"/>
        <v>0</v>
      </c>
    </row>
    <row r="77" spans="1:21" ht="18.75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46">
        <f ca="1">IFERROR(__xludf.DUMMYFUNCTION("IMPORTRANGE(""https://docs.google.com/spreadsheets/d/1jTcq05yEiRwXcBMLjiodW9e4biSGYWAHcDj22rKWQ3s/edit?usp=sharing"",""กำแพงเพชร!L77"")+IMPORTRANGE(""https://docs.google.com/spreadsheets/d/1KS0zmDSZPk8KnTAbGN-Xk6MtX1YRZD0ldgdt20K4CRk/edit?usp=sharing"","""&amp;"เชียงราย!L77"")+IMPORTRANGE(""https://docs.google.com/spreadsheets/d/1rEDxBtusbi64tE0zunoIbsTVV16HeL0oJ6trHQeQ7K8/edit?usp=sharing"",""เชียงใหม่!L77"")+IMPORTRANGE(""https://docs.google.com/spreadsheets/d/1W6MnUbDkMi6xHnHko_XkFDO9kkuL6Wqyc-6OCDFjW9I/edit?"&amp;"usp=sharing"",""ตาก!L77"")+IMPORTRANGE(""https://docs.google.com/spreadsheets/d/1IQAWArduLkta9LpYo4a_ULsyqdta6-6aDDiwpUnQT6c/edit?usp=sharing"",""นครสวรรค์!L77"")+IMPORTRANGE(""https://docs.google.com/spreadsheets/d/10s13Sk5xrltsiR-Zkbmk5DwIaDIKO8XlbJAfqy"&amp;"T7Gvg/edit?usp=sharing"",""น่าน!L77"")+IMPORTRANGE(""https://docs.google.com/spreadsheets/d/1uu4nAn4Dbi1XREnLKKotUANlKXa7yCgRcgq8HEzQYW8/edit?usp=sharing"",""พะเยา!L77"")+IMPORTRANGE(""https://docs.google.com/spreadsheets/d/1xfJKIQxVOaPDIICqsflNlLu3JacTDk"&amp;"1FP9RH4phX7mI/edit?usp=sharing"",""พิจิตร!L77"")+IMPORTRANGE(""https://docs.google.com/spreadsheets/d/1JtRfZkJMHtEhI5RdRHxYUG4FIZHqKDpNyIuN7A1Q0_k/edit?usp=sharing"",""พิษณุโลก!L77"")+IMPORTRANGE(""https://docs.google.com/spreadsheets/d/1xlcVZWUNn6SuWm0c3"&amp;"07h32SiGkd9BaeQWlAktfD3KO8/edit?usp=sharing"",""เพชรบูรณ์!L77"")+IMPORTRANGE(""https://docs.google.com/spreadsheets/d/1lOVebEIsI9qjGXl6EX66luk7wiuP2tBaryw-wKvv4e0/edit?usp=sharing"",""แพร่!L77"")+IMPORTRANGE(""https://docs.google.com/spreadsheets/d/1dQrvX"&amp;"0vEcN7Gu0fnZ0B5S90AeR19zth4XlExFBeExMY/edit?usp=sharing"",""แม่ฮ่องสอน!L77"")+IMPORTRANGE(""https://docs.google.com/spreadsheets/d/1DY4XTNNwjluuxqdfdn6qvOSlMRrZqUtmYcZR0ttFiG4/edit?usp=sharing"",""ลำปาง!L77"")+IMPORTRANGE(""https://docs.google.com/spreads"&amp;"heets/d/1ICwG78r0OFT8biBlxnBF8r7she7gNSzOvJ958PWT09c/edit?usp=sharing"",""ลำพูน!L77"")+IMPORTRANGE(""https://docs.google.com/spreadsheets/d/1B0f2xJpZUC6Z0xXnqKlZtEPzsf6L84eP1r1Q15seqRM/edit?usp=sharing"",""สุโขทัย!L77"")+IMPORTRANGE(""https://docs.google."&amp;"com/spreadsheets/d/1v0b9pFQCsKUVExMei7AgY2yQkdeNQvtOssygGsXbiKo/edit?usp=sharing"",""อุตรดิตถ์!L77"")+IMPORTRANGE(""https://docs.google.com/spreadsheets/d/1UsNK1e-WWiCo2PvGqdNfdme4m17_Ezd3J69EeeiQPD0/edit?usp=sharing"",""อุทัยธานี!L77"")"),2660000)</f>
        <v>2660000</v>
      </c>
      <c r="M77" s="46">
        <f ca="1">IFERROR(__xludf.DUMMYFUNCTION("IMPORTRANGE(""https://docs.google.com/spreadsheets/d/1jTcq05yEiRwXcBMLjiodW9e4biSGYWAHcDj22rKWQ3s/edit?usp=sharing"",""กำแพงเพชร!M77"")+IMPORTRANGE(""https://docs.google.com/spreadsheets/d/1KS0zmDSZPk8KnTAbGN-Xk6MtX1YRZD0ldgdt20K4CRk/edit?usp=sharing"","""&amp;"เชียงราย!M77"")+IMPORTRANGE(""https://docs.google.com/spreadsheets/d/1rEDxBtusbi64tE0zunoIbsTVV16HeL0oJ6trHQeQ7K8/edit?usp=sharing"",""เชียงใหม่!M77"")+IMPORTRANGE(""https://docs.google.com/spreadsheets/d/1W6MnUbDkMi6xHnHko_XkFDO9kkuL6Wqyc-6OCDFjW9I/edit?"&amp;"usp=sharing"",""ตาก!M77"")+IMPORTRANGE(""https://docs.google.com/spreadsheets/d/1IQAWArduLkta9LpYo4a_ULsyqdta6-6aDDiwpUnQT6c/edit?usp=sharing"",""นครสวรรค์!M77"")+IMPORTRANGE(""https://docs.google.com/spreadsheets/d/10s13Sk5xrltsiR-Zkbmk5DwIaDIKO8XlbJAfqy"&amp;"T7Gvg/edit?usp=sharing"",""น่าน!M77"")+IMPORTRANGE(""https://docs.google.com/spreadsheets/d/1uu4nAn4Dbi1XREnLKKotUANlKXa7yCgRcgq8HEzQYW8/edit?usp=sharing"",""พะเยา!M77"")+IMPORTRANGE(""https://docs.google.com/spreadsheets/d/1xfJKIQxVOaPDIICqsflNlLu3JacTDk"&amp;"1FP9RH4phX7mI/edit?usp=sharing"",""พิจิตร!M77"")+IMPORTRANGE(""https://docs.google.com/spreadsheets/d/1JtRfZkJMHtEhI5RdRHxYUG4FIZHqKDpNyIuN7A1Q0_k/edit?usp=sharing"",""พิษณุโลก!M77"")+IMPORTRANGE(""https://docs.google.com/spreadsheets/d/1xlcVZWUNn6SuWm0c3"&amp;"07h32SiGkd9BaeQWlAktfD3KO8/edit?usp=sharing"",""เพชรบูรณ์!M77"")+IMPORTRANGE(""https://docs.google.com/spreadsheets/d/1lOVebEIsI9qjGXl6EX66luk7wiuP2tBaryw-wKvv4e0/edit?usp=sharing"",""แพร่!M77"")+IMPORTRANGE(""https://docs.google.com/spreadsheets/d/1dQrvX"&amp;"0vEcN7Gu0fnZ0B5S90AeR19zth4XlExFBeExMY/edit?usp=sharing"",""แม่ฮ่องสอน!M77"")+IMPORTRANGE(""https://docs.google.com/spreadsheets/d/1DY4XTNNwjluuxqdfdn6qvOSlMRrZqUtmYcZR0ttFiG4/edit?usp=sharing"",""ลำปาง!M77"")+IMPORTRANGE(""https://docs.google.com/spreads"&amp;"heets/d/1ICwG78r0OFT8biBlxnBF8r7she7gNSzOvJ958PWT09c/edit?usp=sharing"",""ลำพูน!M77"")+IMPORTRANGE(""https://docs.google.com/spreadsheets/d/1B0f2xJpZUC6Z0xXnqKlZtEPzsf6L84eP1r1Q15seqRM/edit?usp=sharing"",""สุโขทัย!M77"")+IMPORTRANGE(""https://docs.google."&amp;"com/spreadsheets/d/1v0b9pFQCsKUVExMei7AgY2yQkdeNQvtOssygGsXbiKo/edit?usp=sharing"",""อุตรดิตถ์!M77"")+IMPORTRANGE(""https://docs.google.com/spreadsheets/d/1UsNK1e-WWiCo2PvGqdNfdme4m17_Ezd3J69EeeiQPD0/edit?usp=sharing"",""อุทัยธานี!M77"")"),2739132)</f>
        <v>2739132</v>
      </c>
      <c r="N77" s="46">
        <f ca="1">IFERROR(__xludf.DUMMYFUNCTION("IMPORTRANGE(""https://docs.google.com/spreadsheets/d/1jTcq05yEiRwXcBMLjiodW9e4biSGYWAHcDj22rKWQ3s/edit?usp=sharing"",""กำแพงเพชร!N77"")+IMPORTRANGE(""https://docs.google.com/spreadsheets/d/1KS0zmDSZPk8KnTAbGN-Xk6MtX1YRZD0ldgdt20K4CRk/edit?usp=sharing"","""&amp;"เชียงราย!N77"")+IMPORTRANGE(""https://docs.google.com/spreadsheets/d/1rEDxBtusbi64tE0zunoIbsTVV16HeL0oJ6trHQeQ7K8/edit?usp=sharing"",""เชียงใหม่!N77"")+IMPORTRANGE(""https://docs.google.com/spreadsheets/d/1W6MnUbDkMi6xHnHko_XkFDO9kkuL6Wqyc-6OCDFjW9I/edit?"&amp;"usp=sharing"",""ตาก!N77"")+IMPORTRANGE(""https://docs.google.com/spreadsheets/d/1IQAWArduLkta9LpYo4a_ULsyqdta6-6aDDiwpUnQT6c/edit?usp=sharing"",""นครสวรรค์!N77"")+IMPORTRANGE(""https://docs.google.com/spreadsheets/d/10s13Sk5xrltsiR-Zkbmk5DwIaDIKO8XlbJAfqy"&amp;"T7Gvg/edit?usp=sharing"",""น่าน!N77"")+IMPORTRANGE(""https://docs.google.com/spreadsheets/d/1uu4nAn4Dbi1XREnLKKotUANlKXa7yCgRcgq8HEzQYW8/edit?usp=sharing"",""พะเยา!N77"")+IMPORTRANGE(""https://docs.google.com/spreadsheets/d/1xfJKIQxVOaPDIICqsflNlLu3JacTDk"&amp;"1FP9RH4phX7mI/edit?usp=sharing"",""พิจิตร!N77"")+IMPORTRANGE(""https://docs.google.com/spreadsheets/d/1JtRfZkJMHtEhI5RdRHxYUG4FIZHqKDpNyIuN7A1Q0_k/edit?usp=sharing"",""พิษณุโลก!N77"")+IMPORTRANGE(""https://docs.google.com/spreadsheets/d/1xlcVZWUNn6SuWm0c3"&amp;"07h32SiGkd9BaeQWlAktfD3KO8/edit?usp=sharing"",""เพชรบูรณ์!N77"")+IMPORTRANGE(""https://docs.google.com/spreadsheets/d/1lOVebEIsI9qjGXl6EX66luk7wiuP2tBaryw-wKvv4e0/edit?usp=sharing"",""แพร่!N77"")+IMPORTRANGE(""https://docs.google.com/spreadsheets/d/1dQrvX"&amp;"0vEcN7Gu0fnZ0B5S90AeR19zth4XlExFBeExMY/edit?usp=sharing"",""แม่ฮ่องสอน!N77"")+IMPORTRANGE(""https://docs.google.com/spreadsheets/d/1DY4XTNNwjluuxqdfdn6qvOSlMRrZqUtmYcZR0ttFiG4/edit?usp=sharing"",""ลำปาง!N77"")+IMPORTRANGE(""https://docs.google.com/spreads"&amp;"heets/d/1ICwG78r0OFT8biBlxnBF8r7she7gNSzOvJ958PWT09c/edit?usp=sharing"",""ลำพูน!N77"")+IMPORTRANGE(""https://docs.google.com/spreadsheets/d/1B0f2xJpZUC6Z0xXnqKlZtEPzsf6L84eP1r1Q15seqRM/edit?usp=sharing"",""สุโขทัย!N77"")+IMPORTRANGE(""https://docs.google."&amp;"com/spreadsheets/d/1v0b9pFQCsKUVExMei7AgY2yQkdeNQvtOssygGsXbiKo/edit?usp=sharing"",""อุตรดิตถ์!N77"")+IMPORTRANGE(""https://docs.google.com/spreadsheets/d/1UsNK1e-WWiCo2PvGqdNfdme4m17_Ezd3J69EeeiQPD0/edit?usp=sharing"",""อุทัยธานี!N77"")"),1695598.81999999)</f>
        <v>1695598.8199999901</v>
      </c>
      <c r="O77" s="46">
        <f t="shared" ca="1" si="54"/>
        <v>63.744316541353015</v>
      </c>
      <c r="P77" s="46">
        <f t="shared" ca="1" si="55"/>
        <v>61.902778690475309</v>
      </c>
      <c r="Q77" s="46">
        <f ca="1">IFERROR(__xludf.DUMMYFUNCTION("IMPORTRANGE(""https://docs.google.com/spreadsheets/d/1jTcq05yEiRwXcBMLjiodW9e4biSGYWAHcDj22rKWQ3s/edit?usp=sharing"",""กำแพงเพชร!Q77"")+IMPORTRANGE(""https://docs.google.com/spreadsheets/d/1KS0zmDSZPk8KnTAbGN-Xk6MtX1YRZD0ldgdt20K4CRk/edit?usp=sharing"","""&amp;"เชียงราย!Q77"")+IMPORTRANGE(""https://docs.google.com/spreadsheets/d/1rEDxBtusbi64tE0zunoIbsTVV16HeL0oJ6trHQeQ7K8/edit?usp=sharing"",""เชียงใหม่!Q77"")+IMPORTRANGE(""https://docs.google.com/spreadsheets/d/1W6MnUbDkMi6xHnHko_XkFDO9kkuL6Wqyc-6OCDFjW9I/edit?"&amp;"usp=sharing"",""ตาก!Q77"")+IMPORTRANGE(""https://docs.google.com/spreadsheets/d/1IQAWArduLkta9LpYo4a_ULsyqdta6-6aDDiwpUnQT6c/edit?usp=sharing"",""นครสวรรค์!Q77"")+IMPORTRANGE(""https://docs.google.com/spreadsheets/d/10s13Sk5xrltsiR-Zkbmk5DwIaDIKO8XlbJAfqy"&amp;"T7Gvg/edit?usp=sharing"",""น่าน!Q77"")+IMPORTRANGE(""https://docs.google.com/spreadsheets/d/1uu4nAn4Dbi1XREnLKKotUANlKXa7yCgRcgq8HEzQYW8/edit?usp=sharing"",""พะเยา!Q77"")+IMPORTRANGE(""https://docs.google.com/spreadsheets/d/1xfJKIQxVOaPDIICqsflNlLu3JacTDk"&amp;"1FP9RH4phX7mI/edit?usp=sharing"",""พิจิตร!Q77"")+IMPORTRANGE(""https://docs.google.com/spreadsheets/d/1JtRfZkJMHtEhI5RdRHxYUG4FIZHqKDpNyIuN7A1Q0_k/edit?usp=sharing"",""พิษณุโลก!Q77"")+IMPORTRANGE(""https://docs.google.com/spreadsheets/d/1xlcVZWUNn6SuWm0c3"&amp;"07h32SiGkd9BaeQWlAktfD3KO8/edit?usp=sharing"",""เพชรบูรณ์!Q77"")+IMPORTRANGE(""https://docs.google.com/spreadsheets/d/1lOVebEIsI9qjGXl6EX66luk7wiuP2tBaryw-wKvv4e0/edit?usp=sharing"",""แพร่!Q77"")+IMPORTRANGE(""https://docs.google.com/spreadsheets/d/1dQrvX"&amp;"0vEcN7Gu0fnZ0B5S90AeR19zth4XlExFBeExMY/edit?usp=sharing"",""แม่ฮ่องสอน!Q77"")+IMPORTRANGE(""https://docs.google.com/spreadsheets/d/1DY4XTNNwjluuxqdfdn6qvOSlMRrZqUtmYcZR0ttFiG4/edit?usp=sharing"",""ลำปาง!Q77"")+IMPORTRANGE(""https://docs.google.com/spreads"&amp;"heets/d/1ICwG78r0OFT8biBlxnBF8r7she7gNSzOvJ958PWT09c/edit?usp=sharing"",""ลำพูน!Q77"")+IMPORTRANGE(""https://docs.google.com/spreadsheets/d/1B0f2xJpZUC6Z0xXnqKlZtEPzsf6L84eP1r1Q15seqRM/edit?usp=sharing"",""สุโขทัย!Q77"")+IMPORTRANGE(""https://docs.google."&amp;"com/spreadsheets/d/1v0b9pFQCsKUVExMei7AgY2yQkdeNQvtOssygGsXbiKo/edit?usp=sharing"",""อุตรดิตถ์!Q77"")+IMPORTRANGE(""https://docs.google.com/spreadsheets/d/1UsNK1e-WWiCo2PvGqdNfdme4m17_Ezd3J69EeeiQPD0/edit?usp=sharing"",""อุทัยธานี!Q77"")"),9235733)</f>
        <v>9235733</v>
      </c>
      <c r="R77" s="46">
        <f ca="1">IFERROR(__xludf.DUMMYFUNCTION("IMPORTRANGE(""https://docs.google.com/spreadsheets/d/1jTcq05yEiRwXcBMLjiodW9e4biSGYWAHcDj22rKWQ3s/edit?usp=sharing"",""กำแพงเพชร!R77"")+IMPORTRANGE(""https://docs.google.com/spreadsheets/d/1KS0zmDSZPk8KnTAbGN-Xk6MtX1YRZD0ldgdt20K4CRk/edit?usp=sharing"","""&amp;"เชียงราย!R77"")+IMPORTRANGE(""https://docs.google.com/spreadsheets/d/1rEDxBtusbi64tE0zunoIbsTVV16HeL0oJ6trHQeQ7K8/edit?usp=sharing"",""เชียงใหม่!R77"")+IMPORTRANGE(""https://docs.google.com/spreadsheets/d/1W6MnUbDkMi6xHnHko_XkFDO9kkuL6Wqyc-6OCDFjW9I/edit?"&amp;"usp=sharing"",""ตาก!R77"")+IMPORTRANGE(""https://docs.google.com/spreadsheets/d/1IQAWArduLkta9LpYo4a_ULsyqdta6-6aDDiwpUnQT6c/edit?usp=sharing"",""นครสวรรค์!R77"")+IMPORTRANGE(""https://docs.google.com/spreadsheets/d/10s13Sk5xrltsiR-Zkbmk5DwIaDIKO8XlbJAfqy"&amp;"T7Gvg/edit?usp=sharing"",""น่าน!R77"")+IMPORTRANGE(""https://docs.google.com/spreadsheets/d/1uu4nAn4Dbi1XREnLKKotUANlKXa7yCgRcgq8HEzQYW8/edit?usp=sharing"",""พะเยา!R77"")+IMPORTRANGE(""https://docs.google.com/spreadsheets/d/1xfJKIQxVOaPDIICqsflNlLu3JacTDk"&amp;"1FP9RH4phX7mI/edit?usp=sharing"",""พิจิตร!R77"")+IMPORTRANGE(""https://docs.google.com/spreadsheets/d/1JtRfZkJMHtEhI5RdRHxYUG4FIZHqKDpNyIuN7A1Q0_k/edit?usp=sharing"",""พิษณุโลก!R77"")+IMPORTRANGE(""https://docs.google.com/spreadsheets/d/1xlcVZWUNn6SuWm0c3"&amp;"07h32SiGkd9BaeQWlAktfD3KO8/edit?usp=sharing"",""เพชรบูรณ์!R77"")+IMPORTRANGE(""https://docs.google.com/spreadsheets/d/1lOVebEIsI9qjGXl6EX66luk7wiuP2tBaryw-wKvv4e0/edit?usp=sharing"",""แพร่!R77"")+IMPORTRANGE(""https://docs.google.com/spreadsheets/d/1dQrvX"&amp;"0vEcN7Gu0fnZ0B5S90AeR19zth4XlExFBeExMY/edit?usp=sharing"",""แม่ฮ่องสอน!R77"")+IMPORTRANGE(""https://docs.google.com/spreadsheets/d/1DY4XTNNwjluuxqdfdn6qvOSlMRrZqUtmYcZR0ttFiG4/edit?usp=sharing"",""ลำปาง!R77"")+IMPORTRANGE(""https://docs.google.com/spreads"&amp;"heets/d/1ICwG78r0OFT8biBlxnBF8r7she7gNSzOvJ958PWT09c/edit?usp=sharing"",""ลำพูน!R77"")+IMPORTRANGE(""https://docs.google.com/spreadsheets/d/1B0f2xJpZUC6Z0xXnqKlZtEPzsf6L84eP1r1Q15seqRM/edit?usp=sharing"",""สุโขทัย!R77"")+IMPORTRANGE(""https://docs.google."&amp;"com/spreadsheets/d/1v0b9pFQCsKUVExMei7AgY2yQkdeNQvtOssygGsXbiKo/edit?usp=sharing"",""อุตรดิตถ์!R77"")+IMPORTRANGE(""https://docs.google.com/spreadsheets/d/1UsNK1e-WWiCo2PvGqdNfdme4m17_Ezd3J69EeeiQPD0/edit?usp=sharing"",""อุทัยธานี!R77"")"),9235733)</f>
        <v>9235733</v>
      </c>
      <c r="S77" s="46">
        <f ca="1">IFERROR(__xludf.DUMMYFUNCTION("IMPORTRANGE(""https://docs.google.com/spreadsheets/d/1jTcq05yEiRwXcBMLjiodW9e4biSGYWAHcDj22rKWQ3s/edit?usp=sharing"",""กำแพงเพชร!S77"")+IMPORTRANGE(""https://docs.google.com/spreadsheets/d/1KS0zmDSZPk8KnTAbGN-Xk6MtX1YRZD0ldgdt20K4CRk/edit?usp=sharing"","""&amp;"เชียงราย!S77"")+IMPORTRANGE(""https://docs.google.com/spreadsheets/d/1rEDxBtusbi64tE0zunoIbsTVV16HeL0oJ6trHQeQ7K8/edit?usp=sharing"",""เชียงใหม่!S77"")+IMPORTRANGE(""https://docs.google.com/spreadsheets/d/1W6MnUbDkMi6xHnHko_XkFDO9kkuL6Wqyc-6OCDFjW9I/edit?"&amp;"usp=sharing"",""ตาก!S77"")+IMPORTRANGE(""https://docs.google.com/spreadsheets/d/1IQAWArduLkta9LpYo4a_ULsyqdta6-6aDDiwpUnQT6c/edit?usp=sharing"",""นครสวรรค์!S77"")+IMPORTRANGE(""https://docs.google.com/spreadsheets/d/10s13Sk5xrltsiR-Zkbmk5DwIaDIKO8XlbJAfqy"&amp;"T7Gvg/edit?usp=sharing"",""น่าน!S77"")+IMPORTRANGE(""https://docs.google.com/spreadsheets/d/1uu4nAn4Dbi1XREnLKKotUANlKXa7yCgRcgq8HEzQYW8/edit?usp=sharing"",""พะเยา!S77"")+IMPORTRANGE(""https://docs.google.com/spreadsheets/d/1xfJKIQxVOaPDIICqsflNlLu3JacTDk"&amp;"1FP9RH4phX7mI/edit?usp=sharing"",""พิจิตร!S77"")+IMPORTRANGE(""https://docs.google.com/spreadsheets/d/1JtRfZkJMHtEhI5RdRHxYUG4FIZHqKDpNyIuN7A1Q0_k/edit?usp=sharing"",""พิษณุโลก!S77"")+IMPORTRANGE(""https://docs.google.com/spreadsheets/d/1xlcVZWUNn6SuWm0c3"&amp;"07h32SiGkd9BaeQWlAktfD3KO8/edit?usp=sharing"",""เพชรบูรณ์!S77"")+IMPORTRANGE(""https://docs.google.com/spreadsheets/d/1lOVebEIsI9qjGXl6EX66luk7wiuP2tBaryw-wKvv4e0/edit?usp=sharing"",""แพร่!S77"")+IMPORTRANGE(""https://docs.google.com/spreadsheets/d/1dQrvX"&amp;"0vEcN7Gu0fnZ0B5S90AeR19zth4XlExFBeExMY/edit?usp=sharing"",""แม่ฮ่องสอน!S77"")+IMPORTRANGE(""https://docs.google.com/spreadsheets/d/1DY4XTNNwjluuxqdfdn6qvOSlMRrZqUtmYcZR0ttFiG4/edit?usp=sharing"",""ลำปาง!S77"")+IMPORTRANGE(""https://docs.google.com/spreads"&amp;"heets/d/1ICwG78r0OFT8biBlxnBF8r7she7gNSzOvJ958PWT09c/edit?usp=sharing"",""ลำพูน!S77"")+IMPORTRANGE(""https://docs.google.com/spreadsheets/d/1B0f2xJpZUC6Z0xXnqKlZtEPzsf6L84eP1r1Q15seqRM/edit?usp=sharing"",""สุโขทัย!S77"")+IMPORTRANGE(""https://docs.google."&amp;"com/spreadsheets/d/1v0b9pFQCsKUVExMei7AgY2yQkdeNQvtOssygGsXbiKo/edit?usp=sharing"",""อุตรดิตถ์!S77"")+IMPORTRANGE(""https://docs.google.com/spreadsheets/d/1UsNK1e-WWiCo2PvGqdNfdme4m17_Ezd3J69EeeiQPD0/edit?usp=sharing"",""อุทัยธานี!S77"")"),819380)</f>
        <v>819380</v>
      </c>
      <c r="T77" s="46">
        <f t="shared" ca="1" si="57"/>
        <v>8.8718459054630525</v>
      </c>
      <c r="U77" s="46">
        <f t="shared" ca="1" si="58"/>
        <v>8.8718459054630525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46">
        <f t="shared" ref="L78:N78" ca="1" si="65">L79+L80</f>
        <v>0</v>
      </c>
      <c r="M78" s="46">
        <f t="shared" ca="1" si="65"/>
        <v>0</v>
      </c>
      <c r="N78" s="46">
        <f t="shared" ca="1" si="65"/>
        <v>0</v>
      </c>
      <c r="O78" s="46">
        <f t="shared" ca="1" si="54"/>
        <v>0</v>
      </c>
      <c r="P78" s="46">
        <f t="shared" ca="1" si="55"/>
        <v>0</v>
      </c>
      <c r="Q78" s="46">
        <f t="shared" ref="Q78:S78" ca="1" si="66">Q79+Q80</f>
        <v>0</v>
      </c>
      <c r="R78" s="46">
        <f t="shared" ca="1" si="66"/>
        <v>0</v>
      </c>
      <c r="S78" s="46">
        <f t="shared" ca="1" si="66"/>
        <v>0</v>
      </c>
      <c r="T78" s="46">
        <f t="shared" ca="1" si="57"/>
        <v>0</v>
      </c>
      <c r="U78" s="46">
        <f t="shared" ca="1" si="58"/>
        <v>0</v>
      </c>
    </row>
    <row r="79" spans="1:21" ht="18.75" x14ac:dyDescent="0.25">
      <c r="A79" s="128"/>
      <c r="B79" s="40"/>
      <c r="C79" s="40"/>
      <c r="D79" s="40"/>
      <c r="E79" s="47" t="s">
        <v>20</v>
      </c>
      <c r="F79" s="40"/>
      <c r="G79" s="42"/>
      <c r="H79" s="134" t="s">
        <v>14</v>
      </c>
      <c r="I79" s="135"/>
      <c r="J79" s="135"/>
      <c r="K79" s="136"/>
      <c r="L79" s="46">
        <f ca="1">IFERROR(__xludf.DUMMYFUNCTION("IMPORTRANGE(""https://docs.google.com/spreadsheets/d/1jTcq05yEiRwXcBMLjiodW9e4biSGYWAHcDj22rKWQ3s/edit?usp=sharing"",""กำแพงเพชร!L79"")+IMPORTRANGE(""https://docs.google.com/spreadsheets/d/1KS0zmDSZPk8KnTAbGN-Xk6MtX1YRZD0ldgdt20K4CRk/edit?usp=sharing"","""&amp;"เชียงราย!L79"")+IMPORTRANGE(""https://docs.google.com/spreadsheets/d/1rEDxBtusbi64tE0zunoIbsTVV16HeL0oJ6trHQeQ7K8/edit?usp=sharing"",""เชียงใหม่!L79"")+IMPORTRANGE(""https://docs.google.com/spreadsheets/d/1W6MnUbDkMi6xHnHko_XkFDO9kkuL6Wqyc-6OCDFjW9I/edit?"&amp;"usp=sharing"",""ตาก!L79"")+IMPORTRANGE(""https://docs.google.com/spreadsheets/d/1IQAWArduLkta9LpYo4a_ULsyqdta6-6aDDiwpUnQT6c/edit?usp=sharing"",""นครสวรรค์!L79"")+IMPORTRANGE(""https://docs.google.com/spreadsheets/d/10s13Sk5xrltsiR-Zkbmk5DwIaDIKO8XlbJAfqy"&amp;"T7Gvg/edit?usp=sharing"",""น่าน!L79"")+IMPORTRANGE(""https://docs.google.com/spreadsheets/d/1uu4nAn4Dbi1XREnLKKotUANlKXa7yCgRcgq8HEzQYW8/edit?usp=sharing"",""พะเยา!L79"")+IMPORTRANGE(""https://docs.google.com/spreadsheets/d/1xfJKIQxVOaPDIICqsflNlLu3JacTDk"&amp;"1FP9RH4phX7mI/edit?usp=sharing"",""พิจิตร!L79"")+IMPORTRANGE(""https://docs.google.com/spreadsheets/d/1JtRfZkJMHtEhI5RdRHxYUG4FIZHqKDpNyIuN7A1Q0_k/edit?usp=sharing"",""พิษณุโลก!L79"")+IMPORTRANGE(""https://docs.google.com/spreadsheets/d/1xlcVZWUNn6SuWm0c3"&amp;"07h32SiGkd9BaeQWlAktfD3KO8/edit?usp=sharing"",""เพชรบูรณ์!L79"")+IMPORTRANGE(""https://docs.google.com/spreadsheets/d/1lOVebEIsI9qjGXl6EX66luk7wiuP2tBaryw-wKvv4e0/edit?usp=sharing"",""แพร่!L79"")+IMPORTRANGE(""https://docs.google.com/spreadsheets/d/1dQrvX"&amp;"0vEcN7Gu0fnZ0B5S90AeR19zth4XlExFBeExMY/edit?usp=sharing"",""แม่ฮ่องสอน!L79"")+IMPORTRANGE(""https://docs.google.com/spreadsheets/d/1DY4XTNNwjluuxqdfdn6qvOSlMRrZqUtmYcZR0ttFiG4/edit?usp=sharing"",""ลำปาง!L79"")+IMPORTRANGE(""https://docs.google.com/spreads"&amp;"heets/d/1ICwG78r0OFT8biBlxnBF8r7she7gNSzOvJ958PWT09c/edit?usp=sharing"",""ลำพูน!L79"")+IMPORTRANGE(""https://docs.google.com/spreadsheets/d/1B0f2xJpZUC6Z0xXnqKlZtEPzsf6L84eP1r1Q15seqRM/edit?usp=sharing"",""สุโขทัย!L79"")+IMPORTRANGE(""https://docs.google."&amp;"com/spreadsheets/d/1v0b9pFQCsKUVExMei7AgY2yQkdeNQvtOssygGsXbiKo/edit?usp=sharing"",""อุตรดิตถ์!L79"")+IMPORTRANGE(""https://docs.google.com/spreadsheets/d/1UsNK1e-WWiCo2PvGqdNfdme4m17_Ezd3J69EeeiQPD0/edit?usp=sharing"",""อุทัยธานี!L79"")"),0)</f>
        <v>0</v>
      </c>
      <c r="M79" s="46">
        <f ca="1">IFERROR(__xludf.DUMMYFUNCTION("IMPORTRANGE(""https://docs.google.com/spreadsheets/d/1jTcq05yEiRwXcBMLjiodW9e4biSGYWAHcDj22rKWQ3s/edit?usp=sharing"",""กำแพงเพชร!M79"")+IMPORTRANGE(""https://docs.google.com/spreadsheets/d/1KS0zmDSZPk8KnTAbGN-Xk6MtX1YRZD0ldgdt20K4CRk/edit?usp=sharing"","""&amp;"เชียงราย!M79"")+IMPORTRANGE(""https://docs.google.com/spreadsheets/d/1rEDxBtusbi64tE0zunoIbsTVV16HeL0oJ6trHQeQ7K8/edit?usp=sharing"",""เชียงใหม่!M79"")+IMPORTRANGE(""https://docs.google.com/spreadsheets/d/1W6MnUbDkMi6xHnHko_XkFDO9kkuL6Wqyc-6OCDFjW9I/edit?"&amp;"usp=sharing"",""ตาก!M79"")+IMPORTRANGE(""https://docs.google.com/spreadsheets/d/1IQAWArduLkta9LpYo4a_ULsyqdta6-6aDDiwpUnQT6c/edit?usp=sharing"",""นครสวรรค์!M79"")+IMPORTRANGE(""https://docs.google.com/spreadsheets/d/10s13Sk5xrltsiR-Zkbmk5DwIaDIKO8XlbJAfqy"&amp;"T7Gvg/edit?usp=sharing"",""น่าน!M79"")+IMPORTRANGE(""https://docs.google.com/spreadsheets/d/1uu4nAn4Dbi1XREnLKKotUANlKXa7yCgRcgq8HEzQYW8/edit?usp=sharing"",""พะเยา!M79"")+IMPORTRANGE(""https://docs.google.com/spreadsheets/d/1xfJKIQxVOaPDIICqsflNlLu3JacTDk"&amp;"1FP9RH4phX7mI/edit?usp=sharing"",""พิจิตร!M79"")+IMPORTRANGE(""https://docs.google.com/spreadsheets/d/1JtRfZkJMHtEhI5RdRHxYUG4FIZHqKDpNyIuN7A1Q0_k/edit?usp=sharing"",""พิษณุโลก!M79"")+IMPORTRANGE(""https://docs.google.com/spreadsheets/d/1xlcVZWUNn6SuWm0c3"&amp;"07h32SiGkd9BaeQWlAktfD3KO8/edit?usp=sharing"",""เพชรบูรณ์!M79"")+IMPORTRANGE(""https://docs.google.com/spreadsheets/d/1lOVebEIsI9qjGXl6EX66luk7wiuP2tBaryw-wKvv4e0/edit?usp=sharing"",""แพร่!M79"")+IMPORTRANGE(""https://docs.google.com/spreadsheets/d/1dQrvX"&amp;"0vEcN7Gu0fnZ0B5S90AeR19zth4XlExFBeExMY/edit?usp=sharing"",""แม่ฮ่องสอน!M79"")+IMPORTRANGE(""https://docs.google.com/spreadsheets/d/1DY4XTNNwjluuxqdfdn6qvOSlMRrZqUtmYcZR0ttFiG4/edit?usp=sharing"",""ลำปาง!M79"")+IMPORTRANGE(""https://docs.google.com/spreads"&amp;"heets/d/1ICwG78r0OFT8biBlxnBF8r7she7gNSzOvJ958PWT09c/edit?usp=sharing"",""ลำพูน!M79"")+IMPORTRANGE(""https://docs.google.com/spreadsheets/d/1B0f2xJpZUC6Z0xXnqKlZtEPzsf6L84eP1r1Q15seqRM/edit?usp=sharing"",""สุโขทัย!M79"")+IMPORTRANGE(""https://docs.google."&amp;"com/spreadsheets/d/1v0b9pFQCsKUVExMei7AgY2yQkdeNQvtOssygGsXbiKo/edit?usp=sharing"",""อุตรดิตถ์!M79"")+IMPORTRANGE(""https://docs.google.com/spreadsheets/d/1UsNK1e-WWiCo2PvGqdNfdme4m17_Ezd3J69EeeiQPD0/edit?usp=sharing"",""อุทัยธานี!M79"")"),0)</f>
        <v>0</v>
      </c>
      <c r="N79" s="46">
        <f ca="1">IFERROR(__xludf.DUMMYFUNCTION("IMPORTRANGE(""https://docs.google.com/spreadsheets/d/1jTcq05yEiRwXcBMLjiodW9e4biSGYWAHcDj22rKWQ3s/edit?usp=sharing"",""กำแพงเพชร!N79"")+IMPORTRANGE(""https://docs.google.com/spreadsheets/d/1KS0zmDSZPk8KnTAbGN-Xk6MtX1YRZD0ldgdt20K4CRk/edit?usp=sharing"","""&amp;"เชียงราย!N79"")+IMPORTRANGE(""https://docs.google.com/spreadsheets/d/1rEDxBtusbi64tE0zunoIbsTVV16HeL0oJ6trHQeQ7K8/edit?usp=sharing"",""เชียงใหม่!N79"")+IMPORTRANGE(""https://docs.google.com/spreadsheets/d/1W6MnUbDkMi6xHnHko_XkFDO9kkuL6Wqyc-6OCDFjW9I/edit?"&amp;"usp=sharing"",""ตาก!N79"")+IMPORTRANGE(""https://docs.google.com/spreadsheets/d/1IQAWArduLkta9LpYo4a_ULsyqdta6-6aDDiwpUnQT6c/edit?usp=sharing"",""นครสวรรค์!N79"")+IMPORTRANGE(""https://docs.google.com/spreadsheets/d/10s13Sk5xrltsiR-Zkbmk5DwIaDIKO8XlbJAfqy"&amp;"T7Gvg/edit?usp=sharing"",""น่าน!N79"")+IMPORTRANGE(""https://docs.google.com/spreadsheets/d/1uu4nAn4Dbi1XREnLKKotUANlKXa7yCgRcgq8HEzQYW8/edit?usp=sharing"",""พะเยา!N79"")+IMPORTRANGE(""https://docs.google.com/spreadsheets/d/1xfJKIQxVOaPDIICqsflNlLu3JacTDk"&amp;"1FP9RH4phX7mI/edit?usp=sharing"",""พิจิตร!N79"")+IMPORTRANGE(""https://docs.google.com/spreadsheets/d/1JtRfZkJMHtEhI5RdRHxYUG4FIZHqKDpNyIuN7A1Q0_k/edit?usp=sharing"",""พิษณุโลก!N79"")+IMPORTRANGE(""https://docs.google.com/spreadsheets/d/1xlcVZWUNn6SuWm0c3"&amp;"07h32SiGkd9BaeQWlAktfD3KO8/edit?usp=sharing"",""เพชรบูรณ์!N79"")+IMPORTRANGE(""https://docs.google.com/spreadsheets/d/1lOVebEIsI9qjGXl6EX66luk7wiuP2tBaryw-wKvv4e0/edit?usp=sharing"",""แพร่!N79"")+IMPORTRANGE(""https://docs.google.com/spreadsheets/d/1dQrvX"&amp;"0vEcN7Gu0fnZ0B5S90AeR19zth4XlExFBeExMY/edit?usp=sharing"",""แม่ฮ่องสอน!N79"")+IMPORTRANGE(""https://docs.google.com/spreadsheets/d/1DY4XTNNwjluuxqdfdn6qvOSlMRrZqUtmYcZR0ttFiG4/edit?usp=sharing"",""ลำปาง!N79"")+IMPORTRANGE(""https://docs.google.com/spreads"&amp;"heets/d/1ICwG78r0OFT8biBlxnBF8r7she7gNSzOvJ958PWT09c/edit?usp=sharing"",""ลำพูน!N79"")+IMPORTRANGE(""https://docs.google.com/spreadsheets/d/1B0f2xJpZUC6Z0xXnqKlZtEPzsf6L84eP1r1Q15seqRM/edit?usp=sharing"",""สุโขทัย!N79"")+IMPORTRANGE(""https://docs.google."&amp;"com/spreadsheets/d/1v0b9pFQCsKUVExMei7AgY2yQkdeNQvtOssygGsXbiKo/edit?usp=sharing"",""อุตรดิตถ์!N79"")+IMPORTRANGE(""https://docs.google.com/spreadsheets/d/1UsNK1e-WWiCo2PvGqdNfdme4m17_Ezd3J69EeeiQPD0/edit?usp=sharing"",""อุทัยธานี!N79"")"),0)</f>
        <v>0</v>
      </c>
      <c r="O79" s="46">
        <f t="shared" ca="1" si="54"/>
        <v>0</v>
      </c>
      <c r="P79" s="46">
        <f t="shared" ca="1" si="55"/>
        <v>0</v>
      </c>
      <c r="Q79" s="48">
        <f ca="1">IFERROR(__xludf.DUMMYFUNCTION("IMPORTRANGE(""https://docs.google.com/spreadsheets/d/1jTcq05yEiRwXcBMLjiodW9e4biSGYWAHcDj22rKWQ3s/edit?usp=sharing"",""กำแพงเพชร!Q79"")+IMPORTRANGE(""https://docs.google.com/spreadsheets/d/1KS0zmDSZPk8KnTAbGN-Xk6MtX1YRZD0ldgdt20K4CRk/edit?usp=sharing"","""&amp;"เชียงราย!Q79"")+IMPORTRANGE(""https://docs.google.com/spreadsheets/d/1rEDxBtusbi64tE0zunoIbsTVV16HeL0oJ6trHQeQ7K8/edit?usp=sharing"",""เชียงใหม่!Q79"")+IMPORTRANGE(""https://docs.google.com/spreadsheets/d/1W6MnUbDkMi6xHnHko_XkFDO9kkuL6Wqyc-6OCDFjW9I/edit?"&amp;"usp=sharing"",""ตาก!Q79"")+IMPORTRANGE(""https://docs.google.com/spreadsheets/d/1IQAWArduLkta9LpYo4a_ULsyqdta6-6aDDiwpUnQT6c/edit?usp=sharing"",""นครสวรรค์!Q79"")+IMPORTRANGE(""https://docs.google.com/spreadsheets/d/10s13Sk5xrltsiR-Zkbmk5DwIaDIKO8XlbJAfqy"&amp;"T7Gvg/edit?usp=sharing"",""น่าน!Q79"")+IMPORTRANGE(""https://docs.google.com/spreadsheets/d/1uu4nAn4Dbi1XREnLKKotUANlKXa7yCgRcgq8HEzQYW8/edit?usp=sharing"",""พะเยา!Q79"")+IMPORTRANGE(""https://docs.google.com/spreadsheets/d/1xfJKIQxVOaPDIICqsflNlLu3JacTDk"&amp;"1FP9RH4phX7mI/edit?usp=sharing"",""พิจิตร!Q79"")+IMPORTRANGE(""https://docs.google.com/spreadsheets/d/1JtRfZkJMHtEhI5RdRHxYUG4FIZHqKDpNyIuN7A1Q0_k/edit?usp=sharing"",""พิษณุโลก!Q79"")+IMPORTRANGE(""https://docs.google.com/spreadsheets/d/1xlcVZWUNn6SuWm0c3"&amp;"07h32SiGkd9BaeQWlAktfD3KO8/edit?usp=sharing"",""เพชรบูรณ์!Q79"")+IMPORTRANGE(""https://docs.google.com/spreadsheets/d/1lOVebEIsI9qjGXl6EX66luk7wiuP2tBaryw-wKvv4e0/edit?usp=sharing"",""แพร่!Q79"")+IMPORTRANGE(""https://docs.google.com/spreadsheets/d/1dQrvX"&amp;"0vEcN7Gu0fnZ0B5S90AeR19zth4XlExFBeExMY/edit?usp=sharing"",""แม่ฮ่องสอน!Q79"")+IMPORTRANGE(""https://docs.google.com/spreadsheets/d/1DY4XTNNwjluuxqdfdn6qvOSlMRrZqUtmYcZR0ttFiG4/edit?usp=sharing"",""ลำปาง!Q79"")+IMPORTRANGE(""https://docs.google.com/spreads"&amp;"heets/d/1ICwG78r0OFT8biBlxnBF8r7she7gNSzOvJ958PWT09c/edit?usp=sharing"",""ลำพูน!Q79"")+IMPORTRANGE(""https://docs.google.com/spreadsheets/d/1B0f2xJpZUC6Z0xXnqKlZtEPzsf6L84eP1r1Q15seqRM/edit?usp=sharing"",""สุโขทัย!Q79"")+IMPORTRANGE(""https://docs.google."&amp;"com/spreadsheets/d/1v0b9pFQCsKUVExMei7AgY2yQkdeNQvtOssygGsXbiKo/edit?usp=sharing"",""อุตรดิตถ์!Q79"")+IMPORTRANGE(""https://docs.google.com/spreadsheets/d/1UsNK1e-WWiCo2PvGqdNfdme4m17_Ezd3J69EeeiQPD0/edit?usp=sharing"",""อุทัยธานี!Q79"")"),0)</f>
        <v>0</v>
      </c>
      <c r="R79" s="48">
        <f ca="1">IFERROR(__xludf.DUMMYFUNCTION("IMPORTRANGE(""https://docs.google.com/spreadsheets/d/1jTcq05yEiRwXcBMLjiodW9e4biSGYWAHcDj22rKWQ3s/edit?usp=sharing"",""กำแพงเพชร!R79"")+IMPORTRANGE(""https://docs.google.com/spreadsheets/d/1KS0zmDSZPk8KnTAbGN-Xk6MtX1YRZD0ldgdt20K4CRk/edit?usp=sharing"","""&amp;"เชียงราย!R79"")+IMPORTRANGE(""https://docs.google.com/spreadsheets/d/1rEDxBtusbi64tE0zunoIbsTVV16HeL0oJ6trHQeQ7K8/edit?usp=sharing"",""เชียงใหม่!R79"")+IMPORTRANGE(""https://docs.google.com/spreadsheets/d/1W6MnUbDkMi6xHnHko_XkFDO9kkuL6Wqyc-6OCDFjW9I/edit?"&amp;"usp=sharing"",""ตาก!R79"")+IMPORTRANGE(""https://docs.google.com/spreadsheets/d/1IQAWArduLkta9LpYo4a_ULsyqdta6-6aDDiwpUnQT6c/edit?usp=sharing"",""นครสวรรค์!R79"")+IMPORTRANGE(""https://docs.google.com/spreadsheets/d/10s13Sk5xrltsiR-Zkbmk5DwIaDIKO8XlbJAfqy"&amp;"T7Gvg/edit?usp=sharing"",""น่าน!R79"")+IMPORTRANGE(""https://docs.google.com/spreadsheets/d/1uu4nAn4Dbi1XREnLKKotUANlKXa7yCgRcgq8HEzQYW8/edit?usp=sharing"",""พะเยา!R79"")+IMPORTRANGE(""https://docs.google.com/spreadsheets/d/1xfJKIQxVOaPDIICqsflNlLu3JacTDk"&amp;"1FP9RH4phX7mI/edit?usp=sharing"",""พิจิตร!R79"")+IMPORTRANGE(""https://docs.google.com/spreadsheets/d/1JtRfZkJMHtEhI5RdRHxYUG4FIZHqKDpNyIuN7A1Q0_k/edit?usp=sharing"",""พิษณุโลก!R79"")+IMPORTRANGE(""https://docs.google.com/spreadsheets/d/1xlcVZWUNn6SuWm0c3"&amp;"07h32SiGkd9BaeQWlAktfD3KO8/edit?usp=sharing"",""เพชรบูรณ์!R79"")+IMPORTRANGE(""https://docs.google.com/spreadsheets/d/1lOVebEIsI9qjGXl6EX66luk7wiuP2tBaryw-wKvv4e0/edit?usp=sharing"",""แพร่!R79"")+IMPORTRANGE(""https://docs.google.com/spreadsheets/d/1dQrvX"&amp;"0vEcN7Gu0fnZ0B5S90AeR19zth4XlExFBeExMY/edit?usp=sharing"",""แม่ฮ่องสอน!R79"")+IMPORTRANGE(""https://docs.google.com/spreadsheets/d/1DY4XTNNwjluuxqdfdn6qvOSlMRrZqUtmYcZR0ttFiG4/edit?usp=sharing"",""ลำปาง!R79"")+IMPORTRANGE(""https://docs.google.com/spreads"&amp;"heets/d/1ICwG78r0OFT8biBlxnBF8r7she7gNSzOvJ958PWT09c/edit?usp=sharing"",""ลำพูน!R79"")+IMPORTRANGE(""https://docs.google.com/spreadsheets/d/1B0f2xJpZUC6Z0xXnqKlZtEPzsf6L84eP1r1Q15seqRM/edit?usp=sharing"",""สุโขทัย!R79"")+IMPORTRANGE(""https://docs.google."&amp;"com/spreadsheets/d/1v0b9pFQCsKUVExMei7AgY2yQkdeNQvtOssygGsXbiKo/edit?usp=sharing"",""อุตรดิตถ์!R79"")+IMPORTRANGE(""https://docs.google.com/spreadsheets/d/1UsNK1e-WWiCo2PvGqdNfdme4m17_Ezd3J69EeeiQPD0/edit?usp=sharing"",""อุทัยธานี!R79"")"),0)</f>
        <v>0</v>
      </c>
      <c r="S79" s="48">
        <f ca="1">IFERROR(__xludf.DUMMYFUNCTION("IMPORTRANGE(""https://docs.google.com/spreadsheets/d/1jTcq05yEiRwXcBMLjiodW9e4biSGYWAHcDj22rKWQ3s/edit?usp=sharing"",""กำแพงเพชร!S79"")+IMPORTRANGE(""https://docs.google.com/spreadsheets/d/1KS0zmDSZPk8KnTAbGN-Xk6MtX1YRZD0ldgdt20K4CRk/edit?usp=sharing"","""&amp;"เชียงราย!S79"")+IMPORTRANGE(""https://docs.google.com/spreadsheets/d/1rEDxBtusbi64tE0zunoIbsTVV16HeL0oJ6trHQeQ7K8/edit?usp=sharing"",""เชียงใหม่!S79"")+IMPORTRANGE(""https://docs.google.com/spreadsheets/d/1W6MnUbDkMi6xHnHko_XkFDO9kkuL6Wqyc-6OCDFjW9I/edit?"&amp;"usp=sharing"",""ตาก!S79"")+IMPORTRANGE(""https://docs.google.com/spreadsheets/d/1IQAWArduLkta9LpYo4a_ULsyqdta6-6aDDiwpUnQT6c/edit?usp=sharing"",""นครสวรรค์!S79"")+IMPORTRANGE(""https://docs.google.com/spreadsheets/d/10s13Sk5xrltsiR-Zkbmk5DwIaDIKO8XlbJAfqy"&amp;"T7Gvg/edit?usp=sharing"",""น่าน!S79"")+IMPORTRANGE(""https://docs.google.com/spreadsheets/d/1uu4nAn4Dbi1XREnLKKotUANlKXa7yCgRcgq8HEzQYW8/edit?usp=sharing"",""พะเยา!S79"")+IMPORTRANGE(""https://docs.google.com/spreadsheets/d/1xfJKIQxVOaPDIICqsflNlLu3JacTDk"&amp;"1FP9RH4phX7mI/edit?usp=sharing"",""พิจิตร!S79"")+IMPORTRANGE(""https://docs.google.com/spreadsheets/d/1JtRfZkJMHtEhI5RdRHxYUG4FIZHqKDpNyIuN7A1Q0_k/edit?usp=sharing"",""พิษณุโลก!S79"")+IMPORTRANGE(""https://docs.google.com/spreadsheets/d/1xlcVZWUNn6SuWm0c3"&amp;"07h32SiGkd9BaeQWlAktfD3KO8/edit?usp=sharing"",""เพชรบูรณ์!S79"")+IMPORTRANGE(""https://docs.google.com/spreadsheets/d/1lOVebEIsI9qjGXl6EX66luk7wiuP2tBaryw-wKvv4e0/edit?usp=sharing"",""แพร่!S79"")+IMPORTRANGE(""https://docs.google.com/spreadsheets/d/1dQrvX"&amp;"0vEcN7Gu0fnZ0B5S90AeR19zth4XlExFBeExMY/edit?usp=sharing"",""แม่ฮ่องสอน!S79"")+IMPORTRANGE(""https://docs.google.com/spreadsheets/d/1DY4XTNNwjluuxqdfdn6qvOSlMRrZqUtmYcZR0ttFiG4/edit?usp=sharing"",""ลำปาง!S79"")+IMPORTRANGE(""https://docs.google.com/spreads"&amp;"heets/d/1ICwG78r0OFT8biBlxnBF8r7she7gNSzOvJ958PWT09c/edit?usp=sharing"",""ลำพูน!S79"")+IMPORTRANGE(""https://docs.google.com/spreadsheets/d/1B0f2xJpZUC6Z0xXnqKlZtEPzsf6L84eP1r1Q15seqRM/edit?usp=sharing"",""สุโขทัย!S79"")+IMPORTRANGE(""https://docs.google."&amp;"com/spreadsheets/d/1v0b9pFQCsKUVExMei7AgY2yQkdeNQvtOssygGsXbiKo/edit?usp=sharing"",""อุตรดิตถ์!S79"")+IMPORTRANGE(""https://docs.google.com/spreadsheets/d/1UsNK1e-WWiCo2PvGqdNfdme4m17_Ezd3J69EeeiQPD0/edit?usp=sharing"",""อุทัยธานี!S79"")"),0)</f>
        <v>0</v>
      </c>
      <c r="T79" s="48">
        <f t="shared" ca="1" si="57"/>
        <v>0</v>
      </c>
      <c r="U79" s="48">
        <f t="shared" ca="1" si="58"/>
        <v>0</v>
      </c>
    </row>
    <row r="80" spans="1:21" ht="18.75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46">
        <f ca="1">IFERROR(__xludf.DUMMYFUNCTION("IMPORTRANGE(""https://docs.google.com/spreadsheets/d/1jTcq05yEiRwXcBMLjiodW9e4biSGYWAHcDj22rKWQ3s/edit?usp=sharing"",""กำแพงเพชร!L80"")+IMPORTRANGE(""https://docs.google.com/spreadsheets/d/1KS0zmDSZPk8KnTAbGN-Xk6MtX1YRZD0ldgdt20K4CRk/edit?usp=sharing"","""&amp;"เชียงราย!L80"")+IMPORTRANGE(""https://docs.google.com/spreadsheets/d/1rEDxBtusbi64tE0zunoIbsTVV16HeL0oJ6trHQeQ7K8/edit?usp=sharing"",""เชียงใหม่!L80"")+IMPORTRANGE(""https://docs.google.com/spreadsheets/d/1W6MnUbDkMi6xHnHko_XkFDO9kkuL6Wqyc-6OCDFjW9I/edit?"&amp;"usp=sharing"",""ตาก!L80"")+IMPORTRANGE(""https://docs.google.com/spreadsheets/d/1IQAWArduLkta9LpYo4a_ULsyqdta6-6aDDiwpUnQT6c/edit?usp=sharing"",""นครสวรรค์!L80"")+IMPORTRANGE(""https://docs.google.com/spreadsheets/d/10s13Sk5xrltsiR-Zkbmk5DwIaDIKO8XlbJAfqy"&amp;"T7Gvg/edit?usp=sharing"",""น่าน!L80"")+IMPORTRANGE(""https://docs.google.com/spreadsheets/d/1uu4nAn4Dbi1XREnLKKotUANlKXa7yCgRcgq8HEzQYW8/edit?usp=sharing"",""พะเยา!L80"")+IMPORTRANGE(""https://docs.google.com/spreadsheets/d/1xfJKIQxVOaPDIICqsflNlLu3JacTDk"&amp;"1FP9RH4phX7mI/edit?usp=sharing"",""พิจิตร!L80"")+IMPORTRANGE(""https://docs.google.com/spreadsheets/d/1JtRfZkJMHtEhI5RdRHxYUG4FIZHqKDpNyIuN7A1Q0_k/edit?usp=sharing"",""พิษณุโลก!L80"")+IMPORTRANGE(""https://docs.google.com/spreadsheets/d/1xlcVZWUNn6SuWm0c3"&amp;"07h32SiGkd9BaeQWlAktfD3KO8/edit?usp=sharing"",""เพชรบูรณ์!L80"")+IMPORTRANGE(""https://docs.google.com/spreadsheets/d/1lOVebEIsI9qjGXl6EX66luk7wiuP2tBaryw-wKvv4e0/edit?usp=sharing"",""แพร่!L80"")+IMPORTRANGE(""https://docs.google.com/spreadsheets/d/1dQrvX"&amp;"0vEcN7Gu0fnZ0B5S90AeR19zth4XlExFBeExMY/edit?usp=sharing"",""แม่ฮ่องสอน!L80"")+IMPORTRANGE(""https://docs.google.com/spreadsheets/d/1DY4XTNNwjluuxqdfdn6qvOSlMRrZqUtmYcZR0ttFiG4/edit?usp=sharing"",""ลำปาง!L80"")+IMPORTRANGE(""https://docs.google.com/spreads"&amp;"heets/d/1ICwG78r0OFT8biBlxnBF8r7she7gNSzOvJ958PWT09c/edit?usp=sharing"",""ลำพูน!L80"")+IMPORTRANGE(""https://docs.google.com/spreadsheets/d/1B0f2xJpZUC6Z0xXnqKlZtEPzsf6L84eP1r1Q15seqRM/edit?usp=sharing"",""สุโขทัย!L80"")+IMPORTRANGE(""https://docs.google."&amp;"com/spreadsheets/d/1v0b9pFQCsKUVExMei7AgY2yQkdeNQvtOssygGsXbiKo/edit?usp=sharing"",""อุตรดิตถ์!L80"")+IMPORTRANGE(""https://docs.google.com/spreadsheets/d/1UsNK1e-WWiCo2PvGqdNfdme4m17_Ezd3J69EeeiQPD0/edit?usp=sharing"",""อุทัยธานี!L80"")"),0)</f>
        <v>0</v>
      </c>
      <c r="M80" s="46">
        <f ca="1">IFERROR(__xludf.DUMMYFUNCTION("IMPORTRANGE(""https://docs.google.com/spreadsheets/d/1jTcq05yEiRwXcBMLjiodW9e4biSGYWAHcDj22rKWQ3s/edit?usp=sharing"",""กำแพงเพชร!M80"")+IMPORTRANGE(""https://docs.google.com/spreadsheets/d/1KS0zmDSZPk8KnTAbGN-Xk6MtX1YRZD0ldgdt20K4CRk/edit?usp=sharing"","""&amp;"เชียงราย!M80"")+IMPORTRANGE(""https://docs.google.com/spreadsheets/d/1rEDxBtusbi64tE0zunoIbsTVV16HeL0oJ6trHQeQ7K8/edit?usp=sharing"",""เชียงใหม่!M80"")+IMPORTRANGE(""https://docs.google.com/spreadsheets/d/1W6MnUbDkMi6xHnHko_XkFDO9kkuL6Wqyc-6OCDFjW9I/edit?"&amp;"usp=sharing"",""ตาก!M80"")+IMPORTRANGE(""https://docs.google.com/spreadsheets/d/1IQAWArduLkta9LpYo4a_ULsyqdta6-6aDDiwpUnQT6c/edit?usp=sharing"",""นครสวรรค์!M80"")+IMPORTRANGE(""https://docs.google.com/spreadsheets/d/10s13Sk5xrltsiR-Zkbmk5DwIaDIKO8XlbJAfqy"&amp;"T7Gvg/edit?usp=sharing"",""น่าน!M80"")+IMPORTRANGE(""https://docs.google.com/spreadsheets/d/1uu4nAn4Dbi1XREnLKKotUANlKXa7yCgRcgq8HEzQYW8/edit?usp=sharing"",""พะเยา!M80"")+IMPORTRANGE(""https://docs.google.com/spreadsheets/d/1xfJKIQxVOaPDIICqsflNlLu3JacTDk"&amp;"1FP9RH4phX7mI/edit?usp=sharing"",""พิจิตร!M80"")+IMPORTRANGE(""https://docs.google.com/spreadsheets/d/1JtRfZkJMHtEhI5RdRHxYUG4FIZHqKDpNyIuN7A1Q0_k/edit?usp=sharing"",""พิษณุโลก!M80"")+IMPORTRANGE(""https://docs.google.com/spreadsheets/d/1xlcVZWUNn6SuWm0c3"&amp;"07h32SiGkd9BaeQWlAktfD3KO8/edit?usp=sharing"",""เพชรบูรณ์!M80"")+IMPORTRANGE(""https://docs.google.com/spreadsheets/d/1lOVebEIsI9qjGXl6EX66luk7wiuP2tBaryw-wKvv4e0/edit?usp=sharing"",""แพร่!M80"")+IMPORTRANGE(""https://docs.google.com/spreadsheets/d/1dQrvX"&amp;"0vEcN7Gu0fnZ0B5S90AeR19zth4XlExFBeExMY/edit?usp=sharing"",""แม่ฮ่องสอน!M80"")+IMPORTRANGE(""https://docs.google.com/spreadsheets/d/1DY4XTNNwjluuxqdfdn6qvOSlMRrZqUtmYcZR0ttFiG4/edit?usp=sharing"",""ลำปาง!M80"")+IMPORTRANGE(""https://docs.google.com/spreads"&amp;"heets/d/1ICwG78r0OFT8biBlxnBF8r7she7gNSzOvJ958PWT09c/edit?usp=sharing"",""ลำพูน!M80"")+IMPORTRANGE(""https://docs.google.com/spreadsheets/d/1B0f2xJpZUC6Z0xXnqKlZtEPzsf6L84eP1r1Q15seqRM/edit?usp=sharing"",""สุโขทัย!M80"")+IMPORTRANGE(""https://docs.google."&amp;"com/spreadsheets/d/1v0b9pFQCsKUVExMei7AgY2yQkdeNQvtOssygGsXbiKo/edit?usp=sharing"",""อุตรดิตถ์!M80"")+IMPORTRANGE(""https://docs.google.com/spreadsheets/d/1UsNK1e-WWiCo2PvGqdNfdme4m17_Ezd3J69EeeiQPD0/edit?usp=sharing"",""อุทัยธานี!M80"")"),0)</f>
        <v>0</v>
      </c>
      <c r="N80" s="46">
        <f ca="1">IFERROR(__xludf.DUMMYFUNCTION("IMPORTRANGE(""https://docs.google.com/spreadsheets/d/1jTcq05yEiRwXcBMLjiodW9e4biSGYWAHcDj22rKWQ3s/edit?usp=sharing"",""กำแพงเพชร!N80"")+IMPORTRANGE(""https://docs.google.com/spreadsheets/d/1KS0zmDSZPk8KnTAbGN-Xk6MtX1YRZD0ldgdt20K4CRk/edit?usp=sharing"","""&amp;"เชียงราย!N80"")+IMPORTRANGE(""https://docs.google.com/spreadsheets/d/1rEDxBtusbi64tE0zunoIbsTVV16HeL0oJ6trHQeQ7K8/edit?usp=sharing"",""เชียงใหม่!N80"")+IMPORTRANGE(""https://docs.google.com/spreadsheets/d/1W6MnUbDkMi6xHnHko_XkFDO9kkuL6Wqyc-6OCDFjW9I/edit?"&amp;"usp=sharing"",""ตาก!N80"")+IMPORTRANGE(""https://docs.google.com/spreadsheets/d/1IQAWArduLkta9LpYo4a_ULsyqdta6-6aDDiwpUnQT6c/edit?usp=sharing"",""นครสวรรค์!N80"")+IMPORTRANGE(""https://docs.google.com/spreadsheets/d/10s13Sk5xrltsiR-Zkbmk5DwIaDIKO8XlbJAfqy"&amp;"T7Gvg/edit?usp=sharing"",""น่าน!N80"")+IMPORTRANGE(""https://docs.google.com/spreadsheets/d/1uu4nAn4Dbi1XREnLKKotUANlKXa7yCgRcgq8HEzQYW8/edit?usp=sharing"",""พะเยา!N80"")+IMPORTRANGE(""https://docs.google.com/spreadsheets/d/1xfJKIQxVOaPDIICqsflNlLu3JacTDk"&amp;"1FP9RH4phX7mI/edit?usp=sharing"",""พิจิตร!N80"")+IMPORTRANGE(""https://docs.google.com/spreadsheets/d/1JtRfZkJMHtEhI5RdRHxYUG4FIZHqKDpNyIuN7A1Q0_k/edit?usp=sharing"",""พิษณุโลก!N80"")+IMPORTRANGE(""https://docs.google.com/spreadsheets/d/1xlcVZWUNn6SuWm0c3"&amp;"07h32SiGkd9BaeQWlAktfD3KO8/edit?usp=sharing"",""เพชรบูรณ์!N80"")+IMPORTRANGE(""https://docs.google.com/spreadsheets/d/1lOVebEIsI9qjGXl6EX66luk7wiuP2tBaryw-wKvv4e0/edit?usp=sharing"",""แพร่!N80"")+IMPORTRANGE(""https://docs.google.com/spreadsheets/d/1dQrvX"&amp;"0vEcN7Gu0fnZ0B5S90AeR19zth4XlExFBeExMY/edit?usp=sharing"",""แม่ฮ่องสอน!N80"")+IMPORTRANGE(""https://docs.google.com/spreadsheets/d/1DY4XTNNwjluuxqdfdn6qvOSlMRrZqUtmYcZR0ttFiG4/edit?usp=sharing"",""ลำปาง!N80"")+IMPORTRANGE(""https://docs.google.com/spreads"&amp;"heets/d/1ICwG78r0OFT8biBlxnBF8r7she7gNSzOvJ958PWT09c/edit?usp=sharing"",""ลำพูน!N80"")+IMPORTRANGE(""https://docs.google.com/spreadsheets/d/1B0f2xJpZUC6Z0xXnqKlZtEPzsf6L84eP1r1Q15seqRM/edit?usp=sharing"",""สุโขทัย!N80"")+IMPORTRANGE(""https://docs.google."&amp;"com/spreadsheets/d/1v0b9pFQCsKUVExMei7AgY2yQkdeNQvtOssygGsXbiKo/edit?usp=sharing"",""อุตรดิตถ์!N80"")+IMPORTRANGE(""https://docs.google.com/spreadsheets/d/1UsNK1e-WWiCo2PvGqdNfdme4m17_Ezd3J69EeeiQPD0/edit?usp=sharing"",""อุทัยธานี!N80"")"),0)</f>
        <v>0</v>
      </c>
      <c r="O80" s="46">
        <f t="shared" ca="1" si="54"/>
        <v>0</v>
      </c>
      <c r="P80" s="46">
        <f t="shared" ca="1" si="55"/>
        <v>0</v>
      </c>
      <c r="Q80" s="46">
        <f ca="1">IFERROR(__xludf.DUMMYFUNCTION("IMPORTRANGE(""https://docs.google.com/spreadsheets/d/1jTcq05yEiRwXcBMLjiodW9e4biSGYWAHcDj22rKWQ3s/edit?usp=sharing"",""กำแพงเพชร!Q80"")+IMPORTRANGE(""https://docs.google.com/spreadsheets/d/1KS0zmDSZPk8KnTAbGN-Xk6MtX1YRZD0ldgdt20K4CRk/edit?usp=sharing"","""&amp;"เชียงราย!Q80"")+IMPORTRANGE(""https://docs.google.com/spreadsheets/d/1rEDxBtusbi64tE0zunoIbsTVV16HeL0oJ6trHQeQ7K8/edit?usp=sharing"",""เชียงใหม่!Q80"")+IMPORTRANGE(""https://docs.google.com/spreadsheets/d/1W6MnUbDkMi6xHnHko_XkFDO9kkuL6Wqyc-6OCDFjW9I/edit?"&amp;"usp=sharing"",""ตาก!Q80"")+IMPORTRANGE(""https://docs.google.com/spreadsheets/d/1IQAWArduLkta9LpYo4a_ULsyqdta6-6aDDiwpUnQT6c/edit?usp=sharing"",""นครสวรรค์!Q80"")+IMPORTRANGE(""https://docs.google.com/spreadsheets/d/10s13Sk5xrltsiR-Zkbmk5DwIaDIKO8XlbJAfqy"&amp;"T7Gvg/edit?usp=sharing"",""น่าน!Q80"")+IMPORTRANGE(""https://docs.google.com/spreadsheets/d/1uu4nAn4Dbi1XREnLKKotUANlKXa7yCgRcgq8HEzQYW8/edit?usp=sharing"",""พะเยา!Q80"")+IMPORTRANGE(""https://docs.google.com/spreadsheets/d/1xfJKIQxVOaPDIICqsflNlLu3JacTDk"&amp;"1FP9RH4phX7mI/edit?usp=sharing"",""พิจิตร!Q80"")+IMPORTRANGE(""https://docs.google.com/spreadsheets/d/1JtRfZkJMHtEhI5RdRHxYUG4FIZHqKDpNyIuN7A1Q0_k/edit?usp=sharing"",""พิษณุโลก!Q80"")+IMPORTRANGE(""https://docs.google.com/spreadsheets/d/1xlcVZWUNn6SuWm0c3"&amp;"07h32SiGkd9BaeQWlAktfD3KO8/edit?usp=sharing"",""เพชรบูรณ์!Q80"")+IMPORTRANGE(""https://docs.google.com/spreadsheets/d/1lOVebEIsI9qjGXl6EX66luk7wiuP2tBaryw-wKvv4e0/edit?usp=sharing"",""แพร่!Q80"")+IMPORTRANGE(""https://docs.google.com/spreadsheets/d/1dQrvX"&amp;"0vEcN7Gu0fnZ0B5S90AeR19zth4XlExFBeExMY/edit?usp=sharing"",""แม่ฮ่องสอน!Q80"")+IMPORTRANGE(""https://docs.google.com/spreadsheets/d/1DY4XTNNwjluuxqdfdn6qvOSlMRrZqUtmYcZR0ttFiG4/edit?usp=sharing"",""ลำปาง!Q80"")+IMPORTRANGE(""https://docs.google.com/spreads"&amp;"heets/d/1ICwG78r0OFT8biBlxnBF8r7she7gNSzOvJ958PWT09c/edit?usp=sharing"",""ลำพูน!Q80"")+IMPORTRANGE(""https://docs.google.com/spreadsheets/d/1B0f2xJpZUC6Z0xXnqKlZtEPzsf6L84eP1r1Q15seqRM/edit?usp=sharing"",""สุโขทัย!Q80"")+IMPORTRANGE(""https://docs.google."&amp;"com/spreadsheets/d/1v0b9pFQCsKUVExMei7AgY2yQkdeNQvtOssygGsXbiKo/edit?usp=sharing"",""อุตรดิตถ์!Q80"")+IMPORTRANGE(""https://docs.google.com/spreadsheets/d/1UsNK1e-WWiCo2PvGqdNfdme4m17_Ezd3J69EeeiQPD0/edit?usp=sharing"",""อุทัยธานี!Q80"")"),0)</f>
        <v>0</v>
      </c>
      <c r="R80" s="46">
        <f ca="1">IFERROR(__xludf.DUMMYFUNCTION("IMPORTRANGE(""https://docs.google.com/spreadsheets/d/1jTcq05yEiRwXcBMLjiodW9e4biSGYWAHcDj22rKWQ3s/edit?usp=sharing"",""กำแพงเพชร!R80"")+IMPORTRANGE(""https://docs.google.com/spreadsheets/d/1KS0zmDSZPk8KnTAbGN-Xk6MtX1YRZD0ldgdt20K4CRk/edit?usp=sharing"","""&amp;"เชียงราย!R80"")+IMPORTRANGE(""https://docs.google.com/spreadsheets/d/1rEDxBtusbi64tE0zunoIbsTVV16HeL0oJ6trHQeQ7K8/edit?usp=sharing"",""เชียงใหม่!R80"")+IMPORTRANGE(""https://docs.google.com/spreadsheets/d/1W6MnUbDkMi6xHnHko_XkFDO9kkuL6Wqyc-6OCDFjW9I/edit?"&amp;"usp=sharing"",""ตาก!R80"")+IMPORTRANGE(""https://docs.google.com/spreadsheets/d/1IQAWArduLkta9LpYo4a_ULsyqdta6-6aDDiwpUnQT6c/edit?usp=sharing"",""นครสวรรค์!R80"")+IMPORTRANGE(""https://docs.google.com/spreadsheets/d/10s13Sk5xrltsiR-Zkbmk5DwIaDIKO8XlbJAfqy"&amp;"T7Gvg/edit?usp=sharing"",""น่าน!R80"")+IMPORTRANGE(""https://docs.google.com/spreadsheets/d/1uu4nAn4Dbi1XREnLKKotUANlKXa7yCgRcgq8HEzQYW8/edit?usp=sharing"",""พะเยา!R80"")+IMPORTRANGE(""https://docs.google.com/spreadsheets/d/1xfJKIQxVOaPDIICqsflNlLu3JacTDk"&amp;"1FP9RH4phX7mI/edit?usp=sharing"",""พิจิตร!R80"")+IMPORTRANGE(""https://docs.google.com/spreadsheets/d/1JtRfZkJMHtEhI5RdRHxYUG4FIZHqKDpNyIuN7A1Q0_k/edit?usp=sharing"",""พิษณุโลก!R80"")+IMPORTRANGE(""https://docs.google.com/spreadsheets/d/1xlcVZWUNn6SuWm0c3"&amp;"07h32SiGkd9BaeQWlAktfD3KO8/edit?usp=sharing"",""เพชรบูรณ์!R80"")+IMPORTRANGE(""https://docs.google.com/spreadsheets/d/1lOVebEIsI9qjGXl6EX66luk7wiuP2tBaryw-wKvv4e0/edit?usp=sharing"",""แพร่!R80"")+IMPORTRANGE(""https://docs.google.com/spreadsheets/d/1dQrvX"&amp;"0vEcN7Gu0fnZ0B5S90AeR19zth4XlExFBeExMY/edit?usp=sharing"",""แม่ฮ่องสอน!R80"")+IMPORTRANGE(""https://docs.google.com/spreadsheets/d/1DY4XTNNwjluuxqdfdn6qvOSlMRrZqUtmYcZR0ttFiG4/edit?usp=sharing"",""ลำปาง!R80"")+IMPORTRANGE(""https://docs.google.com/spreads"&amp;"heets/d/1ICwG78r0OFT8biBlxnBF8r7she7gNSzOvJ958PWT09c/edit?usp=sharing"",""ลำพูน!R80"")+IMPORTRANGE(""https://docs.google.com/spreadsheets/d/1B0f2xJpZUC6Z0xXnqKlZtEPzsf6L84eP1r1Q15seqRM/edit?usp=sharing"",""สุโขทัย!R80"")+IMPORTRANGE(""https://docs.google."&amp;"com/spreadsheets/d/1v0b9pFQCsKUVExMei7AgY2yQkdeNQvtOssygGsXbiKo/edit?usp=sharing"",""อุตรดิตถ์!R80"")+IMPORTRANGE(""https://docs.google.com/spreadsheets/d/1UsNK1e-WWiCo2PvGqdNfdme4m17_Ezd3J69EeeiQPD0/edit?usp=sharing"",""อุทัยธานี!R80"")"),0)</f>
        <v>0</v>
      </c>
      <c r="S80" s="46">
        <f ca="1">IFERROR(__xludf.DUMMYFUNCTION("IMPORTRANGE(""https://docs.google.com/spreadsheets/d/1jTcq05yEiRwXcBMLjiodW9e4biSGYWAHcDj22rKWQ3s/edit?usp=sharing"",""กำแพงเพชร!S80"")+IMPORTRANGE(""https://docs.google.com/spreadsheets/d/1KS0zmDSZPk8KnTAbGN-Xk6MtX1YRZD0ldgdt20K4CRk/edit?usp=sharing"","""&amp;"เชียงราย!S80"")+IMPORTRANGE(""https://docs.google.com/spreadsheets/d/1rEDxBtusbi64tE0zunoIbsTVV16HeL0oJ6trHQeQ7K8/edit?usp=sharing"",""เชียงใหม่!S80"")+IMPORTRANGE(""https://docs.google.com/spreadsheets/d/1W6MnUbDkMi6xHnHko_XkFDO9kkuL6Wqyc-6OCDFjW9I/edit?"&amp;"usp=sharing"",""ตาก!S80"")+IMPORTRANGE(""https://docs.google.com/spreadsheets/d/1IQAWArduLkta9LpYo4a_ULsyqdta6-6aDDiwpUnQT6c/edit?usp=sharing"",""นครสวรรค์!S80"")+IMPORTRANGE(""https://docs.google.com/spreadsheets/d/10s13Sk5xrltsiR-Zkbmk5DwIaDIKO8XlbJAfqy"&amp;"T7Gvg/edit?usp=sharing"",""น่าน!S80"")+IMPORTRANGE(""https://docs.google.com/spreadsheets/d/1uu4nAn4Dbi1XREnLKKotUANlKXa7yCgRcgq8HEzQYW8/edit?usp=sharing"",""พะเยา!S80"")+IMPORTRANGE(""https://docs.google.com/spreadsheets/d/1xfJKIQxVOaPDIICqsflNlLu3JacTDk"&amp;"1FP9RH4phX7mI/edit?usp=sharing"",""พิจิตร!S80"")+IMPORTRANGE(""https://docs.google.com/spreadsheets/d/1JtRfZkJMHtEhI5RdRHxYUG4FIZHqKDpNyIuN7A1Q0_k/edit?usp=sharing"",""พิษณุโลก!S80"")+IMPORTRANGE(""https://docs.google.com/spreadsheets/d/1xlcVZWUNn6SuWm0c3"&amp;"07h32SiGkd9BaeQWlAktfD3KO8/edit?usp=sharing"",""เพชรบูรณ์!S80"")+IMPORTRANGE(""https://docs.google.com/spreadsheets/d/1lOVebEIsI9qjGXl6EX66luk7wiuP2tBaryw-wKvv4e0/edit?usp=sharing"",""แพร่!S80"")+IMPORTRANGE(""https://docs.google.com/spreadsheets/d/1dQrvX"&amp;"0vEcN7Gu0fnZ0B5S90AeR19zth4XlExFBeExMY/edit?usp=sharing"",""แม่ฮ่องสอน!S80"")+IMPORTRANGE(""https://docs.google.com/spreadsheets/d/1DY4XTNNwjluuxqdfdn6qvOSlMRrZqUtmYcZR0ttFiG4/edit?usp=sharing"",""ลำปาง!S80"")+IMPORTRANGE(""https://docs.google.com/spreads"&amp;"heets/d/1ICwG78r0OFT8biBlxnBF8r7she7gNSzOvJ958PWT09c/edit?usp=sharing"",""ลำพูน!S80"")+IMPORTRANGE(""https://docs.google.com/spreadsheets/d/1B0f2xJpZUC6Z0xXnqKlZtEPzsf6L84eP1r1Q15seqRM/edit?usp=sharing"",""สุโขทัย!S80"")+IMPORTRANGE(""https://docs.google."&amp;"com/spreadsheets/d/1v0b9pFQCsKUVExMei7AgY2yQkdeNQvtOssygGsXbiKo/edit?usp=sharing"",""อุตรดิตถ์!S80"")+IMPORTRANGE(""https://docs.google.com/spreadsheets/d/1UsNK1e-WWiCo2PvGqdNfdme4m17_Ezd3J69EeeiQPD0/edit?usp=sharing"",""อุทัยธานี!S80"")"),0)</f>
        <v>0</v>
      </c>
      <c r="T80" s="46">
        <f t="shared" ca="1" si="57"/>
        <v>0</v>
      </c>
      <c r="U80" s="46">
        <f t="shared" ca="1" si="58"/>
        <v>0</v>
      </c>
    </row>
    <row r="81" spans="1:21" ht="19.5" x14ac:dyDescent="0.3">
      <c r="A81" s="138"/>
      <c r="B81" s="139"/>
      <c r="C81" s="129" t="s">
        <v>18</v>
      </c>
      <c r="D81" s="140" t="s">
        <v>38</v>
      </c>
      <c r="E81" s="141"/>
      <c r="F81" s="141"/>
      <c r="G81" s="142"/>
      <c r="H81" s="143"/>
      <c r="I81" s="135"/>
      <c r="J81" s="135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t="shared" ref="I82:J82" ca="1" si="67">I84+I86+I88</f>
        <v>16</v>
      </c>
      <c r="J82" s="147">
        <f t="shared" ca="1" si="67"/>
        <v>5</v>
      </c>
      <c r="K82" s="148">
        <f t="shared" ref="K82:K90" ca="1" si="68">IF(I82&gt;0,J82*100/I82,0)</f>
        <v>31.25</v>
      </c>
      <c r="L82" s="136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t="shared" ref="I83:J83" ca="1" si="69">I85+I87+I89</f>
        <v>791</v>
      </c>
      <c r="J83" s="147">
        <f t="shared" ca="1" si="69"/>
        <v>188</v>
      </c>
      <c r="K83" s="148">
        <f t="shared" ca="1" si="68"/>
        <v>23.767383059418457</v>
      </c>
      <c r="L83" s="136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jTcq05yEiRwXcBMLjiodW9e4biSGYWAHcDj22rKWQ3s/edit?usp=sharing"",""กำแพงเพชร!I84"")+IMPORTRANGE(""https://docs.google.com/spreadsheets/d/1KS0zmDSZPk8KnTAbGN-Xk6MtX1YRZD0ldgdt20K4CRk/edit?usp=sharing"","""&amp;"เชียงราย!I84"")+IMPORTRANGE(""https://docs.google.com/spreadsheets/d/1rEDxBtusbi64tE0zunoIbsTVV16HeL0oJ6trHQeQ7K8/edit?usp=sharing"",""เชียงใหม่!I84"")+IMPORTRANGE(""https://docs.google.com/spreadsheets/d/1W6MnUbDkMi6xHnHko_XkFDO9kkuL6Wqyc-6OCDFjW9I/edit?"&amp;"usp=sharing"",""ตาก!I84"")+IMPORTRANGE(""https://docs.google.com/spreadsheets/d/1IQAWArduLkta9LpYo4a_ULsyqdta6-6aDDiwpUnQT6c/edit?usp=sharing"",""นครสวรรค์!I84"")+IMPORTRANGE(""https://docs.google.com/spreadsheets/d/10s13Sk5xrltsiR-Zkbmk5DwIaDIKO8XlbJAfqy"&amp;"T7Gvg/edit?usp=sharing"",""น่าน!I84"")+IMPORTRANGE(""https://docs.google.com/spreadsheets/d/1uu4nAn4Dbi1XREnLKKotUANlKXa7yCgRcgq8HEzQYW8/edit?usp=sharing"",""พะเยา!I84"")+IMPORTRANGE(""https://docs.google.com/spreadsheets/d/1xfJKIQxVOaPDIICqsflNlLu3JacTDk"&amp;"1FP9RH4phX7mI/edit?usp=sharing"",""พิจิตร!I84"")+IMPORTRANGE(""https://docs.google.com/spreadsheets/d/1JtRfZkJMHtEhI5RdRHxYUG4FIZHqKDpNyIuN7A1Q0_k/edit?usp=sharing"",""พิษณุโลก!I84"")+IMPORTRANGE(""https://docs.google.com/spreadsheets/d/1xlcVZWUNn6SuWm0c3"&amp;"07h32SiGkd9BaeQWlAktfD3KO8/edit?usp=sharing"",""เพชรบูรณ์!I84"")+IMPORTRANGE(""https://docs.google.com/spreadsheets/d/1lOVebEIsI9qjGXl6EX66luk7wiuP2tBaryw-wKvv4e0/edit?usp=sharing"",""แพร่!I84"")+IMPORTRANGE(""https://docs.google.com/spreadsheets/d/1dQrvX"&amp;"0vEcN7Gu0fnZ0B5S90AeR19zth4XlExFBeExMY/edit?usp=sharing"",""แม่ฮ่องสอน!I84"")+IMPORTRANGE(""https://docs.google.com/spreadsheets/d/1DY4XTNNwjluuxqdfdn6qvOSlMRrZqUtmYcZR0ttFiG4/edit?usp=sharing"",""ลำปาง!I84"")+IMPORTRANGE(""https://docs.google.com/spreads"&amp;"heets/d/1ICwG78r0OFT8biBlxnBF8r7she7gNSzOvJ958PWT09c/edit?usp=sharing"",""ลำพูน!I84"")+IMPORTRANGE(""https://docs.google.com/spreadsheets/d/1B0f2xJpZUC6Z0xXnqKlZtEPzsf6L84eP1r1Q15seqRM/edit?usp=sharing"",""สุโขทัย!I84"")+IMPORTRANGE(""https://docs.google."&amp;"com/spreadsheets/d/1v0b9pFQCsKUVExMei7AgY2yQkdeNQvtOssygGsXbiKo/edit?usp=sharing"",""อุตรดิตถ์!I84"")+IMPORTRANGE(""https://docs.google.com/spreadsheets/d/1UsNK1e-WWiCo2PvGqdNfdme4m17_Ezd3J69EeeiQPD0/edit?usp=sharing"",""อุทัยธานี!I84"")"),8)</f>
        <v>8</v>
      </c>
      <c r="J84" s="151">
        <f ca="1">IFERROR(__xludf.DUMMYFUNCTION("IMPORTRANGE(""https://docs.google.com/spreadsheets/d/1jTcq05yEiRwXcBMLjiodW9e4biSGYWAHcDj22rKWQ3s/edit?usp=sharing"",""กำแพงเพชร!J84"")+IMPORTRANGE(""https://docs.google.com/spreadsheets/d/1KS0zmDSZPk8KnTAbGN-Xk6MtX1YRZD0ldgdt20K4CRk/edit?usp=sharing"","""&amp;"เชียงราย!J84"")+IMPORTRANGE(""https://docs.google.com/spreadsheets/d/1rEDxBtusbi64tE0zunoIbsTVV16HeL0oJ6trHQeQ7K8/edit?usp=sharing"",""เชียงใหม่!J84"")+IMPORTRANGE(""https://docs.google.com/spreadsheets/d/1W6MnUbDkMi6xHnHko_XkFDO9kkuL6Wqyc-6OCDFjW9I/edit?"&amp;"usp=sharing"",""ตาก!J84"")+IMPORTRANGE(""https://docs.google.com/spreadsheets/d/1IQAWArduLkta9LpYo4a_ULsyqdta6-6aDDiwpUnQT6c/edit?usp=sharing"",""นครสวรรค์!J84"")+IMPORTRANGE(""https://docs.google.com/spreadsheets/d/10s13Sk5xrltsiR-Zkbmk5DwIaDIKO8XlbJAfqy"&amp;"T7Gvg/edit?usp=sharing"",""น่าน!J84"")+IMPORTRANGE(""https://docs.google.com/spreadsheets/d/1uu4nAn4Dbi1XREnLKKotUANlKXa7yCgRcgq8HEzQYW8/edit?usp=sharing"",""พะเยา!J84"")+IMPORTRANGE(""https://docs.google.com/spreadsheets/d/1xfJKIQxVOaPDIICqsflNlLu3JacTDk"&amp;"1FP9RH4phX7mI/edit?usp=sharing"",""พิจิตร!J84"")+IMPORTRANGE(""https://docs.google.com/spreadsheets/d/1JtRfZkJMHtEhI5RdRHxYUG4FIZHqKDpNyIuN7A1Q0_k/edit?usp=sharing"",""พิษณุโลก!J84"")+IMPORTRANGE(""https://docs.google.com/spreadsheets/d/1xlcVZWUNn6SuWm0c3"&amp;"07h32SiGkd9BaeQWlAktfD3KO8/edit?usp=sharing"",""เพชรบูรณ์!J84"")+IMPORTRANGE(""https://docs.google.com/spreadsheets/d/1lOVebEIsI9qjGXl6EX66luk7wiuP2tBaryw-wKvv4e0/edit?usp=sharing"",""แพร่!J84"")+IMPORTRANGE(""https://docs.google.com/spreadsheets/d/1dQrvX"&amp;"0vEcN7Gu0fnZ0B5S90AeR19zth4XlExFBeExMY/edit?usp=sharing"",""แม่ฮ่องสอน!J84"")+IMPORTRANGE(""https://docs.google.com/spreadsheets/d/1DY4XTNNwjluuxqdfdn6qvOSlMRrZqUtmYcZR0ttFiG4/edit?usp=sharing"",""ลำปาง!J84"")+IMPORTRANGE(""https://docs.google.com/spreads"&amp;"heets/d/1ICwG78r0OFT8biBlxnBF8r7she7gNSzOvJ958PWT09c/edit?usp=sharing"",""ลำพูน!J84"")+IMPORTRANGE(""https://docs.google.com/spreadsheets/d/1B0f2xJpZUC6Z0xXnqKlZtEPzsf6L84eP1r1Q15seqRM/edit?usp=sharing"",""สุโขทัย!J84"")+IMPORTRANGE(""https://docs.google."&amp;"com/spreadsheets/d/1v0b9pFQCsKUVExMei7AgY2yQkdeNQvtOssygGsXbiKo/edit?usp=sharing"",""อุตรดิตถ์!J84"")+IMPORTRANGE(""https://docs.google.com/spreadsheets/d/1UsNK1e-WWiCo2PvGqdNfdme4m17_Ezd3J69EeeiQPD0/edit?usp=sharing"",""อุทัยธานี!J84"")"),2)</f>
        <v>2</v>
      </c>
      <c r="K84" s="152">
        <f t="shared" ca="1" si="68"/>
        <v>25</v>
      </c>
      <c r="L84" s="136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jTcq05yEiRwXcBMLjiodW9e4biSGYWAHcDj22rKWQ3s/edit?usp=sharing"",""กำแพงเพชร!I85"")+IMPORTRANGE(""https://docs.google.com/spreadsheets/d/1KS0zmDSZPk8KnTAbGN-Xk6MtX1YRZD0ldgdt20K4CRk/edit?usp=sharing"","""&amp;"เชียงราย!I85"")+IMPORTRANGE(""https://docs.google.com/spreadsheets/d/1rEDxBtusbi64tE0zunoIbsTVV16HeL0oJ6trHQeQ7K8/edit?usp=sharing"",""เชียงใหม่!I85"")+IMPORTRANGE(""https://docs.google.com/spreadsheets/d/1W6MnUbDkMi6xHnHko_XkFDO9kkuL6Wqyc-6OCDFjW9I/edit?"&amp;"usp=sharing"",""ตาก!I85"")+IMPORTRANGE(""https://docs.google.com/spreadsheets/d/1IQAWArduLkta9LpYo4a_ULsyqdta6-6aDDiwpUnQT6c/edit?usp=sharing"",""นครสวรรค์!I85"")+IMPORTRANGE(""https://docs.google.com/spreadsheets/d/10s13Sk5xrltsiR-Zkbmk5DwIaDIKO8XlbJAfqy"&amp;"T7Gvg/edit?usp=sharing"",""น่าน!I85"")+IMPORTRANGE(""https://docs.google.com/spreadsheets/d/1uu4nAn4Dbi1XREnLKKotUANlKXa7yCgRcgq8HEzQYW8/edit?usp=sharing"",""พะเยา!I85"")+IMPORTRANGE(""https://docs.google.com/spreadsheets/d/1xfJKIQxVOaPDIICqsflNlLu3JacTDk"&amp;"1FP9RH4phX7mI/edit?usp=sharing"",""พิจิตร!I85"")+IMPORTRANGE(""https://docs.google.com/spreadsheets/d/1JtRfZkJMHtEhI5RdRHxYUG4FIZHqKDpNyIuN7A1Q0_k/edit?usp=sharing"",""พิษณุโลก!I85"")+IMPORTRANGE(""https://docs.google.com/spreadsheets/d/1xlcVZWUNn6SuWm0c3"&amp;"07h32SiGkd9BaeQWlAktfD3KO8/edit?usp=sharing"",""เพชรบูรณ์!I85"")+IMPORTRANGE(""https://docs.google.com/spreadsheets/d/1lOVebEIsI9qjGXl6EX66luk7wiuP2tBaryw-wKvv4e0/edit?usp=sharing"",""แพร่!I85"")+IMPORTRANGE(""https://docs.google.com/spreadsheets/d/1dQrvX"&amp;"0vEcN7Gu0fnZ0B5S90AeR19zth4XlExFBeExMY/edit?usp=sharing"",""แม่ฮ่องสอน!I85"")+IMPORTRANGE(""https://docs.google.com/spreadsheets/d/1DY4XTNNwjluuxqdfdn6qvOSlMRrZqUtmYcZR0ttFiG4/edit?usp=sharing"",""ลำปาง!I85"")+IMPORTRANGE(""https://docs.google.com/spreads"&amp;"heets/d/1ICwG78r0OFT8biBlxnBF8r7she7gNSzOvJ958PWT09c/edit?usp=sharing"",""ลำพูน!I85"")+IMPORTRANGE(""https://docs.google.com/spreadsheets/d/1B0f2xJpZUC6Z0xXnqKlZtEPzsf6L84eP1r1Q15seqRM/edit?usp=sharing"",""สุโขทัย!I85"")+IMPORTRANGE(""https://docs.google."&amp;"com/spreadsheets/d/1v0b9pFQCsKUVExMei7AgY2yQkdeNQvtOssygGsXbiKo/edit?usp=sharing"",""อุตรดิตถ์!I85"")+IMPORTRANGE(""https://docs.google.com/spreadsheets/d/1UsNK1e-WWiCo2PvGqdNfdme4m17_Ezd3J69EeeiQPD0/edit?usp=sharing"",""อุทัยธานี!I85"")"),466)</f>
        <v>466</v>
      </c>
      <c r="J85" s="151">
        <f ca="1">IFERROR(__xludf.DUMMYFUNCTION("IMPORTRANGE(""https://docs.google.com/spreadsheets/d/1jTcq05yEiRwXcBMLjiodW9e4biSGYWAHcDj22rKWQ3s/edit?usp=sharing"",""กำแพงเพชร!J85"")+IMPORTRANGE(""https://docs.google.com/spreadsheets/d/1KS0zmDSZPk8KnTAbGN-Xk6MtX1YRZD0ldgdt20K4CRk/edit?usp=sharing"","""&amp;"เชียงราย!J85"")+IMPORTRANGE(""https://docs.google.com/spreadsheets/d/1rEDxBtusbi64tE0zunoIbsTVV16HeL0oJ6trHQeQ7K8/edit?usp=sharing"",""เชียงใหม่!J85"")+IMPORTRANGE(""https://docs.google.com/spreadsheets/d/1W6MnUbDkMi6xHnHko_XkFDO9kkuL6Wqyc-6OCDFjW9I/edit?"&amp;"usp=sharing"",""ตาก!J85"")+IMPORTRANGE(""https://docs.google.com/spreadsheets/d/1IQAWArduLkta9LpYo4a_ULsyqdta6-6aDDiwpUnQT6c/edit?usp=sharing"",""นครสวรรค์!J85"")+IMPORTRANGE(""https://docs.google.com/spreadsheets/d/10s13Sk5xrltsiR-Zkbmk5DwIaDIKO8XlbJAfqy"&amp;"T7Gvg/edit?usp=sharing"",""น่าน!J85"")+IMPORTRANGE(""https://docs.google.com/spreadsheets/d/1uu4nAn4Dbi1XREnLKKotUANlKXa7yCgRcgq8HEzQYW8/edit?usp=sharing"",""พะเยา!J85"")+IMPORTRANGE(""https://docs.google.com/spreadsheets/d/1xfJKIQxVOaPDIICqsflNlLu3JacTDk"&amp;"1FP9RH4phX7mI/edit?usp=sharing"",""พิจิตร!J85"")+IMPORTRANGE(""https://docs.google.com/spreadsheets/d/1JtRfZkJMHtEhI5RdRHxYUG4FIZHqKDpNyIuN7A1Q0_k/edit?usp=sharing"",""พิษณุโลก!J85"")+IMPORTRANGE(""https://docs.google.com/spreadsheets/d/1xlcVZWUNn6SuWm0c3"&amp;"07h32SiGkd9BaeQWlAktfD3KO8/edit?usp=sharing"",""เพชรบูรณ์!J85"")+IMPORTRANGE(""https://docs.google.com/spreadsheets/d/1lOVebEIsI9qjGXl6EX66luk7wiuP2tBaryw-wKvv4e0/edit?usp=sharing"",""แพร่!J85"")+IMPORTRANGE(""https://docs.google.com/spreadsheets/d/1dQrvX"&amp;"0vEcN7Gu0fnZ0B5S90AeR19zth4XlExFBeExMY/edit?usp=sharing"",""แม่ฮ่องสอน!J85"")+IMPORTRANGE(""https://docs.google.com/spreadsheets/d/1DY4XTNNwjluuxqdfdn6qvOSlMRrZqUtmYcZR0ttFiG4/edit?usp=sharing"",""ลำปาง!J85"")+IMPORTRANGE(""https://docs.google.com/spreads"&amp;"heets/d/1ICwG78r0OFT8biBlxnBF8r7she7gNSzOvJ958PWT09c/edit?usp=sharing"",""ลำพูน!J85"")+IMPORTRANGE(""https://docs.google.com/spreadsheets/d/1B0f2xJpZUC6Z0xXnqKlZtEPzsf6L84eP1r1Q15seqRM/edit?usp=sharing"",""สุโขทัย!J85"")+IMPORTRANGE(""https://docs.google."&amp;"com/spreadsheets/d/1v0b9pFQCsKUVExMei7AgY2yQkdeNQvtOssygGsXbiKo/edit?usp=sharing"",""อุตรดิตถ์!J85"")+IMPORTRANGE(""https://docs.google.com/spreadsheets/d/1UsNK1e-WWiCo2PvGqdNfdme4m17_Ezd3J69EeeiQPD0/edit?usp=sharing"",""อุทัยธานี!J85"")"),63)</f>
        <v>63</v>
      </c>
      <c r="K85" s="152">
        <f t="shared" ca="1" si="68"/>
        <v>13.519313304721029</v>
      </c>
      <c r="L85" s="136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jTcq05yEiRwXcBMLjiodW9e4biSGYWAHcDj22rKWQ3s/edit?usp=sharing"",""กำแพงเพชร!I86"")+IMPORTRANGE(""https://docs.google.com/spreadsheets/d/1KS0zmDSZPk8KnTAbGN-Xk6MtX1YRZD0ldgdt20K4CRk/edit?usp=sharing"","""&amp;"เชียงราย!I86"")+IMPORTRANGE(""https://docs.google.com/spreadsheets/d/1rEDxBtusbi64tE0zunoIbsTVV16HeL0oJ6trHQeQ7K8/edit?usp=sharing"",""เชียงใหม่!I86"")+IMPORTRANGE(""https://docs.google.com/spreadsheets/d/1W6MnUbDkMi6xHnHko_XkFDO9kkuL6Wqyc-6OCDFjW9I/edit?"&amp;"usp=sharing"",""ตาก!I86"")+IMPORTRANGE(""https://docs.google.com/spreadsheets/d/1IQAWArduLkta9LpYo4a_ULsyqdta6-6aDDiwpUnQT6c/edit?usp=sharing"",""นครสวรรค์!I86"")+IMPORTRANGE(""https://docs.google.com/spreadsheets/d/10s13Sk5xrltsiR-Zkbmk5DwIaDIKO8XlbJAfqy"&amp;"T7Gvg/edit?usp=sharing"",""น่าน!I86"")+IMPORTRANGE(""https://docs.google.com/spreadsheets/d/1uu4nAn4Dbi1XREnLKKotUANlKXa7yCgRcgq8HEzQYW8/edit?usp=sharing"",""พะเยา!I86"")+IMPORTRANGE(""https://docs.google.com/spreadsheets/d/1xfJKIQxVOaPDIICqsflNlLu3JacTDk"&amp;"1FP9RH4phX7mI/edit?usp=sharing"",""พิจิตร!I86"")+IMPORTRANGE(""https://docs.google.com/spreadsheets/d/1JtRfZkJMHtEhI5RdRHxYUG4FIZHqKDpNyIuN7A1Q0_k/edit?usp=sharing"",""พิษณุโลก!I86"")+IMPORTRANGE(""https://docs.google.com/spreadsheets/d/1xlcVZWUNn6SuWm0c3"&amp;"07h32SiGkd9BaeQWlAktfD3KO8/edit?usp=sharing"",""เพชรบูรณ์!I86"")+IMPORTRANGE(""https://docs.google.com/spreadsheets/d/1lOVebEIsI9qjGXl6EX66luk7wiuP2tBaryw-wKvv4e0/edit?usp=sharing"",""แพร่!I86"")+IMPORTRANGE(""https://docs.google.com/spreadsheets/d/1dQrvX"&amp;"0vEcN7Gu0fnZ0B5S90AeR19zth4XlExFBeExMY/edit?usp=sharing"",""แม่ฮ่องสอน!I86"")+IMPORTRANGE(""https://docs.google.com/spreadsheets/d/1DY4XTNNwjluuxqdfdn6qvOSlMRrZqUtmYcZR0ttFiG4/edit?usp=sharing"",""ลำปาง!I86"")+IMPORTRANGE(""https://docs.google.com/spreads"&amp;"heets/d/1ICwG78r0OFT8biBlxnBF8r7she7gNSzOvJ958PWT09c/edit?usp=sharing"",""ลำพูน!I86"")+IMPORTRANGE(""https://docs.google.com/spreadsheets/d/1B0f2xJpZUC6Z0xXnqKlZtEPzsf6L84eP1r1Q15seqRM/edit?usp=sharing"",""สุโขทัย!I86"")+IMPORTRANGE(""https://docs.google."&amp;"com/spreadsheets/d/1v0b9pFQCsKUVExMei7AgY2yQkdeNQvtOssygGsXbiKo/edit?usp=sharing"",""อุตรดิตถ์!I86"")+IMPORTRANGE(""https://docs.google.com/spreadsheets/d/1UsNK1e-WWiCo2PvGqdNfdme4m17_Ezd3J69EeeiQPD0/edit?usp=sharing"",""อุทัยธานี!I86"")"),4)</f>
        <v>4</v>
      </c>
      <c r="J86" s="151">
        <f ca="1">IFERROR(__xludf.DUMMYFUNCTION("IMPORTRANGE(""https://docs.google.com/spreadsheets/d/1jTcq05yEiRwXcBMLjiodW9e4biSGYWAHcDj22rKWQ3s/edit?usp=sharing"",""กำแพงเพชร!J86"")+IMPORTRANGE(""https://docs.google.com/spreadsheets/d/1KS0zmDSZPk8KnTAbGN-Xk6MtX1YRZD0ldgdt20K4CRk/edit?usp=sharing"","""&amp;"เชียงราย!J86"")+IMPORTRANGE(""https://docs.google.com/spreadsheets/d/1rEDxBtusbi64tE0zunoIbsTVV16HeL0oJ6trHQeQ7K8/edit?usp=sharing"",""เชียงใหม่!J86"")+IMPORTRANGE(""https://docs.google.com/spreadsheets/d/1W6MnUbDkMi6xHnHko_XkFDO9kkuL6Wqyc-6OCDFjW9I/edit?"&amp;"usp=sharing"",""ตาก!J86"")+IMPORTRANGE(""https://docs.google.com/spreadsheets/d/1IQAWArduLkta9LpYo4a_ULsyqdta6-6aDDiwpUnQT6c/edit?usp=sharing"",""นครสวรรค์!J86"")+IMPORTRANGE(""https://docs.google.com/spreadsheets/d/10s13Sk5xrltsiR-Zkbmk5DwIaDIKO8XlbJAfqy"&amp;"T7Gvg/edit?usp=sharing"",""น่าน!J86"")+IMPORTRANGE(""https://docs.google.com/spreadsheets/d/1uu4nAn4Dbi1XREnLKKotUANlKXa7yCgRcgq8HEzQYW8/edit?usp=sharing"",""พะเยา!J86"")+IMPORTRANGE(""https://docs.google.com/spreadsheets/d/1xfJKIQxVOaPDIICqsflNlLu3JacTDk"&amp;"1FP9RH4phX7mI/edit?usp=sharing"",""พิจิตร!J86"")+IMPORTRANGE(""https://docs.google.com/spreadsheets/d/1JtRfZkJMHtEhI5RdRHxYUG4FIZHqKDpNyIuN7A1Q0_k/edit?usp=sharing"",""พิษณุโลก!J86"")+IMPORTRANGE(""https://docs.google.com/spreadsheets/d/1xlcVZWUNn6SuWm0c3"&amp;"07h32SiGkd9BaeQWlAktfD3KO8/edit?usp=sharing"",""เพชรบูรณ์!J86"")+IMPORTRANGE(""https://docs.google.com/spreadsheets/d/1lOVebEIsI9qjGXl6EX66luk7wiuP2tBaryw-wKvv4e0/edit?usp=sharing"",""แพร่!J86"")+IMPORTRANGE(""https://docs.google.com/spreadsheets/d/1dQrvX"&amp;"0vEcN7Gu0fnZ0B5S90AeR19zth4XlExFBeExMY/edit?usp=sharing"",""แม่ฮ่องสอน!J86"")+IMPORTRANGE(""https://docs.google.com/spreadsheets/d/1DY4XTNNwjluuxqdfdn6qvOSlMRrZqUtmYcZR0ttFiG4/edit?usp=sharing"",""ลำปาง!J86"")+IMPORTRANGE(""https://docs.google.com/spreads"&amp;"heets/d/1ICwG78r0OFT8biBlxnBF8r7she7gNSzOvJ958PWT09c/edit?usp=sharing"",""ลำพูน!J86"")+IMPORTRANGE(""https://docs.google.com/spreadsheets/d/1B0f2xJpZUC6Z0xXnqKlZtEPzsf6L84eP1r1Q15seqRM/edit?usp=sharing"",""สุโขทัย!J86"")+IMPORTRANGE(""https://docs.google."&amp;"com/spreadsheets/d/1v0b9pFQCsKUVExMei7AgY2yQkdeNQvtOssygGsXbiKo/edit?usp=sharing"",""อุตรดิตถ์!J86"")+IMPORTRANGE(""https://docs.google.com/spreadsheets/d/1UsNK1e-WWiCo2PvGqdNfdme4m17_Ezd3J69EeeiQPD0/edit?usp=sharing"",""อุทัยธานี!J86"")"),0)</f>
        <v>0</v>
      </c>
      <c r="K86" s="152">
        <f t="shared" ca="1" si="68"/>
        <v>0</v>
      </c>
      <c r="L86" s="136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jTcq05yEiRwXcBMLjiodW9e4biSGYWAHcDj22rKWQ3s/edit?usp=sharing"",""กำแพงเพชร!I87"")+IMPORTRANGE(""https://docs.google.com/spreadsheets/d/1KS0zmDSZPk8KnTAbGN-Xk6MtX1YRZD0ldgdt20K4CRk/edit?usp=sharing"","""&amp;"เชียงราย!I87"")+IMPORTRANGE(""https://docs.google.com/spreadsheets/d/1rEDxBtusbi64tE0zunoIbsTVV16HeL0oJ6trHQeQ7K8/edit?usp=sharing"",""เชียงใหม่!I87"")+IMPORTRANGE(""https://docs.google.com/spreadsheets/d/1W6MnUbDkMi6xHnHko_XkFDO9kkuL6Wqyc-6OCDFjW9I/edit?"&amp;"usp=sharing"",""ตาก!I87"")+IMPORTRANGE(""https://docs.google.com/spreadsheets/d/1IQAWArduLkta9LpYo4a_ULsyqdta6-6aDDiwpUnQT6c/edit?usp=sharing"",""นครสวรรค์!I87"")+IMPORTRANGE(""https://docs.google.com/spreadsheets/d/10s13Sk5xrltsiR-Zkbmk5DwIaDIKO8XlbJAfqy"&amp;"T7Gvg/edit?usp=sharing"",""น่าน!I87"")+IMPORTRANGE(""https://docs.google.com/spreadsheets/d/1uu4nAn4Dbi1XREnLKKotUANlKXa7yCgRcgq8HEzQYW8/edit?usp=sharing"",""พะเยา!I87"")+IMPORTRANGE(""https://docs.google.com/spreadsheets/d/1xfJKIQxVOaPDIICqsflNlLu3JacTDk"&amp;"1FP9RH4phX7mI/edit?usp=sharing"",""พิจิตร!I87"")+IMPORTRANGE(""https://docs.google.com/spreadsheets/d/1JtRfZkJMHtEhI5RdRHxYUG4FIZHqKDpNyIuN7A1Q0_k/edit?usp=sharing"",""พิษณุโลก!I87"")+IMPORTRANGE(""https://docs.google.com/spreadsheets/d/1xlcVZWUNn6SuWm0c3"&amp;"07h32SiGkd9BaeQWlAktfD3KO8/edit?usp=sharing"",""เพชรบูรณ์!I87"")+IMPORTRANGE(""https://docs.google.com/spreadsheets/d/1lOVebEIsI9qjGXl6EX66luk7wiuP2tBaryw-wKvv4e0/edit?usp=sharing"",""แพร่!I87"")+IMPORTRANGE(""https://docs.google.com/spreadsheets/d/1dQrvX"&amp;"0vEcN7Gu0fnZ0B5S90AeR19zth4XlExFBeExMY/edit?usp=sharing"",""แม่ฮ่องสอน!I87"")+IMPORTRANGE(""https://docs.google.com/spreadsheets/d/1DY4XTNNwjluuxqdfdn6qvOSlMRrZqUtmYcZR0ttFiG4/edit?usp=sharing"",""ลำปาง!I87"")+IMPORTRANGE(""https://docs.google.com/spreads"&amp;"heets/d/1ICwG78r0OFT8biBlxnBF8r7she7gNSzOvJ958PWT09c/edit?usp=sharing"",""ลำพูน!I87"")+IMPORTRANGE(""https://docs.google.com/spreadsheets/d/1B0f2xJpZUC6Z0xXnqKlZtEPzsf6L84eP1r1Q15seqRM/edit?usp=sharing"",""สุโขทัย!I87"")+IMPORTRANGE(""https://docs.google."&amp;"com/spreadsheets/d/1v0b9pFQCsKUVExMei7AgY2yQkdeNQvtOssygGsXbiKo/edit?usp=sharing"",""อุตรดิตถ์!I87"")+IMPORTRANGE(""https://docs.google.com/spreadsheets/d/1UsNK1e-WWiCo2PvGqdNfdme4m17_Ezd3J69EeeiQPD0/edit?usp=sharing"",""อุทัยธานี!I87"")"),168)</f>
        <v>168</v>
      </c>
      <c r="J87" s="151">
        <f ca="1">IFERROR(__xludf.DUMMYFUNCTION("IMPORTRANGE(""https://docs.google.com/spreadsheets/d/1jTcq05yEiRwXcBMLjiodW9e4biSGYWAHcDj22rKWQ3s/edit?usp=sharing"",""กำแพงเพชร!J87"")+IMPORTRANGE(""https://docs.google.com/spreadsheets/d/1KS0zmDSZPk8KnTAbGN-Xk6MtX1YRZD0ldgdt20K4CRk/edit?usp=sharing"","""&amp;"เชียงราย!J87"")+IMPORTRANGE(""https://docs.google.com/spreadsheets/d/1rEDxBtusbi64tE0zunoIbsTVV16HeL0oJ6trHQeQ7K8/edit?usp=sharing"",""เชียงใหม่!J87"")+IMPORTRANGE(""https://docs.google.com/spreadsheets/d/1W6MnUbDkMi6xHnHko_XkFDO9kkuL6Wqyc-6OCDFjW9I/edit?"&amp;"usp=sharing"",""ตาก!J87"")+IMPORTRANGE(""https://docs.google.com/spreadsheets/d/1IQAWArduLkta9LpYo4a_ULsyqdta6-6aDDiwpUnQT6c/edit?usp=sharing"",""นครสวรรค์!J87"")+IMPORTRANGE(""https://docs.google.com/spreadsheets/d/10s13Sk5xrltsiR-Zkbmk5DwIaDIKO8XlbJAfqy"&amp;"T7Gvg/edit?usp=sharing"",""น่าน!J87"")+IMPORTRANGE(""https://docs.google.com/spreadsheets/d/1uu4nAn4Dbi1XREnLKKotUANlKXa7yCgRcgq8HEzQYW8/edit?usp=sharing"",""พะเยา!J87"")+IMPORTRANGE(""https://docs.google.com/spreadsheets/d/1xfJKIQxVOaPDIICqsflNlLu3JacTDk"&amp;"1FP9RH4phX7mI/edit?usp=sharing"",""พิจิตร!J87"")+IMPORTRANGE(""https://docs.google.com/spreadsheets/d/1JtRfZkJMHtEhI5RdRHxYUG4FIZHqKDpNyIuN7A1Q0_k/edit?usp=sharing"",""พิษณุโลก!J87"")+IMPORTRANGE(""https://docs.google.com/spreadsheets/d/1xlcVZWUNn6SuWm0c3"&amp;"07h32SiGkd9BaeQWlAktfD3KO8/edit?usp=sharing"",""เพชรบูรณ์!J87"")+IMPORTRANGE(""https://docs.google.com/spreadsheets/d/1lOVebEIsI9qjGXl6EX66luk7wiuP2tBaryw-wKvv4e0/edit?usp=sharing"",""แพร่!J87"")+IMPORTRANGE(""https://docs.google.com/spreadsheets/d/1dQrvX"&amp;"0vEcN7Gu0fnZ0B5S90AeR19zth4XlExFBeExMY/edit?usp=sharing"",""แม่ฮ่องสอน!J87"")+IMPORTRANGE(""https://docs.google.com/spreadsheets/d/1DY4XTNNwjluuxqdfdn6qvOSlMRrZqUtmYcZR0ttFiG4/edit?usp=sharing"",""ลำปาง!J87"")+IMPORTRANGE(""https://docs.google.com/spreads"&amp;"heets/d/1ICwG78r0OFT8biBlxnBF8r7she7gNSzOvJ958PWT09c/edit?usp=sharing"",""ลำพูน!J87"")+IMPORTRANGE(""https://docs.google.com/spreadsheets/d/1B0f2xJpZUC6Z0xXnqKlZtEPzsf6L84eP1r1Q15seqRM/edit?usp=sharing"",""สุโขทัย!J87"")+IMPORTRANGE(""https://docs.google."&amp;"com/spreadsheets/d/1v0b9pFQCsKUVExMei7AgY2yQkdeNQvtOssygGsXbiKo/edit?usp=sharing"",""อุตรดิตถ์!J87"")+IMPORTRANGE(""https://docs.google.com/spreadsheets/d/1UsNK1e-WWiCo2PvGqdNfdme4m17_Ezd3J69EeeiQPD0/edit?usp=sharing"",""อุทัยธานี!J87"")"),0)</f>
        <v>0</v>
      </c>
      <c r="K87" s="152">
        <f t="shared" ca="1" si="68"/>
        <v>0</v>
      </c>
      <c r="L87" s="136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jTcq05yEiRwXcBMLjiodW9e4biSGYWAHcDj22rKWQ3s/edit?usp=sharing"",""กำแพงเพชร!I88"")+IMPORTRANGE(""https://docs.google.com/spreadsheets/d/1KS0zmDSZPk8KnTAbGN-Xk6MtX1YRZD0ldgdt20K4CRk/edit?usp=sharing"","""&amp;"เชียงราย!I88"")+IMPORTRANGE(""https://docs.google.com/spreadsheets/d/1rEDxBtusbi64tE0zunoIbsTVV16HeL0oJ6trHQeQ7K8/edit?usp=sharing"",""เชียงใหม่!I88"")+IMPORTRANGE(""https://docs.google.com/spreadsheets/d/1W6MnUbDkMi6xHnHko_XkFDO9kkuL6Wqyc-6OCDFjW9I/edit?"&amp;"usp=sharing"",""ตาก!I88"")+IMPORTRANGE(""https://docs.google.com/spreadsheets/d/1IQAWArduLkta9LpYo4a_ULsyqdta6-6aDDiwpUnQT6c/edit?usp=sharing"",""นครสวรรค์!I88"")+IMPORTRANGE(""https://docs.google.com/spreadsheets/d/10s13Sk5xrltsiR-Zkbmk5DwIaDIKO8XlbJAfqy"&amp;"T7Gvg/edit?usp=sharing"",""น่าน!I88"")+IMPORTRANGE(""https://docs.google.com/spreadsheets/d/1uu4nAn4Dbi1XREnLKKotUANlKXa7yCgRcgq8HEzQYW8/edit?usp=sharing"",""พะเยา!I88"")+IMPORTRANGE(""https://docs.google.com/spreadsheets/d/1xfJKIQxVOaPDIICqsflNlLu3JacTDk"&amp;"1FP9RH4phX7mI/edit?usp=sharing"",""พิจิตร!I88"")+IMPORTRANGE(""https://docs.google.com/spreadsheets/d/1JtRfZkJMHtEhI5RdRHxYUG4FIZHqKDpNyIuN7A1Q0_k/edit?usp=sharing"",""พิษณุโลก!I88"")+IMPORTRANGE(""https://docs.google.com/spreadsheets/d/1xlcVZWUNn6SuWm0c3"&amp;"07h32SiGkd9BaeQWlAktfD3KO8/edit?usp=sharing"",""เพชรบูรณ์!I88"")+IMPORTRANGE(""https://docs.google.com/spreadsheets/d/1lOVebEIsI9qjGXl6EX66luk7wiuP2tBaryw-wKvv4e0/edit?usp=sharing"",""แพร่!I88"")+IMPORTRANGE(""https://docs.google.com/spreadsheets/d/1dQrvX"&amp;"0vEcN7Gu0fnZ0B5S90AeR19zth4XlExFBeExMY/edit?usp=sharing"",""แม่ฮ่องสอน!I88"")+IMPORTRANGE(""https://docs.google.com/spreadsheets/d/1DY4XTNNwjluuxqdfdn6qvOSlMRrZqUtmYcZR0ttFiG4/edit?usp=sharing"",""ลำปาง!I88"")+IMPORTRANGE(""https://docs.google.com/spreads"&amp;"heets/d/1ICwG78r0OFT8biBlxnBF8r7she7gNSzOvJ958PWT09c/edit?usp=sharing"",""ลำพูน!I88"")+IMPORTRANGE(""https://docs.google.com/spreadsheets/d/1B0f2xJpZUC6Z0xXnqKlZtEPzsf6L84eP1r1Q15seqRM/edit?usp=sharing"",""สุโขทัย!I88"")+IMPORTRANGE(""https://docs.google."&amp;"com/spreadsheets/d/1v0b9pFQCsKUVExMei7AgY2yQkdeNQvtOssygGsXbiKo/edit?usp=sharing"",""อุตรดิตถ์!I88"")+IMPORTRANGE(""https://docs.google.com/spreadsheets/d/1UsNK1e-WWiCo2PvGqdNfdme4m17_Ezd3J69EeeiQPD0/edit?usp=sharing"",""อุทัยธานี!I88"")"),4)</f>
        <v>4</v>
      </c>
      <c r="J88" s="151">
        <f ca="1">IFERROR(__xludf.DUMMYFUNCTION("IMPORTRANGE(""https://docs.google.com/spreadsheets/d/1jTcq05yEiRwXcBMLjiodW9e4biSGYWAHcDj22rKWQ3s/edit?usp=sharing"",""กำแพงเพชร!J88"")+IMPORTRANGE(""https://docs.google.com/spreadsheets/d/1KS0zmDSZPk8KnTAbGN-Xk6MtX1YRZD0ldgdt20K4CRk/edit?usp=sharing"","""&amp;"เชียงราย!J88"")+IMPORTRANGE(""https://docs.google.com/spreadsheets/d/1rEDxBtusbi64tE0zunoIbsTVV16HeL0oJ6trHQeQ7K8/edit?usp=sharing"",""เชียงใหม่!J88"")+IMPORTRANGE(""https://docs.google.com/spreadsheets/d/1W6MnUbDkMi6xHnHko_XkFDO9kkuL6Wqyc-6OCDFjW9I/edit?"&amp;"usp=sharing"",""ตาก!J88"")+IMPORTRANGE(""https://docs.google.com/spreadsheets/d/1IQAWArduLkta9LpYo4a_ULsyqdta6-6aDDiwpUnQT6c/edit?usp=sharing"",""นครสวรรค์!J88"")+IMPORTRANGE(""https://docs.google.com/spreadsheets/d/10s13Sk5xrltsiR-Zkbmk5DwIaDIKO8XlbJAfqy"&amp;"T7Gvg/edit?usp=sharing"",""น่าน!J88"")+IMPORTRANGE(""https://docs.google.com/spreadsheets/d/1uu4nAn4Dbi1XREnLKKotUANlKXa7yCgRcgq8HEzQYW8/edit?usp=sharing"",""พะเยา!J88"")+IMPORTRANGE(""https://docs.google.com/spreadsheets/d/1xfJKIQxVOaPDIICqsflNlLu3JacTDk"&amp;"1FP9RH4phX7mI/edit?usp=sharing"",""พิจิตร!J88"")+IMPORTRANGE(""https://docs.google.com/spreadsheets/d/1JtRfZkJMHtEhI5RdRHxYUG4FIZHqKDpNyIuN7A1Q0_k/edit?usp=sharing"",""พิษณุโลก!J88"")+IMPORTRANGE(""https://docs.google.com/spreadsheets/d/1xlcVZWUNn6SuWm0c3"&amp;"07h32SiGkd9BaeQWlAktfD3KO8/edit?usp=sharing"",""เพชรบูรณ์!J88"")+IMPORTRANGE(""https://docs.google.com/spreadsheets/d/1lOVebEIsI9qjGXl6EX66luk7wiuP2tBaryw-wKvv4e0/edit?usp=sharing"",""แพร่!J88"")+IMPORTRANGE(""https://docs.google.com/spreadsheets/d/1dQrvX"&amp;"0vEcN7Gu0fnZ0B5S90AeR19zth4XlExFBeExMY/edit?usp=sharing"",""แม่ฮ่องสอน!J88"")+IMPORTRANGE(""https://docs.google.com/spreadsheets/d/1DY4XTNNwjluuxqdfdn6qvOSlMRrZqUtmYcZR0ttFiG4/edit?usp=sharing"",""ลำปาง!J88"")+IMPORTRANGE(""https://docs.google.com/spreads"&amp;"heets/d/1ICwG78r0OFT8biBlxnBF8r7she7gNSzOvJ958PWT09c/edit?usp=sharing"",""ลำพูน!J88"")+IMPORTRANGE(""https://docs.google.com/spreadsheets/d/1B0f2xJpZUC6Z0xXnqKlZtEPzsf6L84eP1r1Q15seqRM/edit?usp=sharing"",""สุโขทัย!J88"")+IMPORTRANGE(""https://docs.google."&amp;"com/spreadsheets/d/1v0b9pFQCsKUVExMei7AgY2yQkdeNQvtOssygGsXbiKo/edit?usp=sharing"",""อุตรดิตถ์!J88"")+IMPORTRANGE(""https://docs.google.com/spreadsheets/d/1UsNK1e-WWiCo2PvGqdNfdme4m17_Ezd3J69EeeiQPD0/edit?usp=sharing"",""อุทัยธานี!J88"")"),3)</f>
        <v>3</v>
      </c>
      <c r="K88" s="152">
        <f t="shared" ca="1" si="68"/>
        <v>75</v>
      </c>
      <c r="L88" s="136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jTcq05yEiRwXcBMLjiodW9e4biSGYWAHcDj22rKWQ3s/edit?usp=sharing"",""กำแพงเพชร!I89"")+IMPORTRANGE(""https://docs.google.com/spreadsheets/d/1KS0zmDSZPk8KnTAbGN-Xk6MtX1YRZD0ldgdt20K4CRk/edit?usp=sharing"","""&amp;"เชียงราย!I89"")+IMPORTRANGE(""https://docs.google.com/spreadsheets/d/1rEDxBtusbi64tE0zunoIbsTVV16HeL0oJ6trHQeQ7K8/edit?usp=sharing"",""เชียงใหม่!I89"")+IMPORTRANGE(""https://docs.google.com/spreadsheets/d/1W6MnUbDkMi6xHnHko_XkFDO9kkuL6Wqyc-6OCDFjW9I/edit?"&amp;"usp=sharing"",""ตาก!I89"")+IMPORTRANGE(""https://docs.google.com/spreadsheets/d/1IQAWArduLkta9LpYo4a_ULsyqdta6-6aDDiwpUnQT6c/edit?usp=sharing"",""นครสวรรค์!I89"")+IMPORTRANGE(""https://docs.google.com/spreadsheets/d/10s13Sk5xrltsiR-Zkbmk5DwIaDIKO8XlbJAfqy"&amp;"T7Gvg/edit?usp=sharing"",""น่าน!I89"")+IMPORTRANGE(""https://docs.google.com/spreadsheets/d/1uu4nAn4Dbi1XREnLKKotUANlKXa7yCgRcgq8HEzQYW8/edit?usp=sharing"",""พะเยา!I89"")+IMPORTRANGE(""https://docs.google.com/spreadsheets/d/1xfJKIQxVOaPDIICqsflNlLu3JacTDk"&amp;"1FP9RH4phX7mI/edit?usp=sharing"",""พิจิตร!I89"")+IMPORTRANGE(""https://docs.google.com/spreadsheets/d/1JtRfZkJMHtEhI5RdRHxYUG4FIZHqKDpNyIuN7A1Q0_k/edit?usp=sharing"",""พิษณุโลก!I89"")+IMPORTRANGE(""https://docs.google.com/spreadsheets/d/1xlcVZWUNn6SuWm0c3"&amp;"07h32SiGkd9BaeQWlAktfD3KO8/edit?usp=sharing"",""เพชรบูรณ์!I89"")+IMPORTRANGE(""https://docs.google.com/spreadsheets/d/1lOVebEIsI9qjGXl6EX66luk7wiuP2tBaryw-wKvv4e0/edit?usp=sharing"",""แพร่!I89"")+IMPORTRANGE(""https://docs.google.com/spreadsheets/d/1dQrvX"&amp;"0vEcN7Gu0fnZ0B5S90AeR19zth4XlExFBeExMY/edit?usp=sharing"",""แม่ฮ่องสอน!I89"")+IMPORTRANGE(""https://docs.google.com/spreadsheets/d/1DY4XTNNwjluuxqdfdn6qvOSlMRrZqUtmYcZR0ttFiG4/edit?usp=sharing"",""ลำปาง!I89"")+IMPORTRANGE(""https://docs.google.com/spreads"&amp;"heets/d/1ICwG78r0OFT8biBlxnBF8r7she7gNSzOvJ958PWT09c/edit?usp=sharing"",""ลำพูน!I89"")+IMPORTRANGE(""https://docs.google.com/spreadsheets/d/1B0f2xJpZUC6Z0xXnqKlZtEPzsf6L84eP1r1Q15seqRM/edit?usp=sharing"",""สุโขทัย!I89"")+IMPORTRANGE(""https://docs.google."&amp;"com/spreadsheets/d/1v0b9pFQCsKUVExMei7AgY2yQkdeNQvtOssygGsXbiKo/edit?usp=sharing"",""อุตรดิตถ์!I89"")+IMPORTRANGE(""https://docs.google.com/spreadsheets/d/1UsNK1e-WWiCo2PvGqdNfdme4m17_Ezd3J69EeeiQPD0/edit?usp=sharing"",""อุทัยธานี!I89"")"),157)</f>
        <v>157</v>
      </c>
      <c r="J89" s="151">
        <f ca="1">IFERROR(__xludf.DUMMYFUNCTION("IMPORTRANGE(""https://docs.google.com/spreadsheets/d/1jTcq05yEiRwXcBMLjiodW9e4biSGYWAHcDj22rKWQ3s/edit?usp=sharing"",""กำแพงเพชร!J89"")+IMPORTRANGE(""https://docs.google.com/spreadsheets/d/1KS0zmDSZPk8KnTAbGN-Xk6MtX1YRZD0ldgdt20K4CRk/edit?usp=sharing"","""&amp;"เชียงราย!J89"")+IMPORTRANGE(""https://docs.google.com/spreadsheets/d/1rEDxBtusbi64tE0zunoIbsTVV16HeL0oJ6trHQeQ7K8/edit?usp=sharing"",""เชียงใหม่!J89"")+IMPORTRANGE(""https://docs.google.com/spreadsheets/d/1W6MnUbDkMi6xHnHko_XkFDO9kkuL6Wqyc-6OCDFjW9I/edit?"&amp;"usp=sharing"",""ตาก!J89"")+IMPORTRANGE(""https://docs.google.com/spreadsheets/d/1IQAWArduLkta9LpYo4a_ULsyqdta6-6aDDiwpUnQT6c/edit?usp=sharing"",""นครสวรรค์!J89"")+IMPORTRANGE(""https://docs.google.com/spreadsheets/d/10s13Sk5xrltsiR-Zkbmk5DwIaDIKO8XlbJAfqy"&amp;"T7Gvg/edit?usp=sharing"",""น่าน!J89"")+IMPORTRANGE(""https://docs.google.com/spreadsheets/d/1uu4nAn4Dbi1XREnLKKotUANlKXa7yCgRcgq8HEzQYW8/edit?usp=sharing"",""พะเยา!J89"")+IMPORTRANGE(""https://docs.google.com/spreadsheets/d/1xfJKIQxVOaPDIICqsflNlLu3JacTDk"&amp;"1FP9RH4phX7mI/edit?usp=sharing"",""พิจิตร!J89"")+IMPORTRANGE(""https://docs.google.com/spreadsheets/d/1JtRfZkJMHtEhI5RdRHxYUG4FIZHqKDpNyIuN7A1Q0_k/edit?usp=sharing"",""พิษณุโลก!J89"")+IMPORTRANGE(""https://docs.google.com/spreadsheets/d/1xlcVZWUNn6SuWm0c3"&amp;"07h32SiGkd9BaeQWlAktfD3KO8/edit?usp=sharing"",""เพชรบูรณ์!J89"")+IMPORTRANGE(""https://docs.google.com/spreadsheets/d/1lOVebEIsI9qjGXl6EX66luk7wiuP2tBaryw-wKvv4e0/edit?usp=sharing"",""แพร่!J89"")+IMPORTRANGE(""https://docs.google.com/spreadsheets/d/1dQrvX"&amp;"0vEcN7Gu0fnZ0B5S90AeR19zth4XlExFBeExMY/edit?usp=sharing"",""แม่ฮ่องสอน!J89"")+IMPORTRANGE(""https://docs.google.com/spreadsheets/d/1DY4XTNNwjluuxqdfdn6qvOSlMRrZqUtmYcZR0ttFiG4/edit?usp=sharing"",""ลำปาง!J89"")+IMPORTRANGE(""https://docs.google.com/spreads"&amp;"heets/d/1ICwG78r0OFT8biBlxnBF8r7she7gNSzOvJ958PWT09c/edit?usp=sharing"",""ลำพูน!J89"")+IMPORTRANGE(""https://docs.google.com/spreadsheets/d/1B0f2xJpZUC6Z0xXnqKlZtEPzsf6L84eP1r1Q15seqRM/edit?usp=sharing"",""สุโขทัย!J89"")+IMPORTRANGE(""https://docs.google."&amp;"com/spreadsheets/d/1v0b9pFQCsKUVExMei7AgY2yQkdeNQvtOssygGsXbiKo/edit?usp=sharing"",""อุตรดิตถ์!J89"")+IMPORTRANGE(""https://docs.google.com/spreadsheets/d/1UsNK1e-WWiCo2PvGqdNfdme4m17_Ezd3J69EeeiQPD0/edit?usp=sharing"",""อุทัยธานี!J89"")"),125)</f>
        <v>125</v>
      </c>
      <c r="K89" s="152">
        <f t="shared" ca="1" si="68"/>
        <v>79.617834394904463</v>
      </c>
      <c r="L89" s="136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151">
        <f ca="1">IFERROR(__xludf.DUMMYFUNCTION("IMPORTRANGE(""https://docs.google.com/spreadsheets/d/1jTcq05yEiRwXcBMLjiodW9e4biSGYWAHcDj22rKWQ3s/edit?usp=sharing"",""กำแพงเพชร!I90"")+IMPORTRANGE(""https://docs.google.com/spreadsheets/d/1KS0zmDSZPk8KnTAbGN-Xk6MtX1YRZD0ldgdt20K4CRk/edit?usp=sharing"","""&amp;"เชียงราย!I90"")+IMPORTRANGE(""https://docs.google.com/spreadsheets/d/1rEDxBtusbi64tE0zunoIbsTVV16HeL0oJ6trHQeQ7K8/edit?usp=sharing"",""เชียงใหม่!I90"")+IMPORTRANGE(""https://docs.google.com/spreadsheets/d/1W6MnUbDkMi6xHnHko_XkFDO9kkuL6Wqyc-6OCDFjW9I/edit?"&amp;"usp=sharing"",""ตาก!I90"")+IMPORTRANGE(""https://docs.google.com/spreadsheets/d/1IQAWArduLkta9LpYo4a_ULsyqdta6-6aDDiwpUnQT6c/edit?usp=sharing"",""นครสวรรค์!I90"")+IMPORTRANGE(""https://docs.google.com/spreadsheets/d/10s13Sk5xrltsiR-Zkbmk5DwIaDIKO8XlbJAfqy"&amp;"T7Gvg/edit?usp=sharing"",""น่าน!I90"")+IMPORTRANGE(""https://docs.google.com/spreadsheets/d/1uu4nAn4Dbi1XREnLKKotUANlKXa7yCgRcgq8HEzQYW8/edit?usp=sharing"",""พะเยา!I90"")+IMPORTRANGE(""https://docs.google.com/spreadsheets/d/1xfJKIQxVOaPDIICqsflNlLu3JacTDk"&amp;"1FP9RH4phX7mI/edit?usp=sharing"",""พิจิตร!I90"")+IMPORTRANGE(""https://docs.google.com/spreadsheets/d/1JtRfZkJMHtEhI5RdRHxYUG4FIZHqKDpNyIuN7A1Q0_k/edit?usp=sharing"",""พิษณุโลก!I90"")+IMPORTRANGE(""https://docs.google.com/spreadsheets/d/1xlcVZWUNn6SuWm0c3"&amp;"07h32SiGkd9BaeQWlAktfD3KO8/edit?usp=sharing"",""เพชรบูรณ์!I90"")+IMPORTRANGE(""https://docs.google.com/spreadsheets/d/1lOVebEIsI9qjGXl6EX66luk7wiuP2tBaryw-wKvv4e0/edit?usp=sharing"",""แพร่!I90"")+IMPORTRANGE(""https://docs.google.com/spreadsheets/d/1dQrvX"&amp;"0vEcN7Gu0fnZ0B5S90AeR19zth4XlExFBeExMY/edit?usp=sharing"",""แม่ฮ่องสอน!I90"")+IMPORTRANGE(""https://docs.google.com/spreadsheets/d/1DY4XTNNwjluuxqdfdn6qvOSlMRrZqUtmYcZR0ttFiG4/edit?usp=sharing"",""ลำปาง!I90"")+IMPORTRANGE(""https://docs.google.com/spreads"&amp;"heets/d/1ICwG78r0OFT8biBlxnBF8r7she7gNSzOvJ958PWT09c/edit?usp=sharing"",""ลำพูน!I90"")+IMPORTRANGE(""https://docs.google.com/spreadsheets/d/1B0f2xJpZUC6Z0xXnqKlZtEPzsf6L84eP1r1Q15seqRM/edit?usp=sharing"",""สุโขทัย!I90"")+IMPORTRANGE(""https://docs.google."&amp;"com/spreadsheets/d/1v0b9pFQCsKUVExMei7AgY2yQkdeNQvtOssygGsXbiKo/edit?usp=sharing"",""อุตรดิตถ์!I90"")+IMPORTRANGE(""https://docs.google.com/spreadsheets/d/1UsNK1e-WWiCo2PvGqdNfdme4m17_Ezd3J69EeeiQPD0/edit?usp=sharing"",""อุทัยธานี!I90"")"),16)</f>
        <v>16</v>
      </c>
      <c r="J90" s="151">
        <f ca="1">IFERROR(__xludf.DUMMYFUNCTION("IMPORTRANGE(""https://docs.google.com/spreadsheets/d/1jTcq05yEiRwXcBMLjiodW9e4biSGYWAHcDj22rKWQ3s/edit?usp=sharing"",""กำแพงเพชร!J90"")+IMPORTRANGE(""https://docs.google.com/spreadsheets/d/1KS0zmDSZPk8KnTAbGN-Xk6MtX1YRZD0ldgdt20K4CRk/edit?usp=sharing"","""&amp;"เชียงราย!J90"")+IMPORTRANGE(""https://docs.google.com/spreadsheets/d/1rEDxBtusbi64tE0zunoIbsTVV16HeL0oJ6trHQeQ7K8/edit?usp=sharing"",""เชียงใหม่!J90"")+IMPORTRANGE(""https://docs.google.com/spreadsheets/d/1W6MnUbDkMi6xHnHko_XkFDO9kkuL6Wqyc-6OCDFjW9I/edit?"&amp;"usp=sharing"",""ตาก!J90"")+IMPORTRANGE(""https://docs.google.com/spreadsheets/d/1IQAWArduLkta9LpYo4a_ULsyqdta6-6aDDiwpUnQT6c/edit?usp=sharing"",""นครสวรรค์!J90"")+IMPORTRANGE(""https://docs.google.com/spreadsheets/d/10s13Sk5xrltsiR-Zkbmk5DwIaDIKO8XlbJAfqy"&amp;"T7Gvg/edit?usp=sharing"",""น่าน!J90"")+IMPORTRANGE(""https://docs.google.com/spreadsheets/d/1uu4nAn4Dbi1XREnLKKotUANlKXa7yCgRcgq8HEzQYW8/edit?usp=sharing"",""พะเยา!J90"")+IMPORTRANGE(""https://docs.google.com/spreadsheets/d/1xfJKIQxVOaPDIICqsflNlLu3JacTDk"&amp;"1FP9RH4phX7mI/edit?usp=sharing"",""พิจิตร!J90"")+IMPORTRANGE(""https://docs.google.com/spreadsheets/d/1JtRfZkJMHtEhI5RdRHxYUG4FIZHqKDpNyIuN7A1Q0_k/edit?usp=sharing"",""พิษณุโลก!J90"")+IMPORTRANGE(""https://docs.google.com/spreadsheets/d/1xlcVZWUNn6SuWm0c3"&amp;"07h32SiGkd9BaeQWlAktfD3KO8/edit?usp=sharing"",""เพชรบูรณ์!J90"")+IMPORTRANGE(""https://docs.google.com/spreadsheets/d/1lOVebEIsI9qjGXl6EX66luk7wiuP2tBaryw-wKvv4e0/edit?usp=sharing"",""แพร่!J90"")+IMPORTRANGE(""https://docs.google.com/spreadsheets/d/1dQrvX"&amp;"0vEcN7Gu0fnZ0B5S90AeR19zth4XlExFBeExMY/edit?usp=sharing"",""แม่ฮ่องสอน!J90"")+IMPORTRANGE(""https://docs.google.com/spreadsheets/d/1DY4XTNNwjluuxqdfdn6qvOSlMRrZqUtmYcZR0ttFiG4/edit?usp=sharing"",""ลำปาง!J90"")+IMPORTRANGE(""https://docs.google.com/spreads"&amp;"heets/d/1ICwG78r0OFT8biBlxnBF8r7she7gNSzOvJ958PWT09c/edit?usp=sharing"",""ลำพูน!J90"")+IMPORTRANGE(""https://docs.google.com/spreadsheets/d/1B0f2xJpZUC6Z0xXnqKlZtEPzsf6L84eP1r1Q15seqRM/edit?usp=sharing"",""สุโขทัย!J90"")+IMPORTRANGE(""https://docs.google."&amp;"com/spreadsheets/d/1v0b9pFQCsKUVExMei7AgY2yQkdeNQvtOssygGsXbiKo/edit?usp=sharing"",""อุตรดิตถ์!J90"")+IMPORTRANGE(""https://docs.google.com/spreadsheets/d/1UsNK1e-WWiCo2PvGqdNfdme4m17_Ezd3J69EeeiQPD0/edit?usp=sharing"",""อุทัยธานี!J90"")"),3)</f>
        <v>3</v>
      </c>
      <c r="K90" s="152">
        <f t="shared" ca="1" si="68"/>
        <v>18.75</v>
      </c>
      <c r="L90" s="136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54"/>
      <c r="I91" s="122"/>
      <c r="J91" s="122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55" t="s">
        <v>46</v>
      </c>
      <c r="I92" s="127">
        <f t="shared" ref="I92:J92" ca="1" si="70">I108</f>
        <v>390</v>
      </c>
      <c r="J92" s="127">
        <f t="shared" ca="1" si="70"/>
        <v>60</v>
      </c>
      <c r="K92" s="34">
        <f t="shared" ref="K92:K93" ca="1" si="71">IF(I92&gt;0,J92*100/I92,0)</f>
        <v>15.384615384615385</v>
      </c>
      <c r="L92" s="33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55" t="s">
        <v>35</v>
      </c>
      <c r="I93" s="127">
        <f t="shared" ref="I93:J93" ca="1" si="72">I109</f>
        <v>130</v>
      </c>
      <c r="J93" s="127">
        <f t="shared" ca="1" si="72"/>
        <v>40</v>
      </c>
      <c r="K93" s="34">
        <f t="shared" ca="1" si="71"/>
        <v>30.76923076923077</v>
      </c>
      <c r="L93" s="33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129" t="s">
        <v>18</v>
      </c>
      <c r="D94" s="130" t="s">
        <v>19</v>
      </c>
      <c r="E94" s="40"/>
      <c r="F94" s="40"/>
      <c r="G94" s="42"/>
      <c r="H94" s="131" t="s">
        <v>14</v>
      </c>
      <c r="I94" s="44"/>
      <c r="J94" s="44"/>
      <c r="K94" s="45"/>
      <c r="L94" s="132">
        <f t="shared" ref="L94:N94" ca="1" si="73">L95+L96</f>
        <v>136300</v>
      </c>
      <c r="M94" s="132">
        <f t="shared" ca="1" si="73"/>
        <v>217000</v>
      </c>
      <c r="N94" s="132">
        <f t="shared" ca="1" si="73"/>
        <v>96117.9</v>
      </c>
      <c r="O94" s="132">
        <f t="shared" ref="O94:O102" ca="1" si="74">IF(L94&gt;0,N94*100/L94,0)</f>
        <v>70.519369038884818</v>
      </c>
      <c r="P94" s="132">
        <f t="shared" ref="P94:P102" ca="1" si="75">IF(M94&gt;0,N94*100/M94,0)</f>
        <v>44.293963133640553</v>
      </c>
      <c r="Q94" s="132">
        <f t="shared" ref="Q94:S94" ca="1" si="76">Q95+Q96</f>
        <v>942780</v>
      </c>
      <c r="R94" s="132">
        <f t="shared" ca="1" si="76"/>
        <v>942780</v>
      </c>
      <c r="S94" s="132">
        <f t="shared" ca="1" si="76"/>
        <v>163095</v>
      </c>
      <c r="T94" s="132">
        <f t="shared" ref="T94:T102" ca="1" si="77">IF(Q94&gt;0,S94*100/Q94,0)</f>
        <v>17.299369948450327</v>
      </c>
      <c r="U94" s="132">
        <f t="shared" ref="U94:U102" ca="1" si="78">IF(R94&gt;0,S94*100/R94,0)</f>
        <v>17.299369948450327</v>
      </c>
    </row>
    <row r="95" spans="1:21" ht="18.75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48">
        <f t="shared" ref="L95:N95" ca="1" si="79">L98+L101</f>
        <v>0</v>
      </c>
      <c r="M95" s="48">
        <f t="shared" ca="1" si="79"/>
        <v>0</v>
      </c>
      <c r="N95" s="48">
        <f t="shared" ca="1" si="79"/>
        <v>0</v>
      </c>
      <c r="O95" s="48">
        <f t="shared" ca="1" si="74"/>
        <v>0</v>
      </c>
      <c r="P95" s="48">
        <f t="shared" ca="1" si="75"/>
        <v>0</v>
      </c>
      <c r="Q95" s="48">
        <f t="shared" ref="Q95:S95" ca="1" si="80">Q98+Q101</f>
        <v>0</v>
      </c>
      <c r="R95" s="48">
        <f t="shared" ca="1" si="80"/>
        <v>0</v>
      </c>
      <c r="S95" s="48">
        <f t="shared" ca="1" si="80"/>
        <v>0</v>
      </c>
      <c r="T95" s="48">
        <f t="shared" ca="1" si="77"/>
        <v>0</v>
      </c>
      <c r="U95" s="48">
        <f t="shared" ca="1" si="78"/>
        <v>0</v>
      </c>
    </row>
    <row r="96" spans="1:21" ht="18.75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46">
        <f t="shared" ref="L96:N96" ca="1" si="81">L99+L102</f>
        <v>136300</v>
      </c>
      <c r="M96" s="46">
        <f t="shared" ca="1" si="81"/>
        <v>217000</v>
      </c>
      <c r="N96" s="46">
        <f t="shared" ca="1" si="81"/>
        <v>96117.9</v>
      </c>
      <c r="O96" s="46">
        <f t="shared" ca="1" si="74"/>
        <v>70.519369038884818</v>
      </c>
      <c r="P96" s="46">
        <f t="shared" ca="1" si="75"/>
        <v>44.293963133640553</v>
      </c>
      <c r="Q96" s="46">
        <f t="shared" ref="Q96:S96" ca="1" si="82">Q99+Q102</f>
        <v>942780</v>
      </c>
      <c r="R96" s="46">
        <f t="shared" ca="1" si="82"/>
        <v>942780</v>
      </c>
      <c r="S96" s="46">
        <f t="shared" ca="1" si="82"/>
        <v>163095</v>
      </c>
      <c r="T96" s="46">
        <f t="shared" ca="1" si="77"/>
        <v>17.299369948450327</v>
      </c>
      <c r="U96" s="46">
        <f t="shared" ca="1" si="78"/>
        <v>17.299369948450327</v>
      </c>
    </row>
    <row r="97" spans="1:21" ht="18.75" x14ac:dyDescent="0.25">
      <c r="A97" s="128"/>
      <c r="B97" s="158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46">
        <f t="shared" ref="L97:N97" ca="1" si="83">L98+L99</f>
        <v>136300</v>
      </c>
      <c r="M97" s="46">
        <f t="shared" ca="1" si="83"/>
        <v>217000</v>
      </c>
      <c r="N97" s="46">
        <f t="shared" ca="1" si="83"/>
        <v>96117.9</v>
      </c>
      <c r="O97" s="46">
        <f t="shared" ca="1" si="74"/>
        <v>70.519369038884818</v>
      </c>
      <c r="P97" s="46">
        <f t="shared" ca="1" si="75"/>
        <v>44.293963133640553</v>
      </c>
      <c r="Q97" s="46">
        <f t="shared" ref="Q97:S97" ca="1" si="84">Q98+Q99</f>
        <v>942780</v>
      </c>
      <c r="R97" s="46">
        <f t="shared" ca="1" si="84"/>
        <v>942780</v>
      </c>
      <c r="S97" s="46">
        <f t="shared" ca="1" si="84"/>
        <v>163095</v>
      </c>
      <c r="T97" s="46">
        <f t="shared" ca="1" si="77"/>
        <v>17.299369948450327</v>
      </c>
      <c r="U97" s="46">
        <f t="shared" ca="1" si="78"/>
        <v>17.299369948450327</v>
      </c>
    </row>
    <row r="98" spans="1:21" ht="18.75" x14ac:dyDescent="0.25">
      <c r="A98" s="128"/>
      <c r="B98" s="158"/>
      <c r="C98" s="158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48">
        <f ca="1">IFERROR(__xludf.DUMMYFUNCTION("IMPORTRANGE(""https://docs.google.com/spreadsheets/d/1jTcq05yEiRwXcBMLjiodW9e4biSGYWAHcDj22rKWQ3s/edit?usp=sharing"",""กำแพงเพชร!L98"")+IMPORTRANGE(""https://docs.google.com/spreadsheets/d/1KS0zmDSZPk8KnTAbGN-Xk6MtX1YRZD0ldgdt20K4CRk/edit?usp=sharing"","""&amp;"เชียงราย!L98"")+IMPORTRANGE(""https://docs.google.com/spreadsheets/d/1rEDxBtusbi64tE0zunoIbsTVV16HeL0oJ6trHQeQ7K8/edit?usp=sharing"",""เชียงใหม่!L98"")+IMPORTRANGE(""https://docs.google.com/spreadsheets/d/1W6MnUbDkMi6xHnHko_XkFDO9kkuL6Wqyc-6OCDFjW9I/edit?"&amp;"usp=sharing"",""ตาก!L98"")+IMPORTRANGE(""https://docs.google.com/spreadsheets/d/1IQAWArduLkta9LpYo4a_ULsyqdta6-6aDDiwpUnQT6c/edit?usp=sharing"",""นครสวรรค์!L98"")+IMPORTRANGE(""https://docs.google.com/spreadsheets/d/10s13Sk5xrltsiR-Zkbmk5DwIaDIKO8XlbJAfqy"&amp;"T7Gvg/edit?usp=sharing"",""น่าน!L98"")+IMPORTRANGE(""https://docs.google.com/spreadsheets/d/1uu4nAn4Dbi1XREnLKKotUANlKXa7yCgRcgq8HEzQYW8/edit?usp=sharing"",""พะเยา!L98"")+IMPORTRANGE(""https://docs.google.com/spreadsheets/d/1xfJKIQxVOaPDIICqsflNlLu3JacTDk"&amp;"1FP9RH4phX7mI/edit?usp=sharing"",""พิจิตร!L98"")+IMPORTRANGE(""https://docs.google.com/spreadsheets/d/1JtRfZkJMHtEhI5RdRHxYUG4FIZHqKDpNyIuN7A1Q0_k/edit?usp=sharing"",""พิษณุโลก!L98"")+IMPORTRANGE(""https://docs.google.com/spreadsheets/d/1xlcVZWUNn6SuWm0c3"&amp;"07h32SiGkd9BaeQWlAktfD3KO8/edit?usp=sharing"",""เพชรบูรณ์!L98"")+IMPORTRANGE(""https://docs.google.com/spreadsheets/d/1lOVebEIsI9qjGXl6EX66luk7wiuP2tBaryw-wKvv4e0/edit?usp=sharing"",""แพร่!L98"")+IMPORTRANGE(""https://docs.google.com/spreadsheets/d/1dQrvX"&amp;"0vEcN7Gu0fnZ0B5S90AeR19zth4XlExFBeExMY/edit?usp=sharing"",""แม่ฮ่องสอน!L98"")+IMPORTRANGE(""https://docs.google.com/spreadsheets/d/1DY4XTNNwjluuxqdfdn6qvOSlMRrZqUtmYcZR0ttFiG4/edit?usp=sharing"",""ลำปาง!L98"")+IMPORTRANGE(""https://docs.google.com/spreads"&amp;"heets/d/1ICwG78r0OFT8biBlxnBF8r7she7gNSzOvJ958PWT09c/edit?usp=sharing"",""ลำพูน!L98"")+IMPORTRANGE(""https://docs.google.com/spreadsheets/d/1B0f2xJpZUC6Z0xXnqKlZtEPzsf6L84eP1r1Q15seqRM/edit?usp=sharing"",""สุโขทัย!L98"")+IMPORTRANGE(""https://docs.google."&amp;"com/spreadsheets/d/1v0b9pFQCsKUVExMei7AgY2yQkdeNQvtOssygGsXbiKo/edit?usp=sharing"",""อุตรดิตถ์!L98"")+IMPORTRANGE(""https://docs.google.com/spreadsheets/d/1UsNK1e-WWiCo2PvGqdNfdme4m17_Ezd3J69EeeiQPD0/edit?usp=sharing"",""อุทัยธานี!L98"")"),0)</f>
        <v>0</v>
      </c>
      <c r="M98" s="48">
        <f ca="1">IFERROR(__xludf.DUMMYFUNCTION("IMPORTRANGE(""https://docs.google.com/spreadsheets/d/1jTcq05yEiRwXcBMLjiodW9e4biSGYWAHcDj22rKWQ3s/edit?usp=sharing"",""กำแพงเพชร!M98"")+IMPORTRANGE(""https://docs.google.com/spreadsheets/d/1KS0zmDSZPk8KnTAbGN-Xk6MtX1YRZD0ldgdt20K4CRk/edit?usp=sharing"","""&amp;"เชียงราย!M98"")+IMPORTRANGE(""https://docs.google.com/spreadsheets/d/1rEDxBtusbi64tE0zunoIbsTVV16HeL0oJ6trHQeQ7K8/edit?usp=sharing"",""เชียงใหม่!M98"")+IMPORTRANGE(""https://docs.google.com/spreadsheets/d/1W6MnUbDkMi6xHnHko_XkFDO9kkuL6Wqyc-6OCDFjW9I/edit?"&amp;"usp=sharing"",""ตาก!M98"")+IMPORTRANGE(""https://docs.google.com/spreadsheets/d/1IQAWArduLkta9LpYo4a_ULsyqdta6-6aDDiwpUnQT6c/edit?usp=sharing"",""นครสวรรค์!M98"")+IMPORTRANGE(""https://docs.google.com/spreadsheets/d/10s13Sk5xrltsiR-Zkbmk5DwIaDIKO8XlbJAfqy"&amp;"T7Gvg/edit?usp=sharing"",""น่าน!M98"")+IMPORTRANGE(""https://docs.google.com/spreadsheets/d/1uu4nAn4Dbi1XREnLKKotUANlKXa7yCgRcgq8HEzQYW8/edit?usp=sharing"",""พะเยา!M98"")+IMPORTRANGE(""https://docs.google.com/spreadsheets/d/1xfJKIQxVOaPDIICqsflNlLu3JacTDk"&amp;"1FP9RH4phX7mI/edit?usp=sharing"",""พิจิตร!M98"")+IMPORTRANGE(""https://docs.google.com/spreadsheets/d/1JtRfZkJMHtEhI5RdRHxYUG4FIZHqKDpNyIuN7A1Q0_k/edit?usp=sharing"",""พิษณุโลก!M98"")+IMPORTRANGE(""https://docs.google.com/spreadsheets/d/1xlcVZWUNn6SuWm0c3"&amp;"07h32SiGkd9BaeQWlAktfD3KO8/edit?usp=sharing"",""เพชรบูรณ์!M98"")+IMPORTRANGE(""https://docs.google.com/spreadsheets/d/1lOVebEIsI9qjGXl6EX66luk7wiuP2tBaryw-wKvv4e0/edit?usp=sharing"",""แพร่!M98"")+IMPORTRANGE(""https://docs.google.com/spreadsheets/d/1dQrvX"&amp;"0vEcN7Gu0fnZ0B5S90AeR19zth4XlExFBeExMY/edit?usp=sharing"",""แม่ฮ่องสอน!M98"")+IMPORTRANGE(""https://docs.google.com/spreadsheets/d/1DY4XTNNwjluuxqdfdn6qvOSlMRrZqUtmYcZR0ttFiG4/edit?usp=sharing"",""ลำปาง!M98"")+IMPORTRANGE(""https://docs.google.com/spreads"&amp;"heets/d/1ICwG78r0OFT8biBlxnBF8r7she7gNSzOvJ958PWT09c/edit?usp=sharing"",""ลำพูน!M98"")+IMPORTRANGE(""https://docs.google.com/spreadsheets/d/1B0f2xJpZUC6Z0xXnqKlZtEPzsf6L84eP1r1Q15seqRM/edit?usp=sharing"",""สุโขทัย!M98"")+IMPORTRANGE(""https://docs.google."&amp;"com/spreadsheets/d/1v0b9pFQCsKUVExMei7AgY2yQkdeNQvtOssygGsXbiKo/edit?usp=sharing"",""อุตรดิตถ์!M98"")+IMPORTRANGE(""https://docs.google.com/spreadsheets/d/1UsNK1e-WWiCo2PvGqdNfdme4m17_Ezd3J69EeeiQPD0/edit?usp=sharing"",""อุทัยธานี!M98"")"),0)</f>
        <v>0</v>
      </c>
      <c r="N98" s="48">
        <f ca="1">IFERROR(__xludf.DUMMYFUNCTION("IMPORTRANGE(""https://docs.google.com/spreadsheets/d/1jTcq05yEiRwXcBMLjiodW9e4biSGYWAHcDj22rKWQ3s/edit?usp=sharing"",""กำแพงเพชร!N98"")+IMPORTRANGE(""https://docs.google.com/spreadsheets/d/1KS0zmDSZPk8KnTAbGN-Xk6MtX1YRZD0ldgdt20K4CRk/edit?usp=sharing"","""&amp;"เชียงราย!N98"")+IMPORTRANGE(""https://docs.google.com/spreadsheets/d/1rEDxBtusbi64tE0zunoIbsTVV16HeL0oJ6trHQeQ7K8/edit?usp=sharing"",""เชียงใหม่!N98"")+IMPORTRANGE(""https://docs.google.com/spreadsheets/d/1W6MnUbDkMi6xHnHko_XkFDO9kkuL6Wqyc-6OCDFjW9I/edit?"&amp;"usp=sharing"",""ตาก!N98"")+IMPORTRANGE(""https://docs.google.com/spreadsheets/d/1IQAWArduLkta9LpYo4a_ULsyqdta6-6aDDiwpUnQT6c/edit?usp=sharing"",""นครสวรรค์!N98"")+IMPORTRANGE(""https://docs.google.com/spreadsheets/d/10s13Sk5xrltsiR-Zkbmk5DwIaDIKO8XlbJAfqy"&amp;"T7Gvg/edit?usp=sharing"",""น่าน!N98"")+IMPORTRANGE(""https://docs.google.com/spreadsheets/d/1uu4nAn4Dbi1XREnLKKotUANlKXa7yCgRcgq8HEzQYW8/edit?usp=sharing"",""พะเยา!N98"")+IMPORTRANGE(""https://docs.google.com/spreadsheets/d/1xfJKIQxVOaPDIICqsflNlLu3JacTDk"&amp;"1FP9RH4phX7mI/edit?usp=sharing"",""พิจิตร!N98"")+IMPORTRANGE(""https://docs.google.com/spreadsheets/d/1JtRfZkJMHtEhI5RdRHxYUG4FIZHqKDpNyIuN7A1Q0_k/edit?usp=sharing"",""พิษณุโลก!N98"")+IMPORTRANGE(""https://docs.google.com/spreadsheets/d/1xlcVZWUNn6SuWm0c3"&amp;"07h32SiGkd9BaeQWlAktfD3KO8/edit?usp=sharing"",""เพชรบูรณ์!N98"")+IMPORTRANGE(""https://docs.google.com/spreadsheets/d/1lOVebEIsI9qjGXl6EX66luk7wiuP2tBaryw-wKvv4e0/edit?usp=sharing"",""แพร่!N98"")+IMPORTRANGE(""https://docs.google.com/spreadsheets/d/1dQrvX"&amp;"0vEcN7Gu0fnZ0B5S90AeR19zth4XlExFBeExMY/edit?usp=sharing"",""แม่ฮ่องสอน!N98"")+IMPORTRANGE(""https://docs.google.com/spreadsheets/d/1DY4XTNNwjluuxqdfdn6qvOSlMRrZqUtmYcZR0ttFiG4/edit?usp=sharing"",""ลำปาง!N98"")+IMPORTRANGE(""https://docs.google.com/spreads"&amp;"heets/d/1ICwG78r0OFT8biBlxnBF8r7she7gNSzOvJ958PWT09c/edit?usp=sharing"",""ลำพูน!N98"")+IMPORTRANGE(""https://docs.google.com/spreadsheets/d/1B0f2xJpZUC6Z0xXnqKlZtEPzsf6L84eP1r1Q15seqRM/edit?usp=sharing"",""สุโขทัย!N98"")+IMPORTRANGE(""https://docs.google."&amp;"com/spreadsheets/d/1v0b9pFQCsKUVExMei7AgY2yQkdeNQvtOssygGsXbiKo/edit?usp=sharing"",""อุตรดิตถ์!N98"")+IMPORTRANGE(""https://docs.google.com/spreadsheets/d/1UsNK1e-WWiCo2PvGqdNfdme4m17_Ezd3J69EeeiQPD0/edit?usp=sharing"",""อุทัยธานี!N98"")"),0)</f>
        <v>0</v>
      </c>
      <c r="O98" s="48">
        <f t="shared" ca="1" si="74"/>
        <v>0</v>
      </c>
      <c r="P98" s="48">
        <f t="shared" ca="1" si="75"/>
        <v>0</v>
      </c>
      <c r="Q98" s="48">
        <f ca="1">IFERROR(__xludf.DUMMYFUNCTION("IMPORTRANGE(""https://docs.google.com/spreadsheets/d/1jTcq05yEiRwXcBMLjiodW9e4biSGYWAHcDj22rKWQ3s/edit?usp=sharing"",""กำแพงเพชร!Q98"")+IMPORTRANGE(""https://docs.google.com/spreadsheets/d/1KS0zmDSZPk8KnTAbGN-Xk6MtX1YRZD0ldgdt20K4CRk/edit?usp=sharing"","""&amp;"เชียงราย!Q98"")+IMPORTRANGE(""https://docs.google.com/spreadsheets/d/1rEDxBtusbi64tE0zunoIbsTVV16HeL0oJ6trHQeQ7K8/edit?usp=sharing"",""เชียงใหม่!Q98"")+IMPORTRANGE(""https://docs.google.com/spreadsheets/d/1W6MnUbDkMi6xHnHko_XkFDO9kkuL6Wqyc-6OCDFjW9I/edit?"&amp;"usp=sharing"",""ตาก!Q98"")+IMPORTRANGE(""https://docs.google.com/spreadsheets/d/1IQAWArduLkta9LpYo4a_ULsyqdta6-6aDDiwpUnQT6c/edit?usp=sharing"",""นครสวรรค์!Q98"")+IMPORTRANGE(""https://docs.google.com/spreadsheets/d/10s13Sk5xrltsiR-Zkbmk5DwIaDIKO8XlbJAfqy"&amp;"T7Gvg/edit?usp=sharing"",""น่าน!Q98"")+IMPORTRANGE(""https://docs.google.com/spreadsheets/d/1uu4nAn4Dbi1XREnLKKotUANlKXa7yCgRcgq8HEzQYW8/edit?usp=sharing"",""พะเยา!Q98"")+IMPORTRANGE(""https://docs.google.com/spreadsheets/d/1xfJKIQxVOaPDIICqsflNlLu3JacTDk"&amp;"1FP9RH4phX7mI/edit?usp=sharing"",""พิจิตร!Q98"")+IMPORTRANGE(""https://docs.google.com/spreadsheets/d/1JtRfZkJMHtEhI5RdRHxYUG4FIZHqKDpNyIuN7A1Q0_k/edit?usp=sharing"",""พิษณุโลก!Q98"")+IMPORTRANGE(""https://docs.google.com/spreadsheets/d/1xlcVZWUNn6SuWm0c3"&amp;"07h32SiGkd9BaeQWlAktfD3KO8/edit?usp=sharing"",""เพชรบูรณ์!Q98"")+IMPORTRANGE(""https://docs.google.com/spreadsheets/d/1lOVebEIsI9qjGXl6EX66luk7wiuP2tBaryw-wKvv4e0/edit?usp=sharing"",""แพร่!Q98"")+IMPORTRANGE(""https://docs.google.com/spreadsheets/d/1dQrvX"&amp;"0vEcN7Gu0fnZ0B5S90AeR19zth4XlExFBeExMY/edit?usp=sharing"",""แม่ฮ่องสอน!Q98"")+IMPORTRANGE(""https://docs.google.com/spreadsheets/d/1DY4XTNNwjluuxqdfdn6qvOSlMRrZqUtmYcZR0ttFiG4/edit?usp=sharing"",""ลำปาง!Q98"")+IMPORTRANGE(""https://docs.google.com/spreads"&amp;"heets/d/1ICwG78r0OFT8biBlxnBF8r7she7gNSzOvJ958PWT09c/edit?usp=sharing"",""ลำพูน!Q98"")+IMPORTRANGE(""https://docs.google.com/spreadsheets/d/1B0f2xJpZUC6Z0xXnqKlZtEPzsf6L84eP1r1Q15seqRM/edit?usp=sharing"",""สุโขทัย!Q98"")+IMPORTRANGE(""https://docs.google."&amp;"com/spreadsheets/d/1v0b9pFQCsKUVExMei7AgY2yQkdeNQvtOssygGsXbiKo/edit?usp=sharing"",""อุตรดิตถ์!Q98"")+IMPORTRANGE(""https://docs.google.com/spreadsheets/d/1UsNK1e-WWiCo2PvGqdNfdme4m17_Ezd3J69EeeiQPD0/edit?usp=sharing"",""อุทัยธานี!Q98"")"),0)</f>
        <v>0</v>
      </c>
      <c r="R98" s="48">
        <f ca="1">IFERROR(__xludf.DUMMYFUNCTION("IMPORTRANGE(""https://docs.google.com/spreadsheets/d/1jTcq05yEiRwXcBMLjiodW9e4biSGYWAHcDj22rKWQ3s/edit?usp=sharing"",""กำแพงเพชร!R98"")+IMPORTRANGE(""https://docs.google.com/spreadsheets/d/1KS0zmDSZPk8KnTAbGN-Xk6MtX1YRZD0ldgdt20K4CRk/edit?usp=sharing"","""&amp;"เชียงราย!R98"")+IMPORTRANGE(""https://docs.google.com/spreadsheets/d/1rEDxBtusbi64tE0zunoIbsTVV16HeL0oJ6trHQeQ7K8/edit?usp=sharing"",""เชียงใหม่!R98"")+IMPORTRANGE(""https://docs.google.com/spreadsheets/d/1W6MnUbDkMi6xHnHko_XkFDO9kkuL6Wqyc-6OCDFjW9I/edit?"&amp;"usp=sharing"",""ตาก!R98"")+IMPORTRANGE(""https://docs.google.com/spreadsheets/d/1IQAWArduLkta9LpYo4a_ULsyqdta6-6aDDiwpUnQT6c/edit?usp=sharing"",""นครสวรรค์!R98"")+IMPORTRANGE(""https://docs.google.com/spreadsheets/d/10s13Sk5xrltsiR-Zkbmk5DwIaDIKO8XlbJAfqy"&amp;"T7Gvg/edit?usp=sharing"",""น่าน!R98"")+IMPORTRANGE(""https://docs.google.com/spreadsheets/d/1uu4nAn4Dbi1XREnLKKotUANlKXa7yCgRcgq8HEzQYW8/edit?usp=sharing"",""พะเยา!R98"")+IMPORTRANGE(""https://docs.google.com/spreadsheets/d/1xfJKIQxVOaPDIICqsflNlLu3JacTDk"&amp;"1FP9RH4phX7mI/edit?usp=sharing"",""พิจิตร!R98"")+IMPORTRANGE(""https://docs.google.com/spreadsheets/d/1JtRfZkJMHtEhI5RdRHxYUG4FIZHqKDpNyIuN7A1Q0_k/edit?usp=sharing"",""พิษณุโลก!R98"")+IMPORTRANGE(""https://docs.google.com/spreadsheets/d/1xlcVZWUNn6SuWm0c3"&amp;"07h32SiGkd9BaeQWlAktfD3KO8/edit?usp=sharing"",""เพชรบูรณ์!R98"")+IMPORTRANGE(""https://docs.google.com/spreadsheets/d/1lOVebEIsI9qjGXl6EX66luk7wiuP2tBaryw-wKvv4e0/edit?usp=sharing"",""แพร่!R98"")+IMPORTRANGE(""https://docs.google.com/spreadsheets/d/1dQrvX"&amp;"0vEcN7Gu0fnZ0B5S90AeR19zth4XlExFBeExMY/edit?usp=sharing"",""แม่ฮ่องสอน!R98"")+IMPORTRANGE(""https://docs.google.com/spreadsheets/d/1DY4XTNNwjluuxqdfdn6qvOSlMRrZqUtmYcZR0ttFiG4/edit?usp=sharing"",""ลำปาง!R98"")+IMPORTRANGE(""https://docs.google.com/spreads"&amp;"heets/d/1ICwG78r0OFT8biBlxnBF8r7she7gNSzOvJ958PWT09c/edit?usp=sharing"",""ลำพูน!R98"")+IMPORTRANGE(""https://docs.google.com/spreadsheets/d/1B0f2xJpZUC6Z0xXnqKlZtEPzsf6L84eP1r1Q15seqRM/edit?usp=sharing"",""สุโขทัย!R98"")+IMPORTRANGE(""https://docs.google."&amp;"com/spreadsheets/d/1v0b9pFQCsKUVExMei7AgY2yQkdeNQvtOssygGsXbiKo/edit?usp=sharing"",""อุตรดิตถ์!R98"")+IMPORTRANGE(""https://docs.google.com/spreadsheets/d/1UsNK1e-WWiCo2PvGqdNfdme4m17_Ezd3J69EeeiQPD0/edit?usp=sharing"",""อุทัยธานี!R98"")"),0)</f>
        <v>0</v>
      </c>
      <c r="S98" s="48">
        <f ca="1">IFERROR(__xludf.DUMMYFUNCTION("IMPORTRANGE(""https://docs.google.com/spreadsheets/d/1jTcq05yEiRwXcBMLjiodW9e4biSGYWAHcDj22rKWQ3s/edit?usp=sharing"",""กำแพงเพชร!S98"")+IMPORTRANGE(""https://docs.google.com/spreadsheets/d/1KS0zmDSZPk8KnTAbGN-Xk6MtX1YRZD0ldgdt20K4CRk/edit?usp=sharing"","""&amp;"เชียงราย!S98"")+IMPORTRANGE(""https://docs.google.com/spreadsheets/d/1rEDxBtusbi64tE0zunoIbsTVV16HeL0oJ6trHQeQ7K8/edit?usp=sharing"",""เชียงใหม่!S98"")+IMPORTRANGE(""https://docs.google.com/spreadsheets/d/1W6MnUbDkMi6xHnHko_XkFDO9kkuL6Wqyc-6OCDFjW9I/edit?"&amp;"usp=sharing"",""ตาก!S98"")+IMPORTRANGE(""https://docs.google.com/spreadsheets/d/1IQAWArduLkta9LpYo4a_ULsyqdta6-6aDDiwpUnQT6c/edit?usp=sharing"",""นครสวรรค์!S98"")+IMPORTRANGE(""https://docs.google.com/spreadsheets/d/10s13Sk5xrltsiR-Zkbmk5DwIaDIKO8XlbJAfqy"&amp;"T7Gvg/edit?usp=sharing"",""น่าน!S98"")+IMPORTRANGE(""https://docs.google.com/spreadsheets/d/1uu4nAn4Dbi1XREnLKKotUANlKXa7yCgRcgq8HEzQYW8/edit?usp=sharing"",""พะเยา!S98"")+IMPORTRANGE(""https://docs.google.com/spreadsheets/d/1xfJKIQxVOaPDIICqsflNlLu3JacTDk"&amp;"1FP9RH4phX7mI/edit?usp=sharing"",""พิจิตร!S98"")+IMPORTRANGE(""https://docs.google.com/spreadsheets/d/1JtRfZkJMHtEhI5RdRHxYUG4FIZHqKDpNyIuN7A1Q0_k/edit?usp=sharing"",""พิษณุโลก!S98"")+IMPORTRANGE(""https://docs.google.com/spreadsheets/d/1xlcVZWUNn6SuWm0c3"&amp;"07h32SiGkd9BaeQWlAktfD3KO8/edit?usp=sharing"",""เพชรบูรณ์!S98"")+IMPORTRANGE(""https://docs.google.com/spreadsheets/d/1lOVebEIsI9qjGXl6EX66luk7wiuP2tBaryw-wKvv4e0/edit?usp=sharing"",""แพร่!S98"")+IMPORTRANGE(""https://docs.google.com/spreadsheets/d/1dQrvX"&amp;"0vEcN7Gu0fnZ0B5S90AeR19zth4XlExFBeExMY/edit?usp=sharing"",""แม่ฮ่องสอน!S98"")+IMPORTRANGE(""https://docs.google.com/spreadsheets/d/1DY4XTNNwjluuxqdfdn6qvOSlMRrZqUtmYcZR0ttFiG4/edit?usp=sharing"",""ลำปาง!S98"")+IMPORTRANGE(""https://docs.google.com/spreads"&amp;"heets/d/1ICwG78r0OFT8biBlxnBF8r7she7gNSzOvJ958PWT09c/edit?usp=sharing"",""ลำพูน!S98"")+IMPORTRANGE(""https://docs.google.com/spreadsheets/d/1B0f2xJpZUC6Z0xXnqKlZtEPzsf6L84eP1r1Q15seqRM/edit?usp=sharing"",""สุโขทัย!S98"")+IMPORTRANGE(""https://docs.google."&amp;"com/spreadsheets/d/1v0b9pFQCsKUVExMei7AgY2yQkdeNQvtOssygGsXbiKo/edit?usp=sharing"",""อุตรดิตถ์!S98"")+IMPORTRANGE(""https://docs.google.com/spreadsheets/d/1UsNK1e-WWiCo2PvGqdNfdme4m17_Ezd3J69EeeiQPD0/edit?usp=sharing"",""อุทัยธานี!S98"")"),0)</f>
        <v>0</v>
      </c>
      <c r="T98" s="48">
        <f t="shared" ca="1" si="77"/>
        <v>0</v>
      </c>
      <c r="U98" s="48">
        <f t="shared" ca="1" si="78"/>
        <v>0</v>
      </c>
    </row>
    <row r="99" spans="1:21" ht="18.75" x14ac:dyDescent="0.25">
      <c r="A99" s="128"/>
      <c r="B99" s="158"/>
      <c r="C99" s="158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46">
        <f ca="1">IFERROR(__xludf.DUMMYFUNCTION("IMPORTRANGE(""https://docs.google.com/spreadsheets/d/1jTcq05yEiRwXcBMLjiodW9e4biSGYWAHcDj22rKWQ3s/edit?usp=sharing"",""กำแพงเพชร!L99"")+IMPORTRANGE(""https://docs.google.com/spreadsheets/d/1KS0zmDSZPk8KnTAbGN-Xk6MtX1YRZD0ldgdt20K4CRk/edit?usp=sharing"","""&amp;"เชียงราย!L99"")+IMPORTRANGE(""https://docs.google.com/spreadsheets/d/1rEDxBtusbi64tE0zunoIbsTVV16HeL0oJ6trHQeQ7K8/edit?usp=sharing"",""เชียงใหม่!L99"")+IMPORTRANGE(""https://docs.google.com/spreadsheets/d/1W6MnUbDkMi6xHnHko_XkFDO9kkuL6Wqyc-6OCDFjW9I/edit?"&amp;"usp=sharing"",""ตาก!L99"")+IMPORTRANGE(""https://docs.google.com/spreadsheets/d/1IQAWArduLkta9LpYo4a_ULsyqdta6-6aDDiwpUnQT6c/edit?usp=sharing"",""นครสวรรค์!L99"")+IMPORTRANGE(""https://docs.google.com/spreadsheets/d/10s13Sk5xrltsiR-Zkbmk5DwIaDIKO8XlbJAfqy"&amp;"T7Gvg/edit?usp=sharing"",""น่าน!L99"")+IMPORTRANGE(""https://docs.google.com/spreadsheets/d/1uu4nAn4Dbi1XREnLKKotUANlKXa7yCgRcgq8HEzQYW8/edit?usp=sharing"",""พะเยา!L99"")+IMPORTRANGE(""https://docs.google.com/spreadsheets/d/1xfJKIQxVOaPDIICqsflNlLu3JacTDk"&amp;"1FP9RH4phX7mI/edit?usp=sharing"",""พิจิตร!L99"")+IMPORTRANGE(""https://docs.google.com/spreadsheets/d/1JtRfZkJMHtEhI5RdRHxYUG4FIZHqKDpNyIuN7A1Q0_k/edit?usp=sharing"",""พิษณุโลก!L99"")+IMPORTRANGE(""https://docs.google.com/spreadsheets/d/1xlcVZWUNn6SuWm0c3"&amp;"07h32SiGkd9BaeQWlAktfD3KO8/edit?usp=sharing"",""เพชรบูรณ์!L99"")+IMPORTRANGE(""https://docs.google.com/spreadsheets/d/1lOVebEIsI9qjGXl6EX66luk7wiuP2tBaryw-wKvv4e0/edit?usp=sharing"",""แพร่!L99"")+IMPORTRANGE(""https://docs.google.com/spreadsheets/d/1dQrvX"&amp;"0vEcN7Gu0fnZ0B5S90AeR19zth4XlExFBeExMY/edit?usp=sharing"",""แม่ฮ่องสอน!L99"")+IMPORTRANGE(""https://docs.google.com/spreadsheets/d/1DY4XTNNwjluuxqdfdn6qvOSlMRrZqUtmYcZR0ttFiG4/edit?usp=sharing"",""ลำปาง!L99"")+IMPORTRANGE(""https://docs.google.com/spreads"&amp;"heets/d/1ICwG78r0OFT8biBlxnBF8r7she7gNSzOvJ958PWT09c/edit?usp=sharing"",""ลำพูน!L99"")+IMPORTRANGE(""https://docs.google.com/spreadsheets/d/1B0f2xJpZUC6Z0xXnqKlZtEPzsf6L84eP1r1Q15seqRM/edit?usp=sharing"",""สุโขทัย!L99"")+IMPORTRANGE(""https://docs.google."&amp;"com/spreadsheets/d/1v0b9pFQCsKUVExMei7AgY2yQkdeNQvtOssygGsXbiKo/edit?usp=sharing"",""อุตรดิตถ์!L99"")+IMPORTRANGE(""https://docs.google.com/spreadsheets/d/1UsNK1e-WWiCo2PvGqdNfdme4m17_Ezd3J69EeeiQPD0/edit?usp=sharing"",""อุทัยธานี!L99"")"),136300)</f>
        <v>136300</v>
      </c>
      <c r="M99" s="46">
        <f ca="1">IFERROR(__xludf.DUMMYFUNCTION("IMPORTRANGE(""https://docs.google.com/spreadsheets/d/1jTcq05yEiRwXcBMLjiodW9e4biSGYWAHcDj22rKWQ3s/edit?usp=sharing"",""กำแพงเพชร!M99"")+IMPORTRANGE(""https://docs.google.com/spreadsheets/d/1KS0zmDSZPk8KnTAbGN-Xk6MtX1YRZD0ldgdt20K4CRk/edit?usp=sharing"","""&amp;"เชียงราย!M99"")+IMPORTRANGE(""https://docs.google.com/spreadsheets/d/1rEDxBtusbi64tE0zunoIbsTVV16HeL0oJ6trHQeQ7K8/edit?usp=sharing"",""เชียงใหม่!M99"")+IMPORTRANGE(""https://docs.google.com/spreadsheets/d/1W6MnUbDkMi6xHnHko_XkFDO9kkuL6Wqyc-6OCDFjW9I/edit?"&amp;"usp=sharing"",""ตาก!M99"")+IMPORTRANGE(""https://docs.google.com/spreadsheets/d/1IQAWArduLkta9LpYo4a_ULsyqdta6-6aDDiwpUnQT6c/edit?usp=sharing"",""นครสวรรค์!M99"")+IMPORTRANGE(""https://docs.google.com/spreadsheets/d/10s13Sk5xrltsiR-Zkbmk5DwIaDIKO8XlbJAfqy"&amp;"T7Gvg/edit?usp=sharing"",""น่าน!M99"")+IMPORTRANGE(""https://docs.google.com/spreadsheets/d/1uu4nAn4Dbi1XREnLKKotUANlKXa7yCgRcgq8HEzQYW8/edit?usp=sharing"",""พะเยา!M99"")+IMPORTRANGE(""https://docs.google.com/spreadsheets/d/1xfJKIQxVOaPDIICqsflNlLu3JacTDk"&amp;"1FP9RH4phX7mI/edit?usp=sharing"",""พิจิตร!M99"")+IMPORTRANGE(""https://docs.google.com/spreadsheets/d/1JtRfZkJMHtEhI5RdRHxYUG4FIZHqKDpNyIuN7A1Q0_k/edit?usp=sharing"",""พิษณุโลก!M99"")+IMPORTRANGE(""https://docs.google.com/spreadsheets/d/1xlcVZWUNn6SuWm0c3"&amp;"07h32SiGkd9BaeQWlAktfD3KO8/edit?usp=sharing"",""เพชรบูรณ์!M99"")+IMPORTRANGE(""https://docs.google.com/spreadsheets/d/1lOVebEIsI9qjGXl6EX66luk7wiuP2tBaryw-wKvv4e0/edit?usp=sharing"",""แพร่!M99"")+IMPORTRANGE(""https://docs.google.com/spreadsheets/d/1dQrvX"&amp;"0vEcN7Gu0fnZ0B5S90AeR19zth4XlExFBeExMY/edit?usp=sharing"",""แม่ฮ่องสอน!M99"")+IMPORTRANGE(""https://docs.google.com/spreadsheets/d/1DY4XTNNwjluuxqdfdn6qvOSlMRrZqUtmYcZR0ttFiG4/edit?usp=sharing"",""ลำปาง!M99"")+IMPORTRANGE(""https://docs.google.com/spreads"&amp;"heets/d/1ICwG78r0OFT8biBlxnBF8r7she7gNSzOvJ958PWT09c/edit?usp=sharing"",""ลำพูน!M99"")+IMPORTRANGE(""https://docs.google.com/spreadsheets/d/1B0f2xJpZUC6Z0xXnqKlZtEPzsf6L84eP1r1Q15seqRM/edit?usp=sharing"",""สุโขทัย!M99"")+IMPORTRANGE(""https://docs.google."&amp;"com/spreadsheets/d/1v0b9pFQCsKUVExMei7AgY2yQkdeNQvtOssygGsXbiKo/edit?usp=sharing"",""อุตรดิตถ์!M99"")+IMPORTRANGE(""https://docs.google.com/spreadsheets/d/1UsNK1e-WWiCo2PvGqdNfdme4m17_Ezd3J69EeeiQPD0/edit?usp=sharing"",""อุทัยธานี!M99"")"),217000)</f>
        <v>217000</v>
      </c>
      <c r="N99" s="46">
        <f ca="1">IFERROR(__xludf.DUMMYFUNCTION("IMPORTRANGE(""https://docs.google.com/spreadsheets/d/1jTcq05yEiRwXcBMLjiodW9e4biSGYWAHcDj22rKWQ3s/edit?usp=sharing"",""กำแพงเพชร!N99"")+IMPORTRANGE(""https://docs.google.com/spreadsheets/d/1KS0zmDSZPk8KnTAbGN-Xk6MtX1YRZD0ldgdt20K4CRk/edit?usp=sharing"","""&amp;"เชียงราย!N99"")+IMPORTRANGE(""https://docs.google.com/spreadsheets/d/1rEDxBtusbi64tE0zunoIbsTVV16HeL0oJ6trHQeQ7K8/edit?usp=sharing"",""เชียงใหม่!N99"")+IMPORTRANGE(""https://docs.google.com/spreadsheets/d/1W6MnUbDkMi6xHnHko_XkFDO9kkuL6Wqyc-6OCDFjW9I/edit?"&amp;"usp=sharing"",""ตาก!N99"")+IMPORTRANGE(""https://docs.google.com/spreadsheets/d/1IQAWArduLkta9LpYo4a_ULsyqdta6-6aDDiwpUnQT6c/edit?usp=sharing"",""นครสวรรค์!N99"")+IMPORTRANGE(""https://docs.google.com/spreadsheets/d/10s13Sk5xrltsiR-Zkbmk5DwIaDIKO8XlbJAfqy"&amp;"T7Gvg/edit?usp=sharing"",""น่าน!N99"")+IMPORTRANGE(""https://docs.google.com/spreadsheets/d/1uu4nAn4Dbi1XREnLKKotUANlKXa7yCgRcgq8HEzQYW8/edit?usp=sharing"",""พะเยา!N99"")+IMPORTRANGE(""https://docs.google.com/spreadsheets/d/1xfJKIQxVOaPDIICqsflNlLu3JacTDk"&amp;"1FP9RH4phX7mI/edit?usp=sharing"",""พิจิตร!N99"")+IMPORTRANGE(""https://docs.google.com/spreadsheets/d/1JtRfZkJMHtEhI5RdRHxYUG4FIZHqKDpNyIuN7A1Q0_k/edit?usp=sharing"",""พิษณุโลก!N99"")+IMPORTRANGE(""https://docs.google.com/spreadsheets/d/1xlcVZWUNn6SuWm0c3"&amp;"07h32SiGkd9BaeQWlAktfD3KO8/edit?usp=sharing"",""เพชรบูรณ์!N99"")+IMPORTRANGE(""https://docs.google.com/spreadsheets/d/1lOVebEIsI9qjGXl6EX66luk7wiuP2tBaryw-wKvv4e0/edit?usp=sharing"",""แพร่!N99"")+IMPORTRANGE(""https://docs.google.com/spreadsheets/d/1dQrvX"&amp;"0vEcN7Gu0fnZ0B5S90AeR19zth4XlExFBeExMY/edit?usp=sharing"",""แม่ฮ่องสอน!N99"")+IMPORTRANGE(""https://docs.google.com/spreadsheets/d/1DY4XTNNwjluuxqdfdn6qvOSlMRrZqUtmYcZR0ttFiG4/edit?usp=sharing"",""ลำปาง!N99"")+IMPORTRANGE(""https://docs.google.com/spreads"&amp;"heets/d/1ICwG78r0OFT8biBlxnBF8r7she7gNSzOvJ958PWT09c/edit?usp=sharing"",""ลำพูน!N99"")+IMPORTRANGE(""https://docs.google.com/spreadsheets/d/1B0f2xJpZUC6Z0xXnqKlZtEPzsf6L84eP1r1Q15seqRM/edit?usp=sharing"",""สุโขทัย!N99"")+IMPORTRANGE(""https://docs.google."&amp;"com/spreadsheets/d/1v0b9pFQCsKUVExMei7AgY2yQkdeNQvtOssygGsXbiKo/edit?usp=sharing"",""อุตรดิตถ์!N99"")+IMPORTRANGE(""https://docs.google.com/spreadsheets/d/1UsNK1e-WWiCo2PvGqdNfdme4m17_Ezd3J69EeeiQPD0/edit?usp=sharing"",""อุทัยธานี!N99"")"),96117.9)</f>
        <v>96117.9</v>
      </c>
      <c r="O99" s="46">
        <f t="shared" ca="1" si="74"/>
        <v>70.519369038884818</v>
      </c>
      <c r="P99" s="46">
        <f t="shared" ca="1" si="75"/>
        <v>44.293963133640553</v>
      </c>
      <c r="Q99" s="46">
        <f ca="1">IFERROR(__xludf.DUMMYFUNCTION("IMPORTRANGE(""https://docs.google.com/spreadsheets/d/1jTcq05yEiRwXcBMLjiodW9e4biSGYWAHcDj22rKWQ3s/edit?usp=sharing"",""กำแพงเพชร!Q99"")+IMPORTRANGE(""https://docs.google.com/spreadsheets/d/1KS0zmDSZPk8KnTAbGN-Xk6MtX1YRZD0ldgdt20K4CRk/edit?usp=sharing"","""&amp;"เชียงราย!Q99"")+IMPORTRANGE(""https://docs.google.com/spreadsheets/d/1rEDxBtusbi64tE0zunoIbsTVV16HeL0oJ6trHQeQ7K8/edit?usp=sharing"",""เชียงใหม่!Q99"")+IMPORTRANGE(""https://docs.google.com/spreadsheets/d/1W6MnUbDkMi6xHnHko_XkFDO9kkuL6Wqyc-6OCDFjW9I/edit?"&amp;"usp=sharing"",""ตาก!Q99"")+IMPORTRANGE(""https://docs.google.com/spreadsheets/d/1IQAWArduLkta9LpYo4a_ULsyqdta6-6aDDiwpUnQT6c/edit?usp=sharing"",""นครสวรรค์!Q99"")+IMPORTRANGE(""https://docs.google.com/spreadsheets/d/10s13Sk5xrltsiR-Zkbmk5DwIaDIKO8XlbJAfqy"&amp;"T7Gvg/edit?usp=sharing"",""น่าน!Q99"")+IMPORTRANGE(""https://docs.google.com/spreadsheets/d/1uu4nAn4Dbi1XREnLKKotUANlKXa7yCgRcgq8HEzQYW8/edit?usp=sharing"",""พะเยา!Q99"")+IMPORTRANGE(""https://docs.google.com/spreadsheets/d/1xfJKIQxVOaPDIICqsflNlLu3JacTDk"&amp;"1FP9RH4phX7mI/edit?usp=sharing"",""พิจิตร!Q99"")+IMPORTRANGE(""https://docs.google.com/spreadsheets/d/1JtRfZkJMHtEhI5RdRHxYUG4FIZHqKDpNyIuN7A1Q0_k/edit?usp=sharing"",""พิษณุโลก!Q99"")+IMPORTRANGE(""https://docs.google.com/spreadsheets/d/1xlcVZWUNn6SuWm0c3"&amp;"07h32SiGkd9BaeQWlAktfD3KO8/edit?usp=sharing"",""เพชรบูรณ์!Q99"")+IMPORTRANGE(""https://docs.google.com/spreadsheets/d/1lOVebEIsI9qjGXl6EX66luk7wiuP2tBaryw-wKvv4e0/edit?usp=sharing"",""แพร่!Q99"")+IMPORTRANGE(""https://docs.google.com/spreadsheets/d/1dQrvX"&amp;"0vEcN7Gu0fnZ0B5S90AeR19zth4XlExFBeExMY/edit?usp=sharing"",""แม่ฮ่องสอน!Q99"")+IMPORTRANGE(""https://docs.google.com/spreadsheets/d/1DY4XTNNwjluuxqdfdn6qvOSlMRrZqUtmYcZR0ttFiG4/edit?usp=sharing"",""ลำปาง!Q99"")+IMPORTRANGE(""https://docs.google.com/spreads"&amp;"heets/d/1ICwG78r0OFT8biBlxnBF8r7she7gNSzOvJ958PWT09c/edit?usp=sharing"",""ลำพูน!Q99"")+IMPORTRANGE(""https://docs.google.com/spreadsheets/d/1B0f2xJpZUC6Z0xXnqKlZtEPzsf6L84eP1r1Q15seqRM/edit?usp=sharing"",""สุโขทัย!Q99"")+IMPORTRANGE(""https://docs.google."&amp;"com/spreadsheets/d/1v0b9pFQCsKUVExMei7AgY2yQkdeNQvtOssygGsXbiKo/edit?usp=sharing"",""อุตรดิตถ์!Q99"")+IMPORTRANGE(""https://docs.google.com/spreadsheets/d/1UsNK1e-WWiCo2PvGqdNfdme4m17_Ezd3J69EeeiQPD0/edit?usp=sharing"",""อุทัยธานี!Q99"")"),942780)</f>
        <v>942780</v>
      </c>
      <c r="R99" s="46">
        <f ca="1">IFERROR(__xludf.DUMMYFUNCTION("IMPORTRANGE(""https://docs.google.com/spreadsheets/d/1jTcq05yEiRwXcBMLjiodW9e4biSGYWAHcDj22rKWQ3s/edit?usp=sharing"",""กำแพงเพชร!R99"")+IMPORTRANGE(""https://docs.google.com/spreadsheets/d/1KS0zmDSZPk8KnTAbGN-Xk6MtX1YRZD0ldgdt20K4CRk/edit?usp=sharing"","""&amp;"เชียงราย!R99"")+IMPORTRANGE(""https://docs.google.com/spreadsheets/d/1rEDxBtusbi64tE0zunoIbsTVV16HeL0oJ6trHQeQ7K8/edit?usp=sharing"",""เชียงใหม่!R99"")+IMPORTRANGE(""https://docs.google.com/spreadsheets/d/1W6MnUbDkMi6xHnHko_XkFDO9kkuL6Wqyc-6OCDFjW9I/edit?"&amp;"usp=sharing"",""ตาก!R99"")+IMPORTRANGE(""https://docs.google.com/spreadsheets/d/1IQAWArduLkta9LpYo4a_ULsyqdta6-6aDDiwpUnQT6c/edit?usp=sharing"",""นครสวรรค์!R99"")+IMPORTRANGE(""https://docs.google.com/spreadsheets/d/10s13Sk5xrltsiR-Zkbmk5DwIaDIKO8XlbJAfqy"&amp;"T7Gvg/edit?usp=sharing"",""น่าน!R99"")+IMPORTRANGE(""https://docs.google.com/spreadsheets/d/1uu4nAn4Dbi1XREnLKKotUANlKXa7yCgRcgq8HEzQYW8/edit?usp=sharing"",""พะเยา!R99"")+IMPORTRANGE(""https://docs.google.com/spreadsheets/d/1xfJKIQxVOaPDIICqsflNlLu3JacTDk"&amp;"1FP9RH4phX7mI/edit?usp=sharing"",""พิจิตร!R99"")+IMPORTRANGE(""https://docs.google.com/spreadsheets/d/1JtRfZkJMHtEhI5RdRHxYUG4FIZHqKDpNyIuN7A1Q0_k/edit?usp=sharing"",""พิษณุโลก!R99"")+IMPORTRANGE(""https://docs.google.com/spreadsheets/d/1xlcVZWUNn6SuWm0c3"&amp;"07h32SiGkd9BaeQWlAktfD3KO8/edit?usp=sharing"",""เพชรบูรณ์!R99"")+IMPORTRANGE(""https://docs.google.com/spreadsheets/d/1lOVebEIsI9qjGXl6EX66luk7wiuP2tBaryw-wKvv4e0/edit?usp=sharing"",""แพร่!R99"")+IMPORTRANGE(""https://docs.google.com/spreadsheets/d/1dQrvX"&amp;"0vEcN7Gu0fnZ0B5S90AeR19zth4XlExFBeExMY/edit?usp=sharing"",""แม่ฮ่องสอน!R99"")+IMPORTRANGE(""https://docs.google.com/spreadsheets/d/1DY4XTNNwjluuxqdfdn6qvOSlMRrZqUtmYcZR0ttFiG4/edit?usp=sharing"",""ลำปาง!R99"")+IMPORTRANGE(""https://docs.google.com/spreads"&amp;"heets/d/1ICwG78r0OFT8biBlxnBF8r7she7gNSzOvJ958PWT09c/edit?usp=sharing"",""ลำพูน!R99"")+IMPORTRANGE(""https://docs.google.com/spreadsheets/d/1B0f2xJpZUC6Z0xXnqKlZtEPzsf6L84eP1r1Q15seqRM/edit?usp=sharing"",""สุโขทัย!R99"")+IMPORTRANGE(""https://docs.google."&amp;"com/spreadsheets/d/1v0b9pFQCsKUVExMei7AgY2yQkdeNQvtOssygGsXbiKo/edit?usp=sharing"",""อุตรดิตถ์!R99"")+IMPORTRANGE(""https://docs.google.com/spreadsheets/d/1UsNK1e-WWiCo2PvGqdNfdme4m17_Ezd3J69EeeiQPD0/edit?usp=sharing"",""อุทัยธานี!R99"")"),942780)</f>
        <v>942780</v>
      </c>
      <c r="S99" s="46">
        <f ca="1">IFERROR(__xludf.DUMMYFUNCTION("IMPORTRANGE(""https://docs.google.com/spreadsheets/d/1jTcq05yEiRwXcBMLjiodW9e4biSGYWAHcDj22rKWQ3s/edit?usp=sharing"",""กำแพงเพชร!S99"")+IMPORTRANGE(""https://docs.google.com/spreadsheets/d/1KS0zmDSZPk8KnTAbGN-Xk6MtX1YRZD0ldgdt20K4CRk/edit?usp=sharing"","""&amp;"เชียงราย!S99"")+IMPORTRANGE(""https://docs.google.com/spreadsheets/d/1rEDxBtusbi64tE0zunoIbsTVV16HeL0oJ6trHQeQ7K8/edit?usp=sharing"",""เชียงใหม่!S99"")+IMPORTRANGE(""https://docs.google.com/spreadsheets/d/1W6MnUbDkMi6xHnHko_XkFDO9kkuL6Wqyc-6OCDFjW9I/edit?"&amp;"usp=sharing"",""ตาก!S99"")+IMPORTRANGE(""https://docs.google.com/spreadsheets/d/1IQAWArduLkta9LpYo4a_ULsyqdta6-6aDDiwpUnQT6c/edit?usp=sharing"",""นครสวรรค์!S99"")+IMPORTRANGE(""https://docs.google.com/spreadsheets/d/10s13Sk5xrltsiR-Zkbmk5DwIaDIKO8XlbJAfqy"&amp;"T7Gvg/edit?usp=sharing"",""น่าน!S99"")+IMPORTRANGE(""https://docs.google.com/spreadsheets/d/1uu4nAn4Dbi1XREnLKKotUANlKXa7yCgRcgq8HEzQYW8/edit?usp=sharing"",""พะเยา!S99"")+IMPORTRANGE(""https://docs.google.com/spreadsheets/d/1xfJKIQxVOaPDIICqsflNlLu3JacTDk"&amp;"1FP9RH4phX7mI/edit?usp=sharing"",""พิจิตร!S99"")+IMPORTRANGE(""https://docs.google.com/spreadsheets/d/1JtRfZkJMHtEhI5RdRHxYUG4FIZHqKDpNyIuN7A1Q0_k/edit?usp=sharing"",""พิษณุโลก!S99"")+IMPORTRANGE(""https://docs.google.com/spreadsheets/d/1xlcVZWUNn6SuWm0c3"&amp;"07h32SiGkd9BaeQWlAktfD3KO8/edit?usp=sharing"",""เพชรบูรณ์!S99"")+IMPORTRANGE(""https://docs.google.com/spreadsheets/d/1lOVebEIsI9qjGXl6EX66luk7wiuP2tBaryw-wKvv4e0/edit?usp=sharing"",""แพร่!S99"")+IMPORTRANGE(""https://docs.google.com/spreadsheets/d/1dQrvX"&amp;"0vEcN7Gu0fnZ0B5S90AeR19zth4XlExFBeExMY/edit?usp=sharing"",""แม่ฮ่องสอน!S99"")+IMPORTRANGE(""https://docs.google.com/spreadsheets/d/1DY4XTNNwjluuxqdfdn6qvOSlMRrZqUtmYcZR0ttFiG4/edit?usp=sharing"",""ลำปาง!S99"")+IMPORTRANGE(""https://docs.google.com/spreads"&amp;"heets/d/1ICwG78r0OFT8biBlxnBF8r7she7gNSzOvJ958PWT09c/edit?usp=sharing"",""ลำพูน!S99"")+IMPORTRANGE(""https://docs.google.com/spreadsheets/d/1B0f2xJpZUC6Z0xXnqKlZtEPzsf6L84eP1r1Q15seqRM/edit?usp=sharing"",""สุโขทัย!S99"")+IMPORTRANGE(""https://docs.google."&amp;"com/spreadsheets/d/1v0b9pFQCsKUVExMei7AgY2yQkdeNQvtOssygGsXbiKo/edit?usp=sharing"",""อุตรดิตถ์!S99"")+IMPORTRANGE(""https://docs.google.com/spreadsheets/d/1UsNK1e-WWiCo2PvGqdNfdme4m17_Ezd3J69EeeiQPD0/edit?usp=sharing"",""อุทัยธานี!S99"")"),163095)</f>
        <v>163095</v>
      </c>
      <c r="T99" s="46">
        <f t="shared" ca="1" si="77"/>
        <v>17.299369948450327</v>
      </c>
      <c r="U99" s="46">
        <f t="shared" ca="1" si="78"/>
        <v>17.299369948450327</v>
      </c>
    </row>
    <row r="100" spans="1:21" ht="18.75" x14ac:dyDescent="0.25">
      <c r="A100" s="128"/>
      <c r="B100" s="158"/>
      <c r="C100" s="158"/>
      <c r="D100" s="160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46">
        <f t="shared" ref="L100:N100" ca="1" si="85">L101+L102</f>
        <v>0</v>
      </c>
      <c r="M100" s="46">
        <f t="shared" ca="1" si="85"/>
        <v>0</v>
      </c>
      <c r="N100" s="46">
        <f t="shared" ca="1" si="85"/>
        <v>0</v>
      </c>
      <c r="O100" s="46">
        <f t="shared" ca="1" si="74"/>
        <v>0</v>
      </c>
      <c r="P100" s="46">
        <f t="shared" ca="1" si="75"/>
        <v>0</v>
      </c>
      <c r="Q100" s="46">
        <f t="shared" ref="Q100:S100" ca="1" si="86">Q101+Q102</f>
        <v>0</v>
      </c>
      <c r="R100" s="46">
        <f t="shared" ca="1" si="86"/>
        <v>0</v>
      </c>
      <c r="S100" s="46">
        <f t="shared" ca="1" si="86"/>
        <v>0</v>
      </c>
      <c r="T100" s="46">
        <f t="shared" ca="1" si="77"/>
        <v>0</v>
      </c>
      <c r="U100" s="46">
        <f t="shared" ca="1" si="78"/>
        <v>0</v>
      </c>
    </row>
    <row r="101" spans="1:21" ht="18.75" x14ac:dyDescent="0.25">
      <c r="A101" s="128"/>
      <c r="B101" s="158"/>
      <c r="C101" s="158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48">
        <f ca="1">IFERROR(__xludf.DUMMYFUNCTION("IMPORTRANGE(""https://docs.google.com/spreadsheets/d/1jTcq05yEiRwXcBMLjiodW9e4biSGYWAHcDj22rKWQ3s/edit?usp=sharing"",""กำแพงเพชร!L101"")+IMPORTRANGE(""https://docs.google.com/spreadsheets/d/1KS0zmDSZPk8KnTAbGN-Xk6MtX1YRZD0ldgdt20K4CRk/edit?usp=sharing"","&amp;"""เชียงราย!L101"")+IMPORTRANGE(""https://docs.google.com/spreadsheets/d/1rEDxBtusbi64tE0zunoIbsTVV16HeL0oJ6trHQeQ7K8/edit?usp=sharing"",""เชียงใหม่!L101"")+IMPORTRANGE(""https://docs.google.com/spreadsheets/d/1W6MnUbDkMi6xHnHko_XkFDO9kkuL6Wqyc-6OCDFjW9I/e"&amp;"dit?usp=sharing"",""ตาก!L101"")+IMPORTRANGE(""https://docs.google.com/spreadsheets/d/1IQAWArduLkta9LpYo4a_ULsyqdta6-6aDDiwpUnQT6c/edit?usp=sharing"",""นครสวรรค์!L101"")+IMPORTRANGE(""https://docs.google.com/spreadsheets/d/10s13Sk5xrltsiR-Zkbmk5DwIaDIKO8Xl"&amp;"bJAfqyT7Gvg/edit?usp=sharing"",""น่าน!L101"")+IMPORTRANGE(""https://docs.google.com/spreadsheets/d/1uu4nAn4Dbi1XREnLKKotUANlKXa7yCgRcgq8HEzQYW8/edit?usp=sharing"",""พะเยา!L101"")+IMPORTRANGE(""https://docs.google.com/spreadsheets/d/1xfJKIQxVOaPDIICqsflNlL"&amp;"u3JacTDk1FP9RH4phX7mI/edit?usp=sharing"",""พิจิตร!L101"")+IMPORTRANGE(""https://docs.google.com/spreadsheets/d/1JtRfZkJMHtEhI5RdRHxYUG4FIZHqKDpNyIuN7A1Q0_k/edit?usp=sharing"",""พิษณุโลก!L101"")+IMPORTRANGE(""https://docs.google.com/spreadsheets/d/1xlcVZWU"&amp;"Nn6SuWm0c307h32SiGkd9BaeQWlAktfD3KO8/edit?usp=sharing"",""เพชรบูรณ์!L101"")+IMPORTRANGE(""https://docs.google.com/spreadsheets/d/1lOVebEIsI9qjGXl6EX66luk7wiuP2tBaryw-wKvv4e0/edit?usp=sharing"",""แพร่!L101"")+IMPORTRANGE(""https://docs.google.com/spreadshe"&amp;"ets/d/1dQrvX0vEcN7Gu0fnZ0B5S90AeR19zth4XlExFBeExMY/edit?usp=sharing"",""แม่ฮ่องสอน!L101"")+IMPORTRANGE(""https://docs.google.com/spreadsheets/d/1DY4XTNNwjluuxqdfdn6qvOSlMRrZqUtmYcZR0ttFiG4/edit?usp=sharing"",""ลำปาง!L101"")+IMPORTRANGE(""https://docs.goog"&amp;"le.com/spreadsheets/d/1ICwG78r0OFT8biBlxnBF8r7she7gNSzOvJ958PWT09c/edit?usp=sharing"",""ลำพูน!L101"")+IMPORTRANGE(""https://docs.google.com/spreadsheets/d/1B0f2xJpZUC6Z0xXnqKlZtEPzsf6L84eP1r1Q15seqRM/edit?usp=sharing"",""สุโขทัย!L101"")+IMPORTRANGE(""http"&amp;"s://docs.google.com/spreadsheets/d/1v0b9pFQCsKUVExMei7AgY2yQkdeNQvtOssygGsXbiKo/edit?usp=sharing"",""อุตรดิตถ์!L101"")+IMPORTRANGE(""https://docs.google.com/spreadsheets/d/1UsNK1e-WWiCo2PvGqdNfdme4m17_Ezd3J69EeeiQPD0/edit?usp=sharing"",""อุทัยธานี!L101"")"),0)</f>
        <v>0</v>
      </c>
      <c r="M101" s="48">
        <f ca="1">IFERROR(__xludf.DUMMYFUNCTION("IMPORTRANGE(""https://docs.google.com/spreadsheets/d/1jTcq05yEiRwXcBMLjiodW9e4biSGYWAHcDj22rKWQ3s/edit?usp=sharing"",""กำแพงเพชร!M101"")+IMPORTRANGE(""https://docs.google.com/spreadsheets/d/1KS0zmDSZPk8KnTAbGN-Xk6MtX1YRZD0ldgdt20K4CRk/edit?usp=sharing"","&amp;"""เชียงราย!M101"")+IMPORTRANGE(""https://docs.google.com/spreadsheets/d/1rEDxBtusbi64tE0zunoIbsTVV16HeL0oJ6trHQeQ7K8/edit?usp=sharing"",""เชียงใหม่!M101"")+IMPORTRANGE(""https://docs.google.com/spreadsheets/d/1W6MnUbDkMi6xHnHko_XkFDO9kkuL6Wqyc-6OCDFjW9I/e"&amp;"dit?usp=sharing"",""ตาก!M101"")+IMPORTRANGE(""https://docs.google.com/spreadsheets/d/1IQAWArduLkta9LpYo4a_ULsyqdta6-6aDDiwpUnQT6c/edit?usp=sharing"",""นครสวรรค์!M101"")+IMPORTRANGE(""https://docs.google.com/spreadsheets/d/10s13Sk5xrltsiR-Zkbmk5DwIaDIKO8Xl"&amp;"bJAfqyT7Gvg/edit?usp=sharing"",""น่าน!M101"")+IMPORTRANGE(""https://docs.google.com/spreadsheets/d/1uu4nAn4Dbi1XREnLKKotUANlKXa7yCgRcgq8HEzQYW8/edit?usp=sharing"",""พะเยา!M101"")+IMPORTRANGE(""https://docs.google.com/spreadsheets/d/1xfJKIQxVOaPDIICqsflNlL"&amp;"u3JacTDk1FP9RH4phX7mI/edit?usp=sharing"",""พิจิตร!M101"")+IMPORTRANGE(""https://docs.google.com/spreadsheets/d/1JtRfZkJMHtEhI5RdRHxYUG4FIZHqKDpNyIuN7A1Q0_k/edit?usp=sharing"",""พิษณุโลก!M101"")+IMPORTRANGE(""https://docs.google.com/spreadsheets/d/1xlcVZWU"&amp;"Nn6SuWm0c307h32SiGkd9BaeQWlAktfD3KO8/edit?usp=sharing"",""เพชรบูรณ์!M101"")+IMPORTRANGE(""https://docs.google.com/spreadsheets/d/1lOVebEIsI9qjGXl6EX66luk7wiuP2tBaryw-wKvv4e0/edit?usp=sharing"",""แพร่!M101"")+IMPORTRANGE(""https://docs.google.com/spreadshe"&amp;"ets/d/1dQrvX0vEcN7Gu0fnZ0B5S90AeR19zth4XlExFBeExMY/edit?usp=sharing"",""แม่ฮ่องสอน!M101"")+IMPORTRANGE(""https://docs.google.com/spreadsheets/d/1DY4XTNNwjluuxqdfdn6qvOSlMRrZqUtmYcZR0ttFiG4/edit?usp=sharing"",""ลำปาง!M101"")+IMPORTRANGE(""https://docs.goog"&amp;"le.com/spreadsheets/d/1ICwG78r0OFT8biBlxnBF8r7she7gNSzOvJ958PWT09c/edit?usp=sharing"",""ลำพูน!M101"")+IMPORTRANGE(""https://docs.google.com/spreadsheets/d/1B0f2xJpZUC6Z0xXnqKlZtEPzsf6L84eP1r1Q15seqRM/edit?usp=sharing"",""สุโขทัย!M101"")+IMPORTRANGE(""http"&amp;"s://docs.google.com/spreadsheets/d/1v0b9pFQCsKUVExMei7AgY2yQkdeNQvtOssygGsXbiKo/edit?usp=sharing"",""อุตรดิตถ์!M101"")+IMPORTRANGE(""https://docs.google.com/spreadsheets/d/1UsNK1e-WWiCo2PvGqdNfdme4m17_Ezd3J69EeeiQPD0/edit?usp=sharing"",""อุทัยธานี!M101"")"),0)</f>
        <v>0</v>
      </c>
      <c r="N101" s="48">
        <f ca="1">IFERROR(__xludf.DUMMYFUNCTION("IMPORTRANGE(""https://docs.google.com/spreadsheets/d/1jTcq05yEiRwXcBMLjiodW9e4biSGYWAHcDj22rKWQ3s/edit?usp=sharing"",""กำแพงเพชร!N101"")+IMPORTRANGE(""https://docs.google.com/spreadsheets/d/1KS0zmDSZPk8KnTAbGN-Xk6MtX1YRZD0ldgdt20K4CRk/edit?usp=sharing"","&amp;"""เชียงราย!N101"")+IMPORTRANGE(""https://docs.google.com/spreadsheets/d/1rEDxBtusbi64tE0zunoIbsTVV16HeL0oJ6trHQeQ7K8/edit?usp=sharing"",""เชียงใหม่!N101"")+IMPORTRANGE(""https://docs.google.com/spreadsheets/d/1W6MnUbDkMi6xHnHko_XkFDO9kkuL6Wqyc-6OCDFjW9I/e"&amp;"dit?usp=sharing"",""ตาก!N101"")+IMPORTRANGE(""https://docs.google.com/spreadsheets/d/1IQAWArduLkta9LpYo4a_ULsyqdta6-6aDDiwpUnQT6c/edit?usp=sharing"",""นครสวรรค์!N101"")+IMPORTRANGE(""https://docs.google.com/spreadsheets/d/10s13Sk5xrltsiR-Zkbmk5DwIaDIKO8Xl"&amp;"bJAfqyT7Gvg/edit?usp=sharing"",""น่าน!N101"")+IMPORTRANGE(""https://docs.google.com/spreadsheets/d/1uu4nAn4Dbi1XREnLKKotUANlKXa7yCgRcgq8HEzQYW8/edit?usp=sharing"",""พะเยา!N101"")+IMPORTRANGE(""https://docs.google.com/spreadsheets/d/1xfJKIQxVOaPDIICqsflNlL"&amp;"u3JacTDk1FP9RH4phX7mI/edit?usp=sharing"",""พิจิตร!N101"")+IMPORTRANGE(""https://docs.google.com/spreadsheets/d/1JtRfZkJMHtEhI5RdRHxYUG4FIZHqKDpNyIuN7A1Q0_k/edit?usp=sharing"",""พิษณุโลก!N101"")+IMPORTRANGE(""https://docs.google.com/spreadsheets/d/1xlcVZWU"&amp;"Nn6SuWm0c307h32SiGkd9BaeQWlAktfD3KO8/edit?usp=sharing"",""เพชรบูรณ์!N101"")+IMPORTRANGE(""https://docs.google.com/spreadsheets/d/1lOVebEIsI9qjGXl6EX66luk7wiuP2tBaryw-wKvv4e0/edit?usp=sharing"",""แพร่!N101"")+IMPORTRANGE(""https://docs.google.com/spreadshe"&amp;"ets/d/1dQrvX0vEcN7Gu0fnZ0B5S90AeR19zth4XlExFBeExMY/edit?usp=sharing"",""แม่ฮ่องสอน!N101"")+IMPORTRANGE(""https://docs.google.com/spreadsheets/d/1DY4XTNNwjluuxqdfdn6qvOSlMRrZqUtmYcZR0ttFiG4/edit?usp=sharing"",""ลำปาง!N101"")+IMPORTRANGE(""https://docs.goog"&amp;"le.com/spreadsheets/d/1ICwG78r0OFT8biBlxnBF8r7she7gNSzOvJ958PWT09c/edit?usp=sharing"",""ลำพูน!N101"")+IMPORTRANGE(""https://docs.google.com/spreadsheets/d/1B0f2xJpZUC6Z0xXnqKlZtEPzsf6L84eP1r1Q15seqRM/edit?usp=sharing"",""สุโขทัย!N101"")+IMPORTRANGE(""http"&amp;"s://docs.google.com/spreadsheets/d/1v0b9pFQCsKUVExMei7AgY2yQkdeNQvtOssygGsXbiKo/edit?usp=sharing"",""อุตรดิตถ์!N101"")+IMPORTRANGE(""https://docs.google.com/spreadsheets/d/1UsNK1e-WWiCo2PvGqdNfdme4m17_Ezd3J69EeeiQPD0/edit?usp=sharing"",""อุทัยธานี!N101"")"),0)</f>
        <v>0</v>
      </c>
      <c r="O101" s="48">
        <f t="shared" ca="1" si="74"/>
        <v>0</v>
      </c>
      <c r="P101" s="48">
        <f t="shared" ca="1" si="75"/>
        <v>0</v>
      </c>
      <c r="Q101" s="48">
        <f ca="1">IFERROR(__xludf.DUMMYFUNCTION("IMPORTRANGE(""https://docs.google.com/spreadsheets/d/1jTcq05yEiRwXcBMLjiodW9e4biSGYWAHcDj22rKWQ3s/edit?usp=sharing"",""กำแพงเพชร!Q101"")+IMPORTRANGE(""https://docs.google.com/spreadsheets/d/1KS0zmDSZPk8KnTAbGN-Xk6MtX1YRZD0ldgdt20K4CRk/edit?usp=sharing"","&amp;"""เชียงราย!Q101"")+IMPORTRANGE(""https://docs.google.com/spreadsheets/d/1rEDxBtusbi64tE0zunoIbsTVV16HeL0oJ6trHQeQ7K8/edit?usp=sharing"",""เชียงใหม่!Q101"")+IMPORTRANGE(""https://docs.google.com/spreadsheets/d/1W6MnUbDkMi6xHnHko_XkFDO9kkuL6Wqyc-6OCDFjW9I/e"&amp;"dit?usp=sharing"",""ตาก!Q101"")+IMPORTRANGE(""https://docs.google.com/spreadsheets/d/1IQAWArduLkta9LpYo4a_ULsyqdta6-6aDDiwpUnQT6c/edit?usp=sharing"",""นครสวรรค์!Q101"")+IMPORTRANGE(""https://docs.google.com/spreadsheets/d/10s13Sk5xrltsiR-Zkbmk5DwIaDIKO8Xl"&amp;"bJAfqyT7Gvg/edit?usp=sharing"",""น่าน!Q101"")+IMPORTRANGE(""https://docs.google.com/spreadsheets/d/1uu4nAn4Dbi1XREnLKKotUANlKXa7yCgRcgq8HEzQYW8/edit?usp=sharing"",""พะเยา!Q101"")+IMPORTRANGE(""https://docs.google.com/spreadsheets/d/1xfJKIQxVOaPDIICqsflNlL"&amp;"u3JacTDk1FP9RH4phX7mI/edit?usp=sharing"",""พิจิตร!Q101"")+IMPORTRANGE(""https://docs.google.com/spreadsheets/d/1JtRfZkJMHtEhI5RdRHxYUG4FIZHqKDpNyIuN7A1Q0_k/edit?usp=sharing"",""พิษณุโลก!Q101"")+IMPORTRANGE(""https://docs.google.com/spreadsheets/d/1xlcVZWU"&amp;"Nn6SuWm0c307h32SiGkd9BaeQWlAktfD3KO8/edit?usp=sharing"",""เพชรบูรณ์!Q101"")+IMPORTRANGE(""https://docs.google.com/spreadsheets/d/1lOVebEIsI9qjGXl6EX66luk7wiuP2tBaryw-wKvv4e0/edit?usp=sharing"",""แพร่!Q101"")+IMPORTRANGE(""https://docs.google.com/spreadshe"&amp;"ets/d/1dQrvX0vEcN7Gu0fnZ0B5S90AeR19zth4XlExFBeExMY/edit?usp=sharing"",""แม่ฮ่องสอน!Q101"")+IMPORTRANGE(""https://docs.google.com/spreadsheets/d/1DY4XTNNwjluuxqdfdn6qvOSlMRrZqUtmYcZR0ttFiG4/edit?usp=sharing"",""ลำปาง!Q101"")+IMPORTRANGE(""https://docs.goog"&amp;"le.com/spreadsheets/d/1ICwG78r0OFT8biBlxnBF8r7she7gNSzOvJ958PWT09c/edit?usp=sharing"",""ลำพูน!Q101"")+IMPORTRANGE(""https://docs.google.com/spreadsheets/d/1B0f2xJpZUC6Z0xXnqKlZtEPzsf6L84eP1r1Q15seqRM/edit?usp=sharing"",""สุโขทัย!Q101"")+IMPORTRANGE(""http"&amp;"s://docs.google.com/spreadsheets/d/1v0b9pFQCsKUVExMei7AgY2yQkdeNQvtOssygGsXbiKo/edit?usp=sharing"",""อุตรดิตถ์!Q101"")+IMPORTRANGE(""https://docs.google.com/spreadsheets/d/1UsNK1e-WWiCo2PvGqdNfdme4m17_Ezd3J69EeeiQPD0/edit?usp=sharing"",""อุทัยธานี!Q101"")"),0)</f>
        <v>0</v>
      </c>
      <c r="R101" s="48">
        <f ca="1">IFERROR(__xludf.DUMMYFUNCTION("IMPORTRANGE(""https://docs.google.com/spreadsheets/d/1jTcq05yEiRwXcBMLjiodW9e4biSGYWAHcDj22rKWQ3s/edit?usp=sharing"",""กำแพงเพชร!R101"")+IMPORTRANGE(""https://docs.google.com/spreadsheets/d/1KS0zmDSZPk8KnTAbGN-Xk6MtX1YRZD0ldgdt20K4CRk/edit?usp=sharing"","&amp;"""เชียงราย!R101"")+IMPORTRANGE(""https://docs.google.com/spreadsheets/d/1rEDxBtusbi64tE0zunoIbsTVV16HeL0oJ6trHQeQ7K8/edit?usp=sharing"",""เชียงใหม่!R101"")+IMPORTRANGE(""https://docs.google.com/spreadsheets/d/1W6MnUbDkMi6xHnHko_XkFDO9kkuL6Wqyc-6OCDFjW9I/e"&amp;"dit?usp=sharing"",""ตาก!R101"")+IMPORTRANGE(""https://docs.google.com/spreadsheets/d/1IQAWArduLkta9LpYo4a_ULsyqdta6-6aDDiwpUnQT6c/edit?usp=sharing"",""นครสวรรค์!R101"")+IMPORTRANGE(""https://docs.google.com/spreadsheets/d/10s13Sk5xrltsiR-Zkbmk5DwIaDIKO8Xl"&amp;"bJAfqyT7Gvg/edit?usp=sharing"",""น่าน!R101"")+IMPORTRANGE(""https://docs.google.com/spreadsheets/d/1uu4nAn4Dbi1XREnLKKotUANlKXa7yCgRcgq8HEzQYW8/edit?usp=sharing"",""พะเยา!R101"")+IMPORTRANGE(""https://docs.google.com/spreadsheets/d/1xfJKIQxVOaPDIICqsflNlL"&amp;"u3JacTDk1FP9RH4phX7mI/edit?usp=sharing"",""พิจิตร!R101"")+IMPORTRANGE(""https://docs.google.com/spreadsheets/d/1JtRfZkJMHtEhI5RdRHxYUG4FIZHqKDpNyIuN7A1Q0_k/edit?usp=sharing"",""พิษณุโลก!R101"")+IMPORTRANGE(""https://docs.google.com/spreadsheets/d/1xlcVZWU"&amp;"Nn6SuWm0c307h32SiGkd9BaeQWlAktfD3KO8/edit?usp=sharing"",""เพชรบูรณ์!R101"")+IMPORTRANGE(""https://docs.google.com/spreadsheets/d/1lOVebEIsI9qjGXl6EX66luk7wiuP2tBaryw-wKvv4e0/edit?usp=sharing"",""แพร่!R101"")+IMPORTRANGE(""https://docs.google.com/spreadshe"&amp;"ets/d/1dQrvX0vEcN7Gu0fnZ0B5S90AeR19zth4XlExFBeExMY/edit?usp=sharing"",""แม่ฮ่องสอน!R101"")+IMPORTRANGE(""https://docs.google.com/spreadsheets/d/1DY4XTNNwjluuxqdfdn6qvOSlMRrZqUtmYcZR0ttFiG4/edit?usp=sharing"",""ลำปาง!R101"")+IMPORTRANGE(""https://docs.goog"&amp;"le.com/spreadsheets/d/1ICwG78r0OFT8biBlxnBF8r7she7gNSzOvJ958PWT09c/edit?usp=sharing"",""ลำพูน!R101"")+IMPORTRANGE(""https://docs.google.com/spreadsheets/d/1B0f2xJpZUC6Z0xXnqKlZtEPzsf6L84eP1r1Q15seqRM/edit?usp=sharing"",""สุโขทัย!R101"")+IMPORTRANGE(""http"&amp;"s://docs.google.com/spreadsheets/d/1v0b9pFQCsKUVExMei7AgY2yQkdeNQvtOssygGsXbiKo/edit?usp=sharing"",""อุตรดิตถ์!R101"")+IMPORTRANGE(""https://docs.google.com/spreadsheets/d/1UsNK1e-WWiCo2PvGqdNfdme4m17_Ezd3J69EeeiQPD0/edit?usp=sharing"",""อุทัยธานี!R101"")"),0)</f>
        <v>0</v>
      </c>
      <c r="S101" s="48">
        <f ca="1">IFERROR(__xludf.DUMMYFUNCTION("IMPORTRANGE(""https://docs.google.com/spreadsheets/d/1jTcq05yEiRwXcBMLjiodW9e4biSGYWAHcDj22rKWQ3s/edit?usp=sharing"",""กำแพงเพชร!S101"")+IMPORTRANGE(""https://docs.google.com/spreadsheets/d/1KS0zmDSZPk8KnTAbGN-Xk6MtX1YRZD0ldgdt20K4CRk/edit?usp=sharing"","&amp;"""เชียงราย!S101"")+IMPORTRANGE(""https://docs.google.com/spreadsheets/d/1rEDxBtusbi64tE0zunoIbsTVV16HeL0oJ6trHQeQ7K8/edit?usp=sharing"",""เชียงใหม่!S101"")+IMPORTRANGE(""https://docs.google.com/spreadsheets/d/1W6MnUbDkMi6xHnHko_XkFDO9kkuL6Wqyc-6OCDFjW9I/e"&amp;"dit?usp=sharing"",""ตาก!S101"")+IMPORTRANGE(""https://docs.google.com/spreadsheets/d/1IQAWArduLkta9LpYo4a_ULsyqdta6-6aDDiwpUnQT6c/edit?usp=sharing"",""นครสวรรค์!S101"")+IMPORTRANGE(""https://docs.google.com/spreadsheets/d/10s13Sk5xrltsiR-Zkbmk5DwIaDIKO8Xl"&amp;"bJAfqyT7Gvg/edit?usp=sharing"",""น่าน!S101"")+IMPORTRANGE(""https://docs.google.com/spreadsheets/d/1uu4nAn4Dbi1XREnLKKotUANlKXa7yCgRcgq8HEzQYW8/edit?usp=sharing"",""พะเยา!S101"")+IMPORTRANGE(""https://docs.google.com/spreadsheets/d/1xfJKIQxVOaPDIICqsflNlL"&amp;"u3JacTDk1FP9RH4phX7mI/edit?usp=sharing"",""พิจิตร!S101"")+IMPORTRANGE(""https://docs.google.com/spreadsheets/d/1JtRfZkJMHtEhI5RdRHxYUG4FIZHqKDpNyIuN7A1Q0_k/edit?usp=sharing"",""พิษณุโลก!S101"")+IMPORTRANGE(""https://docs.google.com/spreadsheets/d/1xlcVZWU"&amp;"Nn6SuWm0c307h32SiGkd9BaeQWlAktfD3KO8/edit?usp=sharing"",""เพชรบูรณ์!S101"")+IMPORTRANGE(""https://docs.google.com/spreadsheets/d/1lOVebEIsI9qjGXl6EX66luk7wiuP2tBaryw-wKvv4e0/edit?usp=sharing"",""แพร่!S101"")+IMPORTRANGE(""https://docs.google.com/spreadshe"&amp;"ets/d/1dQrvX0vEcN7Gu0fnZ0B5S90AeR19zth4XlExFBeExMY/edit?usp=sharing"",""แม่ฮ่องสอน!S101"")+IMPORTRANGE(""https://docs.google.com/spreadsheets/d/1DY4XTNNwjluuxqdfdn6qvOSlMRrZqUtmYcZR0ttFiG4/edit?usp=sharing"",""ลำปาง!S101"")+IMPORTRANGE(""https://docs.goog"&amp;"le.com/spreadsheets/d/1ICwG78r0OFT8biBlxnBF8r7she7gNSzOvJ958PWT09c/edit?usp=sharing"",""ลำพูน!S101"")+IMPORTRANGE(""https://docs.google.com/spreadsheets/d/1B0f2xJpZUC6Z0xXnqKlZtEPzsf6L84eP1r1Q15seqRM/edit?usp=sharing"",""สุโขทัย!S101"")+IMPORTRANGE(""http"&amp;"s://docs.google.com/spreadsheets/d/1v0b9pFQCsKUVExMei7AgY2yQkdeNQvtOssygGsXbiKo/edit?usp=sharing"",""อุตรดิตถ์!S101"")+IMPORTRANGE(""https://docs.google.com/spreadsheets/d/1UsNK1e-WWiCo2PvGqdNfdme4m17_Ezd3J69EeeiQPD0/edit?usp=sharing"",""อุทัยธานี!S101"")"),0)</f>
        <v>0</v>
      </c>
      <c r="T101" s="48">
        <f t="shared" ca="1" si="77"/>
        <v>0</v>
      </c>
      <c r="U101" s="48">
        <f t="shared" ca="1" si="78"/>
        <v>0</v>
      </c>
    </row>
    <row r="102" spans="1:21" ht="18.75" x14ac:dyDescent="0.25">
      <c r="A102" s="128"/>
      <c r="B102" s="158"/>
      <c r="C102" s="158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46">
        <f ca="1">IFERROR(__xludf.DUMMYFUNCTION("IMPORTRANGE(""https://docs.google.com/spreadsheets/d/1jTcq05yEiRwXcBMLjiodW9e4biSGYWAHcDj22rKWQ3s/edit?usp=sharing"",""กำแพงเพชร!L102"")+IMPORTRANGE(""https://docs.google.com/spreadsheets/d/1KS0zmDSZPk8KnTAbGN-Xk6MtX1YRZD0ldgdt20K4CRk/edit?usp=sharing"","&amp;"""เชียงราย!L102"")+IMPORTRANGE(""https://docs.google.com/spreadsheets/d/1rEDxBtusbi64tE0zunoIbsTVV16HeL0oJ6trHQeQ7K8/edit?usp=sharing"",""เชียงใหม่!L102"")+IMPORTRANGE(""https://docs.google.com/spreadsheets/d/1W6MnUbDkMi6xHnHko_XkFDO9kkuL6Wqyc-6OCDFjW9I/e"&amp;"dit?usp=sharing"",""ตาก!L102"")+IMPORTRANGE(""https://docs.google.com/spreadsheets/d/1IQAWArduLkta9LpYo4a_ULsyqdta6-6aDDiwpUnQT6c/edit?usp=sharing"",""นครสวรรค์!L102"")+IMPORTRANGE(""https://docs.google.com/spreadsheets/d/10s13Sk5xrltsiR-Zkbmk5DwIaDIKO8Xl"&amp;"bJAfqyT7Gvg/edit?usp=sharing"",""น่าน!L102"")+IMPORTRANGE(""https://docs.google.com/spreadsheets/d/1uu4nAn4Dbi1XREnLKKotUANlKXa7yCgRcgq8HEzQYW8/edit?usp=sharing"",""พะเยา!L102"")+IMPORTRANGE(""https://docs.google.com/spreadsheets/d/1xfJKIQxVOaPDIICqsflNlL"&amp;"u3JacTDk1FP9RH4phX7mI/edit?usp=sharing"",""พิจิตร!L102"")+IMPORTRANGE(""https://docs.google.com/spreadsheets/d/1JtRfZkJMHtEhI5RdRHxYUG4FIZHqKDpNyIuN7A1Q0_k/edit?usp=sharing"",""พิษณุโลก!L102"")+IMPORTRANGE(""https://docs.google.com/spreadsheets/d/1xlcVZWU"&amp;"Nn6SuWm0c307h32SiGkd9BaeQWlAktfD3KO8/edit?usp=sharing"",""เพชรบูรณ์!L102"")+IMPORTRANGE(""https://docs.google.com/spreadsheets/d/1lOVebEIsI9qjGXl6EX66luk7wiuP2tBaryw-wKvv4e0/edit?usp=sharing"",""แพร่!L102"")+IMPORTRANGE(""https://docs.google.com/spreadshe"&amp;"ets/d/1dQrvX0vEcN7Gu0fnZ0B5S90AeR19zth4XlExFBeExMY/edit?usp=sharing"",""แม่ฮ่องสอน!L102"")+IMPORTRANGE(""https://docs.google.com/spreadsheets/d/1DY4XTNNwjluuxqdfdn6qvOSlMRrZqUtmYcZR0ttFiG4/edit?usp=sharing"",""ลำปาง!L102"")+IMPORTRANGE(""https://docs.goog"&amp;"le.com/spreadsheets/d/1ICwG78r0OFT8biBlxnBF8r7she7gNSzOvJ958PWT09c/edit?usp=sharing"",""ลำพูน!L102"")+IMPORTRANGE(""https://docs.google.com/spreadsheets/d/1B0f2xJpZUC6Z0xXnqKlZtEPzsf6L84eP1r1Q15seqRM/edit?usp=sharing"",""สุโขทัย!L102"")+IMPORTRANGE(""http"&amp;"s://docs.google.com/spreadsheets/d/1v0b9pFQCsKUVExMei7AgY2yQkdeNQvtOssygGsXbiKo/edit?usp=sharing"",""อุตรดิตถ์!L102"")+IMPORTRANGE(""https://docs.google.com/spreadsheets/d/1UsNK1e-WWiCo2PvGqdNfdme4m17_Ezd3J69EeeiQPD0/edit?usp=sharing"",""อุทัยธานี!L102"")"),0)</f>
        <v>0</v>
      </c>
      <c r="M102" s="46">
        <f ca="1">IFERROR(__xludf.DUMMYFUNCTION("IMPORTRANGE(""https://docs.google.com/spreadsheets/d/1jTcq05yEiRwXcBMLjiodW9e4biSGYWAHcDj22rKWQ3s/edit?usp=sharing"",""กำแพงเพชร!M102"")+IMPORTRANGE(""https://docs.google.com/spreadsheets/d/1KS0zmDSZPk8KnTAbGN-Xk6MtX1YRZD0ldgdt20K4CRk/edit?usp=sharing"","&amp;"""เชียงราย!M102"")+IMPORTRANGE(""https://docs.google.com/spreadsheets/d/1rEDxBtusbi64tE0zunoIbsTVV16HeL0oJ6trHQeQ7K8/edit?usp=sharing"",""เชียงใหม่!M102"")+IMPORTRANGE(""https://docs.google.com/spreadsheets/d/1W6MnUbDkMi6xHnHko_XkFDO9kkuL6Wqyc-6OCDFjW9I/e"&amp;"dit?usp=sharing"",""ตาก!M102"")+IMPORTRANGE(""https://docs.google.com/spreadsheets/d/1IQAWArduLkta9LpYo4a_ULsyqdta6-6aDDiwpUnQT6c/edit?usp=sharing"",""นครสวรรค์!M102"")+IMPORTRANGE(""https://docs.google.com/spreadsheets/d/10s13Sk5xrltsiR-Zkbmk5DwIaDIKO8Xl"&amp;"bJAfqyT7Gvg/edit?usp=sharing"",""น่าน!M102"")+IMPORTRANGE(""https://docs.google.com/spreadsheets/d/1uu4nAn4Dbi1XREnLKKotUANlKXa7yCgRcgq8HEzQYW8/edit?usp=sharing"",""พะเยา!M102"")+IMPORTRANGE(""https://docs.google.com/spreadsheets/d/1xfJKIQxVOaPDIICqsflNlL"&amp;"u3JacTDk1FP9RH4phX7mI/edit?usp=sharing"",""พิจิตร!M102"")+IMPORTRANGE(""https://docs.google.com/spreadsheets/d/1JtRfZkJMHtEhI5RdRHxYUG4FIZHqKDpNyIuN7A1Q0_k/edit?usp=sharing"",""พิษณุโลก!M102"")+IMPORTRANGE(""https://docs.google.com/spreadsheets/d/1xlcVZWU"&amp;"Nn6SuWm0c307h32SiGkd9BaeQWlAktfD3KO8/edit?usp=sharing"",""เพชรบูรณ์!M102"")+IMPORTRANGE(""https://docs.google.com/spreadsheets/d/1lOVebEIsI9qjGXl6EX66luk7wiuP2tBaryw-wKvv4e0/edit?usp=sharing"",""แพร่!M102"")+IMPORTRANGE(""https://docs.google.com/spreadshe"&amp;"ets/d/1dQrvX0vEcN7Gu0fnZ0B5S90AeR19zth4XlExFBeExMY/edit?usp=sharing"",""แม่ฮ่องสอน!M102"")+IMPORTRANGE(""https://docs.google.com/spreadsheets/d/1DY4XTNNwjluuxqdfdn6qvOSlMRrZqUtmYcZR0ttFiG4/edit?usp=sharing"",""ลำปาง!M102"")+IMPORTRANGE(""https://docs.goog"&amp;"le.com/spreadsheets/d/1ICwG78r0OFT8biBlxnBF8r7she7gNSzOvJ958PWT09c/edit?usp=sharing"",""ลำพูน!M102"")+IMPORTRANGE(""https://docs.google.com/spreadsheets/d/1B0f2xJpZUC6Z0xXnqKlZtEPzsf6L84eP1r1Q15seqRM/edit?usp=sharing"",""สุโขทัย!M102"")+IMPORTRANGE(""http"&amp;"s://docs.google.com/spreadsheets/d/1v0b9pFQCsKUVExMei7AgY2yQkdeNQvtOssygGsXbiKo/edit?usp=sharing"",""อุตรดิตถ์!M102"")+IMPORTRANGE(""https://docs.google.com/spreadsheets/d/1UsNK1e-WWiCo2PvGqdNfdme4m17_Ezd3J69EeeiQPD0/edit?usp=sharing"",""อุทัยธานี!M102"")"),0)</f>
        <v>0</v>
      </c>
      <c r="N102" s="46">
        <f ca="1">IFERROR(__xludf.DUMMYFUNCTION("IMPORTRANGE(""https://docs.google.com/spreadsheets/d/1jTcq05yEiRwXcBMLjiodW9e4biSGYWAHcDj22rKWQ3s/edit?usp=sharing"",""กำแพงเพชร!N102"")+IMPORTRANGE(""https://docs.google.com/spreadsheets/d/1KS0zmDSZPk8KnTAbGN-Xk6MtX1YRZD0ldgdt20K4CRk/edit?usp=sharing"","&amp;"""เชียงราย!N102"")+IMPORTRANGE(""https://docs.google.com/spreadsheets/d/1rEDxBtusbi64tE0zunoIbsTVV16HeL0oJ6trHQeQ7K8/edit?usp=sharing"",""เชียงใหม่!N102"")+IMPORTRANGE(""https://docs.google.com/spreadsheets/d/1W6MnUbDkMi6xHnHko_XkFDO9kkuL6Wqyc-6OCDFjW9I/e"&amp;"dit?usp=sharing"",""ตาก!N102"")+IMPORTRANGE(""https://docs.google.com/spreadsheets/d/1IQAWArduLkta9LpYo4a_ULsyqdta6-6aDDiwpUnQT6c/edit?usp=sharing"",""นครสวรรค์!N102"")+IMPORTRANGE(""https://docs.google.com/spreadsheets/d/10s13Sk5xrltsiR-Zkbmk5DwIaDIKO8Xl"&amp;"bJAfqyT7Gvg/edit?usp=sharing"",""น่าน!N102"")+IMPORTRANGE(""https://docs.google.com/spreadsheets/d/1uu4nAn4Dbi1XREnLKKotUANlKXa7yCgRcgq8HEzQYW8/edit?usp=sharing"",""พะเยา!N102"")+IMPORTRANGE(""https://docs.google.com/spreadsheets/d/1xfJKIQxVOaPDIICqsflNlL"&amp;"u3JacTDk1FP9RH4phX7mI/edit?usp=sharing"",""พิจิตร!N102"")+IMPORTRANGE(""https://docs.google.com/spreadsheets/d/1JtRfZkJMHtEhI5RdRHxYUG4FIZHqKDpNyIuN7A1Q0_k/edit?usp=sharing"",""พิษณุโลก!N102"")+IMPORTRANGE(""https://docs.google.com/spreadsheets/d/1xlcVZWU"&amp;"Nn6SuWm0c307h32SiGkd9BaeQWlAktfD3KO8/edit?usp=sharing"",""เพชรบูรณ์!N102"")+IMPORTRANGE(""https://docs.google.com/spreadsheets/d/1lOVebEIsI9qjGXl6EX66luk7wiuP2tBaryw-wKvv4e0/edit?usp=sharing"",""แพร่!N102"")+IMPORTRANGE(""https://docs.google.com/spreadshe"&amp;"ets/d/1dQrvX0vEcN7Gu0fnZ0B5S90AeR19zth4XlExFBeExMY/edit?usp=sharing"",""แม่ฮ่องสอน!N102"")+IMPORTRANGE(""https://docs.google.com/spreadsheets/d/1DY4XTNNwjluuxqdfdn6qvOSlMRrZqUtmYcZR0ttFiG4/edit?usp=sharing"",""ลำปาง!N102"")+IMPORTRANGE(""https://docs.goog"&amp;"le.com/spreadsheets/d/1ICwG78r0OFT8biBlxnBF8r7she7gNSzOvJ958PWT09c/edit?usp=sharing"",""ลำพูน!N102"")+IMPORTRANGE(""https://docs.google.com/spreadsheets/d/1B0f2xJpZUC6Z0xXnqKlZtEPzsf6L84eP1r1Q15seqRM/edit?usp=sharing"",""สุโขทัย!N102"")+IMPORTRANGE(""http"&amp;"s://docs.google.com/spreadsheets/d/1v0b9pFQCsKUVExMei7AgY2yQkdeNQvtOssygGsXbiKo/edit?usp=sharing"",""อุตรดิตถ์!N102"")+IMPORTRANGE(""https://docs.google.com/spreadsheets/d/1UsNK1e-WWiCo2PvGqdNfdme4m17_Ezd3J69EeeiQPD0/edit?usp=sharing"",""อุทัยธานี!N102"")"),0)</f>
        <v>0</v>
      </c>
      <c r="O102" s="46">
        <f t="shared" ca="1" si="74"/>
        <v>0</v>
      </c>
      <c r="P102" s="46">
        <f t="shared" ca="1" si="75"/>
        <v>0</v>
      </c>
      <c r="Q102" s="46">
        <f ca="1">IFERROR(__xludf.DUMMYFUNCTION("IMPORTRANGE(""https://docs.google.com/spreadsheets/d/1jTcq05yEiRwXcBMLjiodW9e4biSGYWAHcDj22rKWQ3s/edit?usp=sharing"",""กำแพงเพชร!Q102"")+IMPORTRANGE(""https://docs.google.com/spreadsheets/d/1KS0zmDSZPk8KnTAbGN-Xk6MtX1YRZD0ldgdt20K4CRk/edit?usp=sharing"","&amp;"""เชียงราย!Q102"")+IMPORTRANGE(""https://docs.google.com/spreadsheets/d/1rEDxBtusbi64tE0zunoIbsTVV16HeL0oJ6trHQeQ7K8/edit?usp=sharing"",""เชียงใหม่!Q102"")+IMPORTRANGE(""https://docs.google.com/spreadsheets/d/1W6MnUbDkMi6xHnHko_XkFDO9kkuL6Wqyc-6OCDFjW9I/e"&amp;"dit?usp=sharing"",""ตาก!Q102"")+IMPORTRANGE(""https://docs.google.com/spreadsheets/d/1IQAWArduLkta9LpYo4a_ULsyqdta6-6aDDiwpUnQT6c/edit?usp=sharing"",""นครสวรรค์!Q102"")+IMPORTRANGE(""https://docs.google.com/spreadsheets/d/10s13Sk5xrltsiR-Zkbmk5DwIaDIKO8Xl"&amp;"bJAfqyT7Gvg/edit?usp=sharing"",""น่าน!Q102"")+IMPORTRANGE(""https://docs.google.com/spreadsheets/d/1uu4nAn4Dbi1XREnLKKotUANlKXa7yCgRcgq8HEzQYW8/edit?usp=sharing"",""พะเยา!Q102"")+IMPORTRANGE(""https://docs.google.com/spreadsheets/d/1xfJKIQxVOaPDIICqsflNlL"&amp;"u3JacTDk1FP9RH4phX7mI/edit?usp=sharing"",""พิจิตร!Q102"")+IMPORTRANGE(""https://docs.google.com/spreadsheets/d/1JtRfZkJMHtEhI5RdRHxYUG4FIZHqKDpNyIuN7A1Q0_k/edit?usp=sharing"",""พิษณุโลก!Q102"")+IMPORTRANGE(""https://docs.google.com/spreadsheets/d/1xlcVZWU"&amp;"Nn6SuWm0c307h32SiGkd9BaeQWlAktfD3KO8/edit?usp=sharing"",""เพชรบูรณ์!Q102"")+IMPORTRANGE(""https://docs.google.com/spreadsheets/d/1lOVebEIsI9qjGXl6EX66luk7wiuP2tBaryw-wKvv4e0/edit?usp=sharing"",""แพร่!Q102"")+IMPORTRANGE(""https://docs.google.com/spreadshe"&amp;"ets/d/1dQrvX0vEcN7Gu0fnZ0B5S90AeR19zth4XlExFBeExMY/edit?usp=sharing"",""แม่ฮ่องสอน!Q102"")+IMPORTRANGE(""https://docs.google.com/spreadsheets/d/1DY4XTNNwjluuxqdfdn6qvOSlMRrZqUtmYcZR0ttFiG4/edit?usp=sharing"",""ลำปาง!Q102"")+IMPORTRANGE(""https://docs.goog"&amp;"le.com/spreadsheets/d/1ICwG78r0OFT8biBlxnBF8r7she7gNSzOvJ958PWT09c/edit?usp=sharing"",""ลำพูน!Q102"")+IMPORTRANGE(""https://docs.google.com/spreadsheets/d/1B0f2xJpZUC6Z0xXnqKlZtEPzsf6L84eP1r1Q15seqRM/edit?usp=sharing"",""สุโขทัย!Q102"")+IMPORTRANGE(""http"&amp;"s://docs.google.com/spreadsheets/d/1v0b9pFQCsKUVExMei7AgY2yQkdeNQvtOssygGsXbiKo/edit?usp=sharing"",""อุตรดิตถ์!Q102"")+IMPORTRANGE(""https://docs.google.com/spreadsheets/d/1UsNK1e-WWiCo2PvGqdNfdme4m17_Ezd3J69EeeiQPD0/edit?usp=sharing"",""อุทัยธานี!Q102"")"),0)</f>
        <v>0</v>
      </c>
      <c r="R102" s="46">
        <f ca="1">IFERROR(__xludf.DUMMYFUNCTION("IMPORTRANGE(""https://docs.google.com/spreadsheets/d/1jTcq05yEiRwXcBMLjiodW9e4biSGYWAHcDj22rKWQ3s/edit?usp=sharing"",""กำแพงเพชร!R102"")+IMPORTRANGE(""https://docs.google.com/spreadsheets/d/1KS0zmDSZPk8KnTAbGN-Xk6MtX1YRZD0ldgdt20K4CRk/edit?usp=sharing"","&amp;"""เชียงราย!R102"")+IMPORTRANGE(""https://docs.google.com/spreadsheets/d/1rEDxBtusbi64tE0zunoIbsTVV16HeL0oJ6trHQeQ7K8/edit?usp=sharing"",""เชียงใหม่!R102"")+IMPORTRANGE(""https://docs.google.com/spreadsheets/d/1W6MnUbDkMi6xHnHko_XkFDO9kkuL6Wqyc-6OCDFjW9I/e"&amp;"dit?usp=sharing"",""ตาก!R102"")+IMPORTRANGE(""https://docs.google.com/spreadsheets/d/1IQAWArduLkta9LpYo4a_ULsyqdta6-6aDDiwpUnQT6c/edit?usp=sharing"",""นครสวรรค์!R102"")+IMPORTRANGE(""https://docs.google.com/spreadsheets/d/10s13Sk5xrltsiR-Zkbmk5DwIaDIKO8Xl"&amp;"bJAfqyT7Gvg/edit?usp=sharing"",""น่าน!R102"")+IMPORTRANGE(""https://docs.google.com/spreadsheets/d/1uu4nAn4Dbi1XREnLKKotUANlKXa7yCgRcgq8HEzQYW8/edit?usp=sharing"",""พะเยา!R102"")+IMPORTRANGE(""https://docs.google.com/spreadsheets/d/1xfJKIQxVOaPDIICqsflNlL"&amp;"u3JacTDk1FP9RH4phX7mI/edit?usp=sharing"",""พิจิตร!R102"")+IMPORTRANGE(""https://docs.google.com/spreadsheets/d/1JtRfZkJMHtEhI5RdRHxYUG4FIZHqKDpNyIuN7A1Q0_k/edit?usp=sharing"",""พิษณุโลก!R102"")+IMPORTRANGE(""https://docs.google.com/spreadsheets/d/1xlcVZWU"&amp;"Nn6SuWm0c307h32SiGkd9BaeQWlAktfD3KO8/edit?usp=sharing"",""เพชรบูรณ์!R102"")+IMPORTRANGE(""https://docs.google.com/spreadsheets/d/1lOVebEIsI9qjGXl6EX66luk7wiuP2tBaryw-wKvv4e0/edit?usp=sharing"",""แพร่!R102"")+IMPORTRANGE(""https://docs.google.com/spreadshe"&amp;"ets/d/1dQrvX0vEcN7Gu0fnZ0B5S90AeR19zth4XlExFBeExMY/edit?usp=sharing"",""แม่ฮ่องสอน!R102"")+IMPORTRANGE(""https://docs.google.com/spreadsheets/d/1DY4XTNNwjluuxqdfdn6qvOSlMRrZqUtmYcZR0ttFiG4/edit?usp=sharing"",""ลำปาง!R102"")+IMPORTRANGE(""https://docs.goog"&amp;"le.com/spreadsheets/d/1ICwG78r0OFT8biBlxnBF8r7she7gNSzOvJ958PWT09c/edit?usp=sharing"",""ลำพูน!R102"")+IMPORTRANGE(""https://docs.google.com/spreadsheets/d/1B0f2xJpZUC6Z0xXnqKlZtEPzsf6L84eP1r1Q15seqRM/edit?usp=sharing"",""สุโขทัย!R102"")+IMPORTRANGE(""http"&amp;"s://docs.google.com/spreadsheets/d/1v0b9pFQCsKUVExMei7AgY2yQkdeNQvtOssygGsXbiKo/edit?usp=sharing"",""อุตรดิตถ์!R102"")+IMPORTRANGE(""https://docs.google.com/spreadsheets/d/1UsNK1e-WWiCo2PvGqdNfdme4m17_Ezd3J69EeeiQPD0/edit?usp=sharing"",""อุทัยธานี!R102"")"),0)</f>
        <v>0</v>
      </c>
      <c r="S102" s="46">
        <f ca="1">IFERROR(__xludf.DUMMYFUNCTION("IMPORTRANGE(""https://docs.google.com/spreadsheets/d/1jTcq05yEiRwXcBMLjiodW9e4biSGYWAHcDj22rKWQ3s/edit?usp=sharing"",""กำแพงเพชร!S102"")+IMPORTRANGE(""https://docs.google.com/spreadsheets/d/1KS0zmDSZPk8KnTAbGN-Xk6MtX1YRZD0ldgdt20K4CRk/edit?usp=sharing"","&amp;"""เชียงราย!S102"")+IMPORTRANGE(""https://docs.google.com/spreadsheets/d/1rEDxBtusbi64tE0zunoIbsTVV16HeL0oJ6trHQeQ7K8/edit?usp=sharing"",""เชียงใหม่!S102"")+IMPORTRANGE(""https://docs.google.com/spreadsheets/d/1W6MnUbDkMi6xHnHko_XkFDO9kkuL6Wqyc-6OCDFjW9I/e"&amp;"dit?usp=sharing"",""ตาก!S102"")+IMPORTRANGE(""https://docs.google.com/spreadsheets/d/1IQAWArduLkta9LpYo4a_ULsyqdta6-6aDDiwpUnQT6c/edit?usp=sharing"",""นครสวรรค์!S102"")+IMPORTRANGE(""https://docs.google.com/spreadsheets/d/10s13Sk5xrltsiR-Zkbmk5DwIaDIKO8Xl"&amp;"bJAfqyT7Gvg/edit?usp=sharing"",""น่าน!S102"")+IMPORTRANGE(""https://docs.google.com/spreadsheets/d/1uu4nAn4Dbi1XREnLKKotUANlKXa7yCgRcgq8HEzQYW8/edit?usp=sharing"",""พะเยา!S102"")+IMPORTRANGE(""https://docs.google.com/spreadsheets/d/1xfJKIQxVOaPDIICqsflNlL"&amp;"u3JacTDk1FP9RH4phX7mI/edit?usp=sharing"",""พิจิตร!S102"")+IMPORTRANGE(""https://docs.google.com/spreadsheets/d/1JtRfZkJMHtEhI5RdRHxYUG4FIZHqKDpNyIuN7A1Q0_k/edit?usp=sharing"",""พิษณุโลก!S102"")+IMPORTRANGE(""https://docs.google.com/spreadsheets/d/1xlcVZWU"&amp;"Nn6SuWm0c307h32SiGkd9BaeQWlAktfD3KO8/edit?usp=sharing"",""เพชรบูรณ์!S102"")+IMPORTRANGE(""https://docs.google.com/spreadsheets/d/1lOVebEIsI9qjGXl6EX66luk7wiuP2tBaryw-wKvv4e0/edit?usp=sharing"",""แพร่!S102"")+IMPORTRANGE(""https://docs.google.com/spreadshe"&amp;"ets/d/1dQrvX0vEcN7Gu0fnZ0B5S90AeR19zth4XlExFBeExMY/edit?usp=sharing"",""แม่ฮ่องสอน!S102"")+IMPORTRANGE(""https://docs.google.com/spreadsheets/d/1DY4XTNNwjluuxqdfdn6qvOSlMRrZqUtmYcZR0ttFiG4/edit?usp=sharing"",""ลำปาง!S102"")+IMPORTRANGE(""https://docs.goog"&amp;"le.com/spreadsheets/d/1ICwG78r0OFT8biBlxnBF8r7she7gNSzOvJ958PWT09c/edit?usp=sharing"",""ลำพูน!S102"")+IMPORTRANGE(""https://docs.google.com/spreadsheets/d/1B0f2xJpZUC6Z0xXnqKlZtEPzsf6L84eP1r1Q15seqRM/edit?usp=sharing"",""สุโขทัย!S102"")+IMPORTRANGE(""http"&amp;"s://docs.google.com/spreadsheets/d/1v0b9pFQCsKUVExMei7AgY2yQkdeNQvtOssygGsXbiKo/edit?usp=sharing"",""อุตรดิตถ์!S102"")+IMPORTRANGE(""https://docs.google.com/spreadsheets/d/1UsNK1e-WWiCo2PvGqdNfdme4m17_Ezd3J69EeeiQPD0/edit?usp=sharing"",""อุทัยธานี!S102"")"),0)</f>
        <v>0</v>
      </c>
      <c r="T102" s="46">
        <f t="shared" ca="1" si="77"/>
        <v>0</v>
      </c>
      <c r="U102" s="46">
        <f t="shared" ca="1" si="78"/>
        <v>0</v>
      </c>
    </row>
    <row r="103" spans="1:21" ht="19.5" x14ac:dyDescent="0.3">
      <c r="A103" s="138"/>
      <c r="B103" s="139"/>
      <c r="C103" s="161" t="s">
        <v>18</v>
      </c>
      <c r="D103" s="140" t="s">
        <v>38</v>
      </c>
      <c r="E103" s="141"/>
      <c r="F103" s="141"/>
      <c r="G103" s="142"/>
      <c r="H103" s="143"/>
      <c r="I103" s="135"/>
      <c r="J103" s="44"/>
      <c r="K103" s="45"/>
      <c r="L103" s="45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45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66">
        <f ca="1">IFERROR(__xludf.DUMMYFUNCTION("IMPORTRANGE(""https://docs.google.com/spreadsheets/d/1jTcq05yEiRwXcBMLjiodW9e4biSGYWAHcDj22rKWQ3s/edit?usp=sharing"",""กำแพงเพชร!I108"")+IMPORTRANGE(""https://docs.google.com/spreadsheets/d/1KS0zmDSZPk8KnTAbGN-Xk6MtX1YRZD0ldgdt20K4CRk/edit?usp=sharing"","&amp;"""เชียงราย!I108"")+IMPORTRANGE(""https://docs.google.com/spreadsheets/d/1rEDxBtusbi64tE0zunoIbsTVV16HeL0oJ6trHQeQ7K8/edit?usp=sharing"",""เชียงใหม่!I108"")+IMPORTRANGE(""https://docs.google.com/spreadsheets/d/1W6MnUbDkMi6xHnHko_XkFDO9kkuL6Wqyc-6OCDFjW9I/e"&amp;"dit?usp=sharing"",""ตาก!I108"")+IMPORTRANGE(""https://docs.google.com/spreadsheets/d/1IQAWArduLkta9LpYo4a_ULsyqdta6-6aDDiwpUnQT6c/edit?usp=sharing"",""นครสวรรค์!I108"")+IMPORTRANGE(""https://docs.google.com/spreadsheets/d/10s13Sk5xrltsiR-Zkbmk5DwIaDIKO8Xl"&amp;"bJAfqyT7Gvg/edit?usp=sharing"",""น่าน!I108"")+IMPORTRANGE(""https://docs.google.com/spreadsheets/d/1uu4nAn4Dbi1XREnLKKotUANlKXa7yCgRcgq8HEzQYW8/edit?usp=sharing"",""พะเยา!I108"")+IMPORTRANGE(""https://docs.google.com/spreadsheets/d/1xfJKIQxVOaPDIICqsflNlL"&amp;"u3JacTDk1FP9RH4phX7mI/edit?usp=sharing"",""พิจิตร!I108"")+IMPORTRANGE(""https://docs.google.com/spreadsheets/d/1JtRfZkJMHtEhI5RdRHxYUG4FIZHqKDpNyIuN7A1Q0_k/edit?usp=sharing"",""พิษณุโลก!I108"")+IMPORTRANGE(""https://docs.google.com/spreadsheets/d/1xlcVZWU"&amp;"Nn6SuWm0c307h32SiGkd9BaeQWlAktfD3KO8/edit?usp=sharing"",""เพชรบูรณ์!I108"")+IMPORTRANGE(""https://docs.google.com/spreadsheets/d/1lOVebEIsI9qjGXl6EX66luk7wiuP2tBaryw-wKvv4e0/edit?usp=sharing"",""แพร่!I108"")+IMPORTRANGE(""https://docs.google.com/spreadshe"&amp;"ets/d/1dQrvX0vEcN7Gu0fnZ0B5S90AeR19zth4XlExFBeExMY/edit?usp=sharing"",""แม่ฮ่องสอน!I108"")+IMPORTRANGE(""https://docs.google.com/spreadsheets/d/1DY4XTNNwjluuxqdfdn6qvOSlMRrZqUtmYcZR0ttFiG4/edit?usp=sharing"",""ลำปาง!I108"")+IMPORTRANGE(""https://docs.goog"&amp;"le.com/spreadsheets/d/1ICwG78r0OFT8biBlxnBF8r7she7gNSzOvJ958PWT09c/edit?usp=sharing"",""ลำพูน!I108"")+IMPORTRANGE(""https://docs.google.com/spreadsheets/d/1B0f2xJpZUC6Z0xXnqKlZtEPzsf6L84eP1r1Q15seqRM/edit?usp=sharing"",""สุโขทัย!I108"")+IMPORTRANGE(""http"&amp;"s://docs.google.com/spreadsheets/d/1v0b9pFQCsKUVExMei7AgY2yQkdeNQvtOssygGsXbiKo/edit?usp=sharing"",""อุตรดิตถ์!I108"")+IMPORTRANGE(""https://docs.google.com/spreadsheets/d/1UsNK1e-WWiCo2PvGqdNfdme4m17_Ezd3J69EeeiQPD0/edit?usp=sharing"",""อุทัยธานี!I108"")"),390)</f>
        <v>390</v>
      </c>
      <c r="J108" s="167">
        <f ca="1">IFERROR(__xludf.DUMMYFUNCTION("IMPORTRANGE(""https://docs.google.com/spreadsheets/d/1jTcq05yEiRwXcBMLjiodW9e4biSGYWAHcDj22rKWQ3s/edit?usp=sharing"",""กำแพงเพชร!J108"")+IMPORTRANGE(""https://docs.google.com/spreadsheets/d/1KS0zmDSZPk8KnTAbGN-Xk6MtX1YRZD0ldgdt20K4CRk/edit?usp=sharing"","&amp;"""เชียงราย!J108"")+IMPORTRANGE(""https://docs.google.com/spreadsheets/d/1rEDxBtusbi64tE0zunoIbsTVV16HeL0oJ6trHQeQ7K8/edit?usp=sharing"",""เชียงใหม่!J108"")+IMPORTRANGE(""https://docs.google.com/spreadsheets/d/1W6MnUbDkMi6xHnHko_XkFDO9kkuL6Wqyc-6OCDFjW9I/e"&amp;"dit?usp=sharing"",""ตาก!J108"")+IMPORTRANGE(""https://docs.google.com/spreadsheets/d/1IQAWArduLkta9LpYo4a_ULsyqdta6-6aDDiwpUnQT6c/edit?usp=sharing"",""นครสวรรค์!J108"")+IMPORTRANGE(""https://docs.google.com/spreadsheets/d/10s13Sk5xrltsiR-Zkbmk5DwIaDIKO8Xl"&amp;"bJAfqyT7Gvg/edit?usp=sharing"",""น่าน!J108"")+IMPORTRANGE(""https://docs.google.com/spreadsheets/d/1uu4nAn4Dbi1XREnLKKotUANlKXa7yCgRcgq8HEzQYW8/edit?usp=sharing"",""พะเยา!J108"")+IMPORTRANGE(""https://docs.google.com/spreadsheets/d/1xfJKIQxVOaPDIICqsflNlL"&amp;"u3JacTDk1FP9RH4phX7mI/edit?usp=sharing"",""พิจิตร!J108"")+IMPORTRANGE(""https://docs.google.com/spreadsheets/d/1JtRfZkJMHtEhI5RdRHxYUG4FIZHqKDpNyIuN7A1Q0_k/edit?usp=sharing"",""พิษณุโลก!J108"")+IMPORTRANGE(""https://docs.google.com/spreadsheets/d/1xlcVZWU"&amp;"Nn6SuWm0c307h32SiGkd9BaeQWlAktfD3KO8/edit?usp=sharing"",""เพชรบูรณ์!J108"")+IMPORTRANGE(""https://docs.google.com/spreadsheets/d/1lOVebEIsI9qjGXl6EX66luk7wiuP2tBaryw-wKvv4e0/edit?usp=sharing"",""แพร่!J108"")+IMPORTRANGE(""https://docs.google.com/spreadshe"&amp;"ets/d/1dQrvX0vEcN7Gu0fnZ0B5S90AeR19zth4XlExFBeExMY/edit?usp=sharing"",""แม่ฮ่องสอน!J108"")+IMPORTRANGE(""https://docs.google.com/spreadsheets/d/1DY4XTNNwjluuxqdfdn6qvOSlMRrZqUtmYcZR0ttFiG4/edit?usp=sharing"",""ลำปาง!J108"")+IMPORTRANGE(""https://docs.goog"&amp;"le.com/spreadsheets/d/1ICwG78r0OFT8biBlxnBF8r7she7gNSzOvJ958PWT09c/edit?usp=sharing"",""ลำพูน!J108"")+IMPORTRANGE(""https://docs.google.com/spreadsheets/d/1B0f2xJpZUC6Z0xXnqKlZtEPzsf6L84eP1r1Q15seqRM/edit?usp=sharing"",""สุโขทัย!J108"")+IMPORTRANGE(""http"&amp;"s://docs.google.com/spreadsheets/d/1v0b9pFQCsKUVExMei7AgY2yQkdeNQvtOssygGsXbiKo/edit?usp=sharing"",""อุตรดิตถ์!J108"")+IMPORTRANGE(""https://docs.google.com/spreadsheets/d/1UsNK1e-WWiCo2PvGqdNfdme4m17_Ezd3J69EeeiQPD0/edit?usp=sharing"",""อุทัยธานี!J108"")"),60)</f>
        <v>60</v>
      </c>
      <c r="K108" s="46">
        <f t="shared" ref="K108:K109" ca="1" si="87">IF(I108&gt;0,J108*100/I108,0)</f>
        <v>15.384615384615385</v>
      </c>
      <c r="L108" s="45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66">
        <f ca="1">IFERROR(__xludf.DUMMYFUNCTION("IMPORTRANGE(""https://docs.google.com/spreadsheets/d/1jTcq05yEiRwXcBMLjiodW9e4biSGYWAHcDj22rKWQ3s/edit?usp=sharing"",""กำแพงเพชร!I109"")+IMPORTRANGE(""https://docs.google.com/spreadsheets/d/1KS0zmDSZPk8KnTAbGN-Xk6MtX1YRZD0ldgdt20K4CRk/edit?usp=sharing"","&amp;"""เชียงราย!I109"")+IMPORTRANGE(""https://docs.google.com/spreadsheets/d/1rEDxBtusbi64tE0zunoIbsTVV16HeL0oJ6trHQeQ7K8/edit?usp=sharing"",""เชียงใหม่!I109"")+IMPORTRANGE(""https://docs.google.com/spreadsheets/d/1W6MnUbDkMi6xHnHko_XkFDO9kkuL6Wqyc-6OCDFjW9I/e"&amp;"dit?usp=sharing"",""ตาก!I109"")+IMPORTRANGE(""https://docs.google.com/spreadsheets/d/1IQAWArduLkta9LpYo4a_ULsyqdta6-6aDDiwpUnQT6c/edit?usp=sharing"",""นครสวรรค์!I109"")+IMPORTRANGE(""https://docs.google.com/spreadsheets/d/10s13Sk5xrltsiR-Zkbmk5DwIaDIKO8Xl"&amp;"bJAfqyT7Gvg/edit?usp=sharing"",""น่าน!I109"")+IMPORTRANGE(""https://docs.google.com/spreadsheets/d/1uu4nAn4Dbi1XREnLKKotUANlKXa7yCgRcgq8HEzQYW8/edit?usp=sharing"",""พะเยา!I109"")+IMPORTRANGE(""https://docs.google.com/spreadsheets/d/1xfJKIQxVOaPDIICqsflNlL"&amp;"u3JacTDk1FP9RH4phX7mI/edit?usp=sharing"",""พิจิตร!I109"")+IMPORTRANGE(""https://docs.google.com/spreadsheets/d/1JtRfZkJMHtEhI5RdRHxYUG4FIZHqKDpNyIuN7A1Q0_k/edit?usp=sharing"",""พิษณุโลก!I109"")+IMPORTRANGE(""https://docs.google.com/spreadsheets/d/1xlcVZWU"&amp;"Nn6SuWm0c307h32SiGkd9BaeQWlAktfD3KO8/edit?usp=sharing"",""เพชรบูรณ์!I109"")+IMPORTRANGE(""https://docs.google.com/spreadsheets/d/1lOVebEIsI9qjGXl6EX66luk7wiuP2tBaryw-wKvv4e0/edit?usp=sharing"",""แพร่!I109"")+IMPORTRANGE(""https://docs.google.com/spreadshe"&amp;"ets/d/1dQrvX0vEcN7Gu0fnZ0B5S90AeR19zth4XlExFBeExMY/edit?usp=sharing"",""แม่ฮ่องสอน!I109"")+IMPORTRANGE(""https://docs.google.com/spreadsheets/d/1DY4XTNNwjluuxqdfdn6qvOSlMRrZqUtmYcZR0ttFiG4/edit?usp=sharing"",""ลำปาง!I109"")+IMPORTRANGE(""https://docs.goog"&amp;"le.com/spreadsheets/d/1ICwG78r0OFT8biBlxnBF8r7she7gNSzOvJ958PWT09c/edit?usp=sharing"",""ลำพูน!I109"")+IMPORTRANGE(""https://docs.google.com/spreadsheets/d/1B0f2xJpZUC6Z0xXnqKlZtEPzsf6L84eP1r1Q15seqRM/edit?usp=sharing"",""สุโขทัย!I109"")+IMPORTRANGE(""http"&amp;"s://docs.google.com/spreadsheets/d/1v0b9pFQCsKUVExMei7AgY2yQkdeNQvtOssygGsXbiKo/edit?usp=sharing"",""อุตรดิตถ์!I109"")+IMPORTRANGE(""https://docs.google.com/spreadsheets/d/1UsNK1e-WWiCo2PvGqdNfdme4m17_Ezd3J69EeeiQPD0/edit?usp=sharing"",""อุทัยธานี!I109"")"),130)</f>
        <v>130</v>
      </c>
      <c r="J109" s="167">
        <f ca="1">IFERROR(__xludf.DUMMYFUNCTION("IMPORTRANGE(""https://docs.google.com/spreadsheets/d/1jTcq05yEiRwXcBMLjiodW9e4biSGYWAHcDj22rKWQ3s/edit?usp=sharing"",""กำแพงเพชร!J109"")+IMPORTRANGE(""https://docs.google.com/spreadsheets/d/1KS0zmDSZPk8KnTAbGN-Xk6MtX1YRZD0ldgdt20K4CRk/edit?usp=sharing"","&amp;"""เชียงราย!J109"")+IMPORTRANGE(""https://docs.google.com/spreadsheets/d/1rEDxBtusbi64tE0zunoIbsTVV16HeL0oJ6trHQeQ7K8/edit?usp=sharing"",""เชียงใหม่!J109"")+IMPORTRANGE(""https://docs.google.com/spreadsheets/d/1W6MnUbDkMi6xHnHko_XkFDO9kkuL6Wqyc-6OCDFjW9I/e"&amp;"dit?usp=sharing"",""ตาก!J109"")+IMPORTRANGE(""https://docs.google.com/spreadsheets/d/1IQAWArduLkta9LpYo4a_ULsyqdta6-6aDDiwpUnQT6c/edit?usp=sharing"",""นครสวรรค์!J109"")+IMPORTRANGE(""https://docs.google.com/spreadsheets/d/10s13Sk5xrltsiR-Zkbmk5DwIaDIKO8Xl"&amp;"bJAfqyT7Gvg/edit?usp=sharing"",""น่าน!J109"")+IMPORTRANGE(""https://docs.google.com/spreadsheets/d/1uu4nAn4Dbi1XREnLKKotUANlKXa7yCgRcgq8HEzQYW8/edit?usp=sharing"",""พะเยา!J109"")+IMPORTRANGE(""https://docs.google.com/spreadsheets/d/1xfJKIQxVOaPDIICqsflNlL"&amp;"u3JacTDk1FP9RH4phX7mI/edit?usp=sharing"",""พิจิตร!J109"")+IMPORTRANGE(""https://docs.google.com/spreadsheets/d/1JtRfZkJMHtEhI5RdRHxYUG4FIZHqKDpNyIuN7A1Q0_k/edit?usp=sharing"",""พิษณุโลก!J109"")+IMPORTRANGE(""https://docs.google.com/spreadsheets/d/1xlcVZWU"&amp;"Nn6SuWm0c307h32SiGkd9BaeQWlAktfD3KO8/edit?usp=sharing"",""เพชรบูรณ์!J109"")+IMPORTRANGE(""https://docs.google.com/spreadsheets/d/1lOVebEIsI9qjGXl6EX66luk7wiuP2tBaryw-wKvv4e0/edit?usp=sharing"",""แพร่!J109"")+IMPORTRANGE(""https://docs.google.com/spreadshe"&amp;"ets/d/1dQrvX0vEcN7Gu0fnZ0B5S90AeR19zth4XlExFBeExMY/edit?usp=sharing"",""แม่ฮ่องสอน!J109"")+IMPORTRANGE(""https://docs.google.com/spreadsheets/d/1DY4XTNNwjluuxqdfdn6qvOSlMRrZqUtmYcZR0ttFiG4/edit?usp=sharing"",""ลำปาง!J109"")+IMPORTRANGE(""https://docs.goog"&amp;"le.com/spreadsheets/d/1ICwG78r0OFT8biBlxnBF8r7she7gNSzOvJ958PWT09c/edit?usp=sharing"",""ลำพูน!J109"")+IMPORTRANGE(""https://docs.google.com/spreadsheets/d/1B0f2xJpZUC6Z0xXnqKlZtEPzsf6L84eP1r1Q15seqRM/edit?usp=sharing"",""สุโขทัย!J109"")+IMPORTRANGE(""http"&amp;"s://docs.google.com/spreadsheets/d/1v0b9pFQCsKUVExMei7AgY2yQkdeNQvtOssygGsXbiKo/edit?usp=sharing"",""อุตรดิตถ์!J109"")+IMPORTRANGE(""https://docs.google.com/spreadsheets/d/1UsNK1e-WWiCo2PvGqdNfdme4m17_Ezd3J69EeeiQPD0/edit?usp=sharing"",""อุทัยธานี!J109"")"),40)</f>
        <v>40</v>
      </c>
      <c r="K109" s="46">
        <f t="shared" ca="1" si="87"/>
        <v>30.76923076923077</v>
      </c>
      <c r="L109" s="45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x14ac:dyDescent="0.2">
      <c r="A112" s="162"/>
      <c r="B112" s="163"/>
      <c r="C112" s="163"/>
      <c r="D112" s="163"/>
      <c r="E112" s="18"/>
      <c r="F112" s="18"/>
      <c r="G112" s="19"/>
      <c r="H112" s="19"/>
      <c r="I112" s="20"/>
      <c r="J112" s="20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138"/>
      <c r="B113" s="139"/>
      <c r="C113" s="139"/>
      <c r="D113" s="149" t="s">
        <v>50</v>
      </c>
      <c r="E113" s="145"/>
      <c r="F113" s="145"/>
      <c r="G113" s="143"/>
      <c r="H113" s="150" t="s">
        <v>46</v>
      </c>
      <c r="I113" s="151">
        <f ca="1">IFERROR(__xludf.DUMMYFUNCTION("IMPORTRANGE(""https://docs.google.com/spreadsheets/d/1jTcq05yEiRwXcBMLjiodW9e4biSGYWAHcDj22rKWQ3s/edit?usp=sharing"",""กำแพงเพชร!I113"")+IMPORTRANGE(""https://docs.google.com/spreadsheets/d/1KS0zmDSZPk8KnTAbGN-Xk6MtX1YRZD0ldgdt20K4CRk/edit?usp=sharing"","&amp;"""เชียงราย!I113"")+IMPORTRANGE(""https://docs.google.com/spreadsheets/d/1rEDxBtusbi64tE0zunoIbsTVV16HeL0oJ6trHQeQ7K8/edit?usp=sharing"",""เชียงใหม่!I113"")+IMPORTRANGE(""https://docs.google.com/spreadsheets/d/1W6MnUbDkMi6xHnHko_XkFDO9kkuL6Wqyc-6OCDFjW9I/e"&amp;"dit?usp=sharing"",""ตาก!I113"")+IMPORTRANGE(""https://docs.google.com/spreadsheets/d/1IQAWArduLkta9LpYo4a_ULsyqdta6-6aDDiwpUnQT6c/edit?usp=sharing"",""นครสวรรค์!I113"")+IMPORTRANGE(""https://docs.google.com/spreadsheets/d/10s13Sk5xrltsiR-Zkbmk5DwIaDIKO8Xl"&amp;"bJAfqyT7Gvg/edit?usp=sharing"",""น่าน!I113"")+IMPORTRANGE(""https://docs.google.com/spreadsheets/d/1uu4nAn4Dbi1XREnLKKotUANlKXa7yCgRcgq8HEzQYW8/edit?usp=sharing"",""พะเยา!I113"")+IMPORTRANGE(""https://docs.google.com/spreadsheets/d/1xfJKIQxVOaPDIICqsflNlL"&amp;"u3JacTDk1FP9RH4phX7mI/edit?usp=sharing"",""พิจิตร!I113"")+IMPORTRANGE(""https://docs.google.com/spreadsheets/d/1JtRfZkJMHtEhI5RdRHxYUG4FIZHqKDpNyIuN7A1Q0_k/edit?usp=sharing"",""พิษณุโลก!I113"")+IMPORTRANGE(""https://docs.google.com/spreadsheets/d/1xlcVZWU"&amp;"Nn6SuWm0c307h32SiGkd9BaeQWlAktfD3KO8/edit?usp=sharing"",""เพชรบูรณ์!I113"")+IMPORTRANGE(""https://docs.google.com/spreadsheets/d/1lOVebEIsI9qjGXl6EX66luk7wiuP2tBaryw-wKvv4e0/edit?usp=sharing"",""แพร่!I113"")+IMPORTRANGE(""https://docs.google.com/spreadshe"&amp;"ets/d/1dQrvX0vEcN7Gu0fnZ0B5S90AeR19zth4XlExFBeExMY/edit?usp=sharing"",""แม่ฮ่องสอน!I113"")+IMPORTRANGE(""https://docs.google.com/spreadsheets/d/1DY4XTNNwjluuxqdfdn6qvOSlMRrZqUtmYcZR0ttFiG4/edit?usp=sharing"",""ลำปาง!I113"")+IMPORTRANGE(""https://docs.goog"&amp;"le.com/spreadsheets/d/1ICwG78r0OFT8biBlxnBF8r7she7gNSzOvJ958PWT09c/edit?usp=sharing"",""ลำพูน!I113"")+IMPORTRANGE(""https://docs.google.com/spreadsheets/d/1B0f2xJpZUC6Z0xXnqKlZtEPzsf6L84eP1r1Q15seqRM/edit?usp=sharing"",""สุโขทัย!I113"")+IMPORTRANGE(""http"&amp;"s://docs.google.com/spreadsheets/d/1v0b9pFQCsKUVExMei7AgY2yQkdeNQvtOssygGsXbiKo/edit?usp=sharing"",""อุตรดิตถ์!I113"")+IMPORTRANGE(""https://docs.google.com/spreadsheets/d/1UsNK1e-WWiCo2PvGqdNfdme4m17_Ezd3J69EeeiQPD0/edit?usp=sharing"",""อุทัยธานี!I113"")"),390)</f>
        <v>390</v>
      </c>
      <c r="J113" s="167">
        <f ca="1">IFERROR(__xludf.DUMMYFUNCTION("IMPORTRANGE(""https://docs.google.com/spreadsheets/d/1jTcq05yEiRwXcBMLjiodW9e4biSGYWAHcDj22rKWQ3s/edit?usp=sharing"",""กำแพงเพชร!J113"")+IMPORTRANGE(""https://docs.google.com/spreadsheets/d/1KS0zmDSZPk8KnTAbGN-Xk6MtX1YRZD0ldgdt20K4CRk/edit?usp=sharing"","&amp;"""เชียงราย!J113"")+IMPORTRANGE(""https://docs.google.com/spreadsheets/d/1rEDxBtusbi64tE0zunoIbsTVV16HeL0oJ6trHQeQ7K8/edit?usp=sharing"",""เชียงใหม่!J113"")+IMPORTRANGE(""https://docs.google.com/spreadsheets/d/1W6MnUbDkMi6xHnHko_XkFDO9kkuL6Wqyc-6OCDFjW9I/e"&amp;"dit?usp=sharing"",""ตาก!J113"")+IMPORTRANGE(""https://docs.google.com/spreadsheets/d/1IQAWArduLkta9LpYo4a_ULsyqdta6-6aDDiwpUnQT6c/edit?usp=sharing"",""นครสวรรค์!J113"")+IMPORTRANGE(""https://docs.google.com/spreadsheets/d/10s13Sk5xrltsiR-Zkbmk5DwIaDIKO8Xl"&amp;"bJAfqyT7Gvg/edit?usp=sharing"",""น่าน!J113"")+IMPORTRANGE(""https://docs.google.com/spreadsheets/d/1uu4nAn4Dbi1XREnLKKotUANlKXa7yCgRcgq8HEzQYW8/edit?usp=sharing"",""พะเยา!J113"")+IMPORTRANGE(""https://docs.google.com/spreadsheets/d/1xfJKIQxVOaPDIICqsflNlL"&amp;"u3JacTDk1FP9RH4phX7mI/edit?usp=sharing"",""พิจิตร!J113"")+IMPORTRANGE(""https://docs.google.com/spreadsheets/d/1JtRfZkJMHtEhI5RdRHxYUG4FIZHqKDpNyIuN7A1Q0_k/edit?usp=sharing"",""พิษณุโลก!J113"")+IMPORTRANGE(""https://docs.google.com/spreadsheets/d/1xlcVZWU"&amp;"Nn6SuWm0c307h32SiGkd9BaeQWlAktfD3KO8/edit?usp=sharing"",""เพชรบูรณ์!J113"")+IMPORTRANGE(""https://docs.google.com/spreadsheets/d/1lOVebEIsI9qjGXl6EX66luk7wiuP2tBaryw-wKvv4e0/edit?usp=sharing"",""แพร่!J113"")+IMPORTRANGE(""https://docs.google.com/spreadshe"&amp;"ets/d/1dQrvX0vEcN7Gu0fnZ0B5S90AeR19zth4XlExFBeExMY/edit?usp=sharing"",""แม่ฮ่องสอน!J113"")+IMPORTRANGE(""https://docs.google.com/spreadsheets/d/1DY4XTNNwjluuxqdfdn6qvOSlMRrZqUtmYcZR0ttFiG4/edit?usp=sharing"",""ลำปาง!J113"")+IMPORTRANGE(""https://docs.goog"&amp;"le.com/spreadsheets/d/1ICwG78r0OFT8biBlxnBF8r7she7gNSzOvJ958PWT09c/edit?usp=sharing"",""ลำพูน!J113"")+IMPORTRANGE(""https://docs.google.com/spreadsheets/d/1B0f2xJpZUC6Z0xXnqKlZtEPzsf6L84eP1r1Q15seqRM/edit?usp=sharing"",""สุโขทัย!J113"")+IMPORTRANGE(""http"&amp;"s://docs.google.com/spreadsheets/d/1v0b9pFQCsKUVExMei7AgY2yQkdeNQvtOssygGsXbiKo/edit?usp=sharing"",""อุตรดิตถ์!J113"")+IMPORTRANGE(""https://docs.google.com/spreadsheets/d/1UsNK1e-WWiCo2PvGqdNfdme4m17_Ezd3J69EeeiQPD0/edit?usp=sharing"",""อุทัยธานี!J113"")"),30)</f>
        <v>30</v>
      </c>
      <c r="K113" s="46">
        <f t="shared" ref="K113:K114" ca="1" si="88">IF(I113&gt;0,J113*100/I113,0)</f>
        <v>7.6923076923076925</v>
      </c>
      <c r="L113" s="45"/>
      <c r="M113" s="45"/>
      <c r="N113" s="45"/>
      <c r="O113" s="136"/>
      <c r="P113" s="136"/>
      <c r="Q113" s="45"/>
      <c r="R113" s="45"/>
      <c r="S113" s="45"/>
      <c r="T113" s="136"/>
      <c r="U113" s="136"/>
    </row>
    <row r="114" spans="1:21" ht="18.75" x14ac:dyDescent="0.25">
      <c r="A114" s="138"/>
      <c r="B114" s="139"/>
      <c r="C114" s="139"/>
      <c r="D114" s="149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jTcq05yEiRwXcBMLjiodW9e4biSGYWAHcDj22rKWQ3s/edit?usp=sharing"",""กำแพงเพชร!I114"")+IMPORTRANGE(""https://docs.google.com/spreadsheets/d/1KS0zmDSZPk8KnTAbGN-Xk6MtX1YRZD0ldgdt20K4CRk/edit?usp=sharing"","&amp;"""เชียงราย!I114"")+IMPORTRANGE(""https://docs.google.com/spreadsheets/d/1rEDxBtusbi64tE0zunoIbsTVV16HeL0oJ6trHQeQ7K8/edit?usp=sharing"",""เชียงใหม่!I114"")+IMPORTRANGE(""https://docs.google.com/spreadsheets/d/1W6MnUbDkMi6xHnHko_XkFDO9kkuL6Wqyc-6OCDFjW9I/e"&amp;"dit?usp=sharing"",""ตาก!I114"")+IMPORTRANGE(""https://docs.google.com/spreadsheets/d/1IQAWArduLkta9LpYo4a_ULsyqdta6-6aDDiwpUnQT6c/edit?usp=sharing"",""นครสวรรค์!I114"")+IMPORTRANGE(""https://docs.google.com/spreadsheets/d/10s13Sk5xrltsiR-Zkbmk5DwIaDIKO8Xl"&amp;"bJAfqyT7Gvg/edit?usp=sharing"",""น่าน!I114"")+IMPORTRANGE(""https://docs.google.com/spreadsheets/d/1uu4nAn4Dbi1XREnLKKotUANlKXa7yCgRcgq8HEzQYW8/edit?usp=sharing"",""พะเยา!I114"")+IMPORTRANGE(""https://docs.google.com/spreadsheets/d/1xfJKIQxVOaPDIICqsflNlL"&amp;"u3JacTDk1FP9RH4phX7mI/edit?usp=sharing"",""พิจิตร!I114"")+IMPORTRANGE(""https://docs.google.com/spreadsheets/d/1JtRfZkJMHtEhI5RdRHxYUG4FIZHqKDpNyIuN7A1Q0_k/edit?usp=sharing"",""พิษณุโลก!I114"")+IMPORTRANGE(""https://docs.google.com/spreadsheets/d/1xlcVZWU"&amp;"Nn6SuWm0c307h32SiGkd9BaeQWlAktfD3KO8/edit?usp=sharing"",""เพชรบูรณ์!I114"")+IMPORTRANGE(""https://docs.google.com/spreadsheets/d/1lOVebEIsI9qjGXl6EX66luk7wiuP2tBaryw-wKvv4e0/edit?usp=sharing"",""แพร่!I114"")+IMPORTRANGE(""https://docs.google.com/spreadshe"&amp;"ets/d/1dQrvX0vEcN7Gu0fnZ0B5S90AeR19zth4XlExFBeExMY/edit?usp=sharing"",""แม่ฮ่องสอน!I114"")+IMPORTRANGE(""https://docs.google.com/spreadsheets/d/1DY4XTNNwjluuxqdfdn6qvOSlMRrZqUtmYcZR0ttFiG4/edit?usp=sharing"",""ลำปาง!I114"")+IMPORTRANGE(""https://docs.goog"&amp;"le.com/spreadsheets/d/1ICwG78r0OFT8biBlxnBF8r7she7gNSzOvJ958PWT09c/edit?usp=sharing"",""ลำพูน!I114"")+IMPORTRANGE(""https://docs.google.com/spreadsheets/d/1B0f2xJpZUC6Z0xXnqKlZtEPzsf6L84eP1r1Q15seqRM/edit?usp=sharing"",""สุโขทัย!I114"")+IMPORTRANGE(""http"&amp;"s://docs.google.com/spreadsheets/d/1v0b9pFQCsKUVExMei7AgY2yQkdeNQvtOssygGsXbiKo/edit?usp=sharing"",""อุตรดิตถ์!I114"")+IMPORTRANGE(""https://docs.google.com/spreadsheets/d/1UsNK1e-WWiCo2PvGqdNfdme4m17_Ezd3J69EeeiQPD0/edit?usp=sharing"",""อุทัยธานี!I114"")"),130)</f>
        <v>130</v>
      </c>
      <c r="J114" s="167">
        <f ca="1">IFERROR(__xludf.DUMMYFUNCTION("IMPORTRANGE(""https://docs.google.com/spreadsheets/d/1jTcq05yEiRwXcBMLjiodW9e4biSGYWAHcDj22rKWQ3s/edit?usp=sharing"",""กำแพงเพชร!J114"")+IMPORTRANGE(""https://docs.google.com/spreadsheets/d/1KS0zmDSZPk8KnTAbGN-Xk6MtX1YRZD0ldgdt20K4CRk/edit?usp=sharing"","&amp;"""เชียงราย!J114"")+IMPORTRANGE(""https://docs.google.com/spreadsheets/d/1rEDxBtusbi64tE0zunoIbsTVV16HeL0oJ6trHQeQ7K8/edit?usp=sharing"",""เชียงใหม่!J114"")+IMPORTRANGE(""https://docs.google.com/spreadsheets/d/1W6MnUbDkMi6xHnHko_XkFDO9kkuL6Wqyc-6OCDFjW9I/e"&amp;"dit?usp=sharing"",""ตาก!J114"")+IMPORTRANGE(""https://docs.google.com/spreadsheets/d/1IQAWArduLkta9LpYo4a_ULsyqdta6-6aDDiwpUnQT6c/edit?usp=sharing"",""นครสวรรค์!J114"")+IMPORTRANGE(""https://docs.google.com/spreadsheets/d/10s13Sk5xrltsiR-Zkbmk5DwIaDIKO8Xl"&amp;"bJAfqyT7Gvg/edit?usp=sharing"",""น่าน!J114"")+IMPORTRANGE(""https://docs.google.com/spreadsheets/d/1uu4nAn4Dbi1XREnLKKotUANlKXa7yCgRcgq8HEzQYW8/edit?usp=sharing"",""พะเยา!J114"")+IMPORTRANGE(""https://docs.google.com/spreadsheets/d/1xfJKIQxVOaPDIICqsflNlL"&amp;"u3JacTDk1FP9RH4phX7mI/edit?usp=sharing"",""พิจิตร!J114"")+IMPORTRANGE(""https://docs.google.com/spreadsheets/d/1JtRfZkJMHtEhI5RdRHxYUG4FIZHqKDpNyIuN7A1Q0_k/edit?usp=sharing"",""พิษณุโลก!J114"")+IMPORTRANGE(""https://docs.google.com/spreadsheets/d/1xlcVZWU"&amp;"Nn6SuWm0c307h32SiGkd9BaeQWlAktfD3KO8/edit?usp=sharing"",""เพชรบูรณ์!J114"")+IMPORTRANGE(""https://docs.google.com/spreadsheets/d/1lOVebEIsI9qjGXl6EX66luk7wiuP2tBaryw-wKvv4e0/edit?usp=sharing"",""แพร่!J114"")+IMPORTRANGE(""https://docs.google.com/spreadshe"&amp;"ets/d/1dQrvX0vEcN7Gu0fnZ0B5S90AeR19zth4XlExFBeExMY/edit?usp=sharing"",""แม่ฮ่องสอน!J114"")+IMPORTRANGE(""https://docs.google.com/spreadsheets/d/1DY4XTNNwjluuxqdfdn6qvOSlMRrZqUtmYcZR0ttFiG4/edit?usp=sharing"",""ลำปาง!J114"")+IMPORTRANGE(""https://docs.goog"&amp;"le.com/spreadsheets/d/1ICwG78r0OFT8biBlxnBF8r7she7gNSzOvJ958PWT09c/edit?usp=sharing"",""ลำพูน!J114"")+IMPORTRANGE(""https://docs.google.com/spreadsheets/d/1B0f2xJpZUC6Z0xXnqKlZtEPzsf6L84eP1r1Q15seqRM/edit?usp=sharing"",""สุโขทัย!J114"")+IMPORTRANGE(""http"&amp;"s://docs.google.com/spreadsheets/d/1v0b9pFQCsKUVExMei7AgY2yQkdeNQvtOssygGsXbiKo/edit?usp=sharing"",""อุตรดิตถ์!J114"")+IMPORTRANGE(""https://docs.google.com/spreadsheets/d/1UsNK1e-WWiCo2PvGqdNfdme4m17_Ezd3J69EeeiQPD0/edit?usp=sharing"",""อุทัยธานี!J114"")"),10)</f>
        <v>10</v>
      </c>
      <c r="K114" s="46">
        <f t="shared" ca="1" si="88"/>
        <v>7.6923076923076925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118" t="s">
        <v>51</v>
      </c>
      <c r="B115" s="120"/>
      <c r="C115" s="168"/>
      <c r="D115" s="119"/>
      <c r="E115" s="119"/>
      <c r="F115" s="119"/>
      <c r="G115" s="119"/>
      <c r="H115" s="120"/>
      <c r="I115" s="169"/>
      <c r="J115" s="169"/>
      <c r="K115" s="170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127">
        <f t="shared" ref="I116:J116" ca="1" si="89">I127</f>
        <v>735</v>
      </c>
      <c r="J116" s="127">
        <f t="shared" ca="1" si="89"/>
        <v>715</v>
      </c>
      <c r="K116" s="34">
        <f ca="1">IF(I116&gt;0,J116*100/I116,0)</f>
        <v>97.278911564625844</v>
      </c>
      <c r="L116" s="33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13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132">
        <f t="shared" ref="L117:N117" ca="1" si="90">L118+L119</f>
        <v>0</v>
      </c>
      <c r="M117" s="132">
        <f t="shared" ca="1" si="90"/>
        <v>0</v>
      </c>
      <c r="N117" s="132">
        <f t="shared" ca="1" si="90"/>
        <v>0</v>
      </c>
      <c r="O117" s="132">
        <f t="shared" ref="O117:O125" ca="1" si="91">IF(L117&gt;0,N117*100/L117,0)</f>
        <v>0</v>
      </c>
      <c r="P117" s="132">
        <f t="shared" ref="P117:P125" ca="1" si="92">IF(M117&gt;0,N117*100/M117,0)</f>
        <v>0</v>
      </c>
      <c r="Q117" s="132">
        <f t="shared" ref="Q117:S117" ca="1" si="93">Q118+Q119</f>
        <v>6899960</v>
      </c>
      <c r="R117" s="132">
        <f t="shared" ca="1" si="93"/>
        <v>6899960</v>
      </c>
      <c r="S117" s="132">
        <f t="shared" ca="1" si="93"/>
        <v>2008277.0899999901</v>
      </c>
      <c r="T117" s="132">
        <f t="shared" ref="T117:T125" ca="1" si="94">IF(Q117&gt;0,S117*100/Q117,0)</f>
        <v>29.105633800775514</v>
      </c>
      <c r="U117" s="132">
        <f t="shared" ref="U117:U125" ca="1" si="95">IF(R117&gt;0,S117*100/R117,0)</f>
        <v>29.105633800775514</v>
      </c>
    </row>
    <row r="118" spans="1:21" ht="18.75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48">
        <f t="shared" ref="L118:N118" ca="1" si="96">L121+L124</f>
        <v>0</v>
      </c>
      <c r="M118" s="48">
        <f t="shared" ca="1" si="96"/>
        <v>0</v>
      </c>
      <c r="N118" s="48">
        <f t="shared" ca="1" si="96"/>
        <v>0</v>
      </c>
      <c r="O118" s="48">
        <f t="shared" ca="1" si="91"/>
        <v>0</v>
      </c>
      <c r="P118" s="48">
        <f t="shared" ca="1" si="92"/>
        <v>0</v>
      </c>
      <c r="Q118" s="48">
        <f t="shared" ref="Q118:S118" ca="1" si="97">Q121+Q124</f>
        <v>0</v>
      </c>
      <c r="R118" s="48">
        <f t="shared" ca="1" si="97"/>
        <v>0</v>
      </c>
      <c r="S118" s="48">
        <f t="shared" ca="1" si="97"/>
        <v>0</v>
      </c>
      <c r="T118" s="48">
        <f t="shared" ca="1" si="94"/>
        <v>0</v>
      </c>
      <c r="U118" s="48">
        <f t="shared" ca="1" si="95"/>
        <v>0</v>
      </c>
    </row>
    <row r="119" spans="1:21" ht="18.75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46">
        <f t="shared" ref="L119:N119" ca="1" si="98">L122+L125</f>
        <v>0</v>
      </c>
      <c r="M119" s="46">
        <f t="shared" ca="1" si="98"/>
        <v>0</v>
      </c>
      <c r="N119" s="46">
        <f t="shared" ca="1" si="98"/>
        <v>0</v>
      </c>
      <c r="O119" s="46">
        <f t="shared" ca="1" si="91"/>
        <v>0</v>
      </c>
      <c r="P119" s="46">
        <f t="shared" ca="1" si="92"/>
        <v>0</v>
      </c>
      <c r="Q119" s="46">
        <f t="shared" ref="Q119:S119" ca="1" si="99">Q122+Q125</f>
        <v>6899960</v>
      </c>
      <c r="R119" s="46">
        <f t="shared" ca="1" si="99"/>
        <v>6899960</v>
      </c>
      <c r="S119" s="46">
        <f t="shared" ca="1" si="99"/>
        <v>2008277.0899999901</v>
      </c>
      <c r="T119" s="46">
        <f t="shared" ca="1" si="94"/>
        <v>29.105633800775514</v>
      </c>
      <c r="U119" s="46">
        <f t="shared" ca="1" si="95"/>
        <v>29.105633800775514</v>
      </c>
    </row>
    <row r="120" spans="1:21" ht="18.75" x14ac:dyDescent="0.25">
      <c r="A120" s="128"/>
      <c r="B120" s="158"/>
      <c r="C120" s="174"/>
      <c r="D120" s="160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46">
        <f t="shared" ref="L120:N120" ca="1" si="100">L121+L122</f>
        <v>0</v>
      </c>
      <c r="M120" s="46">
        <f t="shared" ca="1" si="100"/>
        <v>0</v>
      </c>
      <c r="N120" s="46">
        <f t="shared" ca="1" si="100"/>
        <v>0</v>
      </c>
      <c r="O120" s="46">
        <f t="shared" ca="1" si="91"/>
        <v>0</v>
      </c>
      <c r="P120" s="46">
        <f t="shared" ca="1" si="92"/>
        <v>0</v>
      </c>
      <c r="Q120" s="46">
        <f t="shared" ref="Q120:S120" ca="1" si="101">Q121+Q122</f>
        <v>6899960</v>
      </c>
      <c r="R120" s="46">
        <f t="shared" ca="1" si="101"/>
        <v>6899960</v>
      </c>
      <c r="S120" s="46">
        <f t="shared" ca="1" si="101"/>
        <v>2008277.0899999901</v>
      </c>
      <c r="T120" s="46">
        <f t="shared" ca="1" si="94"/>
        <v>29.105633800775514</v>
      </c>
      <c r="U120" s="46">
        <f t="shared" ca="1" si="95"/>
        <v>29.105633800775514</v>
      </c>
    </row>
    <row r="121" spans="1:21" ht="18.75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48">
        <f ca="1">IFERROR(__xludf.DUMMYFUNCTION("IMPORTRANGE(""https://docs.google.com/spreadsheets/d/1jTcq05yEiRwXcBMLjiodW9e4biSGYWAHcDj22rKWQ3s/edit?usp=sharing"",""กำแพงเพชร!L121"")+IMPORTRANGE(""https://docs.google.com/spreadsheets/d/1KS0zmDSZPk8KnTAbGN-Xk6MtX1YRZD0ldgdt20K4CRk/edit?usp=sharing"","&amp;"""เชียงราย!L121"")+IMPORTRANGE(""https://docs.google.com/spreadsheets/d/1rEDxBtusbi64tE0zunoIbsTVV16HeL0oJ6trHQeQ7K8/edit?usp=sharing"",""เชียงใหม่!L121"")+IMPORTRANGE(""https://docs.google.com/spreadsheets/d/1W6MnUbDkMi6xHnHko_XkFDO9kkuL6Wqyc-6OCDFjW9I/e"&amp;"dit?usp=sharing"",""ตาก!L121"")+IMPORTRANGE(""https://docs.google.com/spreadsheets/d/1IQAWArduLkta9LpYo4a_ULsyqdta6-6aDDiwpUnQT6c/edit?usp=sharing"",""นครสวรรค์!L121"")+IMPORTRANGE(""https://docs.google.com/spreadsheets/d/10s13Sk5xrltsiR-Zkbmk5DwIaDIKO8Xl"&amp;"bJAfqyT7Gvg/edit?usp=sharing"",""น่าน!L121"")+IMPORTRANGE(""https://docs.google.com/spreadsheets/d/1uu4nAn4Dbi1XREnLKKotUANlKXa7yCgRcgq8HEzQYW8/edit?usp=sharing"",""พะเยา!L121"")+IMPORTRANGE(""https://docs.google.com/spreadsheets/d/1xfJKIQxVOaPDIICqsflNlL"&amp;"u3JacTDk1FP9RH4phX7mI/edit?usp=sharing"",""พิจิตร!L121"")+IMPORTRANGE(""https://docs.google.com/spreadsheets/d/1JtRfZkJMHtEhI5RdRHxYUG4FIZHqKDpNyIuN7A1Q0_k/edit?usp=sharing"",""พิษณุโลก!L121"")+IMPORTRANGE(""https://docs.google.com/spreadsheets/d/1xlcVZWU"&amp;"Nn6SuWm0c307h32SiGkd9BaeQWlAktfD3KO8/edit?usp=sharing"",""เพชรบูรณ์!L121"")+IMPORTRANGE(""https://docs.google.com/spreadsheets/d/1lOVebEIsI9qjGXl6EX66luk7wiuP2tBaryw-wKvv4e0/edit?usp=sharing"",""แพร่!L121"")+IMPORTRANGE(""https://docs.google.com/spreadshe"&amp;"ets/d/1dQrvX0vEcN7Gu0fnZ0B5S90AeR19zth4XlExFBeExMY/edit?usp=sharing"",""แม่ฮ่องสอน!L121"")+IMPORTRANGE(""https://docs.google.com/spreadsheets/d/1DY4XTNNwjluuxqdfdn6qvOSlMRrZqUtmYcZR0ttFiG4/edit?usp=sharing"",""ลำปาง!L121"")+IMPORTRANGE(""https://docs.goog"&amp;"le.com/spreadsheets/d/1ICwG78r0OFT8biBlxnBF8r7she7gNSzOvJ958PWT09c/edit?usp=sharing"",""ลำพูน!L121"")+IMPORTRANGE(""https://docs.google.com/spreadsheets/d/1B0f2xJpZUC6Z0xXnqKlZtEPzsf6L84eP1r1Q15seqRM/edit?usp=sharing"",""สุโขทัย!L121"")+IMPORTRANGE(""http"&amp;"s://docs.google.com/spreadsheets/d/1v0b9pFQCsKUVExMei7AgY2yQkdeNQvtOssygGsXbiKo/edit?usp=sharing"",""อุตรดิตถ์!L121"")+IMPORTRANGE(""https://docs.google.com/spreadsheets/d/1UsNK1e-WWiCo2PvGqdNfdme4m17_Ezd3J69EeeiQPD0/edit?usp=sharing"",""อุทัยธานี!L121"")"),0)</f>
        <v>0</v>
      </c>
      <c r="M121" s="48">
        <f ca="1">IFERROR(__xludf.DUMMYFUNCTION("IMPORTRANGE(""https://docs.google.com/spreadsheets/d/1jTcq05yEiRwXcBMLjiodW9e4biSGYWAHcDj22rKWQ3s/edit?usp=sharing"",""กำแพงเพชร!M121"")+IMPORTRANGE(""https://docs.google.com/spreadsheets/d/1KS0zmDSZPk8KnTAbGN-Xk6MtX1YRZD0ldgdt20K4CRk/edit?usp=sharing"","&amp;"""เชียงราย!M121"")+IMPORTRANGE(""https://docs.google.com/spreadsheets/d/1rEDxBtusbi64tE0zunoIbsTVV16HeL0oJ6trHQeQ7K8/edit?usp=sharing"",""เชียงใหม่!M121"")+IMPORTRANGE(""https://docs.google.com/spreadsheets/d/1W6MnUbDkMi6xHnHko_XkFDO9kkuL6Wqyc-6OCDFjW9I/e"&amp;"dit?usp=sharing"",""ตาก!M121"")+IMPORTRANGE(""https://docs.google.com/spreadsheets/d/1IQAWArduLkta9LpYo4a_ULsyqdta6-6aDDiwpUnQT6c/edit?usp=sharing"",""นครสวรรค์!M121"")+IMPORTRANGE(""https://docs.google.com/spreadsheets/d/10s13Sk5xrltsiR-Zkbmk5DwIaDIKO8Xl"&amp;"bJAfqyT7Gvg/edit?usp=sharing"",""น่าน!M121"")+IMPORTRANGE(""https://docs.google.com/spreadsheets/d/1uu4nAn4Dbi1XREnLKKotUANlKXa7yCgRcgq8HEzQYW8/edit?usp=sharing"",""พะเยา!M121"")+IMPORTRANGE(""https://docs.google.com/spreadsheets/d/1xfJKIQxVOaPDIICqsflNlL"&amp;"u3JacTDk1FP9RH4phX7mI/edit?usp=sharing"",""พิจิตร!M121"")+IMPORTRANGE(""https://docs.google.com/spreadsheets/d/1JtRfZkJMHtEhI5RdRHxYUG4FIZHqKDpNyIuN7A1Q0_k/edit?usp=sharing"",""พิษณุโลก!M121"")+IMPORTRANGE(""https://docs.google.com/spreadsheets/d/1xlcVZWU"&amp;"Nn6SuWm0c307h32SiGkd9BaeQWlAktfD3KO8/edit?usp=sharing"",""เพชรบูรณ์!M121"")+IMPORTRANGE(""https://docs.google.com/spreadsheets/d/1lOVebEIsI9qjGXl6EX66luk7wiuP2tBaryw-wKvv4e0/edit?usp=sharing"",""แพร่!M121"")+IMPORTRANGE(""https://docs.google.com/spreadshe"&amp;"ets/d/1dQrvX0vEcN7Gu0fnZ0B5S90AeR19zth4XlExFBeExMY/edit?usp=sharing"",""แม่ฮ่องสอน!M121"")+IMPORTRANGE(""https://docs.google.com/spreadsheets/d/1DY4XTNNwjluuxqdfdn6qvOSlMRrZqUtmYcZR0ttFiG4/edit?usp=sharing"",""ลำปาง!M121"")+IMPORTRANGE(""https://docs.goog"&amp;"le.com/spreadsheets/d/1ICwG78r0OFT8biBlxnBF8r7she7gNSzOvJ958PWT09c/edit?usp=sharing"",""ลำพูน!M121"")+IMPORTRANGE(""https://docs.google.com/spreadsheets/d/1B0f2xJpZUC6Z0xXnqKlZtEPzsf6L84eP1r1Q15seqRM/edit?usp=sharing"",""สุโขทัย!M121"")+IMPORTRANGE(""http"&amp;"s://docs.google.com/spreadsheets/d/1v0b9pFQCsKUVExMei7AgY2yQkdeNQvtOssygGsXbiKo/edit?usp=sharing"",""อุตรดิตถ์!M121"")+IMPORTRANGE(""https://docs.google.com/spreadsheets/d/1UsNK1e-WWiCo2PvGqdNfdme4m17_Ezd3J69EeeiQPD0/edit?usp=sharing"",""อุทัยธานี!M121"")"),0)</f>
        <v>0</v>
      </c>
      <c r="N121" s="48">
        <f ca="1">IFERROR(__xludf.DUMMYFUNCTION("IMPORTRANGE(""https://docs.google.com/spreadsheets/d/1jTcq05yEiRwXcBMLjiodW9e4biSGYWAHcDj22rKWQ3s/edit?usp=sharing"",""กำแพงเพชร!N121"")+IMPORTRANGE(""https://docs.google.com/spreadsheets/d/1KS0zmDSZPk8KnTAbGN-Xk6MtX1YRZD0ldgdt20K4CRk/edit?usp=sharing"","&amp;"""เชียงราย!N121"")+IMPORTRANGE(""https://docs.google.com/spreadsheets/d/1rEDxBtusbi64tE0zunoIbsTVV16HeL0oJ6trHQeQ7K8/edit?usp=sharing"",""เชียงใหม่!N121"")+IMPORTRANGE(""https://docs.google.com/spreadsheets/d/1W6MnUbDkMi6xHnHko_XkFDO9kkuL6Wqyc-6OCDFjW9I/e"&amp;"dit?usp=sharing"",""ตาก!N121"")+IMPORTRANGE(""https://docs.google.com/spreadsheets/d/1IQAWArduLkta9LpYo4a_ULsyqdta6-6aDDiwpUnQT6c/edit?usp=sharing"",""นครสวรรค์!N121"")+IMPORTRANGE(""https://docs.google.com/spreadsheets/d/10s13Sk5xrltsiR-Zkbmk5DwIaDIKO8Xl"&amp;"bJAfqyT7Gvg/edit?usp=sharing"",""น่าน!N121"")+IMPORTRANGE(""https://docs.google.com/spreadsheets/d/1uu4nAn4Dbi1XREnLKKotUANlKXa7yCgRcgq8HEzQYW8/edit?usp=sharing"",""พะเยา!N121"")+IMPORTRANGE(""https://docs.google.com/spreadsheets/d/1xfJKIQxVOaPDIICqsflNlL"&amp;"u3JacTDk1FP9RH4phX7mI/edit?usp=sharing"",""พิจิตร!N121"")+IMPORTRANGE(""https://docs.google.com/spreadsheets/d/1JtRfZkJMHtEhI5RdRHxYUG4FIZHqKDpNyIuN7A1Q0_k/edit?usp=sharing"",""พิษณุโลก!N121"")+IMPORTRANGE(""https://docs.google.com/spreadsheets/d/1xlcVZWU"&amp;"Nn6SuWm0c307h32SiGkd9BaeQWlAktfD3KO8/edit?usp=sharing"",""เพชรบูรณ์!N121"")+IMPORTRANGE(""https://docs.google.com/spreadsheets/d/1lOVebEIsI9qjGXl6EX66luk7wiuP2tBaryw-wKvv4e0/edit?usp=sharing"",""แพร่!N121"")+IMPORTRANGE(""https://docs.google.com/spreadshe"&amp;"ets/d/1dQrvX0vEcN7Gu0fnZ0B5S90AeR19zth4XlExFBeExMY/edit?usp=sharing"",""แม่ฮ่องสอน!N121"")+IMPORTRANGE(""https://docs.google.com/spreadsheets/d/1DY4XTNNwjluuxqdfdn6qvOSlMRrZqUtmYcZR0ttFiG4/edit?usp=sharing"",""ลำปาง!N121"")+IMPORTRANGE(""https://docs.goog"&amp;"le.com/spreadsheets/d/1ICwG78r0OFT8biBlxnBF8r7she7gNSzOvJ958PWT09c/edit?usp=sharing"",""ลำพูน!N121"")+IMPORTRANGE(""https://docs.google.com/spreadsheets/d/1B0f2xJpZUC6Z0xXnqKlZtEPzsf6L84eP1r1Q15seqRM/edit?usp=sharing"",""สุโขทัย!N121"")+IMPORTRANGE(""http"&amp;"s://docs.google.com/spreadsheets/d/1v0b9pFQCsKUVExMei7AgY2yQkdeNQvtOssygGsXbiKo/edit?usp=sharing"",""อุตรดิตถ์!N121"")+IMPORTRANGE(""https://docs.google.com/spreadsheets/d/1UsNK1e-WWiCo2PvGqdNfdme4m17_Ezd3J69EeeiQPD0/edit?usp=sharing"",""อุทัยธานี!N121"")"),0)</f>
        <v>0</v>
      </c>
      <c r="O121" s="48">
        <f t="shared" ca="1" si="91"/>
        <v>0</v>
      </c>
      <c r="P121" s="48">
        <f t="shared" ca="1" si="92"/>
        <v>0</v>
      </c>
      <c r="Q121" s="48">
        <f ca="1">IFERROR(__xludf.DUMMYFUNCTION("IMPORTRANGE(""https://docs.google.com/spreadsheets/d/1jTcq05yEiRwXcBMLjiodW9e4biSGYWAHcDj22rKWQ3s/edit?usp=sharing"",""กำแพงเพชร!Q121"")+IMPORTRANGE(""https://docs.google.com/spreadsheets/d/1KS0zmDSZPk8KnTAbGN-Xk6MtX1YRZD0ldgdt20K4CRk/edit?usp=sharing"","&amp;"""เชียงราย!Q121"")+IMPORTRANGE(""https://docs.google.com/spreadsheets/d/1rEDxBtusbi64tE0zunoIbsTVV16HeL0oJ6trHQeQ7K8/edit?usp=sharing"",""เชียงใหม่!Q121"")+IMPORTRANGE(""https://docs.google.com/spreadsheets/d/1W6MnUbDkMi6xHnHko_XkFDO9kkuL6Wqyc-6OCDFjW9I/e"&amp;"dit?usp=sharing"",""ตาก!Q121"")+IMPORTRANGE(""https://docs.google.com/spreadsheets/d/1IQAWArduLkta9LpYo4a_ULsyqdta6-6aDDiwpUnQT6c/edit?usp=sharing"",""นครสวรรค์!Q121"")+IMPORTRANGE(""https://docs.google.com/spreadsheets/d/10s13Sk5xrltsiR-Zkbmk5DwIaDIKO8Xl"&amp;"bJAfqyT7Gvg/edit?usp=sharing"",""น่าน!Q121"")+IMPORTRANGE(""https://docs.google.com/spreadsheets/d/1uu4nAn4Dbi1XREnLKKotUANlKXa7yCgRcgq8HEzQYW8/edit?usp=sharing"",""พะเยา!Q121"")+IMPORTRANGE(""https://docs.google.com/spreadsheets/d/1xfJKIQxVOaPDIICqsflNlL"&amp;"u3JacTDk1FP9RH4phX7mI/edit?usp=sharing"",""พิจิตร!Q121"")+IMPORTRANGE(""https://docs.google.com/spreadsheets/d/1JtRfZkJMHtEhI5RdRHxYUG4FIZHqKDpNyIuN7A1Q0_k/edit?usp=sharing"",""พิษณุโลก!Q121"")+IMPORTRANGE(""https://docs.google.com/spreadsheets/d/1xlcVZWU"&amp;"Nn6SuWm0c307h32SiGkd9BaeQWlAktfD3KO8/edit?usp=sharing"",""เพชรบูรณ์!Q121"")+IMPORTRANGE(""https://docs.google.com/spreadsheets/d/1lOVebEIsI9qjGXl6EX66luk7wiuP2tBaryw-wKvv4e0/edit?usp=sharing"",""แพร่!Q121"")+IMPORTRANGE(""https://docs.google.com/spreadshe"&amp;"ets/d/1dQrvX0vEcN7Gu0fnZ0B5S90AeR19zth4XlExFBeExMY/edit?usp=sharing"",""แม่ฮ่องสอน!Q121"")+IMPORTRANGE(""https://docs.google.com/spreadsheets/d/1DY4XTNNwjluuxqdfdn6qvOSlMRrZqUtmYcZR0ttFiG4/edit?usp=sharing"",""ลำปาง!Q121"")+IMPORTRANGE(""https://docs.goog"&amp;"le.com/spreadsheets/d/1ICwG78r0OFT8biBlxnBF8r7she7gNSzOvJ958PWT09c/edit?usp=sharing"",""ลำพูน!Q121"")+IMPORTRANGE(""https://docs.google.com/spreadsheets/d/1B0f2xJpZUC6Z0xXnqKlZtEPzsf6L84eP1r1Q15seqRM/edit?usp=sharing"",""สุโขทัย!Q121"")+IMPORTRANGE(""http"&amp;"s://docs.google.com/spreadsheets/d/1v0b9pFQCsKUVExMei7AgY2yQkdeNQvtOssygGsXbiKo/edit?usp=sharing"",""อุตรดิตถ์!Q121"")+IMPORTRANGE(""https://docs.google.com/spreadsheets/d/1UsNK1e-WWiCo2PvGqdNfdme4m17_Ezd3J69EeeiQPD0/edit?usp=sharing"",""อุทัยธานี!Q121"")"),0)</f>
        <v>0</v>
      </c>
      <c r="R121" s="48">
        <f ca="1">IFERROR(__xludf.DUMMYFUNCTION("IMPORTRANGE(""https://docs.google.com/spreadsheets/d/1jTcq05yEiRwXcBMLjiodW9e4biSGYWAHcDj22rKWQ3s/edit?usp=sharing"",""กำแพงเพชร!R121"")+IMPORTRANGE(""https://docs.google.com/spreadsheets/d/1KS0zmDSZPk8KnTAbGN-Xk6MtX1YRZD0ldgdt20K4CRk/edit?usp=sharing"","&amp;"""เชียงราย!R121"")+IMPORTRANGE(""https://docs.google.com/spreadsheets/d/1rEDxBtusbi64tE0zunoIbsTVV16HeL0oJ6trHQeQ7K8/edit?usp=sharing"",""เชียงใหม่!R121"")+IMPORTRANGE(""https://docs.google.com/spreadsheets/d/1W6MnUbDkMi6xHnHko_XkFDO9kkuL6Wqyc-6OCDFjW9I/e"&amp;"dit?usp=sharing"",""ตาก!R121"")+IMPORTRANGE(""https://docs.google.com/spreadsheets/d/1IQAWArduLkta9LpYo4a_ULsyqdta6-6aDDiwpUnQT6c/edit?usp=sharing"",""นครสวรรค์!R121"")+IMPORTRANGE(""https://docs.google.com/spreadsheets/d/10s13Sk5xrltsiR-Zkbmk5DwIaDIKO8Xl"&amp;"bJAfqyT7Gvg/edit?usp=sharing"",""น่าน!R121"")+IMPORTRANGE(""https://docs.google.com/spreadsheets/d/1uu4nAn4Dbi1XREnLKKotUANlKXa7yCgRcgq8HEzQYW8/edit?usp=sharing"",""พะเยา!R121"")+IMPORTRANGE(""https://docs.google.com/spreadsheets/d/1xfJKIQxVOaPDIICqsflNlL"&amp;"u3JacTDk1FP9RH4phX7mI/edit?usp=sharing"",""พิจิตร!R121"")+IMPORTRANGE(""https://docs.google.com/spreadsheets/d/1JtRfZkJMHtEhI5RdRHxYUG4FIZHqKDpNyIuN7A1Q0_k/edit?usp=sharing"",""พิษณุโลก!R121"")+IMPORTRANGE(""https://docs.google.com/spreadsheets/d/1xlcVZWU"&amp;"Nn6SuWm0c307h32SiGkd9BaeQWlAktfD3KO8/edit?usp=sharing"",""เพชรบูรณ์!R121"")+IMPORTRANGE(""https://docs.google.com/spreadsheets/d/1lOVebEIsI9qjGXl6EX66luk7wiuP2tBaryw-wKvv4e0/edit?usp=sharing"",""แพร่!R121"")+IMPORTRANGE(""https://docs.google.com/spreadshe"&amp;"ets/d/1dQrvX0vEcN7Gu0fnZ0B5S90AeR19zth4XlExFBeExMY/edit?usp=sharing"",""แม่ฮ่องสอน!R121"")+IMPORTRANGE(""https://docs.google.com/spreadsheets/d/1DY4XTNNwjluuxqdfdn6qvOSlMRrZqUtmYcZR0ttFiG4/edit?usp=sharing"",""ลำปาง!R121"")+IMPORTRANGE(""https://docs.goog"&amp;"le.com/spreadsheets/d/1ICwG78r0OFT8biBlxnBF8r7she7gNSzOvJ958PWT09c/edit?usp=sharing"",""ลำพูน!R121"")+IMPORTRANGE(""https://docs.google.com/spreadsheets/d/1B0f2xJpZUC6Z0xXnqKlZtEPzsf6L84eP1r1Q15seqRM/edit?usp=sharing"",""สุโขทัย!R121"")+IMPORTRANGE(""http"&amp;"s://docs.google.com/spreadsheets/d/1v0b9pFQCsKUVExMei7AgY2yQkdeNQvtOssygGsXbiKo/edit?usp=sharing"",""อุตรดิตถ์!R121"")+IMPORTRANGE(""https://docs.google.com/spreadsheets/d/1UsNK1e-WWiCo2PvGqdNfdme4m17_Ezd3J69EeeiQPD0/edit?usp=sharing"",""อุทัยธานี!R121"")"),0)</f>
        <v>0</v>
      </c>
      <c r="S121" s="48">
        <f ca="1">IFERROR(__xludf.DUMMYFUNCTION("IMPORTRANGE(""https://docs.google.com/spreadsheets/d/1jTcq05yEiRwXcBMLjiodW9e4biSGYWAHcDj22rKWQ3s/edit?usp=sharing"",""กำแพงเพชร!S121"")+IMPORTRANGE(""https://docs.google.com/spreadsheets/d/1KS0zmDSZPk8KnTAbGN-Xk6MtX1YRZD0ldgdt20K4CRk/edit?usp=sharing"","&amp;"""เชียงราย!S121"")+IMPORTRANGE(""https://docs.google.com/spreadsheets/d/1rEDxBtusbi64tE0zunoIbsTVV16HeL0oJ6trHQeQ7K8/edit?usp=sharing"",""เชียงใหม่!S121"")+IMPORTRANGE(""https://docs.google.com/spreadsheets/d/1W6MnUbDkMi6xHnHko_XkFDO9kkuL6Wqyc-6OCDFjW9I/e"&amp;"dit?usp=sharing"",""ตาก!S121"")+IMPORTRANGE(""https://docs.google.com/spreadsheets/d/1IQAWArduLkta9LpYo4a_ULsyqdta6-6aDDiwpUnQT6c/edit?usp=sharing"",""นครสวรรค์!S121"")+IMPORTRANGE(""https://docs.google.com/spreadsheets/d/10s13Sk5xrltsiR-Zkbmk5DwIaDIKO8Xl"&amp;"bJAfqyT7Gvg/edit?usp=sharing"",""น่าน!S121"")+IMPORTRANGE(""https://docs.google.com/spreadsheets/d/1uu4nAn4Dbi1XREnLKKotUANlKXa7yCgRcgq8HEzQYW8/edit?usp=sharing"",""พะเยา!S121"")+IMPORTRANGE(""https://docs.google.com/spreadsheets/d/1xfJKIQxVOaPDIICqsflNlL"&amp;"u3JacTDk1FP9RH4phX7mI/edit?usp=sharing"",""พิจิตร!S121"")+IMPORTRANGE(""https://docs.google.com/spreadsheets/d/1JtRfZkJMHtEhI5RdRHxYUG4FIZHqKDpNyIuN7A1Q0_k/edit?usp=sharing"",""พิษณุโลก!S121"")+IMPORTRANGE(""https://docs.google.com/spreadsheets/d/1xlcVZWU"&amp;"Nn6SuWm0c307h32SiGkd9BaeQWlAktfD3KO8/edit?usp=sharing"",""เพชรบูรณ์!S121"")+IMPORTRANGE(""https://docs.google.com/spreadsheets/d/1lOVebEIsI9qjGXl6EX66luk7wiuP2tBaryw-wKvv4e0/edit?usp=sharing"",""แพร่!S121"")+IMPORTRANGE(""https://docs.google.com/spreadshe"&amp;"ets/d/1dQrvX0vEcN7Gu0fnZ0B5S90AeR19zth4XlExFBeExMY/edit?usp=sharing"",""แม่ฮ่องสอน!S121"")+IMPORTRANGE(""https://docs.google.com/spreadsheets/d/1DY4XTNNwjluuxqdfdn6qvOSlMRrZqUtmYcZR0ttFiG4/edit?usp=sharing"",""ลำปาง!S121"")+IMPORTRANGE(""https://docs.goog"&amp;"le.com/spreadsheets/d/1ICwG78r0OFT8biBlxnBF8r7she7gNSzOvJ958PWT09c/edit?usp=sharing"",""ลำพูน!S121"")+IMPORTRANGE(""https://docs.google.com/spreadsheets/d/1B0f2xJpZUC6Z0xXnqKlZtEPzsf6L84eP1r1Q15seqRM/edit?usp=sharing"",""สุโขทัย!S121"")+IMPORTRANGE(""http"&amp;"s://docs.google.com/spreadsheets/d/1v0b9pFQCsKUVExMei7AgY2yQkdeNQvtOssygGsXbiKo/edit?usp=sharing"",""อุตรดิตถ์!S121"")+IMPORTRANGE(""https://docs.google.com/spreadsheets/d/1UsNK1e-WWiCo2PvGqdNfdme4m17_Ezd3J69EeeiQPD0/edit?usp=sharing"",""อุทัยธานี!S121"")"),0)</f>
        <v>0</v>
      </c>
      <c r="T121" s="48">
        <f t="shared" ca="1" si="94"/>
        <v>0</v>
      </c>
      <c r="U121" s="48">
        <f t="shared" ca="1" si="95"/>
        <v>0</v>
      </c>
    </row>
    <row r="122" spans="1:21" ht="18.75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46">
        <f ca="1">IFERROR(__xludf.DUMMYFUNCTION("IMPORTRANGE(""https://docs.google.com/spreadsheets/d/1jTcq05yEiRwXcBMLjiodW9e4biSGYWAHcDj22rKWQ3s/edit?usp=sharing"",""กำแพงเพชร!L122"")+IMPORTRANGE(""https://docs.google.com/spreadsheets/d/1KS0zmDSZPk8KnTAbGN-Xk6MtX1YRZD0ldgdt20K4CRk/edit?usp=sharing"","&amp;"""เชียงราย!L122"")+IMPORTRANGE(""https://docs.google.com/spreadsheets/d/1rEDxBtusbi64tE0zunoIbsTVV16HeL0oJ6trHQeQ7K8/edit?usp=sharing"",""เชียงใหม่!L122"")+IMPORTRANGE(""https://docs.google.com/spreadsheets/d/1W6MnUbDkMi6xHnHko_XkFDO9kkuL6Wqyc-6OCDFjW9I/e"&amp;"dit?usp=sharing"",""ตาก!L122"")+IMPORTRANGE(""https://docs.google.com/spreadsheets/d/1IQAWArduLkta9LpYo4a_ULsyqdta6-6aDDiwpUnQT6c/edit?usp=sharing"",""นครสวรรค์!L122"")+IMPORTRANGE(""https://docs.google.com/spreadsheets/d/10s13Sk5xrltsiR-Zkbmk5DwIaDIKO8Xl"&amp;"bJAfqyT7Gvg/edit?usp=sharing"",""น่าน!L122"")+IMPORTRANGE(""https://docs.google.com/spreadsheets/d/1uu4nAn4Dbi1XREnLKKotUANlKXa7yCgRcgq8HEzQYW8/edit?usp=sharing"",""พะเยา!L122"")+IMPORTRANGE(""https://docs.google.com/spreadsheets/d/1xfJKIQxVOaPDIICqsflNlL"&amp;"u3JacTDk1FP9RH4phX7mI/edit?usp=sharing"",""พิจิตร!L122"")+IMPORTRANGE(""https://docs.google.com/spreadsheets/d/1JtRfZkJMHtEhI5RdRHxYUG4FIZHqKDpNyIuN7A1Q0_k/edit?usp=sharing"",""พิษณุโลก!L122"")+IMPORTRANGE(""https://docs.google.com/spreadsheets/d/1xlcVZWU"&amp;"Nn6SuWm0c307h32SiGkd9BaeQWlAktfD3KO8/edit?usp=sharing"",""เพชรบูรณ์!L122"")+IMPORTRANGE(""https://docs.google.com/spreadsheets/d/1lOVebEIsI9qjGXl6EX66luk7wiuP2tBaryw-wKvv4e0/edit?usp=sharing"",""แพร่!L122"")+IMPORTRANGE(""https://docs.google.com/spreadshe"&amp;"ets/d/1dQrvX0vEcN7Gu0fnZ0B5S90AeR19zth4XlExFBeExMY/edit?usp=sharing"",""แม่ฮ่องสอน!L122"")+IMPORTRANGE(""https://docs.google.com/spreadsheets/d/1DY4XTNNwjluuxqdfdn6qvOSlMRrZqUtmYcZR0ttFiG4/edit?usp=sharing"",""ลำปาง!L122"")+IMPORTRANGE(""https://docs.goog"&amp;"le.com/spreadsheets/d/1ICwG78r0OFT8biBlxnBF8r7she7gNSzOvJ958PWT09c/edit?usp=sharing"",""ลำพูน!L122"")+IMPORTRANGE(""https://docs.google.com/spreadsheets/d/1B0f2xJpZUC6Z0xXnqKlZtEPzsf6L84eP1r1Q15seqRM/edit?usp=sharing"",""สุโขทัย!L122"")+IMPORTRANGE(""http"&amp;"s://docs.google.com/spreadsheets/d/1v0b9pFQCsKUVExMei7AgY2yQkdeNQvtOssygGsXbiKo/edit?usp=sharing"",""อุตรดิตถ์!L122"")+IMPORTRANGE(""https://docs.google.com/spreadsheets/d/1UsNK1e-WWiCo2PvGqdNfdme4m17_Ezd3J69EeeiQPD0/edit?usp=sharing"",""อุทัยธานี!L122"")"),0)</f>
        <v>0</v>
      </c>
      <c r="M122" s="46">
        <f ca="1">IFERROR(__xludf.DUMMYFUNCTION("IMPORTRANGE(""https://docs.google.com/spreadsheets/d/1jTcq05yEiRwXcBMLjiodW9e4biSGYWAHcDj22rKWQ3s/edit?usp=sharing"",""กำแพงเพชร!M122"")+IMPORTRANGE(""https://docs.google.com/spreadsheets/d/1KS0zmDSZPk8KnTAbGN-Xk6MtX1YRZD0ldgdt20K4CRk/edit?usp=sharing"","&amp;"""เชียงราย!M122"")+IMPORTRANGE(""https://docs.google.com/spreadsheets/d/1rEDxBtusbi64tE0zunoIbsTVV16HeL0oJ6trHQeQ7K8/edit?usp=sharing"",""เชียงใหม่!M122"")+IMPORTRANGE(""https://docs.google.com/spreadsheets/d/1W6MnUbDkMi6xHnHko_XkFDO9kkuL6Wqyc-6OCDFjW9I/e"&amp;"dit?usp=sharing"",""ตาก!M122"")+IMPORTRANGE(""https://docs.google.com/spreadsheets/d/1IQAWArduLkta9LpYo4a_ULsyqdta6-6aDDiwpUnQT6c/edit?usp=sharing"",""นครสวรรค์!M122"")+IMPORTRANGE(""https://docs.google.com/spreadsheets/d/10s13Sk5xrltsiR-Zkbmk5DwIaDIKO8Xl"&amp;"bJAfqyT7Gvg/edit?usp=sharing"",""น่าน!M122"")+IMPORTRANGE(""https://docs.google.com/spreadsheets/d/1uu4nAn4Dbi1XREnLKKotUANlKXa7yCgRcgq8HEzQYW8/edit?usp=sharing"",""พะเยา!M122"")+IMPORTRANGE(""https://docs.google.com/spreadsheets/d/1xfJKIQxVOaPDIICqsflNlL"&amp;"u3JacTDk1FP9RH4phX7mI/edit?usp=sharing"",""พิจิตร!M122"")+IMPORTRANGE(""https://docs.google.com/spreadsheets/d/1JtRfZkJMHtEhI5RdRHxYUG4FIZHqKDpNyIuN7A1Q0_k/edit?usp=sharing"",""พิษณุโลก!M122"")+IMPORTRANGE(""https://docs.google.com/spreadsheets/d/1xlcVZWU"&amp;"Nn6SuWm0c307h32SiGkd9BaeQWlAktfD3KO8/edit?usp=sharing"",""เพชรบูรณ์!M122"")+IMPORTRANGE(""https://docs.google.com/spreadsheets/d/1lOVebEIsI9qjGXl6EX66luk7wiuP2tBaryw-wKvv4e0/edit?usp=sharing"",""แพร่!M122"")+IMPORTRANGE(""https://docs.google.com/spreadshe"&amp;"ets/d/1dQrvX0vEcN7Gu0fnZ0B5S90AeR19zth4XlExFBeExMY/edit?usp=sharing"",""แม่ฮ่องสอน!M122"")+IMPORTRANGE(""https://docs.google.com/spreadsheets/d/1DY4XTNNwjluuxqdfdn6qvOSlMRrZqUtmYcZR0ttFiG4/edit?usp=sharing"",""ลำปาง!M122"")+IMPORTRANGE(""https://docs.goog"&amp;"le.com/spreadsheets/d/1ICwG78r0OFT8biBlxnBF8r7she7gNSzOvJ958PWT09c/edit?usp=sharing"",""ลำพูน!M122"")+IMPORTRANGE(""https://docs.google.com/spreadsheets/d/1B0f2xJpZUC6Z0xXnqKlZtEPzsf6L84eP1r1Q15seqRM/edit?usp=sharing"",""สุโขทัย!M122"")+IMPORTRANGE(""http"&amp;"s://docs.google.com/spreadsheets/d/1v0b9pFQCsKUVExMei7AgY2yQkdeNQvtOssygGsXbiKo/edit?usp=sharing"",""อุตรดิตถ์!M122"")+IMPORTRANGE(""https://docs.google.com/spreadsheets/d/1UsNK1e-WWiCo2PvGqdNfdme4m17_Ezd3J69EeeiQPD0/edit?usp=sharing"",""อุทัยธานี!M122"")"),0)</f>
        <v>0</v>
      </c>
      <c r="N122" s="46">
        <f ca="1">IFERROR(__xludf.DUMMYFUNCTION("IMPORTRANGE(""https://docs.google.com/spreadsheets/d/1jTcq05yEiRwXcBMLjiodW9e4biSGYWAHcDj22rKWQ3s/edit?usp=sharing"",""กำแพงเพชร!N122"")+IMPORTRANGE(""https://docs.google.com/spreadsheets/d/1KS0zmDSZPk8KnTAbGN-Xk6MtX1YRZD0ldgdt20K4CRk/edit?usp=sharing"","&amp;"""เชียงราย!N122"")+IMPORTRANGE(""https://docs.google.com/spreadsheets/d/1rEDxBtusbi64tE0zunoIbsTVV16HeL0oJ6trHQeQ7K8/edit?usp=sharing"",""เชียงใหม่!N122"")+IMPORTRANGE(""https://docs.google.com/spreadsheets/d/1W6MnUbDkMi6xHnHko_XkFDO9kkuL6Wqyc-6OCDFjW9I/e"&amp;"dit?usp=sharing"",""ตาก!N122"")+IMPORTRANGE(""https://docs.google.com/spreadsheets/d/1IQAWArduLkta9LpYo4a_ULsyqdta6-6aDDiwpUnQT6c/edit?usp=sharing"",""นครสวรรค์!N122"")+IMPORTRANGE(""https://docs.google.com/spreadsheets/d/10s13Sk5xrltsiR-Zkbmk5DwIaDIKO8Xl"&amp;"bJAfqyT7Gvg/edit?usp=sharing"",""น่าน!N122"")+IMPORTRANGE(""https://docs.google.com/spreadsheets/d/1uu4nAn4Dbi1XREnLKKotUANlKXa7yCgRcgq8HEzQYW8/edit?usp=sharing"",""พะเยา!N122"")+IMPORTRANGE(""https://docs.google.com/spreadsheets/d/1xfJKIQxVOaPDIICqsflNlL"&amp;"u3JacTDk1FP9RH4phX7mI/edit?usp=sharing"",""พิจิตร!N122"")+IMPORTRANGE(""https://docs.google.com/spreadsheets/d/1JtRfZkJMHtEhI5RdRHxYUG4FIZHqKDpNyIuN7A1Q0_k/edit?usp=sharing"",""พิษณุโลก!N122"")+IMPORTRANGE(""https://docs.google.com/spreadsheets/d/1xlcVZWU"&amp;"Nn6SuWm0c307h32SiGkd9BaeQWlAktfD3KO8/edit?usp=sharing"",""เพชรบูรณ์!N122"")+IMPORTRANGE(""https://docs.google.com/spreadsheets/d/1lOVebEIsI9qjGXl6EX66luk7wiuP2tBaryw-wKvv4e0/edit?usp=sharing"",""แพร่!N122"")+IMPORTRANGE(""https://docs.google.com/spreadshe"&amp;"ets/d/1dQrvX0vEcN7Gu0fnZ0B5S90AeR19zth4XlExFBeExMY/edit?usp=sharing"",""แม่ฮ่องสอน!N122"")+IMPORTRANGE(""https://docs.google.com/spreadsheets/d/1DY4XTNNwjluuxqdfdn6qvOSlMRrZqUtmYcZR0ttFiG4/edit?usp=sharing"",""ลำปาง!N122"")+IMPORTRANGE(""https://docs.goog"&amp;"le.com/spreadsheets/d/1ICwG78r0OFT8biBlxnBF8r7she7gNSzOvJ958PWT09c/edit?usp=sharing"",""ลำพูน!N122"")+IMPORTRANGE(""https://docs.google.com/spreadsheets/d/1B0f2xJpZUC6Z0xXnqKlZtEPzsf6L84eP1r1Q15seqRM/edit?usp=sharing"",""สุโขทัย!N122"")+IMPORTRANGE(""http"&amp;"s://docs.google.com/spreadsheets/d/1v0b9pFQCsKUVExMei7AgY2yQkdeNQvtOssygGsXbiKo/edit?usp=sharing"",""อุตรดิตถ์!N122"")+IMPORTRANGE(""https://docs.google.com/spreadsheets/d/1UsNK1e-WWiCo2PvGqdNfdme4m17_Ezd3J69EeeiQPD0/edit?usp=sharing"",""อุทัยธานี!N122"")"),0)</f>
        <v>0</v>
      </c>
      <c r="O122" s="46">
        <f t="shared" ca="1" si="91"/>
        <v>0</v>
      </c>
      <c r="P122" s="46">
        <f t="shared" ca="1" si="92"/>
        <v>0</v>
      </c>
      <c r="Q122" s="46">
        <f ca="1">IFERROR(__xludf.DUMMYFUNCTION("IMPORTRANGE(""https://docs.google.com/spreadsheets/d/1jTcq05yEiRwXcBMLjiodW9e4biSGYWAHcDj22rKWQ3s/edit?usp=sharing"",""กำแพงเพชร!Q122"")+IMPORTRANGE(""https://docs.google.com/spreadsheets/d/1KS0zmDSZPk8KnTAbGN-Xk6MtX1YRZD0ldgdt20K4CRk/edit?usp=sharing"","&amp;"""เชียงราย!Q122"")+IMPORTRANGE(""https://docs.google.com/spreadsheets/d/1rEDxBtusbi64tE0zunoIbsTVV16HeL0oJ6trHQeQ7K8/edit?usp=sharing"",""เชียงใหม่!Q122"")+IMPORTRANGE(""https://docs.google.com/spreadsheets/d/1W6MnUbDkMi6xHnHko_XkFDO9kkuL6Wqyc-6OCDFjW9I/e"&amp;"dit?usp=sharing"",""ตาก!Q122"")+IMPORTRANGE(""https://docs.google.com/spreadsheets/d/1IQAWArduLkta9LpYo4a_ULsyqdta6-6aDDiwpUnQT6c/edit?usp=sharing"",""นครสวรรค์!Q122"")+IMPORTRANGE(""https://docs.google.com/spreadsheets/d/10s13Sk5xrltsiR-Zkbmk5DwIaDIKO8Xl"&amp;"bJAfqyT7Gvg/edit?usp=sharing"",""น่าน!Q122"")+IMPORTRANGE(""https://docs.google.com/spreadsheets/d/1uu4nAn4Dbi1XREnLKKotUANlKXa7yCgRcgq8HEzQYW8/edit?usp=sharing"",""พะเยา!Q122"")+IMPORTRANGE(""https://docs.google.com/spreadsheets/d/1xfJKIQxVOaPDIICqsflNlL"&amp;"u3JacTDk1FP9RH4phX7mI/edit?usp=sharing"",""พิจิตร!Q122"")+IMPORTRANGE(""https://docs.google.com/spreadsheets/d/1JtRfZkJMHtEhI5RdRHxYUG4FIZHqKDpNyIuN7A1Q0_k/edit?usp=sharing"",""พิษณุโลก!Q122"")+IMPORTRANGE(""https://docs.google.com/spreadsheets/d/1xlcVZWU"&amp;"Nn6SuWm0c307h32SiGkd9BaeQWlAktfD3KO8/edit?usp=sharing"",""เพชรบูรณ์!Q122"")+IMPORTRANGE(""https://docs.google.com/spreadsheets/d/1lOVebEIsI9qjGXl6EX66luk7wiuP2tBaryw-wKvv4e0/edit?usp=sharing"",""แพร่!Q122"")+IMPORTRANGE(""https://docs.google.com/spreadshe"&amp;"ets/d/1dQrvX0vEcN7Gu0fnZ0B5S90AeR19zth4XlExFBeExMY/edit?usp=sharing"",""แม่ฮ่องสอน!Q122"")+IMPORTRANGE(""https://docs.google.com/spreadsheets/d/1DY4XTNNwjluuxqdfdn6qvOSlMRrZqUtmYcZR0ttFiG4/edit?usp=sharing"",""ลำปาง!Q122"")+IMPORTRANGE(""https://docs.goog"&amp;"le.com/spreadsheets/d/1ICwG78r0OFT8biBlxnBF8r7she7gNSzOvJ958PWT09c/edit?usp=sharing"",""ลำพูน!Q122"")+IMPORTRANGE(""https://docs.google.com/spreadsheets/d/1B0f2xJpZUC6Z0xXnqKlZtEPzsf6L84eP1r1Q15seqRM/edit?usp=sharing"",""สุโขทัย!Q122"")+IMPORTRANGE(""http"&amp;"s://docs.google.com/spreadsheets/d/1v0b9pFQCsKUVExMei7AgY2yQkdeNQvtOssygGsXbiKo/edit?usp=sharing"",""อุตรดิตถ์!Q122"")+IMPORTRANGE(""https://docs.google.com/spreadsheets/d/1UsNK1e-WWiCo2PvGqdNfdme4m17_Ezd3J69EeeiQPD0/edit?usp=sharing"",""อุทัยธานี!Q122"")"),6899960)</f>
        <v>6899960</v>
      </c>
      <c r="R122" s="46">
        <f ca="1">IFERROR(__xludf.DUMMYFUNCTION("IMPORTRANGE(""https://docs.google.com/spreadsheets/d/1jTcq05yEiRwXcBMLjiodW9e4biSGYWAHcDj22rKWQ3s/edit?usp=sharing"",""กำแพงเพชร!R122"")+IMPORTRANGE(""https://docs.google.com/spreadsheets/d/1KS0zmDSZPk8KnTAbGN-Xk6MtX1YRZD0ldgdt20K4CRk/edit?usp=sharing"","&amp;"""เชียงราย!R122"")+IMPORTRANGE(""https://docs.google.com/spreadsheets/d/1rEDxBtusbi64tE0zunoIbsTVV16HeL0oJ6trHQeQ7K8/edit?usp=sharing"",""เชียงใหม่!R122"")+IMPORTRANGE(""https://docs.google.com/spreadsheets/d/1W6MnUbDkMi6xHnHko_XkFDO9kkuL6Wqyc-6OCDFjW9I/e"&amp;"dit?usp=sharing"",""ตาก!R122"")+IMPORTRANGE(""https://docs.google.com/spreadsheets/d/1IQAWArduLkta9LpYo4a_ULsyqdta6-6aDDiwpUnQT6c/edit?usp=sharing"",""นครสวรรค์!R122"")+IMPORTRANGE(""https://docs.google.com/spreadsheets/d/10s13Sk5xrltsiR-Zkbmk5DwIaDIKO8Xl"&amp;"bJAfqyT7Gvg/edit?usp=sharing"",""น่าน!R122"")+IMPORTRANGE(""https://docs.google.com/spreadsheets/d/1uu4nAn4Dbi1XREnLKKotUANlKXa7yCgRcgq8HEzQYW8/edit?usp=sharing"",""พะเยา!R122"")+IMPORTRANGE(""https://docs.google.com/spreadsheets/d/1xfJKIQxVOaPDIICqsflNlL"&amp;"u3JacTDk1FP9RH4phX7mI/edit?usp=sharing"",""พิจิตร!R122"")+IMPORTRANGE(""https://docs.google.com/spreadsheets/d/1JtRfZkJMHtEhI5RdRHxYUG4FIZHqKDpNyIuN7A1Q0_k/edit?usp=sharing"",""พิษณุโลก!R122"")+IMPORTRANGE(""https://docs.google.com/spreadsheets/d/1xlcVZWU"&amp;"Nn6SuWm0c307h32SiGkd9BaeQWlAktfD3KO8/edit?usp=sharing"",""เพชรบูรณ์!R122"")+IMPORTRANGE(""https://docs.google.com/spreadsheets/d/1lOVebEIsI9qjGXl6EX66luk7wiuP2tBaryw-wKvv4e0/edit?usp=sharing"",""แพร่!R122"")+IMPORTRANGE(""https://docs.google.com/spreadshe"&amp;"ets/d/1dQrvX0vEcN7Gu0fnZ0B5S90AeR19zth4XlExFBeExMY/edit?usp=sharing"",""แม่ฮ่องสอน!R122"")+IMPORTRANGE(""https://docs.google.com/spreadsheets/d/1DY4XTNNwjluuxqdfdn6qvOSlMRrZqUtmYcZR0ttFiG4/edit?usp=sharing"",""ลำปาง!R122"")+IMPORTRANGE(""https://docs.goog"&amp;"le.com/spreadsheets/d/1ICwG78r0OFT8biBlxnBF8r7she7gNSzOvJ958PWT09c/edit?usp=sharing"",""ลำพูน!R122"")+IMPORTRANGE(""https://docs.google.com/spreadsheets/d/1B0f2xJpZUC6Z0xXnqKlZtEPzsf6L84eP1r1Q15seqRM/edit?usp=sharing"",""สุโขทัย!R122"")+IMPORTRANGE(""http"&amp;"s://docs.google.com/spreadsheets/d/1v0b9pFQCsKUVExMei7AgY2yQkdeNQvtOssygGsXbiKo/edit?usp=sharing"",""อุตรดิตถ์!R122"")+IMPORTRANGE(""https://docs.google.com/spreadsheets/d/1UsNK1e-WWiCo2PvGqdNfdme4m17_Ezd3J69EeeiQPD0/edit?usp=sharing"",""อุทัยธานี!R122"")"),6899960)</f>
        <v>6899960</v>
      </c>
      <c r="S122" s="46">
        <f ca="1">IFERROR(__xludf.DUMMYFUNCTION("IMPORTRANGE(""https://docs.google.com/spreadsheets/d/1jTcq05yEiRwXcBMLjiodW9e4biSGYWAHcDj22rKWQ3s/edit?usp=sharing"",""กำแพงเพชร!S122"")+IMPORTRANGE(""https://docs.google.com/spreadsheets/d/1KS0zmDSZPk8KnTAbGN-Xk6MtX1YRZD0ldgdt20K4CRk/edit?usp=sharing"","&amp;"""เชียงราย!S122"")+IMPORTRANGE(""https://docs.google.com/spreadsheets/d/1rEDxBtusbi64tE0zunoIbsTVV16HeL0oJ6trHQeQ7K8/edit?usp=sharing"",""เชียงใหม่!S122"")+IMPORTRANGE(""https://docs.google.com/spreadsheets/d/1W6MnUbDkMi6xHnHko_XkFDO9kkuL6Wqyc-6OCDFjW9I/e"&amp;"dit?usp=sharing"",""ตาก!S122"")+IMPORTRANGE(""https://docs.google.com/spreadsheets/d/1IQAWArduLkta9LpYo4a_ULsyqdta6-6aDDiwpUnQT6c/edit?usp=sharing"",""นครสวรรค์!S122"")+IMPORTRANGE(""https://docs.google.com/spreadsheets/d/10s13Sk5xrltsiR-Zkbmk5DwIaDIKO8Xl"&amp;"bJAfqyT7Gvg/edit?usp=sharing"",""น่าน!S122"")+IMPORTRANGE(""https://docs.google.com/spreadsheets/d/1uu4nAn4Dbi1XREnLKKotUANlKXa7yCgRcgq8HEzQYW8/edit?usp=sharing"",""พะเยา!S122"")+IMPORTRANGE(""https://docs.google.com/spreadsheets/d/1xfJKIQxVOaPDIICqsflNlL"&amp;"u3JacTDk1FP9RH4phX7mI/edit?usp=sharing"",""พิจิตร!S122"")+IMPORTRANGE(""https://docs.google.com/spreadsheets/d/1JtRfZkJMHtEhI5RdRHxYUG4FIZHqKDpNyIuN7A1Q0_k/edit?usp=sharing"",""พิษณุโลก!S122"")+IMPORTRANGE(""https://docs.google.com/spreadsheets/d/1xlcVZWU"&amp;"Nn6SuWm0c307h32SiGkd9BaeQWlAktfD3KO8/edit?usp=sharing"",""เพชรบูรณ์!S122"")+IMPORTRANGE(""https://docs.google.com/spreadsheets/d/1lOVebEIsI9qjGXl6EX66luk7wiuP2tBaryw-wKvv4e0/edit?usp=sharing"",""แพร่!S122"")+IMPORTRANGE(""https://docs.google.com/spreadshe"&amp;"ets/d/1dQrvX0vEcN7Gu0fnZ0B5S90AeR19zth4XlExFBeExMY/edit?usp=sharing"",""แม่ฮ่องสอน!S122"")+IMPORTRANGE(""https://docs.google.com/spreadsheets/d/1DY4XTNNwjluuxqdfdn6qvOSlMRrZqUtmYcZR0ttFiG4/edit?usp=sharing"",""ลำปาง!S122"")+IMPORTRANGE(""https://docs.goog"&amp;"le.com/spreadsheets/d/1ICwG78r0OFT8biBlxnBF8r7she7gNSzOvJ958PWT09c/edit?usp=sharing"",""ลำพูน!S122"")+IMPORTRANGE(""https://docs.google.com/spreadsheets/d/1B0f2xJpZUC6Z0xXnqKlZtEPzsf6L84eP1r1Q15seqRM/edit?usp=sharing"",""สุโขทัย!S122"")+IMPORTRANGE(""http"&amp;"s://docs.google.com/spreadsheets/d/1v0b9pFQCsKUVExMei7AgY2yQkdeNQvtOssygGsXbiKo/edit?usp=sharing"",""อุตรดิตถ์!S122"")+IMPORTRANGE(""https://docs.google.com/spreadsheets/d/1UsNK1e-WWiCo2PvGqdNfdme4m17_Ezd3J69EeeiQPD0/edit?usp=sharing"",""อุทัยธานี!S122"")"),2008277.08999999)</f>
        <v>2008277.0899999901</v>
      </c>
      <c r="T122" s="46">
        <f t="shared" ca="1" si="94"/>
        <v>29.105633800775514</v>
      </c>
      <c r="U122" s="46">
        <f t="shared" ca="1" si="95"/>
        <v>29.105633800775514</v>
      </c>
    </row>
    <row r="123" spans="1:21" ht="18.75" x14ac:dyDescent="0.25">
      <c r="A123" s="128"/>
      <c r="B123" s="40"/>
      <c r="C123" s="174"/>
      <c r="D123" s="160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46">
        <f t="shared" ref="L123:N123" ca="1" si="102">L124+L125</f>
        <v>0</v>
      </c>
      <c r="M123" s="46">
        <f t="shared" ca="1" si="102"/>
        <v>0</v>
      </c>
      <c r="N123" s="46">
        <f t="shared" ca="1" si="102"/>
        <v>0</v>
      </c>
      <c r="O123" s="46">
        <f t="shared" ca="1" si="91"/>
        <v>0</v>
      </c>
      <c r="P123" s="46">
        <f t="shared" ca="1" si="92"/>
        <v>0</v>
      </c>
      <c r="Q123" s="46">
        <f t="shared" ref="Q123:S123" ca="1" si="103">Q124+Q125</f>
        <v>0</v>
      </c>
      <c r="R123" s="46">
        <f t="shared" ca="1" si="103"/>
        <v>0</v>
      </c>
      <c r="S123" s="46">
        <f t="shared" ca="1" si="103"/>
        <v>0</v>
      </c>
      <c r="T123" s="46">
        <f t="shared" ca="1" si="94"/>
        <v>0</v>
      </c>
      <c r="U123" s="46">
        <f t="shared" ca="1" si="95"/>
        <v>0</v>
      </c>
    </row>
    <row r="124" spans="1:21" ht="18.75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48">
        <f ca="1">IFERROR(__xludf.DUMMYFUNCTION("IMPORTRANGE(""https://docs.google.com/spreadsheets/d/1jTcq05yEiRwXcBMLjiodW9e4biSGYWAHcDj22rKWQ3s/edit?usp=sharing"",""กำแพงเพชร!L124"")+IMPORTRANGE(""https://docs.google.com/spreadsheets/d/1KS0zmDSZPk8KnTAbGN-Xk6MtX1YRZD0ldgdt20K4CRk/edit?usp=sharing"","&amp;"""เชียงราย!L124"")+IMPORTRANGE(""https://docs.google.com/spreadsheets/d/1rEDxBtusbi64tE0zunoIbsTVV16HeL0oJ6trHQeQ7K8/edit?usp=sharing"",""เชียงใหม่!L124"")+IMPORTRANGE(""https://docs.google.com/spreadsheets/d/1W6MnUbDkMi6xHnHko_XkFDO9kkuL6Wqyc-6OCDFjW9I/e"&amp;"dit?usp=sharing"",""ตาก!L124"")+IMPORTRANGE(""https://docs.google.com/spreadsheets/d/1IQAWArduLkta9LpYo4a_ULsyqdta6-6aDDiwpUnQT6c/edit?usp=sharing"",""นครสวรรค์!L124"")+IMPORTRANGE(""https://docs.google.com/spreadsheets/d/10s13Sk5xrltsiR-Zkbmk5DwIaDIKO8Xl"&amp;"bJAfqyT7Gvg/edit?usp=sharing"",""น่าน!L124"")+IMPORTRANGE(""https://docs.google.com/spreadsheets/d/1uu4nAn4Dbi1XREnLKKotUANlKXa7yCgRcgq8HEzQYW8/edit?usp=sharing"",""พะเยา!L124"")+IMPORTRANGE(""https://docs.google.com/spreadsheets/d/1xfJKIQxVOaPDIICqsflNlL"&amp;"u3JacTDk1FP9RH4phX7mI/edit?usp=sharing"",""พิจิตร!L124"")+IMPORTRANGE(""https://docs.google.com/spreadsheets/d/1JtRfZkJMHtEhI5RdRHxYUG4FIZHqKDpNyIuN7A1Q0_k/edit?usp=sharing"",""พิษณุโลก!L124"")+IMPORTRANGE(""https://docs.google.com/spreadsheets/d/1xlcVZWU"&amp;"Nn6SuWm0c307h32SiGkd9BaeQWlAktfD3KO8/edit?usp=sharing"",""เพชรบูรณ์!L124"")+IMPORTRANGE(""https://docs.google.com/spreadsheets/d/1lOVebEIsI9qjGXl6EX66luk7wiuP2tBaryw-wKvv4e0/edit?usp=sharing"",""แพร่!L124"")+IMPORTRANGE(""https://docs.google.com/spreadshe"&amp;"ets/d/1dQrvX0vEcN7Gu0fnZ0B5S90AeR19zth4XlExFBeExMY/edit?usp=sharing"",""แม่ฮ่องสอน!L124"")+IMPORTRANGE(""https://docs.google.com/spreadsheets/d/1DY4XTNNwjluuxqdfdn6qvOSlMRrZqUtmYcZR0ttFiG4/edit?usp=sharing"",""ลำปาง!L124"")+IMPORTRANGE(""https://docs.goog"&amp;"le.com/spreadsheets/d/1ICwG78r0OFT8biBlxnBF8r7she7gNSzOvJ958PWT09c/edit?usp=sharing"",""ลำพูน!L124"")+IMPORTRANGE(""https://docs.google.com/spreadsheets/d/1B0f2xJpZUC6Z0xXnqKlZtEPzsf6L84eP1r1Q15seqRM/edit?usp=sharing"",""สุโขทัย!L124"")+IMPORTRANGE(""http"&amp;"s://docs.google.com/spreadsheets/d/1v0b9pFQCsKUVExMei7AgY2yQkdeNQvtOssygGsXbiKo/edit?usp=sharing"",""อุตรดิตถ์!L124"")+IMPORTRANGE(""https://docs.google.com/spreadsheets/d/1UsNK1e-WWiCo2PvGqdNfdme4m17_Ezd3J69EeeiQPD0/edit?usp=sharing"",""อุทัยธานี!L124"")"),0)</f>
        <v>0</v>
      </c>
      <c r="M124" s="48">
        <f ca="1">IFERROR(__xludf.DUMMYFUNCTION("IMPORTRANGE(""https://docs.google.com/spreadsheets/d/1jTcq05yEiRwXcBMLjiodW9e4biSGYWAHcDj22rKWQ3s/edit?usp=sharing"",""กำแพงเพชร!M124"")+IMPORTRANGE(""https://docs.google.com/spreadsheets/d/1KS0zmDSZPk8KnTAbGN-Xk6MtX1YRZD0ldgdt20K4CRk/edit?usp=sharing"","&amp;"""เชียงราย!M124"")+IMPORTRANGE(""https://docs.google.com/spreadsheets/d/1rEDxBtusbi64tE0zunoIbsTVV16HeL0oJ6trHQeQ7K8/edit?usp=sharing"",""เชียงใหม่!M124"")+IMPORTRANGE(""https://docs.google.com/spreadsheets/d/1W6MnUbDkMi6xHnHko_XkFDO9kkuL6Wqyc-6OCDFjW9I/e"&amp;"dit?usp=sharing"",""ตาก!M124"")+IMPORTRANGE(""https://docs.google.com/spreadsheets/d/1IQAWArduLkta9LpYo4a_ULsyqdta6-6aDDiwpUnQT6c/edit?usp=sharing"",""นครสวรรค์!M124"")+IMPORTRANGE(""https://docs.google.com/spreadsheets/d/10s13Sk5xrltsiR-Zkbmk5DwIaDIKO8Xl"&amp;"bJAfqyT7Gvg/edit?usp=sharing"",""น่าน!M124"")+IMPORTRANGE(""https://docs.google.com/spreadsheets/d/1uu4nAn4Dbi1XREnLKKotUANlKXa7yCgRcgq8HEzQYW8/edit?usp=sharing"",""พะเยา!M124"")+IMPORTRANGE(""https://docs.google.com/spreadsheets/d/1xfJKIQxVOaPDIICqsflNlL"&amp;"u3JacTDk1FP9RH4phX7mI/edit?usp=sharing"",""พิจิตร!M124"")+IMPORTRANGE(""https://docs.google.com/spreadsheets/d/1JtRfZkJMHtEhI5RdRHxYUG4FIZHqKDpNyIuN7A1Q0_k/edit?usp=sharing"",""พิษณุโลก!M124"")+IMPORTRANGE(""https://docs.google.com/spreadsheets/d/1xlcVZWU"&amp;"Nn6SuWm0c307h32SiGkd9BaeQWlAktfD3KO8/edit?usp=sharing"",""เพชรบูรณ์!M124"")+IMPORTRANGE(""https://docs.google.com/spreadsheets/d/1lOVebEIsI9qjGXl6EX66luk7wiuP2tBaryw-wKvv4e0/edit?usp=sharing"",""แพร่!M124"")+IMPORTRANGE(""https://docs.google.com/spreadshe"&amp;"ets/d/1dQrvX0vEcN7Gu0fnZ0B5S90AeR19zth4XlExFBeExMY/edit?usp=sharing"",""แม่ฮ่องสอน!M124"")+IMPORTRANGE(""https://docs.google.com/spreadsheets/d/1DY4XTNNwjluuxqdfdn6qvOSlMRrZqUtmYcZR0ttFiG4/edit?usp=sharing"",""ลำปาง!M124"")+IMPORTRANGE(""https://docs.goog"&amp;"le.com/spreadsheets/d/1ICwG78r0OFT8biBlxnBF8r7she7gNSzOvJ958PWT09c/edit?usp=sharing"",""ลำพูน!M124"")+IMPORTRANGE(""https://docs.google.com/spreadsheets/d/1B0f2xJpZUC6Z0xXnqKlZtEPzsf6L84eP1r1Q15seqRM/edit?usp=sharing"",""สุโขทัย!M124"")+IMPORTRANGE(""http"&amp;"s://docs.google.com/spreadsheets/d/1v0b9pFQCsKUVExMei7AgY2yQkdeNQvtOssygGsXbiKo/edit?usp=sharing"",""อุตรดิตถ์!M124"")+IMPORTRANGE(""https://docs.google.com/spreadsheets/d/1UsNK1e-WWiCo2PvGqdNfdme4m17_Ezd3J69EeeiQPD0/edit?usp=sharing"",""อุทัยธานี!M124"")"),0)</f>
        <v>0</v>
      </c>
      <c r="N124" s="48">
        <f ca="1">IFERROR(__xludf.DUMMYFUNCTION("IMPORTRANGE(""https://docs.google.com/spreadsheets/d/1jTcq05yEiRwXcBMLjiodW9e4biSGYWAHcDj22rKWQ3s/edit?usp=sharing"",""กำแพงเพชร!N124"")+IMPORTRANGE(""https://docs.google.com/spreadsheets/d/1KS0zmDSZPk8KnTAbGN-Xk6MtX1YRZD0ldgdt20K4CRk/edit?usp=sharing"","&amp;"""เชียงราย!N124"")+IMPORTRANGE(""https://docs.google.com/spreadsheets/d/1rEDxBtusbi64tE0zunoIbsTVV16HeL0oJ6trHQeQ7K8/edit?usp=sharing"",""เชียงใหม่!N124"")+IMPORTRANGE(""https://docs.google.com/spreadsheets/d/1W6MnUbDkMi6xHnHko_XkFDO9kkuL6Wqyc-6OCDFjW9I/e"&amp;"dit?usp=sharing"",""ตาก!N124"")+IMPORTRANGE(""https://docs.google.com/spreadsheets/d/1IQAWArduLkta9LpYo4a_ULsyqdta6-6aDDiwpUnQT6c/edit?usp=sharing"",""นครสวรรค์!N124"")+IMPORTRANGE(""https://docs.google.com/spreadsheets/d/10s13Sk5xrltsiR-Zkbmk5DwIaDIKO8Xl"&amp;"bJAfqyT7Gvg/edit?usp=sharing"",""น่าน!N124"")+IMPORTRANGE(""https://docs.google.com/spreadsheets/d/1uu4nAn4Dbi1XREnLKKotUANlKXa7yCgRcgq8HEzQYW8/edit?usp=sharing"",""พะเยา!N124"")+IMPORTRANGE(""https://docs.google.com/spreadsheets/d/1xfJKIQxVOaPDIICqsflNlL"&amp;"u3JacTDk1FP9RH4phX7mI/edit?usp=sharing"",""พิจิตร!N124"")+IMPORTRANGE(""https://docs.google.com/spreadsheets/d/1JtRfZkJMHtEhI5RdRHxYUG4FIZHqKDpNyIuN7A1Q0_k/edit?usp=sharing"",""พิษณุโลก!N124"")+IMPORTRANGE(""https://docs.google.com/spreadsheets/d/1xlcVZWU"&amp;"Nn6SuWm0c307h32SiGkd9BaeQWlAktfD3KO8/edit?usp=sharing"",""เพชรบูรณ์!N124"")+IMPORTRANGE(""https://docs.google.com/spreadsheets/d/1lOVebEIsI9qjGXl6EX66luk7wiuP2tBaryw-wKvv4e0/edit?usp=sharing"",""แพร่!N124"")+IMPORTRANGE(""https://docs.google.com/spreadshe"&amp;"ets/d/1dQrvX0vEcN7Gu0fnZ0B5S90AeR19zth4XlExFBeExMY/edit?usp=sharing"",""แม่ฮ่องสอน!N124"")+IMPORTRANGE(""https://docs.google.com/spreadsheets/d/1DY4XTNNwjluuxqdfdn6qvOSlMRrZqUtmYcZR0ttFiG4/edit?usp=sharing"",""ลำปาง!N124"")+IMPORTRANGE(""https://docs.goog"&amp;"le.com/spreadsheets/d/1ICwG78r0OFT8biBlxnBF8r7she7gNSzOvJ958PWT09c/edit?usp=sharing"",""ลำพูน!N124"")+IMPORTRANGE(""https://docs.google.com/spreadsheets/d/1B0f2xJpZUC6Z0xXnqKlZtEPzsf6L84eP1r1Q15seqRM/edit?usp=sharing"",""สุโขทัย!N124"")+IMPORTRANGE(""http"&amp;"s://docs.google.com/spreadsheets/d/1v0b9pFQCsKUVExMei7AgY2yQkdeNQvtOssygGsXbiKo/edit?usp=sharing"",""อุตรดิตถ์!N124"")+IMPORTRANGE(""https://docs.google.com/spreadsheets/d/1UsNK1e-WWiCo2PvGqdNfdme4m17_Ezd3J69EeeiQPD0/edit?usp=sharing"",""อุทัยธานี!N124"")"),0)</f>
        <v>0</v>
      </c>
      <c r="O124" s="48">
        <f t="shared" ca="1" si="91"/>
        <v>0</v>
      </c>
      <c r="P124" s="48">
        <f t="shared" ca="1" si="92"/>
        <v>0</v>
      </c>
      <c r="Q124" s="48">
        <f ca="1">IFERROR(__xludf.DUMMYFUNCTION("IMPORTRANGE(""https://docs.google.com/spreadsheets/d/1jTcq05yEiRwXcBMLjiodW9e4biSGYWAHcDj22rKWQ3s/edit?usp=sharing"",""กำแพงเพชร!Q124"")+IMPORTRANGE(""https://docs.google.com/spreadsheets/d/1KS0zmDSZPk8KnTAbGN-Xk6MtX1YRZD0ldgdt20K4CRk/edit?usp=sharing"","&amp;"""เชียงราย!Q124"")+IMPORTRANGE(""https://docs.google.com/spreadsheets/d/1rEDxBtusbi64tE0zunoIbsTVV16HeL0oJ6trHQeQ7K8/edit?usp=sharing"",""เชียงใหม่!Q124"")+IMPORTRANGE(""https://docs.google.com/spreadsheets/d/1W6MnUbDkMi6xHnHko_XkFDO9kkuL6Wqyc-6OCDFjW9I/e"&amp;"dit?usp=sharing"",""ตาก!Q124"")+IMPORTRANGE(""https://docs.google.com/spreadsheets/d/1IQAWArduLkta9LpYo4a_ULsyqdta6-6aDDiwpUnQT6c/edit?usp=sharing"",""นครสวรรค์!Q124"")+IMPORTRANGE(""https://docs.google.com/spreadsheets/d/10s13Sk5xrltsiR-Zkbmk5DwIaDIKO8Xl"&amp;"bJAfqyT7Gvg/edit?usp=sharing"",""น่าน!Q124"")+IMPORTRANGE(""https://docs.google.com/spreadsheets/d/1uu4nAn4Dbi1XREnLKKotUANlKXa7yCgRcgq8HEzQYW8/edit?usp=sharing"",""พะเยา!Q124"")+IMPORTRANGE(""https://docs.google.com/spreadsheets/d/1xfJKIQxVOaPDIICqsflNlL"&amp;"u3JacTDk1FP9RH4phX7mI/edit?usp=sharing"",""พิจิตร!Q124"")+IMPORTRANGE(""https://docs.google.com/spreadsheets/d/1JtRfZkJMHtEhI5RdRHxYUG4FIZHqKDpNyIuN7A1Q0_k/edit?usp=sharing"",""พิษณุโลก!Q124"")+IMPORTRANGE(""https://docs.google.com/spreadsheets/d/1xlcVZWU"&amp;"Nn6SuWm0c307h32SiGkd9BaeQWlAktfD3KO8/edit?usp=sharing"",""เพชรบูรณ์!Q124"")+IMPORTRANGE(""https://docs.google.com/spreadsheets/d/1lOVebEIsI9qjGXl6EX66luk7wiuP2tBaryw-wKvv4e0/edit?usp=sharing"",""แพร่!Q124"")+IMPORTRANGE(""https://docs.google.com/spreadshe"&amp;"ets/d/1dQrvX0vEcN7Gu0fnZ0B5S90AeR19zth4XlExFBeExMY/edit?usp=sharing"",""แม่ฮ่องสอน!Q124"")+IMPORTRANGE(""https://docs.google.com/spreadsheets/d/1DY4XTNNwjluuxqdfdn6qvOSlMRrZqUtmYcZR0ttFiG4/edit?usp=sharing"",""ลำปาง!Q124"")+IMPORTRANGE(""https://docs.goog"&amp;"le.com/spreadsheets/d/1ICwG78r0OFT8biBlxnBF8r7she7gNSzOvJ958PWT09c/edit?usp=sharing"",""ลำพูน!Q124"")+IMPORTRANGE(""https://docs.google.com/spreadsheets/d/1B0f2xJpZUC6Z0xXnqKlZtEPzsf6L84eP1r1Q15seqRM/edit?usp=sharing"",""สุโขทัย!Q124"")+IMPORTRANGE(""http"&amp;"s://docs.google.com/spreadsheets/d/1v0b9pFQCsKUVExMei7AgY2yQkdeNQvtOssygGsXbiKo/edit?usp=sharing"",""อุตรดิตถ์!Q124"")+IMPORTRANGE(""https://docs.google.com/spreadsheets/d/1UsNK1e-WWiCo2PvGqdNfdme4m17_Ezd3J69EeeiQPD0/edit?usp=sharing"",""อุทัยธานี!Q124"")"),0)</f>
        <v>0</v>
      </c>
      <c r="R124" s="48">
        <f ca="1">IFERROR(__xludf.DUMMYFUNCTION("IMPORTRANGE(""https://docs.google.com/spreadsheets/d/1jTcq05yEiRwXcBMLjiodW9e4biSGYWAHcDj22rKWQ3s/edit?usp=sharing"",""กำแพงเพชร!R124"")+IMPORTRANGE(""https://docs.google.com/spreadsheets/d/1KS0zmDSZPk8KnTAbGN-Xk6MtX1YRZD0ldgdt20K4CRk/edit?usp=sharing"","&amp;"""เชียงราย!R124"")+IMPORTRANGE(""https://docs.google.com/spreadsheets/d/1rEDxBtusbi64tE0zunoIbsTVV16HeL0oJ6trHQeQ7K8/edit?usp=sharing"",""เชียงใหม่!R124"")+IMPORTRANGE(""https://docs.google.com/spreadsheets/d/1W6MnUbDkMi6xHnHko_XkFDO9kkuL6Wqyc-6OCDFjW9I/e"&amp;"dit?usp=sharing"",""ตาก!R124"")+IMPORTRANGE(""https://docs.google.com/spreadsheets/d/1IQAWArduLkta9LpYo4a_ULsyqdta6-6aDDiwpUnQT6c/edit?usp=sharing"",""นครสวรรค์!R124"")+IMPORTRANGE(""https://docs.google.com/spreadsheets/d/10s13Sk5xrltsiR-Zkbmk5DwIaDIKO8Xl"&amp;"bJAfqyT7Gvg/edit?usp=sharing"",""น่าน!R124"")+IMPORTRANGE(""https://docs.google.com/spreadsheets/d/1uu4nAn4Dbi1XREnLKKotUANlKXa7yCgRcgq8HEzQYW8/edit?usp=sharing"",""พะเยา!R124"")+IMPORTRANGE(""https://docs.google.com/spreadsheets/d/1xfJKIQxVOaPDIICqsflNlL"&amp;"u3JacTDk1FP9RH4phX7mI/edit?usp=sharing"",""พิจิตร!R124"")+IMPORTRANGE(""https://docs.google.com/spreadsheets/d/1JtRfZkJMHtEhI5RdRHxYUG4FIZHqKDpNyIuN7A1Q0_k/edit?usp=sharing"",""พิษณุโลก!R124"")+IMPORTRANGE(""https://docs.google.com/spreadsheets/d/1xlcVZWU"&amp;"Nn6SuWm0c307h32SiGkd9BaeQWlAktfD3KO8/edit?usp=sharing"",""เพชรบูรณ์!R124"")+IMPORTRANGE(""https://docs.google.com/spreadsheets/d/1lOVebEIsI9qjGXl6EX66luk7wiuP2tBaryw-wKvv4e0/edit?usp=sharing"",""แพร่!R124"")+IMPORTRANGE(""https://docs.google.com/spreadshe"&amp;"ets/d/1dQrvX0vEcN7Gu0fnZ0B5S90AeR19zth4XlExFBeExMY/edit?usp=sharing"",""แม่ฮ่องสอน!R124"")+IMPORTRANGE(""https://docs.google.com/spreadsheets/d/1DY4XTNNwjluuxqdfdn6qvOSlMRrZqUtmYcZR0ttFiG4/edit?usp=sharing"",""ลำปาง!R124"")+IMPORTRANGE(""https://docs.goog"&amp;"le.com/spreadsheets/d/1ICwG78r0OFT8biBlxnBF8r7she7gNSzOvJ958PWT09c/edit?usp=sharing"",""ลำพูน!R124"")+IMPORTRANGE(""https://docs.google.com/spreadsheets/d/1B0f2xJpZUC6Z0xXnqKlZtEPzsf6L84eP1r1Q15seqRM/edit?usp=sharing"",""สุโขทัย!R124"")+IMPORTRANGE(""http"&amp;"s://docs.google.com/spreadsheets/d/1v0b9pFQCsKUVExMei7AgY2yQkdeNQvtOssygGsXbiKo/edit?usp=sharing"",""อุตรดิตถ์!R124"")+IMPORTRANGE(""https://docs.google.com/spreadsheets/d/1UsNK1e-WWiCo2PvGqdNfdme4m17_Ezd3J69EeeiQPD0/edit?usp=sharing"",""อุทัยธานี!R124"")"),0)</f>
        <v>0</v>
      </c>
      <c r="S124" s="48">
        <f ca="1">IFERROR(__xludf.DUMMYFUNCTION("IMPORTRANGE(""https://docs.google.com/spreadsheets/d/1jTcq05yEiRwXcBMLjiodW9e4biSGYWAHcDj22rKWQ3s/edit?usp=sharing"",""กำแพงเพชร!S124"")+IMPORTRANGE(""https://docs.google.com/spreadsheets/d/1KS0zmDSZPk8KnTAbGN-Xk6MtX1YRZD0ldgdt20K4CRk/edit?usp=sharing"","&amp;"""เชียงราย!S124"")+IMPORTRANGE(""https://docs.google.com/spreadsheets/d/1rEDxBtusbi64tE0zunoIbsTVV16HeL0oJ6trHQeQ7K8/edit?usp=sharing"",""เชียงใหม่!S124"")+IMPORTRANGE(""https://docs.google.com/spreadsheets/d/1W6MnUbDkMi6xHnHko_XkFDO9kkuL6Wqyc-6OCDFjW9I/e"&amp;"dit?usp=sharing"",""ตาก!S124"")+IMPORTRANGE(""https://docs.google.com/spreadsheets/d/1IQAWArduLkta9LpYo4a_ULsyqdta6-6aDDiwpUnQT6c/edit?usp=sharing"",""นครสวรรค์!S124"")+IMPORTRANGE(""https://docs.google.com/spreadsheets/d/10s13Sk5xrltsiR-Zkbmk5DwIaDIKO8Xl"&amp;"bJAfqyT7Gvg/edit?usp=sharing"",""น่าน!S124"")+IMPORTRANGE(""https://docs.google.com/spreadsheets/d/1uu4nAn4Dbi1XREnLKKotUANlKXa7yCgRcgq8HEzQYW8/edit?usp=sharing"",""พะเยา!S124"")+IMPORTRANGE(""https://docs.google.com/spreadsheets/d/1xfJKIQxVOaPDIICqsflNlL"&amp;"u3JacTDk1FP9RH4phX7mI/edit?usp=sharing"",""พิจิตร!S124"")+IMPORTRANGE(""https://docs.google.com/spreadsheets/d/1JtRfZkJMHtEhI5RdRHxYUG4FIZHqKDpNyIuN7A1Q0_k/edit?usp=sharing"",""พิษณุโลก!S124"")+IMPORTRANGE(""https://docs.google.com/spreadsheets/d/1xlcVZWU"&amp;"Nn6SuWm0c307h32SiGkd9BaeQWlAktfD3KO8/edit?usp=sharing"",""เพชรบูรณ์!S124"")+IMPORTRANGE(""https://docs.google.com/spreadsheets/d/1lOVebEIsI9qjGXl6EX66luk7wiuP2tBaryw-wKvv4e0/edit?usp=sharing"",""แพร่!S124"")+IMPORTRANGE(""https://docs.google.com/spreadshe"&amp;"ets/d/1dQrvX0vEcN7Gu0fnZ0B5S90AeR19zth4XlExFBeExMY/edit?usp=sharing"",""แม่ฮ่องสอน!S124"")+IMPORTRANGE(""https://docs.google.com/spreadsheets/d/1DY4XTNNwjluuxqdfdn6qvOSlMRrZqUtmYcZR0ttFiG4/edit?usp=sharing"",""ลำปาง!S124"")+IMPORTRANGE(""https://docs.goog"&amp;"le.com/spreadsheets/d/1ICwG78r0OFT8biBlxnBF8r7she7gNSzOvJ958PWT09c/edit?usp=sharing"",""ลำพูน!S124"")+IMPORTRANGE(""https://docs.google.com/spreadsheets/d/1B0f2xJpZUC6Z0xXnqKlZtEPzsf6L84eP1r1Q15seqRM/edit?usp=sharing"",""สุโขทัย!S124"")+IMPORTRANGE(""http"&amp;"s://docs.google.com/spreadsheets/d/1v0b9pFQCsKUVExMei7AgY2yQkdeNQvtOssygGsXbiKo/edit?usp=sharing"",""อุตรดิตถ์!S124"")+IMPORTRANGE(""https://docs.google.com/spreadsheets/d/1UsNK1e-WWiCo2PvGqdNfdme4m17_Ezd3J69EeeiQPD0/edit?usp=sharing"",""อุทัยธานี!S124"")"),0)</f>
        <v>0</v>
      </c>
      <c r="T124" s="48">
        <f t="shared" ca="1" si="94"/>
        <v>0</v>
      </c>
      <c r="U124" s="48">
        <f t="shared" ca="1" si="95"/>
        <v>0</v>
      </c>
    </row>
    <row r="125" spans="1:21" ht="18.75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46">
        <f ca="1">IFERROR(__xludf.DUMMYFUNCTION("IMPORTRANGE(""https://docs.google.com/spreadsheets/d/1jTcq05yEiRwXcBMLjiodW9e4biSGYWAHcDj22rKWQ3s/edit?usp=sharing"",""กำแพงเพชร!L125"")+IMPORTRANGE(""https://docs.google.com/spreadsheets/d/1KS0zmDSZPk8KnTAbGN-Xk6MtX1YRZD0ldgdt20K4CRk/edit?usp=sharing"","&amp;"""เชียงราย!L125"")+IMPORTRANGE(""https://docs.google.com/spreadsheets/d/1rEDxBtusbi64tE0zunoIbsTVV16HeL0oJ6trHQeQ7K8/edit?usp=sharing"",""เชียงใหม่!L125"")+IMPORTRANGE(""https://docs.google.com/spreadsheets/d/1W6MnUbDkMi6xHnHko_XkFDO9kkuL6Wqyc-6OCDFjW9I/e"&amp;"dit?usp=sharing"",""ตาก!L125"")+IMPORTRANGE(""https://docs.google.com/spreadsheets/d/1IQAWArduLkta9LpYo4a_ULsyqdta6-6aDDiwpUnQT6c/edit?usp=sharing"",""นครสวรรค์!L125"")+IMPORTRANGE(""https://docs.google.com/spreadsheets/d/10s13Sk5xrltsiR-Zkbmk5DwIaDIKO8Xl"&amp;"bJAfqyT7Gvg/edit?usp=sharing"",""น่าน!L125"")+IMPORTRANGE(""https://docs.google.com/spreadsheets/d/1uu4nAn4Dbi1XREnLKKotUANlKXa7yCgRcgq8HEzQYW8/edit?usp=sharing"",""พะเยา!L125"")+IMPORTRANGE(""https://docs.google.com/spreadsheets/d/1xfJKIQxVOaPDIICqsflNlL"&amp;"u3JacTDk1FP9RH4phX7mI/edit?usp=sharing"",""พิจิตร!L125"")+IMPORTRANGE(""https://docs.google.com/spreadsheets/d/1JtRfZkJMHtEhI5RdRHxYUG4FIZHqKDpNyIuN7A1Q0_k/edit?usp=sharing"",""พิษณุโลก!L125"")+IMPORTRANGE(""https://docs.google.com/spreadsheets/d/1xlcVZWU"&amp;"Nn6SuWm0c307h32SiGkd9BaeQWlAktfD3KO8/edit?usp=sharing"",""เพชรบูรณ์!L125"")+IMPORTRANGE(""https://docs.google.com/spreadsheets/d/1lOVebEIsI9qjGXl6EX66luk7wiuP2tBaryw-wKvv4e0/edit?usp=sharing"",""แพร่!L125"")+IMPORTRANGE(""https://docs.google.com/spreadshe"&amp;"ets/d/1dQrvX0vEcN7Gu0fnZ0B5S90AeR19zth4XlExFBeExMY/edit?usp=sharing"",""แม่ฮ่องสอน!L125"")+IMPORTRANGE(""https://docs.google.com/spreadsheets/d/1DY4XTNNwjluuxqdfdn6qvOSlMRrZqUtmYcZR0ttFiG4/edit?usp=sharing"",""ลำปาง!L125"")+IMPORTRANGE(""https://docs.goog"&amp;"le.com/spreadsheets/d/1ICwG78r0OFT8biBlxnBF8r7she7gNSzOvJ958PWT09c/edit?usp=sharing"",""ลำพูน!L125"")+IMPORTRANGE(""https://docs.google.com/spreadsheets/d/1B0f2xJpZUC6Z0xXnqKlZtEPzsf6L84eP1r1Q15seqRM/edit?usp=sharing"",""สุโขทัย!L125"")+IMPORTRANGE(""http"&amp;"s://docs.google.com/spreadsheets/d/1v0b9pFQCsKUVExMei7AgY2yQkdeNQvtOssygGsXbiKo/edit?usp=sharing"",""อุตรดิตถ์!L125"")+IMPORTRANGE(""https://docs.google.com/spreadsheets/d/1UsNK1e-WWiCo2PvGqdNfdme4m17_Ezd3J69EeeiQPD0/edit?usp=sharing"",""อุทัยธานี!L125"")"),0)</f>
        <v>0</v>
      </c>
      <c r="M125" s="46">
        <f ca="1">IFERROR(__xludf.DUMMYFUNCTION("IMPORTRANGE(""https://docs.google.com/spreadsheets/d/1jTcq05yEiRwXcBMLjiodW9e4biSGYWAHcDj22rKWQ3s/edit?usp=sharing"",""กำแพงเพชร!M125"")+IMPORTRANGE(""https://docs.google.com/spreadsheets/d/1KS0zmDSZPk8KnTAbGN-Xk6MtX1YRZD0ldgdt20K4CRk/edit?usp=sharing"","&amp;"""เชียงราย!M125"")+IMPORTRANGE(""https://docs.google.com/spreadsheets/d/1rEDxBtusbi64tE0zunoIbsTVV16HeL0oJ6trHQeQ7K8/edit?usp=sharing"",""เชียงใหม่!M125"")+IMPORTRANGE(""https://docs.google.com/spreadsheets/d/1W6MnUbDkMi6xHnHko_XkFDO9kkuL6Wqyc-6OCDFjW9I/e"&amp;"dit?usp=sharing"",""ตาก!M125"")+IMPORTRANGE(""https://docs.google.com/spreadsheets/d/1IQAWArduLkta9LpYo4a_ULsyqdta6-6aDDiwpUnQT6c/edit?usp=sharing"",""นครสวรรค์!M125"")+IMPORTRANGE(""https://docs.google.com/spreadsheets/d/10s13Sk5xrltsiR-Zkbmk5DwIaDIKO8Xl"&amp;"bJAfqyT7Gvg/edit?usp=sharing"",""น่าน!M125"")+IMPORTRANGE(""https://docs.google.com/spreadsheets/d/1uu4nAn4Dbi1XREnLKKotUANlKXa7yCgRcgq8HEzQYW8/edit?usp=sharing"",""พะเยา!M125"")+IMPORTRANGE(""https://docs.google.com/spreadsheets/d/1xfJKIQxVOaPDIICqsflNlL"&amp;"u3JacTDk1FP9RH4phX7mI/edit?usp=sharing"",""พิจิตร!M125"")+IMPORTRANGE(""https://docs.google.com/spreadsheets/d/1JtRfZkJMHtEhI5RdRHxYUG4FIZHqKDpNyIuN7A1Q0_k/edit?usp=sharing"",""พิษณุโลก!M125"")+IMPORTRANGE(""https://docs.google.com/spreadsheets/d/1xlcVZWU"&amp;"Nn6SuWm0c307h32SiGkd9BaeQWlAktfD3KO8/edit?usp=sharing"",""เพชรบูรณ์!M125"")+IMPORTRANGE(""https://docs.google.com/spreadsheets/d/1lOVebEIsI9qjGXl6EX66luk7wiuP2tBaryw-wKvv4e0/edit?usp=sharing"",""แพร่!M125"")+IMPORTRANGE(""https://docs.google.com/spreadshe"&amp;"ets/d/1dQrvX0vEcN7Gu0fnZ0B5S90AeR19zth4XlExFBeExMY/edit?usp=sharing"",""แม่ฮ่องสอน!M125"")+IMPORTRANGE(""https://docs.google.com/spreadsheets/d/1DY4XTNNwjluuxqdfdn6qvOSlMRrZqUtmYcZR0ttFiG4/edit?usp=sharing"",""ลำปาง!M125"")+IMPORTRANGE(""https://docs.goog"&amp;"le.com/spreadsheets/d/1ICwG78r0OFT8biBlxnBF8r7she7gNSzOvJ958PWT09c/edit?usp=sharing"",""ลำพูน!M125"")+IMPORTRANGE(""https://docs.google.com/spreadsheets/d/1B0f2xJpZUC6Z0xXnqKlZtEPzsf6L84eP1r1Q15seqRM/edit?usp=sharing"",""สุโขทัย!M125"")+IMPORTRANGE(""http"&amp;"s://docs.google.com/spreadsheets/d/1v0b9pFQCsKUVExMei7AgY2yQkdeNQvtOssygGsXbiKo/edit?usp=sharing"",""อุตรดิตถ์!M125"")+IMPORTRANGE(""https://docs.google.com/spreadsheets/d/1UsNK1e-WWiCo2PvGqdNfdme4m17_Ezd3J69EeeiQPD0/edit?usp=sharing"",""อุทัยธานี!M125"")"),0)</f>
        <v>0</v>
      </c>
      <c r="N125" s="46">
        <f ca="1">IFERROR(__xludf.DUMMYFUNCTION("IMPORTRANGE(""https://docs.google.com/spreadsheets/d/1jTcq05yEiRwXcBMLjiodW9e4biSGYWAHcDj22rKWQ3s/edit?usp=sharing"",""กำแพงเพชร!N125"")+IMPORTRANGE(""https://docs.google.com/spreadsheets/d/1KS0zmDSZPk8KnTAbGN-Xk6MtX1YRZD0ldgdt20K4CRk/edit?usp=sharing"","&amp;"""เชียงราย!N125"")+IMPORTRANGE(""https://docs.google.com/spreadsheets/d/1rEDxBtusbi64tE0zunoIbsTVV16HeL0oJ6trHQeQ7K8/edit?usp=sharing"",""เชียงใหม่!N125"")+IMPORTRANGE(""https://docs.google.com/spreadsheets/d/1W6MnUbDkMi6xHnHko_XkFDO9kkuL6Wqyc-6OCDFjW9I/e"&amp;"dit?usp=sharing"",""ตาก!N125"")+IMPORTRANGE(""https://docs.google.com/spreadsheets/d/1IQAWArduLkta9LpYo4a_ULsyqdta6-6aDDiwpUnQT6c/edit?usp=sharing"",""นครสวรรค์!N125"")+IMPORTRANGE(""https://docs.google.com/spreadsheets/d/10s13Sk5xrltsiR-Zkbmk5DwIaDIKO8Xl"&amp;"bJAfqyT7Gvg/edit?usp=sharing"",""น่าน!N125"")+IMPORTRANGE(""https://docs.google.com/spreadsheets/d/1uu4nAn4Dbi1XREnLKKotUANlKXa7yCgRcgq8HEzQYW8/edit?usp=sharing"",""พะเยา!N125"")+IMPORTRANGE(""https://docs.google.com/spreadsheets/d/1xfJKIQxVOaPDIICqsflNlL"&amp;"u3JacTDk1FP9RH4phX7mI/edit?usp=sharing"",""พิจิตร!N125"")+IMPORTRANGE(""https://docs.google.com/spreadsheets/d/1JtRfZkJMHtEhI5RdRHxYUG4FIZHqKDpNyIuN7A1Q0_k/edit?usp=sharing"",""พิษณุโลก!N125"")+IMPORTRANGE(""https://docs.google.com/spreadsheets/d/1xlcVZWU"&amp;"Nn6SuWm0c307h32SiGkd9BaeQWlAktfD3KO8/edit?usp=sharing"",""เพชรบูรณ์!N125"")+IMPORTRANGE(""https://docs.google.com/spreadsheets/d/1lOVebEIsI9qjGXl6EX66luk7wiuP2tBaryw-wKvv4e0/edit?usp=sharing"",""แพร่!N125"")+IMPORTRANGE(""https://docs.google.com/spreadshe"&amp;"ets/d/1dQrvX0vEcN7Gu0fnZ0B5S90AeR19zth4XlExFBeExMY/edit?usp=sharing"",""แม่ฮ่องสอน!N125"")+IMPORTRANGE(""https://docs.google.com/spreadsheets/d/1DY4XTNNwjluuxqdfdn6qvOSlMRrZqUtmYcZR0ttFiG4/edit?usp=sharing"",""ลำปาง!N125"")+IMPORTRANGE(""https://docs.goog"&amp;"le.com/spreadsheets/d/1ICwG78r0OFT8biBlxnBF8r7she7gNSzOvJ958PWT09c/edit?usp=sharing"",""ลำพูน!N125"")+IMPORTRANGE(""https://docs.google.com/spreadsheets/d/1B0f2xJpZUC6Z0xXnqKlZtEPzsf6L84eP1r1Q15seqRM/edit?usp=sharing"",""สุโขทัย!N125"")+IMPORTRANGE(""http"&amp;"s://docs.google.com/spreadsheets/d/1v0b9pFQCsKUVExMei7AgY2yQkdeNQvtOssygGsXbiKo/edit?usp=sharing"",""อุตรดิตถ์!N125"")+IMPORTRANGE(""https://docs.google.com/spreadsheets/d/1UsNK1e-WWiCo2PvGqdNfdme4m17_Ezd3J69EeeiQPD0/edit?usp=sharing"",""อุทัยธานี!N125"")"),0)</f>
        <v>0</v>
      </c>
      <c r="O125" s="46">
        <f t="shared" ca="1" si="91"/>
        <v>0</v>
      </c>
      <c r="P125" s="46">
        <f t="shared" ca="1" si="92"/>
        <v>0</v>
      </c>
      <c r="Q125" s="46">
        <f ca="1">IFERROR(__xludf.DUMMYFUNCTION("IMPORTRANGE(""https://docs.google.com/spreadsheets/d/1jTcq05yEiRwXcBMLjiodW9e4biSGYWAHcDj22rKWQ3s/edit?usp=sharing"",""กำแพงเพชร!Q125"")+IMPORTRANGE(""https://docs.google.com/spreadsheets/d/1KS0zmDSZPk8KnTAbGN-Xk6MtX1YRZD0ldgdt20K4CRk/edit?usp=sharing"","&amp;"""เชียงราย!Q125"")+IMPORTRANGE(""https://docs.google.com/spreadsheets/d/1rEDxBtusbi64tE0zunoIbsTVV16HeL0oJ6trHQeQ7K8/edit?usp=sharing"",""เชียงใหม่!Q125"")+IMPORTRANGE(""https://docs.google.com/spreadsheets/d/1W6MnUbDkMi6xHnHko_XkFDO9kkuL6Wqyc-6OCDFjW9I/e"&amp;"dit?usp=sharing"",""ตาก!Q125"")+IMPORTRANGE(""https://docs.google.com/spreadsheets/d/1IQAWArduLkta9LpYo4a_ULsyqdta6-6aDDiwpUnQT6c/edit?usp=sharing"",""นครสวรรค์!Q125"")+IMPORTRANGE(""https://docs.google.com/spreadsheets/d/10s13Sk5xrltsiR-Zkbmk5DwIaDIKO8Xl"&amp;"bJAfqyT7Gvg/edit?usp=sharing"",""น่าน!Q125"")+IMPORTRANGE(""https://docs.google.com/spreadsheets/d/1uu4nAn4Dbi1XREnLKKotUANlKXa7yCgRcgq8HEzQYW8/edit?usp=sharing"",""พะเยา!Q125"")+IMPORTRANGE(""https://docs.google.com/spreadsheets/d/1xfJKIQxVOaPDIICqsflNlL"&amp;"u3JacTDk1FP9RH4phX7mI/edit?usp=sharing"",""พิจิตร!Q125"")+IMPORTRANGE(""https://docs.google.com/spreadsheets/d/1JtRfZkJMHtEhI5RdRHxYUG4FIZHqKDpNyIuN7A1Q0_k/edit?usp=sharing"",""พิษณุโลก!Q125"")+IMPORTRANGE(""https://docs.google.com/spreadsheets/d/1xlcVZWU"&amp;"Nn6SuWm0c307h32SiGkd9BaeQWlAktfD3KO8/edit?usp=sharing"",""เพชรบูรณ์!Q125"")+IMPORTRANGE(""https://docs.google.com/spreadsheets/d/1lOVebEIsI9qjGXl6EX66luk7wiuP2tBaryw-wKvv4e0/edit?usp=sharing"",""แพร่!Q125"")+IMPORTRANGE(""https://docs.google.com/spreadshe"&amp;"ets/d/1dQrvX0vEcN7Gu0fnZ0B5S90AeR19zth4XlExFBeExMY/edit?usp=sharing"",""แม่ฮ่องสอน!Q125"")+IMPORTRANGE(""https://docs.google.com/spreadsheets/d/1DY4XTNNwjluuxqdfdn6qvOSlMRrZqUtmYcZR0ttFiG4/edit?usp=sharing"",""ลำปาง!Q125"")+IMPORTRANGE(""https://docs.goog"&amp;"le.com/spreadsheets/d/1ICwG78r0OFT8biBlxnBF8r7she7gNSzOvJ958PWT09c/edit?usp=sharing"",""ลำพูน!Q125"")+IMPORTRANGE(""https://docs.google.com/spreadsheets/d/1B0f2xJpZUC6Z0xXnqKlZtEPzsf6L84eP1r1Q15seqRM/edit?usp=sharing"",""สุโขทัย!Q125"")+IMPORTRANGE(""http"&amp;"s://docs.google.com/spreadsheets/d/1v0b9pFQCsKUVExMei7AgY2yQkdeNQvtOssygGsXbiKo/edit?usp=sharing"",""อุตรดิตถ์!Q125"")+IMPORTRANGE(""https://docs.google.com/spreadsheets/d/1UsNK1e-WWiCo2PvGqdNfdme4m17_Ezd3J69EeeiQPD0/edit?usp=sharing"",""อุทัยธานี!Q125"")"),0)</f>
        <v>0</v>
      </c>
      <c r="R125" s="46">
        <f ca="1">IFERROR(__xludf.DUMMYFUNCTION("IMPORTRANGE(""https://docs.google.com/spreadsheets/d/1jTcq05yEiRwXcBMLjiodW9e4biSGYWAHcDj22rKWQ3s/edit?usp=sharing"",""กำแพงเพชร!R125"")+IMPORTRANGE(""https://docs.google.com/spreadsheets/d/1KS0zmDSZPk8KnTAbGN-Xk6MtX1YRZD0ldgdt20K4CRk/edit?usp=sharing"","&amp;"""เชียงราย!R125"")+IMPORTRANGE(""https://docs.google.com/spreadsheets/d/1rEDxBtusbi64tE0zunoIbsTVV16HeL0oJ6trHQeQ7K8/edit?usp=sharing"",""เชียงใหม่!R125"")+IMPORTRANGE(""https://docs.google.com/spreadsheets/d/1W6MnUbDkMi6xHnHko_XkFDO9kkuL6Wqyc-6OCDFjW9I/e"&amp;"dit?usp=sharing"",""ตาก!R125"")+IMPORTRANGE(""https://docs.google.com/spreadsheets/d/1IQAWArduLkta9LpYo4a_ULsyqdta6-6aDDiwpUnQT6c/edit?usp=sharing"",""นครสวรรค์!R125"")+IMPORTRANGE(""https://docs.google.com/spreadsheets/d/10s13Sk5xrltsiR-Zkbmk5DwIaDIKO8Xl"&amp;"bJAfqyT7Gvg/edit?usp=sharing"",""น่าน!R125"")+IMPORTRANGE(""https://docs.google.com/spreadsheets/d/1uu4nAn4Dbi1XREnLKKotUANlKXa7yCgRcgq8HEzQYW8/edit?usp=sharing"",""พะเยา!R125"")+IMPORTRANGE(""https://docs.google.com/spreadsheets/d/1xfJKIQxVOaPDIICqsflNlL"&amp;"u3JacTDk1FP9RH4phX7mI/edit?usp=sharing"",""พิจิตร!R125"")+IMPORTRANGE(""https://docs.google.com/spreadsheets/d/1JtRfZkJMHtEhI5RdRHxYUG4FIZHqKDpNyIuN7A1Q0_k/edit?usp=sharing"",""พิษณุโลก!R125"")+IMPORTRANGE(""https://docs.google.com/spreadsheets/d/1xlcVZWU"&amp;"Nn6SuWm0c307h32SiGkd9BaeQWlAktfD3KO8/edit?usp=sharing"",""เพชรบูรณ์!R125"")+IMPORTRANGE(""https://docs.google.com/spreadsheets/d/1lOVebEIsI9qjGXl6EX66luk7wiuP2tBaryw-wKvv4e0/edit?usp=sharing"",""แพร่!R125"")+IMPORTRANGE(""https://docs.google.com/spreadshe"&amp;"ets/d/1dQrvX0vEcN7Gu0fnZ0B5S90AeR19zth4XlExFBeExMY/edit?usp=sharing"",""แม่ฮ่องสอน!R125"")+IMPORTRANGE(""https://docs.google.com/spreadsheets/d/1DY4XTNNwjluuxqdfdn6qvOSlMRrZqUtmYcZR0ttFiG4/edit?usp=sharing"",""ลำปาง!R125"")+IMPORTRANGE(""https://docs.goog"&amp;"le.com/spreadsheets/d/1ICwG78r0OFT8biBlxnBF8r7she7gNSzOvJ958PWT09c/edit?usp=sharing"",""ลำพูน!R125"")+IMPORTRANGE(""https://docs.google.com/spreadsheets/d/1B0f2xJpZUC6Z0xXnqKlZtEPzsf6L84eP1r1Q15seqRM/edit?usp=sharing"",""สุโขทัย!R125"")+IMPORTRANGE(""http"&amp;"s://docs.google.com/spreadsheets/d/1v0b9pFQCsKUVExMei7AgY2yQkdeNQvtOssygGsXbiKo/edit?usp=sharing"",""อุตรดิตถ์!R125"")+IMPORTRANGE(""https://docs.google.com/spreadsheets/d/1UsNK1e-WWiCo2PvGqdNfdme4m17_Ezd3J69EeeiQPD0/edit?usp=sharing"",""อุทัยธานี!R125"")"),0)</f>
        <v>0</v>
      </c>
      <c r="S125" s="46">
        <f ca="1">IFERROR(__xludf.DUMMYFUNCTION("IMPORTRANGE(""https://docs.google.com/spreadsheets/d/1jTcq05yEiRwXcBMLjiodW9e4biSGYWAHcDj22rKWQ3s/edit?usp=sharing"",""กำแพงเพชร!S125"")+IMPORTRANGE(""https://docs.google.com/spreadsheets/d/1KS0zmDSZPk8KnTAbGN-Xk6MtX1YRZD0ldgdt20K4CRk/edit?usp=sharing"","&amp;"""เชียงราย!S125"")+IMPORTRANGE(""https://docs.google.com/spreadsheets/d/1rEDxBtusbi64tE0zunoIbsTVV16HeL0oJ6trHQeQ7K8/edit?usp=sharing"",""เชียงใหม่!S125"")+IMPORTRANGE(""https://docs.google.com/spreadsheets/d/1W6MnUbDkMi6xHnHko_XkFDO9kkuL6Wqyc-6OCDFjW9I/e"&amp;"dit?usp=sharing"",""ตาก!S125"")+IMPORTRANGE(""https://docs.google.com/spreadsheets/d/1IQAWArduLkta9LpYo4a_ULsyqdta6-6aDDiwpUnQT6c/edit?usp=sharing"",""นครสวรรค์!S125"")+IMPORTRANGE(""https://docs.google.com/spreadsheets/d/10s13Sk5xrltsiR-Zkbmk5DwIaDIKO8Xl"&amp;"bJAfqyT7Gvg/edit?usp=sharing"",""น่าน!S125"")+IMPORTRANGE(""https://docs.google.com/spreadsheets/d/1uu4nAn4Dbi1XREnLKKotUANlKXa7yCgRcgq8HEzQYW8/edit?usp=sharing"",""พะเยา!S125"")+IMPORTRANGE(""https://docs.google.com/spreadsheets/d/1xfJKIQxVOaPDIICqsflNlL"&amp;"u3JacTDk1FP9RH4phX7mI/edit?usp=sharing"",""พิจิตร!S125"")+IMPORTRANGE(""https://docs.google.com/spreadsheets/d/1JtRfZkJMHtEhI5RdRHxYUG4FIZHqKDpNyIuN7A1Q0_k/edit?usp=sharing"",""พิษณุโลก!S125"")+IMPORTRANGE(""https://docs.google.com/spreadsheets/d/1xlcVZWU"&amp;"Nn6SuWm0c307h32SiGkd9BaeQWlAktfD3KO8/edit?usp=sharing"",""เพชรบูรณ์!S125"")+IMPORTRANGE(""https://docs.google.com/spreadsheets/d/1lOVebEIsI9qjGXl6EX66luk7wiuP2tBaryw-wKvv4e0/edit?usp=sharing"",""แพร่!S125"")+IMPORTRANGE(""https://docs.google.com/spreadshe"&amp;"ets/d/1dQrvX0vEcN7Gu0fnZ0B5S90AeR19zth4XlExFBeExMY/edit?usp=sharing"",""แม่ฮ่องสอน!S125"")+IMPORTRANGE(""https://docs.google.com/spreadsheets/d/1DY4XTNNwjluuxqdfdn6qvOSlMRrZqUtmYcZR0ttFiG4/edit?usp=sharing"",""ลำปาง!S125"")+IMPORTRANGE(""https://docs.goog"&amp;"le.com/spreadsheets/d/1ICwG78r0OFT8biBlxnBF8r7she7gNSzOvJ958PWT09c/edit?usp=sharing"",""ลำพูน!S125"")+IMPORTRANGE(""https://docs.google.com/spreadsheets/d/1B0f2xJpZUC6Z0xXnqKlZtEPzsf6L84eP1r1Q15seqRM/edit?usp=sharing"",""สุโขทัย!S125"")+IMPORTRANGE(""http"&amp;"s://docs.google.com/spreadsheets/d/1v0b9pFQCsKUVExMei7AgY2yQkdeNQvtOssygGsXbiKo/edit?usp=sharing"",""อุตรดิตถ์!S125"")+IMPORTRANGE(""https://docs.google.com/spreadsheets/d/1UsNK1e-WWiCo2PvGqdNfdme4m17_Ezd3J69EeeiQPD0/edit?usp=sharing"",""อุทัยธานี!S125"")"),0)</f>
        <v>0</v>
      </c>
      <c r="T125" s="46">
        <f t="shared" ca="1" si="94"/>
        <v>0</v>
      </c>
      <c r="U125" s="46">
        <f t="shared" ca="1" si="95"/>
        <v>0</v>
      </c>
    </row>
    <row r="126" spans="1:21" ht="19.5" x14ac:dyDescent="0.3">
      <c r="A126" s="138"/>
      <c r="B126" s="139"/>
      <c r="C126" s="177" t="s">
        <v>18</v>
      </c>
      <c r="D126" s="140" t="s">
        <v>38</v>
      </c>
      <c r="E126" s="141"/>
      <c r="F126" s="141"/>
      <c r="G126" s="142"/>
      <c r="H126" s="178"/>
      <c r="I126" s="44"/>
      <c r="J126" s="44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66">
        <f ca="1">IFERROR(__xludf.DUMMYFUNCTION("IMPORTRANGE(""https://docs.google.com/spreadsheets/d/1jTcq05yEiRwXcBMLjiodW9e4biSGYWAHcDj22rKWQ3s/edit?usp=sharing"",""กำแพงเพชร!I127"")+IMPORTRANGE(""https://docs.google.com/spreadsheets/d/1KS0zmDSZPk8KnTAbGN-Xk6MtX1YRZD0ldgdt20K4CRk/edit?usp=sharing"","&amp;"""เชียงราย!I127"")+IMPORTRANGE(""https://docs.google.com/spreadsheets/d/1rEDxBtusbi64tE0zunoIbsTVV16HeL0oJ6trHQeQ7K8/edit?usp=sharing"",""เชียงใหม่!I127"")+IMPORTRANGE(""https://docs.google.com/spreadsheets/d/1W6MnUbDkMi6xHnHko_XkFDO9kkuL6Wqyc-6OCDFjW9I/e"&amp;"dit?usp=sharing"",""ตาก!I127"")+IMPORTRANGE(""https://docs.google.com/spreadsheets/d/1IQAWArduLkta9LpYo4a_ULsyqdta6-6aDDiwpUnQT6c/edit?usp=sharing"",""นครสวรรค์!I127"")+IMPORTRANGE(""https://docs.google.com/spreadsheets/d/10s13Sk5xrltsiR-Zkbmk5DwIaDIKO8Xl"&amp;"bJAfqyT7Gvg/edit?usp=sharing"",""น่าน!I127"")+IMPORTRANGE(""https://docs.google.com/spreadsheets/d/1uu4nAn4Dbi1XREnLKKotUANlKXa7yCgRcgq8HEzQYW8/edit?usp=sharing"",""พะเยา!I127"")+IMPORTRANGE(""https://docs.google.com/spreadsheets/d/1xfJKIQxVOaPDIICqsflNlL"&amp;"u3JacTDk1FP9RH4phX7mI/edit?usp=sharing"",""พิจิตร!I127"")+IMPORTRANGE(""https://docs.google.com/spreadsheets/d/1JtRfZkJMHtEhI5RdRHxYUG4FIZHqKDpNyIuN7A1Q0_k/edit?usp=sharing"",""พิษณุโลก!I127"")+IMPORTRANGE(""https://docs.google.com/spreadsheets/d/1xlcVZWU"&amp;"Nn6SuWm0c307h32SiGkd9BaeQWlAktfD3KO8/edit?usp=sharing"",""เพชรบูรณ์!I127"")+IMPORTRANGE(""https://docs.google.com/spreadsheets/d/1lOVebEIsI9qjGXl6EX66luk7wiuP2tBaryw-wKvv4e0/edit?usp=sharing"",""แพร่!I127"")+IMPORTRANGE(""https://docs.google.com/spreadshe"&amp;"ets/d/1dQrvX0vEcN7Gu0fnZ0B5S90AeR19zth4XlExFBeExMY/edit?usp=sharing"",""แม่ฮ่องสอน!I127"")+IMPORTRANGE(""https://docs.google.com/spreadsheets/d/1DY4XTNNwjluuxqdfdn6qvOSlMRrZqUtmYcZR0ttFiG4/edit?usp=sharing"",""ลำปาง!I127"")+IMPORTRANGE(""https://docs.goog"&amp;"le.com/spreadsheets/d/1ICwG78r0OFT8biBlxnBF8r7she7gNSzOvJ958PWT09c/edit?usp=sharing"",""ลำพูน!I127"")+IMPORTRANGE(""https://docs.google.com/spreadsheets/d/1B0f2xJpZUC6Z0xXnqKlZtEPzsf6L84eP1r1Q15seqRM/edit?usp=sharing"",""สุโขทัย!I127"")+IMPORTRANGE(""http"&amp;"s://docs.google.com/spreadsheets/d/1v0b9pFQCsKUVExMei7AgY2yQkdeNQvtOssygGsXbiKo/edit?usp=sharing"",""อุตรดิตถ์!I127"")+IMPORTRANGE(""https://docs.google.com/spreadsheets/d/1UsNK1e-WWiCo2PvGqdNfdme4m17_Ezd3J69EeeiQPD0/edit?usp=sharing"",""อุทัยธานี!I127"")"),735)</f>
        <v>735</v>
      </c>
      <c r="J127" s="167">
        <f ca="1">IFERROR(__xludf.DUMMYFUNCTION("IMPORTRANGE(""https://docs.google.com/spreadsheets/d/1jTcq05yEiRwXcBMLjiodW9e4biSGYWAHcDj22rKWQ3s/edit?usp=sharing"",""กำแพงเพชร!J127"")+IMPORTRANGE(""https://docs.google.com/spreadsheets/d/1KS0zmDSZPk8KnTAbGN-Xk6MtX1YRZD0ldgdt20K4CRk/edit?usp=sharing"","&amp;"""เชียงราย!J127"")+IMPORTRANGE(""https://docs.google.com/spreadsheets/d/1rEDxBtusbi64tE0zunoIbsTVV16HeL0oJ6trHQeQ7K8/edit?usp=sharing"",""เชียงใหม่!J127"")+IMPORTRANGE(""https://docs.google.com/spreadsheets/d/1W6MnUbDkMi6xHnHko_XkFDO9kkuL6Wqyc-6OCDFjW9I/e"&amp;"dit?usp=sharing"",""ตาก!J127"")+IMPORTRANGE(""https://docs.google.com/spreadsheets/d/1IQAWArduLkta9LpYo4a_ULsyqdta6-6aDDiwpUnQT6c/edit?usp=sharing"",""นครสวรรค์!J127"")+IMPORTRANGE(""https://docs.google.com/spreadsheets/d/10s13Sk5xrltsiR-Zkbmk5DwIaDIKO8Xl"&amp;"bJAfqyT7Gvg/edit?usp=sharing"",""น่าน!J127"")+IMPORTRANGE(""https://docs.google.com/spreadsheets/d/1uu4nAn4Dbi1XREnLKKotUANlKXa7yCgRcgq8HEzQYW8/edit?usp=sharing"",""พะเยา!J127"")+IMPORTRANGE(""https://docs.google.com/spreadsheets/d/1xfJKIQxVOaPDIICqsflNlL"&amp;"u3JacTDk1FP9RH4phX7mI/edit?usp=sharing"",""พิจิตร!J127"")+IMPORTRANGE(""https://docs.google.com/spreadsheets/d/1JtRfZkJMHtEhI5RdRHxYUG4FIZHqKDpNyIuN7A1Q0_k/edit?usp=sharing"",""พิษณุโลก!J127"")+IMPORTRANGE(""https://docs.google.com/spreadsheets/d/1xlcVZWU"&amp;"Nn6SuWm0c307h32SiGkd9BaeQWlAktfD3KO8/edit?usp=sharing"",""เพชรบูรณ์!J127"")+IMPORTRANGE(""https://docs.google.com/spreadsheets/d/1lOVebEIsI9qjGXl6EX66luk7wiuP2tBaryw-wKvv4e0/edit?usp=sharing"",""แพร่!J127"")+IMPORTRANGE(""https://docs.google.com/spreadshe"&amp;"ets/d/1dQrvX0vEcN7Gu0fnZ0B5S90AeR19zth4XlExFBeExMY/edit?usp=sharing"",""แม่ฮ่องสอน!J127"")+IMPORTRANGE(""https://docs.google.com/spreadsheets/d/1DY4XTNNwjluuxqdfdn6qvOSlMRrZqUtmYcZR0ttFiG4/edit?usp=sharing"",""ลำปาง!J127"")+IMPORTRANGE(""https://docs.goog"&amp;"le.com/spreadsheets/d/1ICwG78r0OFT8biBlxnBF8r7she7gNSzOvJ958PWT09c/edit?usp=sharing"",""ลำพูน!J127"")+IMPORTRANGE(""https://docs.google.com/spreadsheets/d/1B0f2xJpZUC6Z0xXnqKlZtEPzsf6L84eP1r1Q15seqRM/edit?usp=sharing"",""สุโขทัย!J127"")+IMPORTRANGE(""http"&amp;"s://docs.google.com/spreadsheets/d/1v0b9pFQCsKUVExMei7AgY2yQkdeNQvtOssygGsXbiKo/edit?usp=sharing"",""อุตรดิตถ์!J127"")+IMPORTRANGE(""https://docs.google.com/spreadsheets/d/1UsNK1e-WWiCo2PvGqdNfdme4m17_Ezd3J69EeeiQPD0/edit?usp=sharing"",""อุทัยธานี!J127"")"),715)</f>
        <v>715</v>
      </c>
      <c r="K127" s="46">
        <f t="shared" ref="K127:K130" ca="1" si="104">IF(I127&gt;0,J127*100/I127,0)</f>
        <v>97.278911564625844</v>
      </c>
      <c r="L127" s="45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66">
        <f ca="1">IFERROR(__xludf.DUMMYFUNCTION("IMPORTRANGE(""https://docs.google.com/spreadsheets/d/1jTcq05yEiRwXcBMLjiodW9e4biSGYWAHcDj22rKWQ3s/edit?usp=sharing"",""กำแพงเพชร!I128"")+IMPORTRANGE(""https://docs.google.com/spreadsheets/d/1KS0zmDSZPk8KnTAbGN-Xk6MtX1YRZD0ldgdt20K4CRk/edit?usp=sharing"","&amp;"""เชียงราย!I128"")+IMPORTRANGE(""https://docs.google.com/spreadsheets/d/1rEDxBtusbi64tE0zunoIbsTVV16HeL0oJ6trHQeQ7K8/edit?usp=sharing"",""เชียงใหม่!I128"")+IMPORTRANGE(""https://docs.google.com/spreadsheets/d/1W6MnUbDkMi6xHnHko_XkFDO9kkuL6Wqyc-6OCDFjW9I/e"&amp;"dit?usp=sharing"",""ตาก!I128"")+IMPORTRANGE(""https://docs.google.com/spreadsheets/d/1IQAWArduLkta9LpYo4a_ULsyqdta6-6aDDiwpUnQT6c/edit?usp=sharing"",""นครสวรรค์!I128"")+IMPORTRANGE(""https://docs.google.com/spreadsheets/d/10s13Sk5xrltsiR-Zkbmk5DwIaDIKO8Xl"&amp;"bJAfqyT7Gvg/edit?usp=sharing"",""น่าน!I128"")+IMPORTRANGE(""https://docs.google.com/spreadsheets/d/1uu4nAn4Dbi1XREnLKKotUANlKXa7yCgRcgq8HEzQYW8/edit?usp=sharing"",""พะเยา!I128"")+IMPORTRANGE(""https://docs.google.com/spreadsheets/d/1xfJKIQxVOaPDIICqsflNlL"&amp;"u3JacTDk1FP9RH4phX7mI/edit?usp=sharing"",""พิจิตร!I128"")+IMPORTRANGE(""https://docs.google.com/spreadsheets/d/1JtRfZkJMHtEhI5RdRHxYUG4FIZHqKDpNyIuN7A1Q0_k/edit?usp=sharing"",""พิษณุโลก!I128"")+IMPORTRANGE(""https://docs.google.com/spreadsheets/d/1xlcVZWU"&amp;"Nn6SuWm0c307h32SiGkd9BaeQWlAktfD3KO8/edit?usp=sharing"",""เพชรบูรณ์!I128"")+IMPORTRANGE(""https://docs.google.com/spreadsheets/d/1lOVebEIsI9qjGXl6EX66luk7wiuP2tBaryw-wKvv4e0/edit?usp=sharing"",""แพร่!I128"")+IMPORTRANGE(""https://docs.google.com/spreadshe"&amp;"ets/d/1dQrvX0vEcN7Gu0fnZ0B5S90AeR19zth4XlExFBeExMY/edit?usp=sharing"",""แม่ฮ่องสอน!I128"")+IMPORTRANGE(""https://docs.google.com/spreadsheets/d/1DY4XTNNwjluuxqdfdn6qvOSlMRrZqUtmYcZR0ttFiG4/edit?usp=sharing"",""ลำปาง!I128"")+IMPORTRANGE(""https://docs.goog"&amp;"le.com/spreadsheets/d/1ICwG78r0OFT8biBlxnBF8r7she7gNSzOvJ958PWT09c/edit?usp=sharing"",""ลำพูน!I128"")+IMPORTRANGE(""https://docs.google.com/spreadsheets/d/1B0f2xJpZUC6Z0xXnqKlZtEPzsf6L84eP1r1Q15seqRM/edit?usp=sharing"",""สุโขทัย!I128"")+IMPORTRANGE(""http"&amp;"s://docs.google.com/spreadsheets/d/1v0b9pFQCsKUVExMei7AgY2yQkdeNQvtOssygGsXbiKo/edit?usp=sharing"",""อุตรดิตถ์!I128"")+IMPORTRANGE(""https://docs.google.com/spreadsheets/d/1UsNK1e-WWiCo2PvGqdNfdme4m17_Ezd3J69EeeiQPD0/edit?usp=sharing"",""อุทัยธานี!I128"")"),0)</f>
        <v>0</v>
      </c>
      <c r="J128" s="167">
        <f ca="1">IFERROR(__xludf.DUMMYFUNCTION("IMPORTRANGE(""https://docs.google.com/spreadsheets/d/1jTcq05yEiRwXcBMLjiodW9e4biSGYWAHcDj22rKWQ3s/edit?usp=sharing"",""กำแพงเพชร!J128"")+IMPORTRANGE(""https://docs.google.com/spreadsheets/d/1KS0zmDSZPk8KnTAbGN-Xk6MtX1YRZD0ldgdt20K4CRk/edit?usp=sharing"","&amp;"""เชียงราย!J128"")+IMPORTRANGE(""https://docs.google.com/spreadsheets/d/1rEDxBtusbi64tE0zunoIbsTVV16HeL0oJ6trHQeQ7K8/edit?usp=sharing"",""เชียงใหม่!J128"")+IMPORTRANGE(""https://docs.google.com/spreadsheets/d/1W6MnUbDkMi6xHnHko_XkFDO9kkuL6Wqyc-6OCDFjW9I/e"&amp;"dit?usp=sharing"",""ตาก!J128"")+IMPORTRANGE(""https://docs.google.com/spreadsheets/d/1IQAWArduLkta9LpYo4a_ULsyqdta6-6aDDiwpUnQT6c/edit?usp=sharing"",""นครสวรรค์!J128"")+IMPORTRANGE(""https://docs.google.com/spreadsheets/d/10s13Sk5xrltsiR-Zkbmk5DwIaDIKO8Xl"&amp;"bJAfqyT7Gvg/edit?usp=sharing"",""น่าน!J128"")+IMPORTRANGE(""https://docs.google.com/spreadsheets/d/1uu4nAn4Dbi1XREnLKKotUANlKXa7yCgRcgq8HEzQYW8/edit?usp=sharing"",""พะเยา!J128"")+IMPORTRANGE(""https://docs.google.com/spreadsheets/d/1xfJKIQxVOaPDIICqsflNlL"&amp;"u3JacTDk1FP9RH4phX7mI/edit?usp=sharing"",""พิจิตร!J128"")+IMPORTRANGE(""https://docs.google.com/spreadsheets/d/1JtRfZkJMHtEhI5RdRHxYUG4FIZHqKDpNyIuN7A1Q0_k/edit?usp=sharing"",""พิษณุโลก!J128"")+IMPORTRANGE(""https://docs.google.com/spreadsheets/d/1xlcVZWU"&amp;"Nn6SuWm0c307h32SiGkd9BaeQWlAktfD3KO8/edit?usp=sharing"",""เพชรบูรณ์!J128"")+IMPORTRANGE(""https://docs.google.com/spreadsheets/d/1lOVebEIsI9qjGXl6EX66luk7wiuP2tBaryw-wKvv4e0/edit?usp=sharing"",""แพร่!J128"")+IMPORTRANGE(""https://docs.google.com/spreadshe"&amp;"ets/d/1dQrvX0vEcN7Gu0fnZ0B5S90AeR19zth4XlExFBeExMY/edit?usp=sharing"",""แม่ฮ่องสอน!J128"")+IMPORTRANGE(""https://docs.google.com/spreadsheets/d/1DY4XTNNwjluuxqdfdn6qvOSlMRrZqUtmYcZR0ttFiG4/edit?usp=sharing"",""ลำปาง!J128"")+IMPORTRANGE(""https://docs.goog"&amp;"le.com/spreadsheets/d/1ICwG78r0OFT8biBlxnBF8r7she7gNSzOvJ958PWT09c/edit?usp=sharing"",""ลำพูน!J128"")+IMPORTRANGE(""https://docs.google.com/spreadsheets/d/1B0f2xJpZUC6Z0xXnqKlZtEPzsf6L84eP1r1Q15seqRM/edit?usp=sharing"",""สุโขทัย!J128"")+IMPORTRANGE(""http"&amp;"s://docs.google.com/spreadsheets/d/1v0b9pFQCsKUVExMei7AgY2yQkdeNQvtOssygGsXbiKo/edit?usp=sharing"",""อุตรดิตถ์!J128"")+IMPORTRANGE(""https://docs.google.com/spreadsheets/d/1UsNK1e-WWiCo2PvGqdNfdme4m17_Ezd3J69EeeiQPD0/edit?usp=sharing"",""อุทัยธานี!J128"")"),9)</f>
        <v>9</v>
      </c>
      <c r="K128" s="46">
        <f t="shared" ca="1" si="104"/>
        <v>0</v>
      </c>
      <c r="L128" s="45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66">
        <f ca="1">IFERROR(__xludf.DUMMYFUNCTION("IMPORTRANGE(""https://docs.google.com/spreadsheets/d/1jTcq05yEiRwXcBMLjiodW9e4biSGYWAHcDj22rKWQ3s/edit?usp=sharing"",""กำแพงเพชร!I129"")+IMPORTRANGE(""https://docs.google.com/spreadsheets/d/1KS0zmDSZPk8KnTAbGN-Xk6MtX1YRZD0ldgdt20K4CRk/edit?usp=sharing"","&amp;"""เชียงราย!I129"")+IMPORTRANGE(""https://docs.google.com/spreadsheets/d/1rEDxBtusbi64tE0zunoIbsTVV16HeL0oJ6trHQeQ7K8/edit?usp=sharing"",""เชียงใหม่!I129"")+IMPORTRANGE(""https://docs.google.com/spreadsheets/d/1W6MnUbDkMi6xHnHko_XkFDO9kkuL6Wqyc-6OCDFjW9I/e"&amp;"dit?usp=sharing"",""ตาก!I129"")+IMPORTRANGE(""https://docs.google.com/spreadsheets/d/1IQAWArduLkta9LpYo4a_ULsyqdta6-6aDDiwpUnQT6c/edit?usp=sharing"",""นครสวรรค์!I129"")+IMPORTRANGE(""https://docs.google.com/spreadsheets/d/10s13Sk5xrltsiR-Zkbmk5DwIaDIKO8Xl"&amp;"bJAfqyT7Gvg/edit?usp=sharing"",""น่าน!I129"")+IMPORTRANGE(""https://docs.google.com/spreadsheets/d/1uu4nAn4Dbi1XREnLKKotUANlKXa7yCgRcgq8HEzQYW8/edit?usp=sharing"",""พะเยา!I129"")+IMPORTRANGE(""https://docs.google.com/spreadsheets/d/1xfJKIQxVOaPDIICqsflNlL"&amp;"u3JacTDk1FP9RH4phX7mI/edit?usp=sharing"",""พิจิตร!I129"")+IMPORTRANGE(""https://docs.google.com/spreadsheets/d/1JtRfZkJMHtEhI5RdRHxYUG4FIZHqKDpNyIuN7A1Q0_k/edit?usp=sharing"",""พิษณุโลก!I129"")+IMPORTRANGE(""https://docs.google.com/spreadsheets/d/1xlcVZWU"&amp;"Nn6SuWm0c307h32SiGkd9BaeQWlAktfD3KO8/edit?usp=sharing"",""เพชรบูรณ์!I129"")+IMPORTRANGE(""https://docs.google.com/spreadsheets/d/1lOVebEIsI9qjGXl6EX66luk7wiuP2tBaryw-wKvv4e0/edit?usp=sharing"",""แพร่!I129"")+IMPORTRANGE(""https://docs.google.com/spreadshe"&amp;"ets/d/1dQrvX0vEcN7Gu0fnZ0B5S90AeR19zth4XlExFBeExMY/edit?usp=sharing"",""แม่ฮ่องสอน!I129"")+IMPORTRANGE(""https://docs.google.com/spreadsheets/d/1DY4XTNNwjluuxqdfdn6qvOSlMRrZqUtmYcZR0ttFiG4/edit?usp=sharing"",""ลำปาง!I129"")+IMPORTRANGE(""https://docs.goog"&amp;"le.com/spreadsheets/d/1ICwG78r0OFT8biBlxnBF8r7she7gNSzOvJ958PWT09c/edit?usp=sharing"",""ลำพูน!I129"")+IMPORTRANGE(""https://docs.google.com/spreadsheets/d/1B0f2xJpZUC6Z0xXnqKlZtEPzsf6L84eP1r1Q15seqRM/edit?usp=sharing"",""สุโขทัย!I129"")+IMPORTRANGE(""http"&amp;"s://docs.google.com/spreadsheets/d/1v0b9pFQCsKUVExMei7AgY2yQkdeNQvtOssygGsXbiKo/edit?usp=sharing"",""อุตรดิตถ์!I129"")+IMPORTRANGE(""https://docs.google.com/spreadsheets/d/1UsNK1e-WWiCo2PvGqdNfdme4m17_Ezd3J69EeeiQPD0/edit?usp=sharing"",""อุทัยธานี!I129"")"),365)</f>
        <v>365</v>
      </c>
      <c r="J129" s="167">
        <f ca="1">IFERROR(__xludf.DUMMYFUNCTION("IMPORTRANGE(""https://docs.google.com/spreadsheets/d/1jTcq05yEiRwXcBMLjiodW9e4biSGYWAHcDj22rKWQ3s/edit?usp=sharing"",""กำแพงเพชร!J129"")+IMPORTRANGE(""https://docs.google.com/spreadsheets/d/1KS0zmDSZPk8KnTAbGN-Xk6MtX1YRZD0ldgdt20K4CRk/edit?usp=sharing"","&amp;"""เชียงราย!J129"")+IMPORTRANGE(""https://docs.google.com/spreadsheets/d/1rEDxBtusbi64tE0zunoIbsTVV16HeL0oJ6trHQeQ7K8/edit?usp=sharing"",""เชียงใหม่!J129"")+IMPORTRANGE(""https://docs.google.com/spreadsheets/d/1W6MnUbDkMi6xHnHko_XkFDO9kkuL6Wqyc-6OCDFjW9I/e"&amp;"dit?usp=sharing"",""ตาก!J129"")+IMPORTRANGE(""https://docs.google.com/spreadsheets/d/1IQAWArduLkta9LpYo4a_ULsyqdta6-6aDDiwpUnQT6c/edit?usp=sharing"",""นครสวรรค์!J129"")+IMPORTRANGE(""https://docs.google.com/spreadsheets/d/10s13Sk5xrltsiR-Zkbmk5DwIaDIKO8Xl"&amp;"bJAfqyT7Gvg/edit?usp=sharing"",""น่าน!J129"")+IMPORTRANGE(""https://docs.google.com/spreadsheets/d/1uu4nAn4Dbi1XREnLKKotUANlKXa7yCgRcgq8HEzQYW8/edit?usp=sharing"",""พะเยา!J129"")+IMPORTRANGE(""https://docs.google.com/spreadsheets/d/1xfJKIQxVOaPDIICqsflNlL"&amp;"u3JacTDk1FP9RH4phX7mI/edit?usp=sharing"",""พิจิตร!J129"")+IMPORTRANGE(""https://docs.google.com/spreadsheets/d/1JtRfZkJMHtEhI5RdRHxYUG4FIZHqKDpNyIuN7A1Q0_k/edit?usp=sharing"",""พิษณุโลก!J129"")+IMPORTRANGE(""https://docs.google.com/spreadsheets/d/1xlcVZWU"&amp;"Nn6SuWm0c307h32SiGkd9BaeQWlAktfD3KO8/edit?usp=sharing"",""เพชรบูรณ์!J129"")+IMPORTRANGE(""https://docs.google.com/spreadsheets/d/1lOVebEIsI9qjGXl6EX66luk7wiuP2tBaryw-wKvv4e0/edit?usp=sharing"",""แพร่!J129"")+IMPORTRANGE(""https://docs.google.com/spreadshe"&amp;"ets/d/1dQrvX0vEcN7Gu0fnZ0B5S90AeR19zth4XlExFBeExMY/edit?usp=sharing"",""แม่ฮ่องสอน!J129"")+IMPORTRANGE(""https://docs.google.com/spreadsheets/d/1DY4XTNNwjluuxqdfdn6qvOSlMRrZqUtmYcZR0ttFiG4/edit?usp=sharing"",""ลำปาง!J129"")+IMPORTRANGE(""https://docs.goog"&amp;"le.com/spreadsheets/d/1ICwG78r0OFT8biBlxnBF8r7she7gNSzOvJ958PWT09c/edit?usp=sharing"",""ลำพูน!J129"")+IMPORTRANGE(""https://docs.google.com/spreadsheets/d/1B0f2xJpZUC6Z0xXnqKlZtEPzsf6L84eP1r1Q15seqRM/edit?usp=sharing"",""สุโขทัย!J129"")+IMPORTRANGE(""http"&amp;"s://docs.google.com/spreadsheets/d/1v0b9pFQCsKUVExMei7AgY2yQkdeNQvtOssygGsXbiKo/edit?usp=sharing"",""อุตรดิตถ์!J129"")+IMPORTRANGE(""https://docs.google.com/spreadsheets/d/1UsNK1e-WWiCo2PvGqdNfdme4m17_Ezd3J69EeeiQPD0/edit?usp=sharing"",""อุทัยธานี!J129"")"),265)</f>
        <v>265</v>
      </c>
      <c r="K129" s="46">
        <f t="shared" ca="1" si="104"/>
        <v>72.602739726027394</v>
      </c>
      <c r="L129" s="45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66">
        <f ca="1">IFERROR(__xludf.DUMMYFUNCTION("IMPORTRANGE(""https://docs.google.com/spreadsheets/d/1jTcq05yEiRwXcBMLjiodW9e4biSGYWAHcDj22rKWQ3s/edit?usp=sharing"",""กำแพงเพชร!I130"")+IMPORTRANGE(""https://docs.google.com/spreadsheets/d/1KS0zmDSZPk8KnTAbGN-Xk6MtX1YRZD0ldgdt20K4CRk/edit?usp=sharing"","&amp;"""เชียงราย!I130"")+IMPORTRANGE(""https://docs.google.com/spreadsheets/d/1rEDxBtusbi64tE0zunoIbsTVV16HeL0oJ6trHQeQ7K8/edit?usp=sharing"",""เชียงใหม่!I130"")+IMPORTRANGE(""https://docs.google.com/spreadsheets/d/1W6MnUbDkMi6xHnHko_XkFDO9kkuL6Wqyc-6OCDFjW9I/e"&amp;"dit?usp=sharing"",""ตาก!I130"")+IMPORTRANGE(""https://docs.google.com/spreadsheets/d/1IQAWArduLkta9LpYo4a_ULsyqdta6-6aDDiwpUnQT6c/edit?usp=sharing"",""นครสวรรค์!I130"")+IMPORTRANGE(""https://docs.google.com/spreadsheets/d/10s13Sk5xrltsiR-Zkbmk5DwIaDIKO8Xl"&amp;"bJAfqyT7Gvg/edit?usp=sharing"",""น่าน!I130"")+IMPORTRANGE(""https://docs.google.com/spreadsheets/d/1uu4nAn4Dbi1XREnLKKotUANlKXa7yCgRcgq8HEzQYW8/edit?usp=sharing"",""พะเยา!I130"")+IMPORTRANGE(""https://docs.google.com/spreadsheets/d/1xfJKIQxVOaPDIICqsflNlL"&amp;"u3JacTDk1FP9RH4phX7mI/edit?usp=sharing"",""พิจิตร!I130"")+IMPORTRANGE(""https://docs.google.com/spreadsheets/d/1JtRfZkJMHtEhI5RdRHxYUG4FIZHqKDpNyIuN7A1Q0_k/edit?usp=sharing"",""พิษณุโลก!I130"")+IMPORTRANGE(""https://docs.google.com/spreadsheets/d/1xlcVZWU"&amp;"Nn6SuWm0c307h32SiGkd9BaeQWlAktfD3KO8/edit?usp=sharing"",""เพชรบูรณ์!I130"")+IMPORTRANGE(""https://docs.google.com/spreadsheets/d/1lOVebEIsI9qjGXl6EX66luk7wiuP2tBaryw-wKvv4e0/edit?usp=sharing"",""แพร่!I130"")+IMPORTRANGE(""https://docs.google.com/spreadshe"&amp;"ets/d/1dQrvX0vEcN7Gu0fnZ0B5S90AeR19zth4XlExFBeExMY/edit?usp=sharing"",""แม่ฮ่องสอน!I130"")+IMPORTRANGE(""https://docs.google.com/spreadsheets/d/1DY4XTNNwjluuxqdfdn6qvOSlMRrZqUtmYcZR0ttFiG4/edit?usp=sharing"",""ลำปาง!I130"")+IMPORTRANGE(""https://docs.goog"&amp;"le.com/spreadsheets/d/1ICwG78r0OFT8biBlxnBF8r7she7gNSzOvJ958PWT09c/edit?usp=sharing"",""ลำพูน!I130"")+IMPORTRANGE(""https://docs.google.com/spreadsheets/d/1B0f2xJpZUC6Z0xXnqKlZtEPzsf6L84eP1r1Q15seqRM/edit?usp=sharing"",""สุโขทัย!I130"")+IMPORTRANGE(""http"&amp;"s://docs.google.com/spreadsheets/d/1v0b9pFQCsKUVExMei7AgY2yQkdeNQvtOssygGsXbiKo/edit?usp=sharing"",""อุตรดิตถ์!I130"")+IMPORTRANGE(""https://docs.google.com/spreadsheets/d/1UsNK1e-WWiCo2PvGqdNfdme4m17_Ezd3J69EeeiQPD0/edit?usp=sharing"",""อุทัยธานี!I130"")"),0)</f>
        <v>0</v>
      </c>
      <c r="J130" s="167">
        <f ca="1">IFERROR(__xludf.DUMMYFUNCTION("IMPORTRANGE(""https://docs.google.com/spreadsheets/d/1jTcq05yEiRwXcBMLjiodW9e4biSGYWAHcDj22rKWQ3s/edit?usp=sharing"",""กำแพงเพชร!J130"")+IMPORTRANGE(""https://docs.google.com/spreadsheets/d/1KS0zmDSZPk8KnTAbGN-Xk6MtX1YRZD0ldgdt20K4CRk/edit?usp=sharing"","&amp;"""เชียงราย!J130"")+IMPORTRANGE(""https://docs.google.com/spreadsheets/d/1rEDxBtusbi64tE0zunoIbsTVV16HeL0oJ6trHQeQ7K8/edit?usp=sharing"",""เชียงใหม่!J130"")+IMPORTRANGE(""https://docs.google.com/spreadsheets/d/1W6MnUbDkMi6xHnHko_XkFDO9kkuL6Wqyc-6OCDFjW9I/e"&amp;"dit?usp=sharing"",""ตาก!J130"")+IMPORTRANGE(""https://docs.google.com/spreadsheets/d/1IQAWArduLkta9LpYo4a_ULsyqdta6-6aDDiwpUnQT6c/edit?usp=sharing"",""นครสวรรค์!J130"")+IMPORTRANGE(""https://docs.google.com/spreadsheets/d/10s13Sk5xrltsiR-Zkbmk5DwIaDIKO8Xl"&amp;"bJAfqyT7Gvg/edit?usp=sharing"",""น่าน!J130"")+IMPORTRANGE(""https://docs.google.com/spreadsheets/d/1uu4nAn4Dbi1XREnLKKotUANlKXa7yCgRcgq8HEzQYW8/edit?usp=sharing"",""พะเยา!J130"")+IMPORTRANGE(""https://docs.google.com/spreadsheets/d/1xfJKIQxVOaPDIICqsflNlL"&amp;"u3JacTDk1FP9RH4phX7mI/edit?usp=sharing"",""พิจิตร!J130"")+IMPORTRANGE(""https://docs.google.com/spreadsheets/d/1JtRfZkJMHtEhI5RdRHxYUG4FIZHqKDpNyIuN7A1Q0_k/edit?usp=sharing"",""พิษณุโลก!J130"")+IMPORTRANGE(""https://docs.google.com/spreadsheets/d/1xlcVZWU"&amp;"Nn6SuWm0c307h32SiGkd9BaeQWlAktfD3KO8/edit?usp=sharing"",""เพชรบูรณ์!J130"")+IMPORTRANGE(""https://docs.google.com/spreadsheets/d/1lOVebEIsI9qjGXl6EX66luk7wiuP2tBaryw-wKvv4e0/edit?usp=sharing"",""แพร่!J130"")+IMPORTRANGE(""https://docs.google.com/spreadshe"&amp;"ets/d/1dQrvX0vEcN7Gu0fnZ0B5S90AeR19zth4XlExFBeExMY/edit?usp=sharing"",""แม่ฮ่องสอน!J130"")+IMPORTRANGE(""https://docs.google.com/spreadsheets/d/1DY4XTNNwjluuxqdfdn6qvOSlMRrZqUtmYcZR0ttFiG4/edit?usp=sharing"",""ลำปาง!J130"")+IMPORTRANGE(""https://docs.goog"&amp;"le.com/spreadsheets/d/1ICwG78r0OFT8biBlxnBF8r7she7gNSzOvJ958PWT09c/edit?usp=sharing"",""ลำพูน!J130"")+IMPORTRANGE(""https://docs.google.com/spreadsheets/d/1B0f2xJpZUC6Z0xXnqKlZtEPzsf6L84eP1r1Q15seqRM/edit?usp=sharing"",""สุโขทัย!J130"")+IMPORTRANGE(""http"&amp;"s://docs.google.com/spreadsheets/d/1v0b9pFQCsKUVExMei7AgY2yQkdeNQvtOssygGsXbiKo/edit?usp=sharing"",""อุตรดิตถ์!J130"")+IMPORTRANGE(""https://docs.google.com/spreadsheets/d/1UsNK1e-WWiCo2PvGqdNfdme4m17_Ezd3J69EeeiQPD0/edit?usp=sharing"",""อุทัยธานี!J130"")"),7)</f>
        <v>7</v>
      </c>
      <c r="K130" s="46">
        <f t="shared" ca="1" si="104"/>
        <v>0</v>
      </c>
      <c r="L130" s="45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127">
        <f t="shared" ref="I136:J136" ca="1" si="105">I154</f>
        <v>15</v>
      </c>
      <c r="J136" s="127">
        <f t="shared" ca="1" si="105"/>
        <v>0</v>
      </c>
      <c r="K136" s="34">
        <f t="shared" ref="K136:K138" ca="1" si="106">IF(I136&gt;0,J136*100/I136,0)</f>
        <v>0</v>
      </c>
      <c r="L136" s="3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127">
        <f t="shared" ref="I137:J137" ca="1" si="107">I152</f>
        <v>400</v>
      </c>
      <c r="J137" s="127">
        <f t="shared" ca="1" si="107"/>
        <v>234</v>
      </c>
      <c r="K137" s="34">
        <f t="shared" ca="1" si="106"/>
        <v>58.5</v>
      </c>
      <c r="L137" s="3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127">
        <f t="shared" ref="I138:J138" ca="1" si="108">I153</f>
        <v>40</v>
      </c>
      <c r="J138" s="127">
        <f t="shared" ca="1" si="108"/>
        <v>19</v>
      </c>
      <c r="K138" s="34">
        <f t="shared" ca="1" si="106"/>
        <v>47.5</v>
      </c>
      <c r="L138" s="3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129" t="s">
        <v>18</v>
      </c>
      <c r="D139" s="13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132">
        <f t="shared" ref="L139:N139" ca="1" si="109">L140+L141</f>
        <v>1202200</v>
      </c>
      <c r="M139" s="132">
        <f t="shared" ca="1" si="109"/>
        <v>1147200</v>
      </c>
      <c r="N139" s="132">
        <f t="shared" ca="1" si="109"/>
        <v>707845.61</v>
      </c>
      <c r="O139" s="132">
        <f t="shared" ref="O139:O147" ca="1" si="110">IF(L139&gt;0,N139*100/L139,0)</f>
        <v>58.879188986857429</v>
      </c>
      <c r="P139" s="132">
        <f t="shared" ref="P139:P147" ca="1" si="111">IF(M139&gt;0,N139*100/M139,0)</f>
        <v>61.702023186889818</v>
      </c>
      <c r="Q139" s="132">
        <f t="shared" ref="Q139:S139" ca="1" si="112">Q140+Q141</f>
        <v>0</v>
      </c>
      <c r="R139" s="132">
        <f t="shared" ca="1" si="112"/>
        <v>0</v>
      </c>
      <c r="S139" s="132">
        <f t="shared" ca="1" si="112"/>
        <v>0</v>
      </c>
      <c r="T139" s="132">
        <f t="shared" ref="T139:T147" ca="1" si="113">IF(Q139&gt;0,S139*100/Q139,0)</f>
        <v>0</v>
      </c>
      <c r="U139" s="132">
        <f t="shared" ref="U139:U147" ca="1" si="114">IF(R139&gt;0,S139*100/R139,0)</f>
        <v>0</v>
      </c>
    </row>
    <row r="140" spans="1:21" ht="18.75" x14ac:dyDescent="0.25">
      <c r="A140" s="128"/>
      <c r="B140" s="40"/>
      <c r="C140" s="40"/>
      <c r="D140" s="40"/>
      <c r="E140" s="47" t="s">
        <v>20</v>
      </c>
      <c r="F140" s="40"/>
      <c r="G140" s="42"/>
      <c r="H140" s="133" t="s">
        <v>14</v>
      </c>
      <c r="I140" s="44"/>
      <c r="J140" s="44"/>
      <c r="K140" s="45"/>
      <c r="L140" s="46">
        <f t="shared" ref="L140:N140" ca="1" si="115">L143+L146</f>
        <v>0</v>
      </c>
      <c r="M140" s="46">
        <f t="shared" ca="1" si="115"/>
        <v>0</v>
      </c>
      <c r="N140" s="46">
        <f t="shared" ca="1" si="115"/>
        <v>0</v>
      </c>
      <c r="O140" s="46">
        <f t="shared" ca="1" si="110"/>
        <v>0</v>
      </c>
      <c r="P140" s="46">
        <f t="shared" ca="1" si="111"/>
        <v>0</v>
      </c>
      <c r="Q140" s="48">
        <f t="shared" ref="Q140:S140" ca="1" si="116">Q143+Q146</f>
        <v>0</v>
      </c>
      <c r="R140" s="48">
        <f t="shared" ca="1" si="116"/>
        <v>0</v>
      </c>
      <c r="S140" s="48">
        <f t="shared" ca="1" si="116"/>
        <v>0</v>
      </c>
      <c r="T140" s="48">
        <f t="shared" ca="1" si="113"/>
        <v>0</v>
      </c>
      <c r="U140" s="48">
        <f t="shared" ca="1" si="114"/>
        <v>0</v>
      </c>
    </row>
    <row r="141" spans="1:21" ht="18.75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46">
        <f t="shared" ref="L141:N141" ca="1" si="117">L144+L147</f>
        <v>1202200</v>
      </c>
      <c r="M141" s="46">
        <f t="shared" ca="1" si="117"/>
        <v>1147200</v>
      </c>
      <c r="N141" s="46">
        <f t="shared" ca="1" si="117"/>
        <v>707845.61</v>
      </c>
      <c r="O141" s="46">
        <f t="shared" ca="1" si="110"/>
        <v>58.879188986857429</v>
      </c>
      <c r="P141" s="46">
        <f t="shared" ca="1" si="111"/>
        <v>61.702023186889818</v>
      </c>
      <c r="Q141" s="46">
        <f t="shared" ref="Q141:S141" ca="1" si="118">Q144+Q147</f>
        <v>0</v>
      </c>
      <c r="R141" s="46">
        <f t="shared" ca="1" si="118"/>
        <v>0</v>
      </c>
      <c r="S141" s="46">
        <f t="shared" ca="1" si="118"/>
        <v>0</v>
      </c>
      <c r="T141" s="46">
        <f t="shared" ca="1" si="113"/>
        <v>0</v>
      </c>
      <c r="U141" s="46">
        <f t="shared" ca="1" si="114"/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46">
        <f t="shared" ref="L142:N142" ca="1" si="119">L143+L144</f>
        <v>1202200</v>
      </c>
      <c r="M142" s="46">
        <f t="shared" ca="1" si="119"/>
        <v>1147200</v>
      </c>
      <c r="N142" s="46">
        <f t="shared" ca="1" si="119"/>
        <v>707845.61</v>
      </c>
      <c r="O142" s="46">
        <f t="shared" ca="1" si="110"/>
        <v>58.879188986857429</v>
      </c>
      <c r="P142" s="46">
        <f t="shared" ca="1" si="111"/>
        <v>61.702023186889818</v>
      </c>
      <c r="Q142" s="46">
        <f t="shared" ref="Q142:S142" ca="1" si="120">Q143+Q144</f>
        <v>0</v>
      </c>
      <c r="R142" s="46">
        <f t="shared" ca="1" si="120"/>
        <v>0</v>
      </c>
      <c r="S142" s="46">
        <f t="shared" ca="1" si="120"/>
        <v>0</v>
      </c>
      <c r="T142" s="46">
        <f t="shared" ca="1" si="113"/>
        <v>0</v>
      </c>
      <c r="U142" s="46">
        <f t="shared" ca="1" si="114"/>
        <v>0</v>
      </c>
    </row>
    <row r="143" spans="1:21" ht="18.75" x14ac:dyDescent="0.25">
      <c r="A143" s="128"/>
      <c r="B143" s="40"/>
      <c r="C143" s="40"/>
      <c r="D143" s="40"/>
      <c r="E143" s="47" t="s">
        <v>36</v>
      </c>
      <c r="F143" s="40"/>
      <c r="G143" s="42"/>
      <c r="H143" s="134" t="s">
        <v>14</v>
      </c>
      <c r="I143" s="135"/>
      <c r="J143" s="135"/>
      <c r="K143" s="136"/>
      <c r="L143" s="46">
        <f ca="1">IFERROR(__xludf.DUMMYFUNCTION("IMPORTRANGE(""https://docs.google.com/spreadsheets/d/1jTcq05yEiRwXcBMLjiodW9e4biSGYWAHcDj22rKWQ3s/edit?usp=sharing"",""กำแพงเพชร!L143"")+IMPORTRANGE(""https://docs.google.com/spreadsheets/d/1KS0zmDSZPk8KnTAbGN-Xk6MtX1YRZD0ldgdt20K4CRk/edit?usp=sharing"","&amp;"""เชียงราย!L143"")+IMPORTRANGE(""https://docs.google.com/spreadsheets/d/1rEDxBtusbi64tE0zunoIbsTVV16HeL0oJ6trHQeQ7K8/edit?usp=sharing"",""เชียงใหม่!L143"")+IMPORTRANGE(""https://docs.google.com/spreadsheets/d/1W6MnUbDkMi6xHnHko_XkFDO9kkuL6Wqyc-6OCDFjW9I/e"&amp;"dit?usp=sharing"",""ตาก!L143"")+IMPORTRANGE(""https://docs.google.com/spreadsheets/d/1IQAWArduLkta9LpYo4a_ULsyqdta6-6aDDiwpUnQT6c/edit?usp=sharing"",""นครสวรรค์!L143"")+IMPORTRANGE(""https://docs.google.com/spreadsheets/d/10s13Sk5xrltsiR-Zkbmk5DwIaDIKO8Xl"&amp;"bJAfqyT7Gvg/edit?usp=sharing"",""น่าน!L143"")+IMPORTRANGE(""https://docs.google.com/spreadsheets/d/1uu4nAn4Dbi1XREnLKKotUANlKXa7yCgRcgq8HEzQYW8/edit?usp=sharing"",""พะเยา!L143"")+IMPORTRANGE(""https://docs.google.com/spreadsheets/d/1xfJKIQxVOaPDIICqsflNlL"&amp;"u3JacTDk1FP9RH4phX7mI/edit?usp=sharing"",""พิจิตร!L143"")+IMPORTRANGE(""https://docs.google.com/spreadsheets/d/1JtRfZkJMHtEhI5RdRHxYUG4FIZHqKDpNyIuN7A1Q0_k/edit?usp=sharing"",""พิษณุโลก!L143"")+IMPORTRANGE(""https://docs.google.com/spreadsheets/d/1xlcVZWU"&amp;"Nn6SuWm0c307h32SiGkd9BaeQWlAktfD3KO8/edit?usp=sharing"",""เพชรบูรณ์!L143"")+IMPORTRANGE(""https://docs.google.com/spreadsheets/d/1lOVebEIsI9qjGXl6EX66luk7wiuP2tBaryw-wKvv4e0/edit?usp=sharing"",""แพร่!L143"")+IMPORTRANGE(""https://docs.google.com/spreadshe"&amp;"ets/d/1dQrvX0vEcN7Gu0fnZ0B5S90AeR19zth4XlExFBeExMY/edit?usp=sharing"",""แม่ฮ่องสอน!L143"")+IMPORTRANGE(""https://docs.google.com/spreadsheets/d/1DY4XTNNwjluuxqdfdn6qvOSlMRrZqUtmYcZR0ttFiG4/edit?usp=sharing"",""ลำปาง!L143"")+IMPORTRANGE(""https://docs.goog"&amp;"le.com/spreadsheets/d/1ICwG78r0OFT8biBlxnBF8r7she7gNSzOvJ958PWT09c/edit?usp=sharing"",""ลำพูน!L143"")+IMPORTRANGE(""https://docs.google.com/spreadsheets/d/1B0f2xJpZUC6Z0xXnqKlZtEPzsf6L84eP1r1Q15seqRM/edit?usp=sharing"",""สุโขทัย!L143"")+IMPORTRANGE(""http"&amp;"s://docs.google.com/spreadsheets/d/1v0b9pFQCsKUVExMei7AgY2yQkdeNQvtOssygGsXbiKo/edit?usp=sharing"",""อุตรดิตถ์!L143"")+IMPORTRANGE(""https://docs.google.com/spreadsheets/d/1UsNK1e-WWiCo2PvGqdNfdme4m17_Ezd3J69EeeiQPD0/edit?usp=sharing"",""อุทัยธานี!L143"")"),0)</f>
        <v>0</v>
      </c>
      <c r="M143" s="46">
        <f ca="1">IFERROR(__xludf.DUMMYFUNCTION("IMPORTRANGE(""https://docs.google.com/spreadsheets/d/1jTcq05yEiRwXcBMLjiodW9e4biSGYWAHcDj22rKWQ3s/edit?usp=sharing"",""กำแพงเพชร!M143"")+IMPORTRANGE(""https://docs.google.com/spreadsheets/d/1KS0zmDSZPk8KnTAbGN-Xk6MtX1YRZD0ldgdt20K4CRk/edit?usp=sharing"","&amp;"""เชียงราย!M143"")+IMPORTRANGE(""https://docs.google.com/spreadsheets/d/1rEDxBtusbi64tE0zunoIbsTVV16HeL0oJ6trHQeQ7K8/edit?usp=sharing"",""เชียงใหม่!M143"")+IMPORTRANGE(""https://docs.google.com/spreadsheets/d/1W6MnUbDkMi6xHnHko_XkFDO9kkuL6Wqyc-6OCDFjW9I/e"&amp;"dit?usp=sharing"",""ตาก!M143"")+IMPORTRANGE(""https://docs.google.com/spreadsheets/d/1IQAWArduLkta9LpYo4a_ULsyqdta6-6aDDiwpUnQT6c/edit?usp=sharing"",""นครสวรรค์!M143"")+IMPORTRANGE(""https://docs.google.com/spreadsheets/d/10s13Sk5xrltsiR-Zkbmk5DwIaDIKO8Xl"&amp;"bJAfqyT7Gvg/edit?usp=sharing"",""น่าน!M143"")+IMPORTRANGE(""https://docs.google.com/spreadsheets/d/1uu4nAn4Dbi1XREnLKKotUANlKXa7yCgRcgq8HEzQYW8/edit?usp=sharing"",""พะเยา!M143"")+IMPORTRANGE(""https://docs.google.com/spreadsheets/d/1xfJKIQxVOaPDIICqsflNlL"&amp;"u3JacTDk1FP9RH4phX7mI/edit?usp=sharing"",""พิจิตร!M143"")+IMPORTRANGE(""https://docs.google.com/spreadsheets/d/1JtRfZkJMHtEhI5RdRHxYUG4FIZHqKDpNyIuN7A1Q0_k/edit?usp=sharing"",""พิษณุโลก!M143"")+IMPORTRANGE(""https://docs.google.com/spreadsheets/d/1xlcVZWU"&amp;"Nn6SuWm0c307h32SiGkd9BaeQWlAktfD3KO8/edit?usp=sharing"",""เพชรบูรณ์!M143"")+IMPORTRANGE(""https://docs.google.com/spreadsheets/d/1lOVebEIsI9qjGXl6EX66luk7wiuP2tBaryw-wKvv4e0/edit?usp=sharing"",""แพร่!M143"")+IMPORTRANGE(""https://docs.google.com/spreadshe"&amp;"ets/d/1dQrvX0vEcN7Gu0fnZ0B5S90AeR19zth4XlExFBeExMY/edit?usp=sharing"",""แม่ฮ่องสอน!M143"")+IMPORTRANGE(""https://docs.google.com/spreadsheets/d/1DY4XTNNwjluuxqdfdn6qvOSlMRrZqUtmYcZR0ttFiG4/edit?usp=sharing"",""ลำปาง!M143"")+IMPORTRANGE(""https://docs.goog"&amp;"le.com/spreadsheets/d/1ICwG78r0OFT8biBlxnBF8r7she7gNSzOvJ958PWT09c/edit?usp=sharing"",""ลำพูน!M143"")+IMPORTRANGE(""https://docs.google.com/spreadsheets/d/1B0f2xJpZUC6Z0xXnqKlZtEPzsf6L84eP1r1Q15seqRM/edit?usp=sharing"",""สุโขทัย!M143"")+IMPORTRANGE(""http"&amp;"s://docs.google.com/spreadsheets/d/1v0b9pFQCsKUVExMei7AgY2yQkdeNQvtOssygGsXbiKo/edit?usp=sharing"",""อุตรดิตถ์!M143"")+IMPORTRANGE(""https://docs.google.com/spreadsheets/d/1UsNK1e-WWiCo2PvGqdNfdme4m17_Ezd3J69EeeiQPD0/edit?usp=sharing"",""อุทัยธานี!M143"")"),0)</f>
        <v>0</v>
      </c>
      <c r="N143" s="46">
        <f ca="1">IFERROR(__xludf.DUMMYFUNCTION("IMPORTRANGE(""https://docs.google.com/spreadsheets/d/1jTcq05yEiRwXcBMLjiodW9e4biSGYWAHcDj22rKWQ3s/edit?usp=sharing"",""กำแพงเพชร!N143"")+IMPORTRANGE(""https://docs.google.com/spreadsheets/d/1KS0zmDSZPk8KnTAbGN-Xk6MtX1YRZD0ldgdt20K4CRk/edit?usp=sharing"","&amp;"""เชียงราย!N143"")+IMPORTRANGE(""https://docs.google.com/spreadsheets/d/1rEDxBtusbi64tE0zunoIbsTVV16HeL0oJ6trHQeQ7K8/edit?usp=sharing"",""เชียงใหม่!N143"")+IMPORTRANGE(""https://docs.google.com/spreadsheets/d/1W6MnUbDkMi6xHnHko_XkFDO9kkuL6Wqyc-6OCDFjW9I/e"&amp;"dit?usp=sharing"",""ตาก!N143"")+IMPORTRANGE(""https://docs.google.com/spreadsheets/d/1IQAWArduLkta9LpYo4a_ULsyqdta6-6aDDiwpUnQT6c/edit?usp=sharing"",""นครสวรรค์!N143"")+IMPORTRANGE(""https://docs.google.com/spreadsheets/d/10s13Sk5xrltsiR-Zkbmk5DwIaDIKO8Xl"&amp;"bJAfqyT7Gvg/edit?usp=sharing"",""น่าน!N143"")+IMPORTRANGE(""https://docs.google.com/spreadsheets/d/1uu4nAn4Dbi1XREnLKKotUANlKXa7yCgRcgq8HEzQYW8/edit?usp=sharing"",""พะเยา!N143"")+IMPORTRANGE(""https://docs.google.com/spreadsheets/d/1xfJKIQxVOaPDIICqsflNlL"&amp;"u3JacTDk1FP9RH4phX7mI/edit?usp=sharing"",""พิจิตร!N143"")+IMPORTRANGE(""https://docs.google.com/spreadsheets/d/1JtRfZkJMHtEhI5RdRHxYUG4FIZHqKDpNyIuN7A1Q0_k/edit?usp=sharing"",""พิษณุโลก!N143"")+IMPORTRANGE(""https://docs.google.com/spreadsheets/d/1xlcVZWU"&amp;"Nn6SuWm0c307h32SiGkd9BaeQWlAktfD3KO8/edit?usp=sharing"",""เพชรบูรณ์!N143"")+IMPORTRANGE(""https://docs.google.com/spreadsheets/d/1lOVebEIsI9qjGXl6EX66luk7wiuP2tBaryw-wKvv4e0/edit?usp=sharing"",""แพร่!N143"")+IMPORTRANGE(""https://docs.google.com/spreadshe"&amp;"ets/d/1dQrvX0vEcN7Gu0fnZ0B5S90AeR19zth4XlExFBeExMY/edit?usp=sharing"",""แม่ฮ่องสอน!N143"")+IMPORTRANGE(""https://docs.google.com/spreadsheets/d/1DY4XTNNwjluuxqdfdn6qvOSlMRrZqUtmYcZR0ttFiG4/edit?usp=sharing"",""ลำปาง!N143"")+IMPORTRANGE(""https://docs.goog"&amp;"le.com/spreadsheets/d/1ICwG78r0OFT8biBlxnBF8r7she7gNSzOvJ958PWT09c/edit?usp=sharing"",""ลำพูน!N143"")+IMPORTRANGE(""https://docs.google.com/spreadsheets/d/1B0f2xJpZUC6Z0xXnqKlZtEPzsf6L84eP1r1Q15seqRM/edit?usp=sharing"",""สุโขทัย!N143"")+IMPORTRANGE(""http"&amp;"s://docs.google.com/spreadsheets/d/1v0b9pFQCsKUVExMei7AgY2yQkdeNQvtOssygGsXbiKo/edit?usp=sharing"",""อุตรดิตถ์!N143"")+IMPORTRANGE(""https://docs.google.com/spreadsheets/d/1UsNK1e-WWiCo2PvGqdNfdme4m17_Ezd3J69EeeiQPD0/edit?usp=sharing"",""อุทัยธานี!N143"")"),0)</f>
        <v>0</v>
      </c>
      <c r="O143" s="46">
        <f t="shared" ca="1" si="110"/>
        <v>0</v>
      </c>
      <c r="P143" s="46">
        <f t="shared" ca="1" si="111"/>
        <v>0</v>
      </c>
      <c r="Q143" s="48">
        <f ca="1">IFERROR(__xludf.DUMMYFUNCTION("IMPORTRANGE(""https://docs.google.com/spreadsheets/d/1jTcq05yEiRwXcBMLjiodW9e4biSGYWAHcDj22rKWQ3s/edit?usp=sharing"",""กำแพงเพชร!Q143"")+IMPORTRANGE(""https://docs.google.com/spreadsheets/d/1KS0zmDSZPk8KnTAbGN-Xk6MtX1YRZD0ldgdt20K4CRk/edit?usp=sharing"","&amp;"""เชียงราย!Q143"")+IMPORTRANGE(""https://docs.google.com/spreadsheets/d/1rEDxBtusbi64tE0zunoIbsTVV16HeL0oJ6trHQeQ7K8/edit?usp=sharing"",""เชียงใหม่!Q143"")+IMPORTRANGE(""https://docs.google.com/spreadsheets/d/1W6MnUbDkMi6xHnHko_XkFDO9kkuL6Wqyc-6OCDFjW9I/e"&amp;"dit?usp=sharing"",""ตาก!Q143"")+IMPORTRANGE(""https://docs.google.com/spreadsheets/d/1IQAWArduLkta9LpYo4a_ULsyqdta6-6aDDiwpUnQT6c/edit?usp=sharing"",""นครสวรรค์!Q143"")+IMPORTRANGE(""https://docs.google.com/spreadsheets/d/10s13Sk5xrltsiR-Zkbmk5DwIaDIKO8Xl"&amp;"bJAfqyT7Gvg/edit?usp=sharing"",""น่าน!Q143"")+IMPORTRANGE(""https://docs.google.com/spreadsheets/d/1uu4nAn4Dbi1XREnLKKotUANlKXa7yCgRcgq8HEzQYW8/edit?usp=sharing"",""พะเยา!Q143"")+IMPORTRANGE(""https://docs.google.com/spreadsheets/d/1xfJKIQxVOaPDIICqsflNlL"&amp;"u3JacTDk1FP9RH4phX7mI/edit?usp=sharing"",""พิจิตร!Q143"")+IMPORTRANGE(""https://docs.google.com/spreadsheets/d/1JtRfZkJMHtEhI5RdRHxYUG4FIZHqKDpNyIuN7A1Q0_k/edit?usp=sharing"",""พิษณุโลก!Q143"")+IMPORTRANGE(""https://docs.google.com/spreadsheets/d/1xlcVZWU"&amp;"Nn6SuWm0c307h32SiGkd9BaeQWlAktfD3KO8/edit?usp=sharing"",""เพชรบูรณ์!Q143"")+IMPORTRANGE(""https://docs.google.com/spreadsheets/d/1lOVebEIsI9qjGXl6EX66luk7wiuP2tBaryw-wKvv4e0/edit?usp=sharing"",""แพร่!Q143"")+IMPORTRANGE(""https://docs.google.com/spreadshe"&amp;"ets/d/1dQrvX0vEcN7Gu0fnZ0B5S90AeR19zth4XlExFBeExMY/edit?usp=sharing"",""แม่ฮ่องสอน!Q143"")+IMPORTRANGE(""https://docs.google.com/spreadsheets/d/1DY4XTNNwjluuxqdfdn6qvOSlMRrZqUtmYcZR0ttFiG4/edit?usp=sharing"",""ลำปาง!Q143"")+IMPORTRANGE(""https://docs.goog"&amp;"le.com/spreadsheets/d/1ICwG78r0OFT8biBlxnBF8r7she7gNSzOvJ958PWT09c/edit?usp=sharing"",""ลำพูน!Q143"")+IMPORTRANGE(""https://docs.google.com/spreadsheets/d/1B0f2xJpZUC6Z0xXnqKlZtEPzsf6L84eP1r1Q15seqRM/edit?usp=sharing"",""สุโขทัย!Q143"")+IMPORTRANGE(""http"&amp;"s://docs.google.com/spreadsheets/d/1v0b9pFQCsKUVExMei7AgY2yQkdeNQvtOssygGsXbiKo/edit?usp=sharing"",""อุตรดิตถ์!Q143"")+IMPORTRANGE(""https://docs.google.com/spreadsheets/d/1UsNK1e-WWiCo2PvGqdNfdme4m17_Ezd3J69EeeiQPD0/edit?usp=sharing"",""อุทัยธานี!Q143"")"),0)</f>
        <v>0</v>
      </c>
      <c r="R143" s="48">
        <f ca="1">IFERROR(__xludf.DUMMYFUNCTION("IMPORTRANGE(""https://docs.google.com/spreadsheets/d/1jTcq05yEiRwXcBMLjiodW9e4biSGYWAHcDj22rKWQ3s/edit?usp=sharing"",""กำแพงเพชร!R143"")+IMPORTRANGE(""https://docs.google.com/spreadsheets/d/1KS0zmDSZPk8KnTAbGN-Xk6MtX1YRZD0ldgdt20K4CRk/edit?usp=sharing"","&amp;"""เชียงราย!R143"")+IMPORTRANGE(""https://docs.google.com/spreadsheets/d/1rEDxBtusbi64tE0zunoIbsTVV16HeL0oJ6trHQeQ7K8/edit?usp=sharing"",""เชียงใหม่!R143"")+IMPORTRANGE(""https://docs.google.com/spreadsheets/d/1W6MnUbDkMi6xHnHko_XkFDO9kkuL6Wqyc-6OCDFjW9I/e"&amp;"dit?usp=sharing"",""ตาก!R143"")+IMPORTRANGE(""https://docs.google.com/spreadsheets/d/1IQAWArduLkta9LpYo4a_ULsyqdta6-6aDDiwpUnQT6c/edit?usp=sharing"",""นครสวรรค์!R143"")+IMPORTRANGE(""https://docs.google.com/spreadsheets/d/10s13Sk5xrltsiR-Zkbmk5DwIaDIKO8Xl"&amp;"bJAfqyT7Gvg/edit?usp=sharing"",""น่าน!R143"")+IMPORTRANGE(""https://docs.google.com/spreadsheets/d/1uu4nAn4Dbi1XREnLKKotUANlKXa7yCgRcgq8HEzQYW8/edit?usp=sharing"",""พะเยา!R143"")+IMPORTRANGE(""https://docs.google.com/spreadsheets/d/1xfJKIQxVOaPDIICqsflNlL"&amp;"u3JacTDk1FP9RH4phX7mI/edit?usp=sharing"",""พิจิตร!R143"")+IMPORTRANGE(""https://docs.google.com/spreadsheets/d/1JtRfZkJMHtEhI5RdRHxYUG4FIZHqKDpNyIuN7A1Q0_k/edit?usp=sharing"",""พิษณุโลก!R143"")+IMPORTRANGE(""https://docs.google.com/spreadsheets/d/1xlcVZWU"&amp;"Nn6SuWm0c307h32SiGkd9BaeQWlAktfD3KO8/edit?usp=sharing"",""เพชรบูรณ์!R143"")+IMPORTRANGE(""https://docs.google.com/spreadsheets/d/1lOVebEIsI9qjGXl6EX66luk7wiuP2tBaryw-wKvv4e0/edit?usp=sharing"",""แพร่!R143"")+IMPORTRANGE(""https://docs.google.com/spreadshe"&amp;"ets/d/1dQrvX0vEcN7Gu0fnZ0B5S90AeR19zth4XlExFBeExMY/edit?usp=sharing"",""แม่ฮ่องสอน!R143"")+IMPORTRANGE(""https://docs.google.com/spreadsheets/d/1DY4XTNNwjluuxqdfdn6qvOSlMRrZqUtmYcZR0ttFiG4/edit?usp=sharing"",""ลำปาง!R143"")+IMPORTRANGE(""https://docs.goog"&amp;"le.com/spreadsheets/d/1ICwG78r0OFT8biBlxnBF8r7she7gNSzOvJ958PWT09c/edit?usp=sharing"",""ลำพูน!R143"")+IMPORTRANGE(""https://docs.google.com/spreadsheets/d/1B0f2xJpZUC6Z0xXnqKlZtEPzsf6L84eP1r1Q15seqRM/edit?usp=sharing"",""สุโขทัย!R143"")+IMPORTRANGE(""http"&amp;"s://docs.google.com/spreadsheets/d/1v0b9pFQCsKUVExMei7AgY2yQkdeNQvtOssygGsXbiKo/edit?usp=sharing"",""อุตรดิตถ์!R143"")+IMPORTRANGE(""https://docs.google.com/spreadsheets/d/1UsNK1e-WWiCo2PvGqdNfdme4m17_Ezd3J69EeeiQPD0/edit?usp=sharing"",""อุทัยธานี!R143"")"),0)</f>
        <v>0</v>
      </c>
      <c r="S143" s="48">
        <f ca="1">IFERROR(__xludf.DUMMYFUNCTION("IMPORTRANGE(""https://docs.google.com/spreadsheets/d/1jTcq05yEiRwXcBMLjiodW9e4biSGYWAHcDj22rKWQ3s/edit?usp=sharing"",""กำแพงเพชร!S143"")+IMPORTRANGE(""https://docs.google.com/spreadsheets/d/1KS0zmDSZPk8KnTAbGN-Xk6MtX1YRZD0ldgdt20K4CRk/edit?usp=sharing"","&amp;"""เชียงราย!S143"")+IMPORTRANGE(""https://docs.google.com/spreadsheets/d/1rEDxBtusbi64tE0zunoIbsTVV16HeL0oJ6trHQeQ7K8/edit?usp=sharing"",""เชียงใหม่!S143"")+IMPORTRANGE(""https://docs.google.com/spreadsheets/d/1W6MnUbDkMi6xHnHko_XkFDO9kkuL6Wqyc-6OCDFjW9I/e"&amp;"dit?usp=sharing"",""ตาก!S143"")+IMPORTRANGE(""https://docs.google.com/spreadsheets/d/1IQAWArduLkta9LpYo4a_ULsyqdta6-6aDDiwpUnQT6c/edit?usp=sharing"",""นครสวรรค์!S143"")+IMPORTRANGE(""https://docs.google.com/spreadsheets/d/10s13Sk5xrltsiR-Zkbmk5DwIaDIKO8Xl"&amp;"bJAfqyT7Gvg/edit?usp=sharing"",""น่าน!S143"")+IMPORTRANGE(""https://docs.google.com/spreadsheets/d/1uu4nAn4Dbi1XREnLKKotUANlKXa7yCgRcgq8HEzQYW8/edit?usp=sharing"",""พะเยา!S143"")+IMPORTRANGE(""https://docs.google.com/spreadsheets/d/1xfJKIQxVOaPDIICqsflNlL"&amp;"u3JacTDk1FP9RH4phX7mI/edit?usp=sharing"",""พิจิตร!S143"")+IMPORTRANGE(""https://docs.google.com/spreadsheets/d/1JtRfZkJMHtEhI5RdRHxYUG4FIZHqKDpNyIuN7A1Q0_k/edit?usp=sharing"",""พิษณุโลก!S143"")+IMPORTRANGE(""https://docs.google.com/spreadsheets/d/1xlcVZWU"&amp;"Nn6SuWm0c307h32SiGkd9BaeQWlAktfD3KO8/edit?usp=sharing"",""เพชรบูรณ์!S143"")+IMPORTRANGE(""https://docs.google.com/spreadsheets/d/1lOVebEIsI9qjGXl6EX66luk7wiuP2tBaryw-wKvv4e0/edit?usp=sharing"",""แพร่!S143"")+IMPORTRANGE(""https://docs.google.com/spreadshe"&amp;"ets/d/1dQrvX0vEcN7Gu0fnZ0B5S90AeR19zth4XlExFBeExMY/edit?usp=sharing"",""แม่ฮ่องสอน!S143"")+IMPORTRANGE(""https://docs.google.com/spreadsheets/d/1DY4XTNNwjluuxqdfdn6qvOSlMRrZqUtmYcZR0ttFiG4/edit?usp=sharing"",""ลำปาง!S143"")+IMPORTRANGE(""https://docs.goog"&amp;"le.com/spreadsheets/d/1ICwG78r0OFT8biBlxnBF8r7she7gNSzOvJ958PWT09c/edit?usp=sharing"",""ลำพูน!S143"")+IMPORTRANGE(""https://docs.google.com/spreadsheets/d/1B0f2xJpZUC6Z0xXnqKlZtEPzsf6L84eP1r1Q15seqRM/edit?usp=sharing"",""สุโขทัย!S143"")+IMPORTRANGE(""http"&amp;"s://docs.google.com/spreadsheets/d/1v0b9pFQCsKUVExMei7AgY2yQkdeNQvtOssygGsXbiKo/edit?usp=sharing"",""อุตรดิตถ์!S143"")+IMPORTRANGE(""https://docs.google.com/spreadsheets/d/1UsNK1e-WWiCo2PvGqdNfdme4m17_Ezd3J69EeeiQPD0/edit?usp=sharing"",""อุทัยธานี!S143"")"),0)</f>
        <v>0</v>
      </c>
      <c r="T143" s="48">
        <f t="shared" ca="1" si="113"/>
        <v>0</v>
      </c>
      <c r="U143" s="48">
        <f t="shared" ca="1" si="114"/>
        <v>0</v>
      </c>
    </row>
    <row r="144" spans="1:21" ht="18.75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46">
        <f ca="1">IFERROR(__xludf.DUMMYFUNCTION("IMPORTRANGE(""https://docs.google.com/spreadsheets/d/1jTcq05yEiRwXcBMLjiodW9e4biSGYWAHcDj22rKWQ3s/edit?usp=sharing"",""กำแพงเพชร!L144"")+IMPORTRANGE(""https://docs.google.com/spreadsheets/d/1KS0zmDSZPk8KnTAbGN-Xk6MtX1YRZD0ldgdt20K4CRk/edit?usp=sharing"","&amp;"""เชียงราย!L144"")+IMPORTRANGE(""https://docs.google.com/spreadsheets/d/1rEDxBtusbi64tE0zunoIbsTVV16HeL0oJ6trHQeQ7K8/edit?usp=sharing"",""เชียงใหม่!L144"")+IMPORTRANGE(""https://docs.google.com/spreadsheets/d/1W6MnUbDkMi6xHnHko_XkFDO9kkuL6Wqyc-6OCDFjW9I/e"&amp;"dit?usp=sharing"",""ตาก!L144"")+IMPORTRANGE(""https://docs.google.com/spreadsheets/d/1IQAWArduLkta9LpYo4a_ULsyqdta6-6aDDiwpUnQT6c/edit?usp=sharing"",""นครสวรรค์!L144"")+IMPORTRANGE(""https://docs.google.com/spreadsheets/d/10s13Sk5xrltsiR-Zkbmk5DwIaDIKO8Xl"&amp;"bJAfqyT7Gvg/edit?usp=sharing"",""น่าน!L144"")+IMPORTRANGE(""https://docs.google.com/spreadsheets/d/1uu4nAn4Dbi1XREnLKKotUANlKXa7yCgRcgq8HEzQYW8/edit?usp=sharing"",""พะเยา!L144"")+IMPORTRANGE(""https://docs.google.com/spreadsheets/d/1xfJKIQxVOaPDIICqsflNlL"&amp;"u3JacTDk1FP9RH4phX7mI/edit?usp=sharing"",""พิจิตร!L144"")+IMPORTRANGE(""https://docs.google.com/spreadsheets/d/1JtRfZkJMHtEhI5RdRHxYUG4FIZHqKDpNyIuN7A1Q0_k/edit?usp=sharing"",""พิษณุโลก!L144"")+IMPORTRANGE(""https://docs.google.com/spreadsheets/d/1xlcVZWU"&amp;"Nn6SuWm0c307h32SiGkd9BaeQWlAktfD3KO8/edit?usp=sharing"",""เพชรบูรณ์!L144"")+IMPORTRANGE(""https://docs.google.com/spreadsheets/d/1lOVebEIsI9qjGXl6EX66luk7wiuP2tBaryw-wKvv4e0/edit?usp=sharing"",""แพร่!L144"")+IMPORTRANGE(""https://docs.google.com/spreadshe"&amp;"ets/d/1dQrvX0vEcN7Gu0fnZ0B5S90AeR19zth4XlExFBeExMY/edit?usp=sharing"",""แม่ฮ่องสอน!L144"")+IMPORTRANGE(""https://docs.google.com/spreadsheets/d/1DY4XTNNwjluuxqdfdn6qvOSlMRrZqUtmYcZR0ttFiG4/edit?usp=sharing"",""ลำปาง!L144"")+IMPORTRANGE(""https://docs.goog"&amp;"le.com/spreadsheets/d/1ICwG78r0OFT8biBlxnBF8r7she7gNSzOvJ958PWT09c/edit?usp=sharing"",""ลำพูน!L144"")+IMPORTRANGE(""https://docs.google.com/spreadsheets/d/1B0f2xJpZUC6Z0xXnqKlZtEPzsf6L84eP1r1Q15seqRM/edit?usp=sharing"",""สุโขทัย!L144"")+IMPORTRANGE(""http"&amp;"s://docs.google.com/spreadsheets/d/1v0b9pFQCsKUVExMei7AgY2yQkdeNQvtOssygGsXbiKo/edit?usp=sharing"",""อุตรดิตถ์!L144"")+IMPORTRANGE(""https://docs.google.com/spreadsheets/d/1UsNK1e-WWiCo2PvGqdNfdme4m17_Ezd3J69EeeiQPD0/edit?usp=sharing"",""อุทัยธานี!L144"")"),1202200)</f>
        <v>1202200</v>
      </c>
      <c r="M144" s="46">
        <f ca="1">IFERROR(__xludf.DUMMYFUNCTION("IMPORTRANGE(""https://docs.google.com/spreadsheets/d/1jTcq05yEiRwXcBMLjiodW9e4biSGYWAHcDj22rKWQ3s/edit?usp=sharing"",""กำแพงเพชร!M144"")+IMPORTRANGE(""https://docs.google.com/spreadsheets/d/1KS0zmDSZPk8KnTAbGN-Xk6MtX1YRZD0ldgdt20K4CRk/edit?usp=sharing"","&amp;"""เชียงราย!M144"")+IMPORTRANGE(""https://docs.google.com/spreadsheets/d/1rEDxBtusbi64tE0zunoIbsTVV16HeL0oJ6trHQeQ7K8/edit?usp=sharing"",""เชียงใหม่!M144"")+IMPORTRANGE(""https://docs.google.com/spreadsheets/d/1W6MnUbDkMi6xHnHko_XkFDO9kkuL6Wqyc-6OCDFjW9I/e"&amp;"dit?usp=sharing"",""ตาก!M144"")+IMPORTRANGE(""https://docs.google.com/spreadsheets/d/1IQAWArduLkta9LpYo4a_ULsyqdta6-6aDDiwpUnQT6c/edit?usp=sharing"",""นครสวรรค์!M144"")+IMPORTRANGE(""https://docs.google.com/spreadsheets/d/10s13Sk5xrltsiR-Zkbmk5DwIaDIKO8Xl"&amp;"bJAfqyT7Gvg/edit?usp=sharing"",""น่าน!M144"")+IMPORTRANGE(""https://docs.google.com/spreadsheets/d/1uu4nAn4Dbi1XREnLKKotUANlKXa7yCgRcgq8HEzQYW8/edit?usp=sharing"",""พะเยา!M144"")+IMPORTRANGE(""https://docs.google.com/spreadsheets/d/1xfJKIQxVOaPDIICqsflNlL"&amp;"u3JacTDk1FP9RH4phX7mI/edit?usp=sharing"",""พิจิตร!M144"")+IMPORTRANGE(""https://docs.google.com/spreadsheets/d/1JtRfZkJMHtEhI5RdRHxYUG4FIZHqKDpNyIuN7A1Q0_k/edit?usp=sharing"",""พิษณุโลก!M144"")+IMPORTRANGE(""https://docs.google.com/spreadsheets/d/1xlcVZWU"&amp;"Nn6SuWm0c307h32SiGkd9BaeQWlAktfD3KO8/edit?usp=sharing"",""เพชรบูรณ์!M144"")+IMPORTRANGE(""https://docs.google.com/spreadsheets/d/1lOVebEIsI9qjGXl6EX66luk7wiuP2tBaryw-wKvv4e0/edit?usp=sharing"",""แพร่!M144"")+IMPORTRANGE(""https://docs.google.com/spreadshe"&amp;"ets/d/1dQrvX0vEcN7Gu0fnZ0B5S90AeR19zth4XlExFBeExMY/edit?usp=sharing"",""แม่ฮ่องสอน!M144"")+IMPORTRANGE(""https://docs.google.com/spreadsheets/d/1DY4XTNNwjluuxqdfdn6qvOSlMRrZqUtmYcZR0ttFiG4/edit?usp=sharing"",""ลำปาง!M144"")+IMPORTRANGE(""https://docs.goog"&amp;"le.com/spreadsheets/d/1ICwG78r0OFT8biBlxnBF8r7she7gNSzOvJ958PWT09c/edit?usp=sharing"",""ลำพูน!M144"")+IMPORTRANGE(""https://docs.google.com/spreadsheets/d/1B0f2xJpZUC6Z0xXnqKlZtEPzsf6L84eP1r1Q15seqRM/edit?usp=sharing"",""สุโขทัย!M144"")+IMPORTRANGE(""http"&amp;"s://docs.google.com/spreadsheets/d/1v0b9pFQCsKUVExMei7AgY2yQkdeNQvtOssygGsXbiKo/edit?usp=sharing"",""อุตรดิตถ์!M144"")+IMPORTRANGE(""https://docs.google.com/spreadsheets/d/1UsNK1e-WWiCo2PvGqdNfdme4m17_Ezd3J69EeeiQPD0/edit?usp=sharing"",""อุทัยธานี!M144"")"),1147200)</f>
        <v>1147200</v>
      </c>
      <c r="N144" s="46">
        <f ca="1">IFERROR(__xludf.DUMMYFUNCTION("IMPORTRANGE(""https://docs.google.com/spreadsheets/d/1jTcq05yEiRwXcBMLjiodW9e4biSGYWAHcDj22rKWQ3s/edit?usp=sharing"",""กำแพงเพชร!N144"")+IMPORTRANGE(""https://docs.google.com/spreadsheets/d/1KS0zmDSZPk8KnTAbGN-Xk6MtX1YRZD0ldgdt20K4CRk/edit?usp=sharing"","&amp;"""เชียงราย!N144"")+IMPORTRANGE(""https://docs.google.com/spreadsheets/d/1rEDxBtusbi64tE0zunoIbsTVV16HeL0oJ6trHQeQ7K8/edit?usp=sharing"",""เชียงใหม่!N144"")+IMPORTRANGE(""https://docs.google.com/spreadsheets/d/1W6MnUbDkMi6xHnHko_XkFDO9kkuL6Wqyc-6OCDFjW9I/e"&amp;"dit?usp=sharing"",""ตาก!N144"")+IMPORTRANGE(""https://docs.google.com/spreadsheets/d/1IQAWArduLkta9LpYo4a_ULsyqdta6-6aDDiwpUnQT6c/edit?usp=sharing"",""นครสวรรค์!N144"")+IMPORTRANGE(""https://docs.google.com/spreadsheets/d/10s13Sk5xrltsiR-Zkbmk5DwIaDIKO8Xl"&amp;"bJAfqyT7Gvg/edit?usp=sharing"",""น่าน!N144"")+IMPORTRANGE(""https://docs.google.com/spreadsheets/d/1uu4nAn4Dbi1XREnLKKotUANlKXa7yCgRcgq8HEzQYW8/edit?usp=sharing"",""พะเยา!N144"")+IMPORTRANGE(""https://docs.google.com/spreadsheets/d/1xfJKIQxVOaPDIICqsflNlL"&amp;"u3JacTDk1FP9RH4phX7mI/edit?usp=sharing"",""พิจิตร!N144"")+IMPORTRANGE(""https://docs.google.com/spreadsheets/d/1JtRfZkJMHtEhI5RdRHxYUG4FIZHqKDpNyIuN7A1Q0_k/edit?usp=sharing"",""พิษณุโลก!N144"")+IMPORTRANGE(""https://docs.google.com/spreadsheets/d/1xlcVZWU"&amp;"Nn6SuWm0c307h32SiGkd9BaeQWlAktfD3KO8/edit?usp=sharing"",""เพชรบูรณ์!N144"")+IMPORTRANGE(""https://docs.google.com/spreadsheets/d/1lOVebEIsI9qjGXl6EX66luk7wiuP2tBaryw-wKvv4e0/edit?usp=sharing"",""แพร่!N144"")+IMPORTRANGE(""https://docs.google.com/spreadshe"&amp;"ets/d/1dQrvX0vEcN7Gu0fnZ0B5S90AeR19zth4XlExFBeExMY/edit?usp=sharing"",""แม่ฮ่องสอน!N144"")+IMPORTRANGE(""https://docs.google.com/spreadsheets/d/1DY4XTNNwjluuxqdfdn6qvOSlMRrZqUtmYcZR0ttFiG4/edit?usp=sharing"",""ลำปาง!N144"")+IMPORTRANGE(""https://docs.goog"&amp;"le.com/spreadsheets/d/1ICwG78r0OFT8biBlxnBF8r7she7gNSzOvJ958PWT09c/edit?usp=sharing"",""ลำพูน!N144"")+IMPORTRANGE(""https://docs.google.com/spreadsheets/d/1B0f2xJpZUC6Z0xXnqKlZtEPzsf6L84eP1r1Q15seqRM/edit?usp=sharing"",""สุโขทัย!N144"")+IMPORTRANGE(""http"&amp;"s://docs.google.com/spreadsheets/d/1v0b9pFQCsKUVExMei7AgY2yQkdeNQvtOssygGsXbiKo/edit?usp=sharing"",""อุตรดิตถ์!N144"")+IMPORTRANGE(""https://docs.google.com/spreadsheets/d/1UsNK1e-WWiCo2PvGqdNfdme4m17_Ezd3J69EeeiQPD0/edit?usp=sharing"",""อุทัยธานี!N144"")"),707845.61)</f>
        <v>707845.61</v>
      </c>
      <c r="O144" s="46">
        <f t="shared" ca="1" si="110"/>
        <v>58.879188986857429</v>
      </c>
      <c r="P144" s="46">
        <f t="shared" ca="1" si="111"/>
        <v>61.702023186889818</v>
      </c>
      <c r="Q144" s="46">
        <f ca="1">IFERROR(__xludf.DUMMYFUNCTION("IMPORTRANGE(""https://docs.google.com/spreadsheets/d/1jTcq05yEiRwXcBMLjiodW9e4biSGYWAHcDj22rKWQ3s/edit?usp=sharing"",""กำแพงเพชร!Q144"")+IMPORTRANGE(""https://docs.google.com/spreadsheets/d/1KS0zmDSZPk8KnTAbGN-Xk6MtX1YRZD0ldgdt20K4CRk/edit?usp=sharing"","&amp;"""เชียงราย!Q144"")+IMPORTRANGE(""https://docs.google.com/spreadsheets/d/1rEDxBtusbi64tE0zunoIbsTVV16HeL0oJ6trHQeQ7K8/edit?usp=sharing"",""เชียงใหม่!Q144"")+IMPORTRANGE(""https://docs.google.com/spreadsheets/d/1W6MnUbDkMi6xHnHko_XkFDO9kkuL6Wqyc-6OCDFjW9I/e"&amp;"dit?usp=sharing"",""ตาก!Q144"")+IMPORTRANGE(""https://docs.google.com/spreadsheets/d/1IQAWArduLkta9LpYo4a_ULsyqdta6-6aDDiwpUnQT6c/edit?usp=sharing"",""นครสวรรค์!Q144"")+IMPORTRANGE(""https://docs.google.com/spreadsheets/d/10s13Sk5xrltsiR-Zkbmk5DwIaDIKO8Xl"&amp;"bJAfqyT7Gvg/edit?usp=sharing"",""น่าน!Q144"")+IMPORTRANGE(""https://docs.google.com/spreadsheets/d/1uu4nAn4Dbi1XREnLKKotUANlKXa7yCgRcgq8HEzQYW8/edit?usp=sharing"",""พะเยา!Q144"")+IMPORTRANGE(""https://docs.google.com/spreadsheets/d/1xfJKIQxVOaPDIICqsflNlL"&amp;"u3JacTDk1FP9RH4phX7mI/edit?usp=sharing"",""พิจิตร!Q144"")+IMPORTRANGE(""https://docs.google.com/spreadsheets/d/1JtRfZkJMHtEhI5RdRHxYUG4FIZHqKDpNyIuN7A1Q0_k/edit?usp=sharing"",""พิษณุโลก!Q144"")+IMPORTRANGE(""https://docs.google.com/spreadsheets/d/1xlcVZWU"&amp;"Nn6SuWm0c307h32SiGkd9BaeQWlAktfD3KO8/edit?usp=sharing"",""เพชรบูรณ์!Q144"")+IMPORTRANGE(""https://docs.google.com/spreadsheets/d/1lOVebEIsI9qjGXl6EX66luk7wiuP2tBaryw-wKvv4e0/edit?usp=sharing"",""แพร่!Q144"")+IMPORTRANGE(""https://docs.google.com/spreadshe"&amp;"ets/d/1dQrvX0vEcN7Gu0fnZ0B5S90AeR19zth4XlExFBeExMY/edit?usp=sharing"",""แม่ฮ่องสอน!Q144"")+IMPORTRANGE(""https://docs.google.com/spreadsheets/d/1DY4XTNNwjluuxqdfdn6qvOSlMRrZqUtmYcZR0ttFiG4/edit?usp=sharing"",""ลำปาง!Q144"")+IMPORTRANGE(""https://docs.goog"&amp;"le.com/spreadsheets/d/1ICwG78r0OFT8biBlxnBF8r7she7gNSzOvJ958PWT09c/edit?usp=sharing"",""ลำพูน!Q144"")+IMPORTRANGE(""https://docs.google.com/spreadsheets/d/1B0f2xJpZUC6Z0xXnqKlZtEPzsf6L84eP1r1Q15seqRM/edit?usp=sharing"",""สุโขทัย!Q144"")+IMPORTRANGE(""http"&amp;"s://docs.google.com/spreadsheets/d/1v0b9pFQCsKUVExMei7AgY2yQkdeNQvtOssygGsXbiKo/edit?usp=sharing"",""อุตรดิตถ์!Q144"")+IMPORTRANGE(""https://docs.google.com/spreadsheets/d/1UsNK1e-WWiCo2PvGqdNfdme4m17_Ezd3J69EeeiQPD0/edit?usp=sharing"",""อุทัยธานี!Q144"")"),0)</f>
        <v>0</v>
      </c>
      <c r="R144" s="46">
        <f ca="1">IFERROR(__xludf.DUMMYFUNCTION("IMPORTRANGE(""https://docs.google.com/spreadsheets/d/1jTcq05yEiRwXcBMLjiodW9e4biSGYWAHcDj22rKWQ3s/edit?usp=sharing"",""กำแพงเพชร!R144"")+IMPORTRANGE(""https://docs.google.com/spreadsheets/d/1KS0zmDSZPk8KnTAbGN-Xk6MtX1YRZD0ldgdt20K4CRk/edit?usp=sharing"","&amp;"""เชียงราย!R144"")+IMPORTRANGE(""https://docs.google.com/spreadsheets/d/1rEDxBtusbi64tE0zunoIbsTVV16HeL0oJ6trHQeQ7K8/edit?usp=sharing"",""เชียงใหม่!R144"")+IMPORTRANGE(""https://docs.google.com/spreadsheets/d/1W6MnUbDkMi6xHnHko_XkFDO9kkuL6Wqyc-6OCDFjW9I/e"&amp;"dit?usp=sharing"",""ตาก!R144"")+IMPORTRANGE(""https://docs.google.com/spreadsheets/d/1IQAWArduLkta9LpYo4a_ULsyqdta6-6aDDiwpUnQT6c/edit?usp=sharing"",""นครสวรรค์!R144"")+IMPORTRANGE(""https://docs.google.com/spreadsheets/d/10s13Sk5xrltsiR-Zkbmk5DwIaDIKO8Xl"&amp;"bJAfqyT7Gvg/edit?usp=sharing"",""น่าน!R144"")+IMPORTRANGE(""https://docs.google.com/spreadsheets/d/1uu4nAn4Dbi1XREnLKKotUANlKXa7yCgRcgq8HEzQYW8/edit?usp=sharing"",""พะเยา!R144"")+IMPORTRANGE(""https://docs.google.com/spreadsheets/d/1xfJKIQxVOaPDIICqsflNlL"&amp;"u3JacTDk1FP9RH4phX7mI/edit?usp=sharing"",""พิจิตร!R144"")+IMPORTRANGE(""https://docs.google.com/spreadsheets/d/1JtRfZkJMHtEhI5RdRHxYUG4FIZHqKDpNyIuN7A1Q0_k/edit?usp=sharing"",""พิษณุโลก!R144"")+IMPORTRANGE(""https://docs.google.com/spreadsheets/d/1xlcVZWU"&amp;"Nn6SuWm0c307h32SiGkd9BaeQWlAktfD3KO8/edit?usp=sharing"",""เพชรบูรณ์!R144"")+IMPORTRANGE(""https://docs.google.com/spreadsheets/d/1lOVebEIsI9qjGXl6EX66luk7wiuP2tBaryw-wKvv4e0/edit?usp=sharing"",""แพร่!R144"")+IMPORTRANGE(""https://docs.google.com/spreadshe"&amp;"ets/d/1dQrvX0vEcN7Gu0fnZ0B5S90AeR19zth4XlExFBeExMY/edit?usp=sharing"",""แม่ฮ่องสอน!R144"")+IMPORTRANGE(""https://docs.google.com/spreadsheets/d/1DY4XTNNwjluuxqdfdn6qvOSlMRrZqUtmYcZR0ttFiG4/edit?usp=sharing"",""ลำปาง!R144"")+IMPORTRANGE(""https://docs.goog"&amp;"le.com/spreadsheets/d/1ICwG78r0OFT8biBlxnBF8r7she7gNSzOvJ958PWT09c/edit?usp=sharing"",""ลำพูน!R144"")+IMPORTRANGE(""https://docs.google.com/spreadsheets/d/1B0f2xJpZUC6Z0xXnqKlZtEPzsf6L84eP1r1Q15seqRM/edit?usp=sharing"",""สุโขทัย!R144"")+IMPORTRANGE(""http"&amp;"s://docs.google.com/spreadsheets/d/1v0b9pFQCsKUVExMei7AgY2yQkdeNQvtOssygGsXbiKo/edit?usp=sharing"",""อุตรดิตถ์!R144"")+IMPORTRANGE(""https://docs.google.com/spreadsheets/d/1UsNK1e-WWiCo2PvGqdNfdme4m17_Ezd3J69EeeiQPD0/edit?usp=sharing"",""อุทัยธานี!R144"")"),0)</f>
        <v>0</v>
      </c>
      <c r="S144" s="46">
        <f ca="1">IFERROR(__xludf.DUMMYFUNCTION("IMPORTRANGE(""https://docs.google.com/spreadsheets/d/1jTcq05yEiRwXcBMLjiodW9e4biSGYWAHcDj22rKWQ3s/edit?usp=sharing"",""กำแพงเพชร!S144"")+IMPORTRANGE(""https://docs.google.com/spreadsheets/d/1KS0zmDSZPk8KnTAbGN-Xk6MtX1YRZD0ldgdt20K4CRk/edit?usp=sharing"","&amp;"""เชียงราย!S144"")+IMPORTRANGE(""https://docs.google.com/spreadsheets/d/1rEDxBtusbi64tE0zunoIbsTVV16HeL0oJ6trHQeQ7K8/edit?usp=sharing"",""เชียงใหม่!S144"")+IMPORTRANGE(""https://docs.google.com/spreadsheets/d/1W6MnUbDkMi6xHnHko_XkFDO9kkuL6Wqyc-6OCDFjW9I/e"&amp;"dit?usp=sharing"",""ตาก!S144"")+IMPORTRANGE(""https://docs.google.com/spreadsheets/d/1IQAWArduLkta9LpYo4a_ULsyqdta6-6aDDiwpUnQT6c/edit?usp=sharing"",""นครสวรรค์!S144"")+IMPORTRANGE(""https://docs.google.com/spreadsheets/d/10s13Sk5xrltsiR-Zkbmk5DwIaDIKO8Xl"&amp;"bJAfqyT7Gvg/edit?usp=sharing"",""น่าน!S144"")+IMPORTRANGE(""https://docs.google.com/spreadsheets/d/1uu4nAn4Dbi1XREnLKKotUANlKXa7yCgRcgq8HEzQYW8/edit?usp=sharing"",""พะเยา!S144"")+IMPORTRANGE(""https://docs.google.com/spreadsheets/d/1xfJKIQxVOaPDIICqsflNlL"&amp;"u3JacTDk1FP9RH4phX7mI/edit?usp=sharing"",""พิจิตร!S144"")+IMPORTRANGE(""https://docs.google.com/spreadsheets/d/1JtRfZkJMHtEhI5RdRHxYUG4FIZHqKDpNyIuN7A1Q0_k/edit?usp=sharing"",""พิษณุโลก!S144"")+IMPORTRANGE(""https://docs.google.com/spreadsheets/d/1xlcVZWU"&amp;"Nn6SuWm0c307h32SiGkd9BaeQWlAktfD3KO8/edit?usp=sharing"",""เพชรบูรณ์!S144"")+IMPORTRANGE(""https://docs.google.com/spreadsheets/d/1lOVebEIsI9qjGXl6EX66luk7wiuP2tBaryw-wKvv4e0/edit?usp=sharing"",""แพร่!S144"")+IMPORTRANGE(""https://docs.google.com/spreadshe"&amp;"ets/d/1dQrvX0vEcN7Gu0fnZ0B5S90AeR19zth4XlExFBeExMY/edit?usp=sharing"",""แม่ฮ่องสอน!S144"")+IMPORTRANGE(""https://docs.google.com/spreadsheets/d/1DY4XTNNwjluuxqdfdn6qvOSlMRrZqUtmYcZR0ttFiG4/edit?usp=sharing"",""ลำปาง!S144"")+IMPORTRANGE(""https://docs.goog"&amp;"le.com/spreadsheets/d/1ICwG78r0OFT8biBlxnBF8r7she7gNSzOvJ958PWT09c/edit?usp=sharing"",""ลำพูน!S144"")+IMPORTRANGE(""https://docs.google.com/spreadsheets/d/1B0f2xJpZUC6Z0xXnqKlZtEPzsf6L84eP1r1Q15seqRM/edit?usp=sharing"",""สุโขทัย!S144"")+IMPORTRANGE(""http"&amp;"s://docs.google.com/spreadsheets/d/1v0b9pFQCsKUVExMei7AgY2yQkdeNQvtOssygGsXbiKo/edit?usp=sharing"",""อุตรดิตถ์!S144"")+IMPORTRANGE(""https://docs.google.com/spreadsheets/d/1UsNK1e-WWiCo2PvGqdNfdme4m17_Ezd3J69EeeiQPD0/edit?usp=sharing"",""อุทัยธานี!S144"")"),0)</f>
        <v>0</v>
      </c>
      <c r="T144" s="46">
        <f t="shared" ca="1" si="113"/>
        <v>0</v>
      </c>
      <c r="U144" s="46">
        <f t="shared" ca="1" si="114"/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46">
        <f t="shared" ref="L145:N145" ca="1" si="121">L146+L147</f>
        <v>0</v>
      </c>
      <c r="M145" s="46">
        <f t="shared" ca="1" si="121"/>
        <v>0</v>
      </c>
      <c r="N145" s="46">
        <f t="shared" ca="1" si="121"/>
        <v>0</v>
      </c>
      <c r="O145" s="46">
        <f t="shared" ca="1" si="110"/>
        <v>0</v>
      </c>
      <c r="P145" s="46">
        <f t="shared" ca="1" si="111"/>
        <v>0</v>
      </c>
      <c r="Q145" s="46">
        <f t="shared" ref="Q145:S145" ca="1" si="122">Q146+Q147</f>
        <v>0</v>
      </c>
      <c r="R145" s="46">
        <f t="shared" ca="1" si="122"/>
        <v>0</v>
      </c>
      <c r="S145" s="46">
        <f t="shared" ca="1" si="122"/>
        <v>0</v>
      </c>
      <c r="T145" s="46">
        <f t="shared" ca="1" si="113"/>
        <v>0</v>
      </c>
      <c r="U145" s="46">
        <f t="shared" ca="1" si="114"/>
        <v>0</v>
      </c>
    </row>
    <row r="146" spans="1:21" ht="18.75" x14ac:dyDescent="0.25">
      <c r="A146" s="128"/>
      <c r="B146" s="40"/>
      <c r="C146" s="40"/>
      <c r="D146" s="40"/>
      <c r="E146" s="47" t="s">
        <v>20</v>
      </c>
      <c r="F146" s="40"/>
      <c r="G146" s="42"/>
      <c r="H146" s="134" t="s">
        <v>14</v>
      </c>
      <c r="I146" s="135"/>
      <c r="J146" s="135"/>
      <c r="K146" s="136"/>
      <c r="L146" s="46">
        <f ca="1">IFERROR(__xludf.DUMMYFUNCTION("IMPORTRANGE(""https://docs.google.com/spreadsheets/d/1jTcq05yEiRwXcBMLjiodW9e4biSGYWAHcDj22rKWQ3s/edit?usp=sharing"",""กำแพงเพชร!L146"")+IMPORTRANGE(""https://docs.google.com/spreadsheets/d/1KS0zmDSZPk8KnTAbGN-Xk6MtX1YRZD0ldgdt20K4CRk/edit?usp=sharing"","&amp;"""เชียงราย!L146"")+IMPORTRANGE(""https://docs.google.com/spreadsheets/d/1rEDxBtusbi64tE0zunoIbsTVV16HeL0oJ6trHQeQ7K8/edit?usp=sharing"",""เชียงใหม่!L146"")+IMPORTRANGE(""https://docs.google.com/spreadsheets/d/1W6MnUbDkMi6xHnHko_XkFDO9kkuL6Wqyc-6OCDFjW9I/e"&amp;"dit?usp=sharing"",""ตาก!L146"")+IMPORTRANGE(""https://docs.google.com/spreadsheets/d/1IQAWArduLkta9LpYo4a_ULsyqdta6-6aDDiwpUnQT6c/edit?usp=sharing"",""นครสวรรค์!L146"")+IMPORTRANGE(""https://docs.google.com/spreadsheets/d/10s13Sk5xrltsiR-Zkbmk5DwIaDIKO8Xl"&amp;"bJAfqyT7Gvg/edit?usp=sharing"",""น่าน!L146"")+IMPORTRANGE(""https://docs.google.com/spreadsheets/d/1uu4nAn4Dbi1XREnLKKotUANlKXa7yCgRcgq8HEzQYW8/edit?usp=sharing"",""พะเยา!L146"")+IMPORTRANGE(""https://docs.google.com/spreadsheets/d/1xfJKIQxVOaPDIICqsflNlL"&amp;"u3JacTDk1FP9RH4phX7mI/edit?usp=sharing"",""พิจิตร!L146"")+IMPORTRANGE(""https://docs.google.com/spreadsheets/d/1JtRfZkJMHtEhI5RdRHxYUG4FIZHqKDpNyIuN7A1Q0_k/edit?usp=sharing"",""พิษณุโลก!L146"")+IMPORTRANGE(""https://docs.google.com/spreadsheets/d/1xlcVZWU"&amp;"Nn6SuWm0c307h32SiGkd9BaeQWlAktfD3KO8/edit?usp=sharing"",""เพชรบูรณ์!L146"")+IMPORTRANGE(""https://docs.google.com/spreadsheets/d/1lOVebEIsI9qjGXl6EX66luk7wiuP2tBaryw-wKvv4e0/edit?usp=sharing"",""แพร่!L146"")+IMPORTRANGE(""https://docs.google.com/spreadshe"&amp;"ets/d/1dQrvX0vEcN7Gu0fnZ0B5S90AeR19zth4XlExFBeExMY/edit?usp=sharing"",""แม่ฮ่องสอน!L146"")+IMPORTRANGE(""https://docs.google.com/spreadsheets/d/1DY4XTNNwjluuxqdfdn6qvOSlMRrZqUtmYcZR0ttFiG4/edit?usp=sharing"",""ลำปาง!L146"")+IMPORTRANGE(""https://docs.goog"&amp;"le.com/spreadsheets/d/1ICwG78r0OFT8biBlxnBF8r7she7gNSzOvJ958PWT09c/edit?usp=sharing"",""ลำพูน!L146"")+IMPORTRANGE(""https://docs.google.com/spreadsheets/d/1B0f2xJpZUC6Z0xXnqKlZtEPzsf6L84eP1r1Q15seqRM/edit?usp=sharing"",""สุโขทัย!L146"")+IMPORTRANGE(""http"&amp;"s://docs.google.com/spreadsheets/d/1v0b9pFQCsKUVExMei7AgY2yQkdeNQvtOssygGsXbiKo/edit?usp=sharing"",""อุตรดิตถ์!L146"")+IMPORTRANGE(""https://docs.google.com/spreadsheets/d/1UsNK1e-WWiCo2PvGqdNfdme4m17_Ezd3J69EeeiQPD0/edit?usp=sharing"",""อุทัยธานี!L146"")"),0)</f>
        <v>0</v>
      </c>
      <c r="M146" s="46">
        <f ca="1">IFERROR(__xludf.DUMMYFUNCTION("IMPORTRANGE(""https://docs.google.com/spreadsheets/d/1jTcq05yEiRwXcBMLjiodW9e4biSGYWAHcDj22rKWQ3s/edit?usp=sharing"",""กำแพงเพชร!M146"")+IMPORTRANGE(""https://docs.google.com/spreadsheets/d/1KS0zmDSZPk8KnTAbGN-Xk6MtX1YRZD0ldgdt20K4CRk/edit?usp=sharing"","&amp;"""เชียงราย!M146"")+IMPORTRANGE(""https://docs.google.com/spreadsheets/d/1rEDxBtusbi64tE0zunoIbsTVV16HeL0oJ6trHQeQ7K8/edit?usp=sharing"",""เชียงใหม่!M146"")+IMPORTRANGE(""https://docs.google.com/spreadsheets/d/1W6MnUbDkMi6xHnHko_XkFDO9kkuL6Wqyc-6OCDFjW9I/e"&amp;"dit?usp=sharing"",""ตาก!M146"")+IMPORTRANGE(""https://docs.google.com/spreadsheets/d/1IQAWArduLkta9LpYo4a_ULsyqdta6-6aDDiwpUnQT6c/edit?usp=sharing"",""นครสวรรค์!M146"")+IMPORTRANGE(""https://docs.google.com/spreadsheets/d/10s13Sk5xrltsiR-Zkbmk5DwIaDIKO8Xl"&amp;"bJAfqyT7Gvg/edit?usp=sharing"",""น่าน!M146"")+IMPORTRANGE(""https://docs.google.com/spreadsheets/d/1uu4nAn4Dbi1XREnLKKotUANlKXa7yCgRcgq8HEzQYW8/edit?usp=sharing"",""พะเยา!M146"")+IMPORTRANGE(""https://docs.google.com/spreadsheets/d/1xfJKIQxVOaPDIICqsflNlL"&amp;"u3JacTDk1FP9RH4phX7mI/edit?usp=sharing"",""พิจิตร!M146"")+IMPORTRANGE(""https://docs.google.com/spreadsheets/d/1JtRfZkJMHtEhI5RdRHxYUG4FIZHqKDpNyIuN7A1Q0_k/edit?usp=sharing"",""พิษณุโลก!M146"")+IMPORTRANGE(""https://docs.google.com/spreadsheets/d/1xlcVZWU"&amp;"Nn6SuWm0c307h32SiGkd9BaeQWlAktfD3KO8/edit?usp=sharing"",""เพชรบูรณ์!M146"")+IMPORTRANGE(""https://docs.google.com/spreadsheets/d/1lOVebEIsI9qjGXl6EX66luk7wiuP2tBaryw-wKvv4e0/edit?usp=sharing"",""แพร่!M146"")+IMPORTRANGE(""https://docs.google.com/spreadshe"&amp;"ets/d/1dQrvX0vEcN7Gu0fnZ0B5S90AeR19zth4XlExFBeExMY/edit?usp=sharing"",""แม่ฮ่องสอน!M146"")+IMPORTRANGE(""https://docs.google.com/spreadsheets/d/1DY4XTNNwjluuxqdfdn6qvOSlMRrZqUtmYcZR0ttFiG4/edit?usp=sharing"",""ลำปาง!M146"")+IMPORTRANGE(""https://docs.goog"&amp;"le.com/spreadsheets/d/1ICwG78r0OFT8biBlxnBF8r7she7gNSzOvJ958PWT09c/edit?usp=sharing"",""ลำพูน!M146"")+IMPORTRANGE(""https://docs.google.com/spreadsheets/d/1B0f2xJpZUC6Z0xXnqKlZtEPzsf6L84eP1r1Q15seqRM/edit?usp=sharing"",""สุโขทัย!M146"")+IMPORTRANGE(""http"&amp;"s://docs.google.com/spreadsheets/d/1v0b9pFQCsKUVExMei7AgY2yQkdeNQvtOssygGsXbiKo/edit?usp=sharing"",""อุตรดิตถ์!M146"")+IMPORTRANGE(""https://docs.google.com/spreadsheets/d/1UsNK1e-WWiCo2PvGqdNfdme4m17_Ezd3J69EeeiQPD0/edit?usp=sharing"",""อุทัยธานี!M146"")"),0)</f>
        <v>0</v>
      </c>
      <c r="N146" s="46">
        <f ca="1">IFERROR(__xludf.DUMMYFUNCTION("IMPORTRANGE(""https://docs.google.com/spreadsheets/d/1jTcq05yEiRwXcBMLjiodW9e4biSGYWAHcDj22rKWQ3s/edit?usp=sharing"",""กำแพงเพชร!N146"")+IMPORTRANGE(""https://docs.google.com/spreadsheets/d/1KS0zmDSZPk8KnTAbGN-Xk6MtX1YRZD0ldgdt20K4CRk/edit?usp=sharing"","&amp;"""เชียงราย!N146"")+IMPORTRANGE(""https://docs.google.com/spreadsheets/d/1rEDxBtusbi64tE0zunoIbsTVV16HeL0oJ6trHQeQ7K8/edit?usp=sharing"",""เชียงใหม่!N146"")+IMPORTRANGE(""https://docs.google.com/spreadsheets/d/1W6MnUbDkMi6xHnHko_XkFDO9kkuL6Wqyc-6OCDFjW9I/e"&amp;"dit?usp=sharing"",""ตาก!N146"")+IMPORTRANGE(""https://docs.google.com/spreadsheets/d/1IQAWArduLkta9LpYo4a_ULsyqdta6-6aDDiwpUnQT6c/edit?usp=sharing"",""นครสวรรค์!N146"")+IMPORTRANGE(""https://docs.google.com/spreadsheets/d/10s13Sk5xrltsiR-Zkbmk5DwIaDIKO8Xl"&amp;"bJAfqyT7Gvg/edit?usp=sharing"",""น่าน!N146"")+IMPORTRANGE(""https://docs.google.com/spreadsheets/d/1uu4nAn4Dbi1XREnLKKotUANlKXa7yCgRcgq8HEzQYW8/edit?usp=sharing"",""พะเยา!N146"")+IMPORTRANGE(""https://docs.google.com/spreadsheets/d/1xfJKIQxVOaPDIICqsflNlL"&amp;"u3JacTDk1FP9RH4phX7mI/edit?usp=sharing"",""พิจิตร!N146"")+IMPORTRANGE(""https://docs.google.com/spreadsheets/d/1JtRfZkJMHtEhI5RdRHxYUG4FIZHqKDpNyIuN7A1Q0_k/edit?usp=sharing"",""พิษณุโลก!N146"")+IMPORTRANGE(""https://docs.google.com/spreadsheets/d/1xlcVZWU"&amp;"Nn6SuWm0c307h32SiGkd9BaeQWlAktfD3KO8/edit?usp=sharing"",""เพชรบูรณ์!N146"")+IMPORTRANGE(""https://docs.google.com/spreadsheets/d/1lOVebEIsI9qjGXl6EX66luk7wiuP2tBaryw-wKvv4e0/edit?usp=sharing"",""แพร่!N146"")+IMPORTRANGE(""https://docs.google.com/spreadshe"&amp;"ets/d/1dQrvX0vEcN7Gu0fnZ0B5S90AeR19zth4XlExFBeExMY/edit?usp=sharing"",""แม่ฮ่องสอน!N146"")+IMPORTRANGE(""https://docs.google.com/spreadsheets/d/1DY4XTNNwjluuxqdfdn6qvOSlMRrZqUtmYcZR0ttFiG4/edit?usp=sharing"",""ลำปาง!N146"")+IMPORTRANGE(""https://docs.goog"&amp;"le.com/spreadsheets/d/1ICwG78r0OFT8biBlxnBF8r7she7gNSzOvJ958PWT09c/edit?usp=sharing"",""ลำพูน!N146"")+IMPORTRANGE(""https://docs.google.com/spreadsheets/d/1B0f2xJpZUC6Z0xXnqKlZtEPzsf6L84eP1r1Q15seqRM/edit?usp=sharing"",""สุโขทัย!N146"")+IMPORTRANGE(""http"&amp;"s://docs.google.com/spreadsheets/d/1v0b9pFQCsKUVExMei7AgY2yQkdeNQvtOssygGsXbiKo/edit?usp=sharing"",""อุตรดิตถ์!N146"")+IMPORTRANGE(""https://docs.google.com/spreadsheets/d/1UsNK1e-WWiCo2PvGqdNfdme4m17_Ezd3J69EeeiQPD0/edit?usp=sharing"",""อุทัยธานี!N146"")"),0)</f>
        <v>0</v>
      </c>
      <c r="O146" s="46">
        <f t="shared" ca="1" si="110"/>
        <v>0</v>
      </c>
      <c r="P146" s="46">
        <f t="shared" ca="1" si="111"/>
        <v>0</v>
      </c>
      <c r="Q146" s="48">
        <f ca="1">IFERROR(__xludf.DUMMYFUNCTION("IMPORTRANGE(""https://docs.google.com/spreadsheets/d/1jTcq05yEiRwXcBMLjiodW9e4biSGYWAHcDj22rKWQ3s/edit?usp=sharing"",""กำแพงเพชร!Q146"")+IMPORTRANGE(""https://docs.google.com/spreadsheets/d/1KS0zmDSZPk8KnTAbGN-Xk6MtX1YRZD0ldgdt20K4CRk/edit?usp=sharing"","&amp;"""เชียงราย!Q146"")+IMPORTRANGE(""https://docs.google.com/spreadsheets/d/1rEDxBtusbi64tE0zunoIbsTVV16HeL0oJ6trHQeQ7K8/edit?usp=sharing"",""เชียงใหม่!Q146"")+IMPORTRANGE(""https://docs.google.com/spreadsheets/d/1W6MnUbDkMi6xHnHko_XkFDO9kkuL6Wqyc-6OCDFjW9I/e"&amp;"dit?usp=sharing"",""ตาก!Q146"")+IMPORTRANGE(""https://docs.google.com/spreadsheets/d/1IQAWArduLkta9LpYo4a_ULsyqdta6-6aDDiwpUnQT6c/edit?usp=sharing"",""นครสวรรค์!Q146"")+IMPORTRANGE(""https://docs.google.com/spreadsheets/d/10s13Sk5xrltsiR-Zkbmk5DwIaDIKO8Xl"&amp;"bJAfqyT7Gvg/edit?usp=sharing"",""น่าน!Q146"")+IMPORTRANGE(""https://docs.google.com/spreadsheets/d/1uu4nAn4Dbi1XREnLKKotUANlKXa7yCgRcgq8HEzQYW8/edit?usp=sharing"",""พะเยา!Q146"")+IMPORTRANGE(""https://docs.google.com/spreadsheets/d/1xfJKIQxVOaPDIICqsflNlL"&amp;"u3JacTDk1FP9RH4phX7mI/edit?usp=sharing"",""พิจิตร!Q146"")+IMPORTRANGE(""https://docs.google.com/spreadsheets/d/1JtRfZkJMHtEhI5RdRHxYUG4FIZHqKDpNyIuN7A1Q0_k/edit?usp=sharing"",""พิษณุโลก!Q146"")+IMPORTRANGE(""https://docs.google.com/spreadsheets/d/1xlcVZWU"&amp;"Nn6SuWm0c307h32SiGkd9BaeQWlAktfD3KO8/edit?usp=sharing"",""เพชรบูรณ์!Q146"")+IMPORTRANGE(""https://docs.google.com/spreadsheets/d/1lOVebEIsI9qjGXl6EX66luk7wiuP2tBaryw-wKvv4e0/edit?usp=sharing"",""แพร่!Q146"")+IMPORTRANGE(""https://docs.google.com/spreadshe"&amp;"ets/d/1dQrvX0vEcN7Gu0fnZ0B5S90AeR19zth4XlExFBeExMY/edit?usp=sharing"",""แม่ฮ่องสอน!Q146"")+IMPORTRANGE(""https://docs.google.com/spreadsheets/d/1DY4XTNNwjluuxqdfdn6qvOSlMRrZqUtmYcZR0ttFiG4/edit?usp=sharing"",""ลำปาง!Q146"")+IMPORTRANGE(""https://docs.goog"&amp;"le.com/spreadsheets/d/1ICwG78r0OFT8biBlxnBF8r7she7gNSzOvJ958PWT09c/edit?usp=sharing"",""ลำพูน!Q146"")+IMPORTRANGE(""https://docs.google.com/spreadsheets/d/1B0f2xJpZUC6Z0xXnqKlZtEPzsf6L84eP1r1Q15seqRM/edit?usp=sharing"",""สุโขทัย!Q146"")+IMPORTRANGE(""http"&amp;"s://docs.google.com/spreadsheets/d/1v0b9pFQCsKUVExMei7AgY2yQkdeNQvtOssygGsXbiKo/edit?usp=sharing"",""อุตรดิตถ์!Q146"")+IMPORTRANGE(""https://docs.google.com/spreadsheets/d/1UsNK1e-WWiCo2PvGqdNfdme4m17_Ezd3J69EeeiQPD0/edit?usp=sharing"",""อุทัยธานี!Q146"")"),0)</f>
        <v>0</v>
      </c>
      <c r="R146" s="48">
        <f ca="1">IFERROR(__xludf.DUMMYFUNCTION("IMPORTRANGE(""https://docs.google.com/spreadsheets/d/1jTcq05yEiRwXcBMLjiodW9e4biSGYWAHcDj22rKWQ3s/edit?usp=sharing"",""กำแพงเพชร!R146"")+IMPORTRANGE(""https://docs.google.com/spreadsheets/d/1KS0zmDSZPk8KnTAbGN-Xk6MtX1YRZD0ldgdt20K4CRk/edit?usp=sharing"","&amp;"""เชียงราย!R146"")+IMPORTRANGE(""https://docs.google.com/spreadsheets/d/1rEDxBtusbi64tE0zunoIbsTVV16HeL0oJ6trHQeQ7K8/edit?usp=sharing"",""เชียงใหม่!R146"")+IMPORTRANGE(""https://docs.google.com/spreadsheets/d/1W6MnUbDkMi6xHnHko_XkFDO9kkuL6Wqyc-6OCDFjW9I/e"&amp;"dit?usp=sharing"",""ตาก!R146"")+IMPORTRANGE(""https://docs.google.com/spreadsheets/d/1IQAWArduLkta9LpYo4a_ULsyqdta6-6aDDiwpUnQT6c/edit?usp=sharing"",""นครสวรรค์!R146"")+IMPORTRANGE(""https://docs.google.com/spreadsheets/d/10s13Sk5xrltsiR-Zkbmk5DwIaDIKO8Xl"&amp;"bJAfqyT7Gvg/edit?usp=sharing"",""น่าน!R146"")+IMPORTRANGE(""https://docs.google.com/spreadsheets/d/1uu4nAn4Dbi1XREnLKKotUANlKXa7yCgRcgq8HEzQYW8/edit?usp=sharing"",""พะเยา!R146"")+IMPORTRANGE(""https://docs.google.com/spreadsheets/d/1xfJKIQxVOaPDIICqsflNlL"&amp;"u3JacTDk1FP9RH4phX7mI/edit?usp=sharing"",""พิจิตร!R146"")+IMPORTRANGE(""https://docs.google.com/spreadsheets/d/1JtRfZkJMHtEhI5RdRHxYUG4FIZHqKDpNyIuN7A1Q0_k/edit?usp=sharing"",""พิษณุโลก!R146"")+IMPORTRANGE(""https://docs.google.com/spreadsheets/d/1xlcVZWU"&amp;"Nn6SuWm0c307h32SiGkd9BaeQWlAktfD3KO8/edit?usp=sharing"",""เพชรบูรณ์!R146"")+IMPORTRANGE(""https://docs.google.com/spreadsheets/d/1lOVebEIsI9qjGXl6EX66luk7wiuP2tBaryw-wKvv4e0/edit?usp=sharing"",""แพร่!R146"")+IMPORTRANGE(""https://docs.google.com/spreadshe"&amp;"ets/d/1dQrvX0vEcN7Gu0fnZ0B5S90AeR19zth4XlExFBeExMY/edit?usp=sharing"",""แม่ฮ่องสอน!R146"")+IMPORTRANGE(""https://docs.google.com/spreadsheets/d/1DY4XTNNwjluuxqdfdn6qvOSlMRrZqUtmYcZR0ttFiG4/edit?usp=sharing"",""ลำปาง!R146"")+IMPORTRANGE(""https://docs.goog"&amp;"le.com/spreadsheets/d/1ICwG78r0OFT8biBlxnBF8r7she7gNSzOvJ958PWT09c/edit?usp=sharing"",""ลำพูน!R146"")+IMPORTRANGE(""https://docs.google.com/spreadsheets/d/1B0f2xJpZUC6Z0xXnqKlZtEPzsf6L84eP1r1Q15seqRM/edit?usp=sharing"",""สุโขทัย!R146"")+IMPORTRANGE(""http"&amp;"s://docs.google.com/spreadsheets/d/1v0b9pFQCsKUVExMei7AgY2yQkdeNQvtOssygGsXbiKo/edit?usp=sharing"",""อุตรดิตถ์!R146"")+IMPORTRANGE(""https://docs.google.com/spreadsheets/d/1UsNK1e-WWiCo2PvGqdNfdme4m17_Ezd3J69EeeiQPD0/edit?usp=sharing"",""อุทัยธานี!R146"")"),0)</f>
        <v>0</v>
      </c>
      <c r="S146" s="48">
        <f ca="1">IFERROR(__xludf.DUMMYFUNCTION("IMPORTRANGE(""https://docs.google.com/spreadsheets/d/1jTcq05yEiRwXcBMLjiodW9e4biSGYWAHcDj22rKWQ3s/edit?usp=sharing"",""กำแพงเพชร!S146"")+IMPORTRANGE(""https://docs.google.com/spreadsheets/d/1KS0zmDSZPk8KnTAbGN-Xk6MtX1YRZD0ldgdt20K4CRk/edit?usp=sharing"","&amp;"""เชียงราย!S146"")+IMPORTRANGE(""https://docs.google.com/spreadsheets/d/1rEDxBtusbi64tE0zunoIbsTVV16HeL0oJ6trHQeQ7K8/edit?usp=sharing"",""เชียงใหม่!S146"")+IMPORTRANGE(""https://docs.google.com/spreadsheets/d/1W6MnUbDkMi6xHnHko_XkFDO9kkuL6Wqyc-6OCDFjW9I/e"&amp;"dit?usp=sharing"",""ตาก!S146"")+IMPORTRANGE(""https://docs.google.com/spreadsheets/d/1IQAWArduLkta9LpYo4a_ULsyqdta6-6aDDiwpUnQT6c/edit?usp=sharing"",""นครสวรรค์!S146"")+IMPORTRANGE(""https://docs.google.com/spreadsheets/d/10s13Sk5xrltsiR-Zkbmk5DwIaDIKO8Xl"&amp;"bJAfqyT7Gvg/edit?usp=sharing"",""น่าน!S146"")+IMPORTRANGE(""https://docs.google.com/spreadsheets/d/1uu4nAn4Dbi1XREnLKKotUANlKXa7yCgRcgq8HEzQYW8/edit?usp=sharing"",""พะเยา!S146"")+IMPORTRANGE(""https://docs.google.com/spreadsheets/d/1xfJKIQxVOaPDIICqsflNlL"&amp;"u3JacTDk1FP9RH4phX7mI/edit?usp=sharing"",""พิจิตร!S146"")+IMPORTRANGE(""https://docs.google.com/spreadsheets/d/1JtRfZkJMHtEhI5RdRHxYUG4FIZHqKDpNyIuN7A1Q0_k/edit?usp=sharing"",""พิษณุโลก!S146"")+IMPORTRANGE(""https://docs.google.com/spreadsheets/d/1xlcVZWU"&amp;"Nn6SuWm0c307h32SiGkd9BaeQWlAktfD3KO8/edit?usp=sharing"",""เพชรบูรณ์!S146"")+IMPORTRANGE(""https://docs.google.com/spreadsheets/d/1lOVebEIsI9qjGXl6EX66luk7wiuP2tBaryw-wKvv4e0/edit?usp=sharing"",""แพร่!S146"")+IMPORTRANGE(""https://docs.google.com/spreadshe"&amp;"ets/d/1dQrvX0vEcN7Gu0fnZ0B5S90AeR19zth4XlExFBeExMY/edit?usp=sharing"",""แม่ฮ่องสอน!S146"")+IMPORTRANGE(""https://docs.google.com/spreadsheets/d/1DY4XTNNwjluuxqdfdn6qvOSlMRrZqUtmYcZR0ttFiG4/edit?usp=sharing"",""ลำปาง!S146"")+IMPORTRANGE(""https://docs.goog"&amp;"le.com/spreadsheets/d/1ICwG78r0OFT8biBlxnBF8r7she7gNSzOvJ958PWT09c/edit?usp=sharing"",""ลำพูน!S146"")+IMPORTRANGE(""https://docs.google.com/spreadsheets/d/1B0f2xJpZUC6Z0xXnqKlZtEPzsf6L84eP1r1Q15seqRM/edit?usp=sharing"",""สุโขทัย!S146"")+IMPORTRANGE(""http"&amp;"s://docs.google.com/spreadsheets/d/1v0b9pFQCsKUVExMei7AgY2yQkdeNQvtOssygGsXbiKo/edit?usp=sharing"",""อุตรดิตถ์!S146"")+IMPORTRANGE(""https://docs.google.com/spreadsheets/d/1UsNK1e-WWiCo2PvGqdNfdme4m17_Ezd3J69EeeiQPD0/edit?usp=sharing"",""อุทัยธานี!S146"")"),0)</f>
        <v>0</v>
      </c>
      <c r="T146" s="48">
        <f t="shared" ca="1" si="113"/>
        <v>0</v>
      </c>
      <c r="U146" s="48">
        <f t="shared" ca="1" si="114"/>
        <v>0</v>
      </c>
    </row>
    <row r="147" spans="1:21" ht="18.75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46">
        <f ca="1">IFERROR(__xludf.DUMMYFUNCTION("IMPORTRANGE(""https://docs.google.com/spreadsheets/d/1jTcq05yEiRwXcBMLjiodW9e4biSGYWAHcDj22rKWQ3s/edit?usp=sharing"",""กำแพงเพชร!L147"")+IMPORTRANGE(""https://docs.google.com/spreadsheets/d/1KS0zmDSZPk8KnTAbGN-Xk6MtX1YRZD0ldgdt20K4CRk/edit?usp=sharing"","&amp;"""เชียงราย!L147"")+IMPORTRANGE(""https://docs.google.com/spreadsheets/d/1rEDxBtusbi64tE0zunoIbsTVV16HeL0oJ6trHQeQ7K8/edit?usp=sharing"",""เชียงใหม่!L147"")+IMPORTRANGE(""https://docs.google.com/spreadsheets/d/1W6MnUbDkMi6xHnHko_XkFDO9kkuL6Wqyc-6OCDFjW9I/e"&amp;"dit?usp=sharing"",""ตาก!L147"")+IMPORTRANGE(""https://docs.google.com/spreadsheets/d/1IQAWArduLkta9LpYo4a_ULsyqdta6-6aDDiwpUnQT6c/edit?usp=sharing"",""นครสวรรค์!L147"")+IMPORTRANGE(""https://docs.google.com/spreadsheets/d/10s13Sk5xrltsiR-Zkbmk5DwIaDIKO8Xl"&amp;"bJAfqyT7Gvg/edit?usp=sharing"",""น่าน!L147"")+IMPORTRANGE(""https://docs.google.com/spreadsheets/d/1uu4nAn4Dbi1XREnLKKotUANlKXa7yCgRcgq8HEzQYW8/edit?usp=sharing"",""พะเยา!L147"")+IMPORTRANGE(""https://docs.google.com/spreadsheets/d/1xfJKIQxVOaPDIICqsflNlL"&amp;"u3JacTDk1FP9RH4phX7mI/edit?usp=sharing"",""พิจิตร!L147"")+IMPORTRANGE(""https://docs.google.com/spreadsheets/d/1JtRfZkJMHtEhI5RdRHxYUG4FIZHqKDpNyIuN7A1Q0_k/edit?usp=sharing"",""พิษณุโลก!L147"")+IMPORTRANGE(""https://docs.google.com/spreadsheets/d/1xlcVZWU"&amp;"Nn6SuWm0c307h32SiGkd9BaeQWlAktfD3KO8/edit?usp=sharing"",""เพชรบูรณ์!L147"")+IMPORTRANGE(""https://docs.google.com/spreadsheets/d/1lOVebEIsI9qjGXl6EX66luk7wiuP2tBaryw-wKvv4e0/edit?usp=sharing"",""แพร่!L147"")+IMPORTRANGE(""https://docs.google.com/spreadshe"&amp;"ets/d/1dQrvX0vEcN7Gu0fnZ0B5S90AeR19zth4XlExFBeExMY/edit?usp=sharing"",""แม่ฮ่องสอน!L147"")+IMPORTRANGE(""https://docs.google.com/spreadsheets/d/1DY4XTNNwjluuxqdfdn6qvOSlMRrZqUtmYcZR0ttFiG4/edit?usp=sharing"",""ลำปาง!L147"")+IMPORTRANGE(""https://docs.goog"&amp;"le.com/spreadsheets/d/1ICwG78r0OFT8biBlxnBF8r7she7gNSzOvJ958PWT09c/edit?usp=sharing"",""ลำพูน!L147"")+IMPORTRANGE(""https://docs.google.com/spreadsheets/d/1B0f2xJpZUC6Z0xXnqKlZtEPzsf6L84eP1r1Q15seqRM/edit?usp=sharing"",""สุโขทัย!L147"")+IMPORTRANGE(""http"&amp;"s://docs.google.com/spreadsheets/d/1v0b9pFQCsKUVExMei7AgY2yQkdeNQvtOssygGsXbiKo/edit?usp=sharing"",""อุตรดิตถ์!L147"")+IMPORTRANGE(""https://docs.google.com/spreadsheets/d/1UsNK1e-WWiCo2PvGqdNfdme4m17_Ezd3J69EeeiQPD0/edit?usp=sharing"",""อุทัยธานี!L147"")"),0)</f>
        <v>0</v>
      </c>
      <c r="M147" s="46">
        <f ca="1">IFERROR(__xludf.DUMMYFUNCTION("IMPORTRANGE(""https://docs.google.com/spreadsheets/d/1jTcq05yEiRwXcBMLjiodW9e4biSGYWAHcDj22rKWQ3s/edit?usp=sharing"",""กำแพงเพชร!M147"")+IMPORTRANGE(""https://docs.google.com/spreadsheets/d/1KS0zmDSZPk8KnTAbGN-Xk6MtX1YRZD0ldgdt20K4CRk/edit?usp=sharing"","&amp;"""เชียงราย!M147"")+IMPORTRANGE(""https://docs.google.com/spreadsheets/d/1rEDxBtusbi64tE0zunoIbsTVV16HeL0oJ6trHQeQ7K8/edit?usp=sharing"",""เชียงใหม่!M147"")+IMPORTRANGE(""https://docs.google.com/spreadsheets/d/1W6MnUbDkMi6xHnHko_XkFDO9kkuL6Wqyc-6OCDFjW9I/e"&amp;"dit?usp=sharing"",""ตาก!M147"")+IMPORTRANGE(""https://docs.google.com/spreadsheets/d/1IQAWArduLkta9LpYo4a_ULsyqdta6-6aDDiwpUnQT6c/edit?usp=sharing"",""นครสวรรค์!M147"")+IMPORTRANGE(""https://docs.google.com/spreadsheets/d/10s13Sk5xrltsiR-Zkbmk5DwIaDIKO8Xl"&amp;"bJAfqyT7Gvg/edit?usp=sharing"",""น่าน!M147"")+IMPORTRANGE(""https://docs.google.com/spreadsheets/d/1uu4nAn4Dbi1XREnLKKotUANlKXa7yCgRcgq8HEzQYW8/edit?usp=sharing"",""พะเยา!M147"")+IMPORTRANGE(""https://docs.google.com/spreadsheets/d/1xfJKIQxVOaPDIICqsflNlL"&amp;"u3JacTDk1FP9RH4phX7mI/edit?usp=sharing"",""พิจิตร!M147"")+IMPORTRANGE(""https://docs.google.com/spreadsheets/d/1JtRfZkJMHtEhI5RdRHxYUG4FIZHqKDpNyIuN7A1Q0_k/edit?usp=sharing"",""พิษณุโลก!M147"")+IMPORTRANGE(""https://docs.google.com/spreadsheets/d/1xlcVZWU"&amp;"Nn6SuWm0c307h32SiGkd9BaeQWlAktfD3KO8/edit?usp=sharing"",""เพชรบูรณ์!M147"")+IMPORTRANGE(""https://docs.google.com/spreadsheets/d/1lOVebEIsI9qjGXl6EX66luk7wiuP2tBaryw-wKvv4e0/edit?usp=sharing"",""แพร่!M147"")+IMPORTRANGE(""https://docs.google.com/spreadshe"&amp;"ets/d/1dQrvX0vEcN7Gu0fnZ0B5S90AeR19zth4XlExFBeExMY/edit?usp=sharing"",""แม่ฮ่องสอน!M147"")+IMPORTRANGE(""https://docs.google.com/spreadsheets/d/1DY4XTNNwjluuxqdfdn6qvOSlMRrZqUtmYcZR0ttFiG4/edit?usp=sharing"",""ลำปาง!M147"")+IMPORTRANGE(""https://docs.goog"&amp;"le.com/spreadsheets/d/1ICwG78r0OFT8biBlxnBF8r7she7gNSzOvJ958PWT09c/edit?usp=sharing"",""ลำพูน!M147"")+IMPORTRANGE(""https://docs.google.com/spreadsheets/d/1B0f2xJpZUC6Z0xXnqKlZtEPzsf6L84eP1r1Q15seqRM/edit?usp=sharing"",""สุโขทัย!M147"")+IMPORTRANGE(""http"&amp;"s://docs.google.com/spreadsheets/d/1v0b9pFQCsKUVExMei7AgY2yQkdeNQvtOssygGsXbiKo/edit?usp=sharing"",""อุตรดิตถ์!M147"")+IMPORTRANGE(""https://docs.google.com/spreadsheets/d/1UsNK1e-WWiCo2PvGqdNfdme4m17_Ezd3J69EeeiQPD0/edit?usp=sharing"",""อุทัยธานี!M147"")"),0)</f>
        <v>0</v>
      </c>
      <c r="N147" s="46">
        <f ca="1">IFERROR(__xludf.DUMMYFUNCTION("IMPORTRANGE(""https://docs.google.com/spreadsheets/d/1jTcq05yEiRwXcBMLjiodW9e4biSGYWAHcDj22rKWQ3s/edit?usp=sharing"",""กำแพงเพชร!N147"")+IMPORTRANGE(""https://docs.google.com/spreadsheets/d/1KS0zmDSZPk8KnTAbGN-Xk6MtX1YRZD0ldgdt20K4CRk/edit?usp=sharing"","&amp;"""เชียงราย!N147"")+IMPORTRANGE(""https://docs.google.com/spreadsheets/d/1rEDxBtusbi64tE0zunoIbsTVV16HeL0oJ6trHQeQ7K8/edit?usp=sharing"",""เชียงใหม่!N147"")+IMPORTRANGE(""https://docs.google.com/spreadsheets/d/1W6MnUbDkMi6xHnHko_XkFDO9kkuL6Wqyc-6OCDFjW9I/e"&amp;"dit?usp=sharing"",""ตาก!N147"")+IMPORTRANGE(""https://docs.google.com/spreadsheets/d/1IQAWArduLkta9LpYo4a_ULsyqdta6-6aDDiwpUnQT6c/edit?usp=sharing"",""นครสวรรค์!N147"")+IMPORTRANGE(""https://docs.google.com/spreadsheets/d/10s13Sk5xrltsiR-Zkbmk5DwIaDIKO8Xl"&amp;"bJAfqyT7Gvg/edit?usp=sharing"",""น่าน!N147"")+IMPORTRANGE(""https://docs.google.com/spreadsheets/d/1uu4nAn4Dbi1XREnLKKotUANlKXa7yCgRcgq8HEzQYW8/edit?usp=sharing"",""พะเยา!N147"")+IMPORTRANGE(""https://docs.google.com/spreadsheets/d/1xfJKIQxVOaPDIICqsflNlL"&amp;"u3JacTDk1FP9RH4phX7mI/edit?usp=sharing"",""พิจิตร!N147"")+IMPORTRANGE(""https://docs.google.com/spreadsheets/d/1JtRfZkJMHtEhI5RdRHxYUG4FIZHqKDpNyIuN7A1Q0_k/edit?usp=sharing"",""พิษณุโลก!N147"")+IMPORTRANGE(""https://docs.google.com/spreadsheets/d/1xlcVZWU"&amp;"Nn6SuWm0c307h32SiGkd9BaeQWlAktfD3KO8/edit?usp=sharing"",""เพชรบูรณ์!N147"")+IMPORTRANGE(""https://docs.google.com/spreadsheets/d/1lOVebEIsI9qjGXl6EX66luk7wiuP2tBaryw-wKvv4e0/edit?usp=sharing"",""แพร่!N147"")+IMPORTRANGE(""https://docs.google.com/spreadshe"&amp;"ets/d/1dQrvX0vEcN7Gu0fnZ0B5S90AeR19zth4XlExFBeExMY/edit?usp=sharing"",""แม่ฮ่องสอน!N147"")+IMPORTRANGE(""https://docs.google.com/spreadsheets/d/1DY4XTNNwjluuxqdfdn6qvOSlMRrZqUtmYcZR0ttFiG4/edit?usp=sharing"",""ลำปาง!N147"")+IMPORTRANGE(""https://docs.goog"&amp;"le.com/spreadsheets/d/1ICwG78r0OFT8biBlxnBF8r7she7gNSzOvJ958PWT09c/edit?usp=sharing"",""ลำพูน!N147"")+IMPORTRANGE(""https://docs.google.com/spreadsheets/d/1B0f2xJpZUC6Z0xXnqKlZtEPzsf6L84eP1r1Q15seqRM/edit?usp=sharing"",""สุโขทัย!N147"")+IMPORTRANGE(""http"&amp;"s://docs.google.com/spreadsheets/d/1v0b9pFQCsKUVExMei7AgY2yQkdeNQvtOssygGsXbiKo/edit?usp=sharing"",""อุตรดิตถ์!N147"")+IMPORTRANGE(""https://docs.google.com/spreadsheets/d/1UsNK1e-WWiCo2PvGqdNfdme4m17_Ezd3J69EeeiQPD0/edit?usp=sharing"",""อุทัยธานี!N147"")"),0)</f>
        <v>0</v>
      </c>
      <c r="O147" s="46">
        <f t="shared" ca="1" si="110"/>
        <v>0</v>
      </c>
      <c r="P147" s="46">
        <f t="shared" ca="1" si="111"/>
        <v>0</v>
      </c>
      <c r="Q147" s="46">
        <f ca="1">IFERROR(__xludf.DUMMYFUNCTION("IMPORTRANGE(""https://docs.google.com/spreadsheets/d/1jTcq05yEiRwXcBMLjiodW9e4biSGYWAHcDj22rKWQ3s/edit?usp=sharing"",""กำแพงเพชร!Q147"")+IMPORTRANGE(""https://docs.google.com/spreadsheets/d/1KS0zmDSZPk8KnTAbGN-Xk6MtX1YRZD0ldgdt20K4CRk/edit?usp=sharing"","&amp;"""เชียงราย!Q147"")+IMPORTRANGE(""https://docs.google.com/spreadsheets/d/1rEDxBtusbi64tE0zunoIbsTVV16HeL0oJ6trHQeQ7K8/edit?usp=sharing"",""เชียงใหม่!Q147"")+IMPORTRANGE(""https://docs.google.com/spreadsheets/d/1W6MnUbDkMi6xHnHko_XkFDO9kkuL6Wqyc-6OCDFjW9I/e"&amp;"dit?usp=sharing"",""ตาก!Q147"")+IMPORTRANGE(""https://docs.google.com/spreadsheets/d/1IQAWArduLkta9LpYo4a_ULsyqdta6-6aDDiwpUnQT6c/edit?usp=sharing"",""นครสวรรค์!Q147"")+IMPORTRANGE(""https://docs.google.com/spreadsheets/d/10s13Sk5xrltsiR-Zkbmk5DwIaDIKO8Xl"&amp;"bJAfqyT7Gvg/edit?usp=sharing"",""น่าน!Q147"")+IMPORTRANGE(""https://docs.google.com/spreadsheets/d/1uu4nAn4Dbi1XREnLKKotUANlKXa7yCgRcgq8HEzQYW8/edit?usp=sharing"",""พะเยา!Q147"")+IMPORTRANGE(""https://docs.google.com/spreadsheets/d/1xfJKIQxVOaPDIICqsflNlL"&amp;"u3JacTDk1FP9RH4phX7mI/edit?usp=sharing"",""พิจิตร!Q147"")+IMPORTRANGE(""https://docs.google.com/spreadsheets/d/1JtRfZkJMHtEhI5RdRHxYUG4FIZHqKDpNyIuN7A1Q0_k/edit?usp=sharing"",""พิษณุโลก!Q147"")+IMPORTRANGE(""https://docs.google.com/spreadsheets/d/1xlcVZWU"&amp;"Nn6SuWm0c307h32SiGkd9BaeQWlAktfD3KO8/edit?usp=sharing"",""เพชรบูรณ์!Q147"")+IMPORTRANGE(""https://docs.google.com/spreadsheets/d/1lOVebEIsI9qjGXl6EX66luk7wiuP2tBaryw-wKvv4e0/edit?usp=sharing"",""แพร่!Q147"")+IMPORTRANGE(""https://docs.google.com/spreadshe"&amp;"ets/d/1dQrvX0vEcN7Gu0fnZ0B5S90AeR19zth4XlExFBeExMY/edit?usp=sharing"",""แม่ฮ่องสอน!Q147"")+IMPORTRANGE(""https://docs.google.com/spreadsheets/d/1DY4XTNNwjluuxqdfdn6qvOSlMRrZqUtmYcZR0ttFiG4/edit?usp=sharing"",""ลำปาง!Q147"")+IMPORTRANGE(""https://docs.goog"&amp;"le.com/spreadsheets/d/1ICwG78r0OFT8biBlxnBF8r7she7gNSzOvJ958PWT09c/edit?usp=sharing"",""ลำพูน!Q147"")+IMPORTRANGE(""https://docs.google.com/spreadsheets/d/1B0f2xJpZUC6Z0xXnqKlZtEPzsf6L84eP1r1Q15seqRM/edit?usp=sharing"",""สุโขทัย!Q147"")+IMPORTRANGE(""http"&amp;"s://docs.google.com/spreadsheets/d/1v0b9pFQCsKUVExMei7AgY2yQkdeNQvtOssygGsXbiKo/edit?usp=sharing"",""อุตรดิตถ์!Q147"")+IMPORTRANGE(""https://docs.google.com/spreadsheets/d/1UsNK1e-WWiCo2PvGqdNfdme4m17_Ezd3J69EeeiQPD0/edit?usp=sharing"",""อุทัยธานี!Q147"")"),0)</f>
        <v>0</v>
      </c>
      <c r="R147" s="46">
        <f ca="1">IFERROR(__xludf.DUMMYFUNCTION("IMPORTRANGE(""https://docs.google.com/spreadsheets/d/1jTcq05yEiRwXcBMLjiodW9e4biSGYWAHcDj22rKWQ3s/edit?usp=sharing"",""กำแพงเพชร!R147"")+IMPORTRANGE(""https://docs.google.com/spreadsheets/d/1KS0zmDSZPk8KnTAbGN-Xk6MtX1YRZD0ldgdt20K4CRk/edit?usp=sharing"","&amp;"""เชียงราย!R147"")+IMPORTRANGE(""https://docs.google.com/spreadsheets/d/1rEDxBtusbi64tE0zunoIbsTVV16HeL0oJ6trHQeQ7K8/edit?usp=sharing"",""เชียงใหม่!R147"")+IMPORTRANGE(""https://docs.google.com/spreadsheets/d/1W6MnUbDkMi6xHnHko_XkFDO9kkuL6Wqyc-6OCDFjW9I/e"&amp;"dit?usp=sharing"",""ตาก!R147"")+IMPORTRANGE(""https://docs.google.com/spreadsheets/d/1IQAWArduLkta9LpYo4a_ULsyqdta6-6aDDiwpUnQT6c/edit?usp=sharing"",""นครสวรรค์!R147"")+IMPORTRANGE(""https://docs.google.com/spreadsheets/d/10s13Sk5xrltsiR-Zkbmk5DwIaDIKO8Xl"&amp;"bJAfqyT7Gvg/edit?usp=sharing"",""น่าน!R147"")+IMPORTRANGE(""https://docs.google.com/spreadsheets/d/1uu4nAn4Dbi1XREnLKKotUANlKXa7yCgRcgq8HEzQYW8/edit?usp=sharing"",""พะเยา!R147"")+IMPORTRANGE(""https://docs.google.com/spreadsheets/d/1xfJKIQxVOaPDIICqsflNlL"&amp;"u3JacTDk1FP9RH4phX7mI/edit?usp=sharing"",""พิจิตร!R147"")+IMPORTRANGE(""https://docs.google.com/spreadsheets/d/1JtRfZkJMHtEhI5RdRHxYUG4FIZHqKDpNyIuN7A1Q0_k/edit?usp=sharing"",""พิษณุโลก!R147"")+IMPORTRANGE(""https://docs.google.com/spreadsheets/d/1xlcVZWU"&amp;"Nn6SuWm0c307h32SiGkd9BaeQWlAktfD3KO8/edit?usp=sharing"",""เพชรบูรณ์!R147"")+IMPORTRANGE(""https://docs.google.com/spreadsheets/d/1lOVebEIsI9qjGXl6EX66luk7wiuP2tBaryw-wKvv4e0/edit?usp=sharing"",""แพร่!R147"")+IMPORTRANGE(""https://docs.google.com/spreadshe"&amp;"ets/d/1dQrvX0vEcN7Gu0fnZ0B5S90AeR19zth4XlExFBeExMY/edit?usp=sharing"",""แม่ฮ่องสอน!R147"")+IMPORTRANGE(""https://docs.google.com/spreadsheets/d/1DY4XTNNwjluuxqdfdn6qvOSlMRrZqUtmYcZR0ttFiG4/edit?usp=sharing"",""ลำปาง!R147"")+IMPORTRANGE(""https://docs.goog"&amp;"le.com/spreadsheets/d/1ICwG78r0OFT8biBlxnBF8r7she7gNSzOvJ958PWT09c/edit?usp=sharing"",""ลำพูน!R147"")+IMPORTRANGE(""https://docs.google.com/spreadsheets/d/1B0f2xJpZUC6Z0xXnqKlZtEPzsf6L84eP1r1Q15seqRM/edit?usp=sharing"",""สุโขทัย!R147"")+IMPORTRANGE(""http"&amp;"s://docs.google.com/spreadsheets/d/1v0b9pFQCsKUVExMei7AgY2yQkdeNQvtOssygGsXbiKo/edit?usp=sharing"",""อุตรดิตถ์!R147"")+IMPORTRANGE(""https://docs.google.com/spreadsheets/d/1UsNK1e-WWiCo2PvGqdNfdme4m17_Ezd3J69EeeiQPD0/edit?usp=sharing"",""อุทัยธานี!R147"")"),0)</f>
        <v>0</v>
      </c>
      <c r="S147" s="46">
        <f ca="1">IFERROR(__xludf.DUMMYFUNCTION("IMPORTRANGE(""https://docs.google.com/spreadsheets/d/1jTcq05yEiRwXcBMLjiodW9e4biSGYWAHcDj22rKWQ3s/edit?usp=sharing"",""กำแพงเพชร!S147"")+IMPORTRANGE(""https://docs.google.com/spreadsheets/d/1KS0zmDSZPk8KnTAbGN-Xk6MtX1YRZD0ldgdt20K4CRk/edit?usp=sharing"","&amp;"""เชียงราย!S147"")+IMPORTRANGE(""https://docs.google.com/spreadsheets/d/1rEDxBtusbi64tE0zunoIbsTVV16HeL0oJ6trHQeQ7K8/edit?usp=sharing"",""เชียงใหม่!S147"")+IMPORTRANGE(""https://docs.google.com/spreadsheets/d/1W6MnUbDkMi6xHnHko_XkFDO9kkuL6Wqyc-6OCDFjW9I/e"&amp;"dit?usp=sharing"",""ตาก!S147"")+IMPORTRANGE(""https://docs.google.com/spreadsheets/d/1IQAWArduLkta9LpYo4a_ULsyqdta6-6aDDiwpUnQT6c/edit?usp=sharing"",""นครสวรรค์!S147"")+IMPORTRANGE(""https://docs.google.com/spreadsheets/d/10s13Sk5xrltsiR-Zkbmk5DwIaDIKO8Xl"&amp;"bJAfqyT7Gvg/edit?usp=sharing"",""น่าน!S147"")+IMPORTRANGE(""https://docs.google.com/spreadsheets/d/1uu4nAn4Dbi1XREnLKKotUANlKXa7yCgRcgq8HEzQYW8/edit?usp=sharing"",""พะเยา!S147"")+IMPORTRANGE(""https://docs.google.com/spreadsheets/d/1xfJKIQxVOaPDIICqsflNlL"&amp;"u3JacTDk1FP9RH4phX7mI/edit?usp=sharing"",""พิจิตร!S147"")+IMPORTRANGE(""https://docs.google.com/spreadsheets/d/1JtRfZkJMHtEhI5RdRHxYUG4FIZHqKDpNyIuN7A1Q0_k/edit?usp=sharing"",""พิษณุโลก!S147"")+IMPORTRANGE(""https://docs.google.com/spreadsheets/d/1xlcVZWU"&amp;"Nn6SuWm0c307h32SiGkd9BaeQWlAktfD3KO8/edit?usp=sharing"",""เพชรบูรณ์!S147"")+IMPORTRANGE(""https://docs.google.com/spreadsheets/d/1lOVebEIsI9qjGXl6EX66luk7wiuP2tBaryw-wKvv4e0/edit?usp=sharing"",""แพร่!S147"")+IMPORTRANGE(""https://docs.google.com/spreadshe"&amp;"ets/d/1dQrvX0vEcN7Gu0fnZ0B5S90AeR19zth4XlExFBeExMY/edit?usp=sharing"",""แม่ฮ่องสอน!S147"")+IMPORTRANGE(""https://docs.google.com/spreadsheets/d/1DY4XTNNwjluuxqdfdn6qvOSlMRrZqUtmYcZR0ttFiG4/edit?usp=sharing"",""ลำปาง!S147"")+IMPORTRANGE(""https://docs.goog"&amp;"le.com/spreadsheets/d/1ICwG78r0OFT8biBlxnBF8r7she7gNSzOvJ958PWT09c/edit?usp=sharing"",""ลำพูน!S147"")+IMPORTRANGE(""https://docs.google.com/spreadsheets/d/1B0f2xJpZUC6Z0xXnqKlZtEPzsf6L84eP1r1Q15seqRM/edit?usp=sharing"",""สุโขทัย!S147"")+IMPORTRANGE(""http"&amp;"s://docs.google.com/spreadsheets/d/1v0b9pFQCsKUVExMei7AgY2yQkdeNQvtOssygGsXbiKo/edit?usp=sharing"",""อุตรดิตถ์!S147"")+IMPORTRANGE(""https://docs.google.com/spreadsheets/d/1UsNK1e-WWiCo2PvGqdNfdme4m17_Ezd3J69EeeiQPD0/edit?usp=sharing"",""อุทัยธานี!S147"")"),0)</f>
        <v>0</v>
      </c>
      <c r="T147" s="46">
        <f t="shared" ca="1" si="113"/>
        <v>0</v>
      </c>
      <c r="U147" s="46">
        <f t="shared" ca="1" si="114"/>
        <v>0</v>
      </c>
    </row>
    <row r="148" spans="1:21" ht="19.5" x14ac:dyDescent="0.3">
      <c r="A148" s="138"/>
      <c r="B148" s="139"/>
      <c r="C148" s="129" t="s">
        <v>18</v>
      </c>
      <c r="D148" s="140" t="s">
        <v>38</v>
      </c>
      <c r="E148" s="141"/>
      <c r="F148" s="141"/>
      <c r="G148" s="142"/>
      <c r="H148" s="178"/>
      <c r="I148" s="44"/>
      <c r="J148" s="44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166">
        <f ca="1">IFERROR(__xludf.DUMMYFUNCTION("IMPORTRANGE(""https://docs.google.com/spreadsheets/d/1jTcq05yEiRwXcBMLjiodW9e4biSGYWAHcDj22rKWQ3s/edit?usp=sharing"",""กำแพงเพชร!J149"")+IMPORTRANGE(""https://docs.google.com/spreadsheets/d/1KS0zmDSZPk8KnTAbGN-Xk6MtX1YRZD0ldgdt20K4CRk/edit?usp=sharing"","&amp;"""เชียงราย!J149"")+IMPORTRANGE(""https://docs.google.com/spreadsheets/d/1rEDxBtusbi64tE0zunoIbsTVV16HeL0oJ6trHQeQ7K8/edit?usp=sharing"",""เชียงใหม่!J149"")+IMPORTRANGE(""https://docs.google.com/spreadsheets/d/1W6MnUbDkMi6xHnHko_XkFDO9kkuL6Wqyc-6OCDFjW9I/e"&amp;"dit?usp=sharing"",""ตาก!J149"")+IMPORTRANGE(""https://docs.google.com/spreadsheets/d/1IQAWArduLkta9LpYo4a_ULsyqdta6-6aDDiwpUnQT6c/edit?usp=sharing"",""นครสวรรค์!J149"")+IMPORTRANGE(""https://docs.google.com/spreadsheets/d/10s13Sk5xrltsiR-Zkbmk5DwIaDIKO8Xl"&amp;"bJAfqyT7Gvg/edit?usp=sharing"",""น่าน!J149"")+IMPORTRANGE(""https://docs.google.com/spreadsheets/d/1uu4nAn4Dbi1XREnLKKotUANlKXa7yCgRcgq8HEzQYW8/edit?usp=sharing"",""พะเยา!J149"")+IMPORTRANGE(""https://docs.google.com/spreadsheets/d/1xfJKIQxVOaPDIICqsflNlL"&amp;"u3JacTDk1FP9RH4phX7mI/edit?usp=sharing"",""พิจิตร!J149"")+IMPORTRANGE(""https://docs.google.com/spreadsheets/d/1JtRfZkJMHtEhI5RdRHxYUG4FIZHqKDpNyIuN7A1Q0_k/edit?usp=sharing"",""พิษณุโลก!J149"")+IMPORTRANGE(""https://docs.google.com/spreadsheets/d/1xlcVZWU"&amp;"Nn6SuWm0c307h32SiGkd9BaeQWlAktfD3KO8/edit?usp=sharing"",""เพชรบูรณ์!J149"")+IMPORTRANGE(""https://docs.google.com/spreadsheets/d/1lOVebEIsI9qjGXl6EX66luk7wiuP2tBaryw-wKvv4e0/edit?usp=sharing"",""แพร่!J149"")+IMPORTRANGE(""https://docs.google.com/spreadshe"&amp;"ets/d/1dQrvX0vEcN7Gu0fnZ0B5S90AeR19zth4XlExFBeExMY/edit?usp=sharing"",""แม่ฮ่องสอน!J149"")+IMPORTRANGE(""https://docs.google.com/spreadsheets/d/1DY4XTNNwjluuxqdfdn6qvOSlMRrZqUtmYcZR0ttFiG4/edit?usp=sharing"",""ลำปาง!J149"")+IMPORTRANGE(""https://docs.goog"&amp;"le.com/spreadsheets/d/1ICwG78r0OFT8biBlxnBF8r7she7gNSzOvJ958PWT09c/edit?usp=sharing"",""ลำพูน!J149"")+IMPORTRANGE(""https://docs.google.com/spreadsheets/d/1B0f2xJpZUC6Z0xXnqKlZtEPzsf6L84eP1r1Q15seqRM/edit?usp=sharing"",""สุโขทัย!J149"")+IMPORTRANGE(""http"&amp;"s://docs.google.com/spreadsheets/d/1v0b9pFQCsKUVExMei7AgY2yQkdeNQvtOssygGsXbiKo/edit?usp=sharing"",""อุตรดิตถ์!J149"")+IMPORTRANGE(""https://docs.google.com/spreadsheets/d/1UsNK1e-WWiCo2PvGqdNfdme4m17_Ezd3J69EeeiQPD0/edit?usp=sharing"",""อุทัยธานี!J149"")"),1)</f>
        <v>1</v>
      </c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66">
        <f ca="1">IFERROR(__xludf.DUMMYFUNCTION("IMPORTRANGE(""https://docs.google.com/spreadsheets/d/1jTcq05yEiRwXcBMLjiodW9e4biSGYWAHcDj22rKWQ3s/edit?usp=sharing"",""กำแพงเพชร!I150"")+IMPORTRANGE(""https://docs.google.com/spreadsheets/d/1KS0zmDSZPk8KnTAbGN-Xk6MtX1YRZD0ldgdt20K4CRk/edit?usp=sharing"","&amp;"""เชียงราย!I150"")+IMPORTRANGE(""https://docs.google.com/spreadsheets/d/1rEDxBtusbi64tE0zunoIbsTVV16HeL0oJ6trHQeQ7K8/edit?usp=sharing"",""เชียงใหม่!I150"")+IMPORTRANGE(""https://docs.google.com/spreadsheets/d/1W6MnUbDkMi6xHnHko_XkFDO9kkuL6Wqyc-6OCDFjW9I/e"&amp;"dit?usp=sharing"",""ตาก!I150"")+IMPORTRANGE(""https://docs.google.com/spreadsheets/d/1IQAWArduLkta9LpYo4a_ULsyqdta6-6aDDiwpUnQT6c/edit?usp=sharing"",""นครสวรรค์!I150"")+IMPORTRANGE(""https://docs.google.com/spreadsheets/d/10s13Sk5xrltsiR-Zkbmk5DwIaDIKO8Xl"&amp;"bJAfqyT7Gvg/edit?usp=sharing"",""น่าน!I150"")+IMPORTRANGE(""https://docs.google.com/spreadsheets/d/1uu4nAn4Dbi1XREnLKKotUANlKXa7yCgRcgq8HEzQYW8/edit?usp=sharing"",""พะเยา!I150"")+IMPORTRANGE(""https://docs.google.com/spreadsheets/d/1xfJKIQxVOaPDIICqsflNlL"&amp;"u3JacTDk1FP9RH4phX7mI/edit?usp=sharing"",""พิจิตร!I150"")+IMPORTRANGE(""https://docs.google.com/spreadsheets/d/1JtRfZkJMHtEhI5RdRHxYUG4FIZHqKDpNyIuN7A1Q0_k/edit?usp=sharing"",""พิษณุโลก!I150"")+IMPORTRANGE(""https://docs.google.com/spreadsheets/d/1xlcVZWU"&amp;"Nn6SuWm0c307h32SiGkd9BaeQWlAktfD3KO8/edit?usp=sharing"",""เพชรบูรณ์!I150"")+IMPORTRANGE(""https://docs.google.com/spreadsheets/d/1lOVebEIsI9qjGXl6EX66luk7wiuP2tBaryw-wKvv4e0/edit?usp=sharing"",""แพร่!I150"")+IMPORTRANGE(""https://docs.google.com/spreadshe"&amp;"ets/d/1dQrvX0vEcN7Gu0fnZ0B5S90AeR19zth4XlExFBeExMY/edit?usp=sharing"",""แม่ฮ่องสอน!I150"")+IMPORTRANGE(""https://docs.google.com/spreadsheets/d/1DY4XTNNwjluuxqdfdn6qvOSlMRrZqUtmYcZR0ttFiG4/edit?usp=sharing"",""ลำปาง!I150"")+IMPORTRANGE(""https://docs.goog"&amp;"le.com/spreadsheets/d/1ICwG78r0OFT8biBlxnBF8r7she7gNSzOvJ958PWT09c/edit?usp=sharing"",""ลำพูน!I150"")+IMPORTRANGE(""https://docs.google.com/spreadsheets/d/1B0f2xJpZUC6Z0xXnqKlZtEPzsf6L84eP1r1Q15seqRM/edit?usp=sharing"",""สุโขทัย!I150"")+IMPORTRANGE(""http"&amp;"s://docs.google.com/spreadsheets/d/1v0b9pFQCsKUVExMei7AgY2yQkdeNQvtOssygGsXbiKo/edit?usp=sharing"",""อุตรดิตถ์!I150"")+IMPORTRANGE(""https://docs.google.com/spreadsheets/d/1UsNK1e-WWiCo2PvGqdNfdme4m17_Ezd3J69EeeiQPD0/edit?usp=sharing"",""อุทัยธานี!I150"")"),150)</f>
        <v>150</v>
      </c>
      <c r="J150" s="166">
        <f ca="1">IFERROR(__xludf.DUMMYFUNCTION("IMPORTRANGE(""https://docs.google.com/spreadsheets/d/1jTcq05yEiRwXcBMLjiodW9e4biSGYWAHcDj22rKWQ3s/edit?usp=sharing"",""กำแพงเพชร!J150"")+IMPORTRANGE(""https://docs.google.com/spreadsheets/d/1KS0zmDSZPk8KnTAbGN-Xk6MtX1YRZD0ldgdt20K4CRk/edit?usp=sharing"","&amp;"""เชียงราย!J150"")+IMPORTRANGE(""https://docs.google.com/spreadsheets/d/1rEDxBtusbi64tE0zunoIbsTVV16HeL0oJ6trHQeQ7K8/edit?usp=sharing"",""เชียงใหม่!J150"")+IMPORTRANGE(""https://docs.google.com/spreadsheets/d/1W6MnUbDkMi6xHnHko_XkFDO9kkuL6Wqyc-6OCDFjW9I/e"&amp;"dit?usp=sharing"",""ตาก!J150"")+IMPORTRANGE(""https://docs.google.com/spreadsheets/d/1IQAWArduLkta9LpYo4a_ULsyqdta6-6aDDiwpUnQT6c/edit?usp=sharing"",""นครสวรรค์!J150"")+IMPORTRANGE(""https://docs.google.com/spreadsheets/d/10s13Sk5xrltsiR-Zkbmk5DwIaDIKO8Xl"&amp;"bJAfqyT7Gvg/edit?usp=sharing"",""น่าน!J150"")+IMPORTRANGE(""https://docs.google.com/spreadsheets/d/1uu4nAn4Dbi1XREnLKKotUANlKXa7yCgRcgq8HEzQYW8/edit?usp=sharing"",""พะเยา!J150"")+IMPORTRANGE(""https://docs.google.com/spreadsheets/d/1xfJKIQxVOaPDIICqsflNlL"&amp;"u3JacTDk1FP9RH4phX7mI/edit?usp=sharing"",""พิจิตร!J150"")+IMPORTRANGE(""https://docs.google.com/spreadsheets/d/1JtRfZkJMHtEhI5RdRHxYUG4FIZHqKDpNyIuN7A1Q0_k/edit?usp=sharing"",""พิษณุโลก!J150"")+IMPORTRANGE(""https://docs.google.com/spreadsheets/d/1xlcVZWU"&amp;"Nn6SuWm0c307h32SiGkd9BaeQWlAktfD3KO8/edit?usp=sharing"",""เพชรบูรณ์!J150"")+IMPORTRANGE(""https://docs.google.com/spreadsheets/d/1lOVebEIsI9qjGXl6EX66luk7wiuP2tBaryw-wKvv4e0/edit?usp=sharing"",""แพร่!J150"")+IMPORTRANGE(""https://docs.google.com/spreadshe"&amp;"ets/d/1dQrvX0vEcN7Gu0fnZ0B5S90AeR19zth4XlExFBeExMY/edit?usp=sharing"",""แม่ฮ่องสอน!J150"")+IMPORTRANGE(""https://docs.google.com/spreadsheets/d/1DY4XTNNwjluuxqdfdn6qvOSlMRrZqUtmYcZR0ttFiG4/edit?usp=sharing"",""ลำปาง!J150"")+IMPORTRANGE(""https://docs.goog"&amp;"le.com/spreadsheets/d/1ICwG78r0OFT8biBlxnBF8r7she7gNSzOvJ958PWT09c/edit?usp=sharing"",""ลำพูน!J150"")+IMPORTRANGE(""https://docs.google.com/spreadsheets/d/1B0f2xJpZUC6Z0xXnqKlZtEPzsf6L84eP1r1Q15seqRM/edit?usp=sharing"",""สุโขทัย!J150"")+IMPORTRANGE(""http"&amp;"s://docs.google.com/spreadsheets/d/1v0b9pFQCsKUVExMei7AgY2yQkdeNQvtOssygGsXbiKo/edit?usp=sharing"",""อุตรดิตถ์!J150"")+IMPORTRANGE(""https://docs.google.com/spreadsheets/d/1UsNK1e-WWiCo2PvGqdNfdme4m17_Ezd3J69EeeiQPD0/edit?usp=sharing"",""อุทัยธานี!J150"")"),74)</f>
        <v>74</v>
      </c>
      <c r="K150" s="46">
        <f t="shared" ref="K150:K154" ca="1" si="123">IF(I150&gt;0,J150*100/I150,0)</f>
        <v>49.333333333333336</v>
      </c>
      <c r="L150" s="45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66">
        <f ca="1">IFERROR(__xludf.DUMMYFUNCTION("IMPORTRANGE(""https://docs.google.com/spreadsheets/d/1jTcq05yEiRwXcBMLjiodW9e4biSGYWAHcDj22rKWQ3s/edit?usp=sharing"",""กำแพงเพชร!I151"")+IMPORTRANGE(""https://docs.google.com/spreadsheets/d/1KS0zmDSZPk8KnTAbGN-Xk6MtX1YRZD0ldgdt20K4CRk/edit?usp=sharing"","&amp;"""เชียงราย!I151"")+IMPORTRANGE(""https://docs.google.com/spreadsheets/d/1rEDxBtusbi64tE0zunoIbsTVV16HeL0oJ6trHQeQ7K8/edit?usp=sharing"",""เชียงใหม่!I151"")+IMPORTRANGE(""https://docs.google.com/spreadsheets/d/1W6MnUbDkMi6xHnHko_XkFDO9kkuL6Wqyc-6OCDFjW9I/e"&amp;"dit?usp=sharing"",""ตาก!I151"")+IMPORTRANGE(""https://docs.google.com/spreadsheets/d/1IQAWArduLkta9LpYo4a_ULsyqdta6-6aDDiwpUnQT6c/edit?usp=sharing"",""นครสวรรค์!I151"")+IMPORTRANGE(""https://docs.google.com/spreadsheets/d/10s13Sk5xrltsiR-Zkbmk5DwIaDIKO8Xl"&amp;"bJAfqyT7Gvg/edit?usp=sharing"",""น่าน!I151"")+IMPORTRANGE(""https://docs.google.com/spreadsheets/d/1uu4nAn4Dbi1XREnLKKotUANlKXa7yCgRcgq8HEzQYW8/edit?usp=sharing"",""พะเยา!I151"")+IMPORTRANGE(""https://docs.google.com/spreadsheets/d/1xfJKIQxVOaPDIICqsflNlL"&amp;"u3JacTDk1FP9RH4phX7mI/edit?usp=sharing"",""พิจิตร!I151"")+IMPORTRANGE(""https://docs.google.com/spreadsheets/d/1JtRfZkJMHtEhI5RdRHxYUG4FIZHqKDpNyIuN7A1Q0_k/edit?usp=sharing"",""พิษณุโลก!I151"")+IMPORTRANGE(""https://docs.google.com/spreadsheets/d/1xlcVZWU"&amp;"Nn6SuWm0c307h32SiGkd9BaeQWlAktfD3KO8/edit?usp=sharing"",""เพชรบูรณ์!I151"")+IMPORTRANGE(""https://docs.google.com/spreadsheets/d/1lOVebEIsI9qjGXl6EX66luk7wiuP2tBaryw-wKvv4e0/edit?usp=sharing"",""แพร่!I151"")+IMPORTRANGE(""https://docs.google.com/spreadshe"&amp;"ets/d/1dQrvX0vEcN7Gu0fnZ0B5S90AeR19zth4XlExFBeExMY/edit?usp=sharing"",""แม่ฮ่องสอน!I151"")+IMPORTRANGE(""https://docs.google.com/spreadsheets/d/1DY4XTNNwjluuxqdfdn6qvOSlMRrZqUtmYcZR0ttFiG4/edit?usp=sharing"",""ลำปาง!I151"")+IMPORTRANGE(""https://docs.goog"&amp;"le.com/spreadsheets/d/1ICwG78r0OFT8biBlxnBF8r7she7gNSzOvJ958PWT09c/edit?usp=sharing"",""ลำพูน!I151"")+IMPORTRANGE(""https://docs.google.com/spreadsheets/d/1B0f2xJpZUC6Z0xXnqKlZtEPzsf6L84eP1r1Q15seqRM/edit?usp=sharing"",""สุโขทัย!I151"")+IMPORTRANGE(""http"&amp;"s://docs.google.com/spreadsheets/d/1v0b9pFQCsKUVExMei7AgY2yQkdeNQvtOssygGsXbiKo/edit?usp=sharing"",""อุตรดิตถ์!I151"")+IMPORTRANGE(""https://docs.google.com/spreadsheets/d/1UsNK1e-WWiCo2PvGqdNfdme4m17_Ezd3J69EeeiQPD0/edit?usp=sharing"",""อุทัยธานี!I151"")"),15)</f>
        <v>15</v>
      </c>
      <c r="J151" s="166">
        <f ca="1">IFERROR(__xludf.DUMMYFUNCTION("IMPORTRANGE(""https://docs.google.com/spreadsheets/d/1jTcq05yEiRwXcBMLjiodW9e4biSGYWAHcDj22rKWQ3s/edit?usp=sharing"",""กำแพงเพชร!J151"")+IMPORTRANGE(""https://docs.google.com/spreadsheets/d/1KS0zmDSZPk8KnTAbGN-Xk6MtX1YRZD0ldgdt20K4CRk/edit?usp=sharing"","&amp;"""เชียงราย!J151"")+IMPORTRANGE(""https://docs.google.com/spreadsheets/d/1rEDxBtusbi64tE0zunoIbsTVV16HeL0oJ6trHQeQ7K8/edit?usp=sharing"",""เชียงใหม่!J151"")+IMPORTRANGE(""https://docs.google.com/spreadsheets/d/1W6MnUbDkMi6xHnHko_XkFDO9kkuL6Wqyc-6OCDFjW9I/e"&amp;"dit?usp=sharing"",""ตาก!J151"")+IMPORTRANGE(""https://docs.google.com/spreadsheets/d/1IQAWArduLkta9LpYo4a_ULsyqdta6-6aDDiwpUnQT6c/edit?usp=sharing"",""นครสวรรค์!J151"")+IMPORTRANGE(""https://docs.google.com/spreadsheets/d/10s13Sk5xrltsiR-Zkbmk5DwIaDIKO8Xl"&amp;"bJAfqyT7Gvg/edit?usp=sharing"",""น่าน!J151"")+IMPORTRANGE(""https://docs.google.com/spreadsheets/d/1uu4nAn4Dbi1XREnLKKotUANlKXa7yCgRcgq8HEzQYW8/edit?usp=sharing"",""พะเยา!J151"")+IMPORTRANGE(""https://docs.google.com/spreadsheets/d/1xfJKIQxVOaPDIICqsflNlL"&amp;"u3JacTDk1FP9RH4phX7mI/edit?usp=sharing"",""พิจิตร!J151"")+IMPORTRANGE(""https://docs.google.com/spreadsheets/d/1JtRfZkJMHtEhI5RdRHxYUG4FIZHqKDpNyIuN7A1Q0_k/edit?usp=sharing"",""พิษณุโลก!J151"")+IMPORTRANGE(""https://docs.google.com/spreadsheets/d/1xlcVZWU"&amp;"Nn6SuWm0c307h32SiGkd9BaeQWlAktfD3KO8/edit?usp=sharing"",""เพชรบูรณ์!J151"")+IMPORTRANGE(""https://docs.google.com/spreadsheets/d/1lOVebEIsI9qjGXl6EX66luk7wiuP2tBaryw-wKvv4e0/edit?usp=sharing"",""แพร่!J151"")+IMPORTRANGE(""https://docs.google.com/spreadshe"&amp;"ets/d/1dQrvX0vEcN7Gu0fnZ0B5S90AeR19zth4XlExFBeExMY/edit?usp=sharing"",""แม่ฮ่องสอน!J151"")+IMPORTRANGE(""https://docs.google.com/spreadsheets/d/1DY4XTNNwjluuxqdfdn6qvOSlMRrZqUtmYcZR0ttFiG4/edit?usp=sharing"",""ลำปาง!J151"")+IMPORTRANGE(""https://docs.goog"&amp;"le.com/spreadsheets/d/1ICwG78r0OFT8biBlxnBF8r7she7gNSzOvJ958PWT09c/edit?usp=sharing"",""ลำพูน!J151"")+IMPORTRANGE(""https://docs.google.com/spreadsheets/d/1B0f2xJpZUC6Z0xXnqKlZtEPzsf6L84eP1r1Q15seqRM/edit?usp=sharing"",""สุโขทัย!J151"")+IMPORTRANGE(""http"&amp;"s://docs.google.com/spreadsheets/d/1v0b9pFQCsKUVExMei7AgY2yQkdeNQvtOssygGsXbiKo/edit?usp=sharing"",""อุตรดิตถ์!J151"")+IMPORTRANGE(""https://docs.google.com/spreadsheets/d/1UsNK1e-WWiCo2PvGqdNfdme4m17_Ezd3J69EeeiQPD0/edit?usp=sharing"",""อุทัยธานี!J151"")"),7)</f>
        <v>7</v>
      </c>
      <c r="K151" s="46">
        <f t="shared" ca="1" si="123"/>
        <v>46.666666666666664</v>
      </c>
      <c r="L151" s="45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66">
        <f ca="1">IFERROR(__xludf.DUMMYFUNCTION("IMPORTRANGE(""https://docs.google.com/spreadsheets/d/1jTcq05yEiRwXcBMLjiodW9e4biSGYWAHcDj22rKWQ3s/edit?usp=sharing"",""กำแพงเพชร!I152"")+IMPORTRANGE(""https://docs.google.com/spreadsheets/d/1KS0zmDSZPk8KnTAbGN-Xk6MtX1YRZD0ldgdt20K4CRk/edit?usp=sharing"","&amp;"""เชียงราย!I152"")+IMPORTRANGE(""https://docs.google.com/spreadsheets/d/1rEDxBtusbi64tE0zunoIbsTVV16HeL0oJ6trHQeQ7K8/edit?usp=sharing"",""เชียงใหม่!I152"")+IMPORTRANGE(""https://docs.google.com/spreadsheets/d/1W6MnUbDkMi6xHnHko_XkFDO9kkuL6Wqyc-6OCDFjW9I/e"&amp;"dit?usp=sharing"",""ตาก!I152"")+IMPORTRANGE(""https://docs.google.com/spreadsheets/d/1IQAWArduLkta9LpYo4a_ULsyqdta6-6aDDiwpUnQT6c/edit?usp=sharing"",""นครสวรรค์!I152"")+IMPORTRANGE(""https://docs.google.com/spreadsheets/d/10s13Sk5xrltsiR-Zkbmk5DwIaDIKO8Xl"&amp;"bJAfqyT7Gvg/edit?usp=sharing"",""น่าน!I152"")+IMPORTRANGE(""https://docs.google.com/spreadsheets/d/1uu4nAn4Dbi1XREnLKKotUANlKXa7yCgRcgq8HEzQYW8/edit?usp=sharing"",""พะเยา!I152"")+IMPORTRANGE(""https://docs.google.com/spreadsheets/d/1xfJKIQxVOaPDIICqsflNlL"&amp;"u3JacTDk1FP9RH4phX7mI/edit?usp=sharing"",""พิจิตร!I152"")+IMPORTRANGE(""https://docs.google.com/spreadsheets/d/1JtRfZkJMHtEhI5RdRHxYUG4FIZHqKDpNyIuN7A1Q0_k/edit?usp=sharing"",""พิษณุโลก!I152"")+IMPORTRANGE(""https://docs.google.com/spreadsheets/d/1xlcVZWU"&amp;"Nn6SuWm0c307h32SiGkd9BaeQWlAktfD3KO8/edit?usp=sharing"",""เพชรบูรณ์!I152"")+IMPORTRANGE(""https://docs.google.com/spreadsheets/d/1lOVebEIsI9qjGXl6EX66luk7wiuP2tBaryw-wKvv4e0/edit?usp=sharing"",""แพร่!I152"")+IMPORTRANGE(""https://docs.google.com/spreadshe"&amp;"ets/d/1dQrvX0vEcN7Gu0fnZ0B5S90AeR19zth4XlExFBeExMY/edit?usp=sharing"",""แม่ฮ่องสอน!I152"")+IMPORTRANGE(""https://docs.google.com/spreadsheets/d/1DY4XTNNwjluuxqdfdn6qvOSlMRrZqUtmYcZR0ttFiG4/edit?usp=sharing"",""ลำปาง!I152"")+IMPORTRANGE(""https://docs.goog"&amp;"le.com/spreadsheets/d/1ICwG78r0OFT8biBlxnBF8r7she7gNSzOvJ958PWT09c/edit?usp=sharing"",""ลำพูน!I152"")+IMPORTRANGE(""https://docs.google.com/spreadsheets/d/1B0f2xJpZUC6Z0xXnqKlZtEPzsf6L84eP1r1Q15seqRM/edit?usp=sharing"",""สุโขทัย!I152"")+IMPORTRANGE(""http"&amp;"s://docs.google.com/spreadsheets/d/1v0b9pFQCsKUVExMei7AgY2yQkdeNQvtOssygGsXbiKo/edit?usp=sharing"",""อุตรดิตถ์!I152"")+IMPORTRANGE(""https://docs.google.com/spreadsheets/d/1UsNK1e-WWiCo2PvGqdNfdme4m17_Ezd3J69EeeiQPD0/edit?usp=sharing"",""อุทัยธานี!I152"")"),400)</f>
        <v>400</v>
      </c>
      <c r="J152" s="166">
        <f ca="1">IFERROR(__xludf.DUMMYFUNCTION("IMPORTRANGE(""https://docs.google.com/spreadsheets/d/1jTcq05yEiRwXcBMLjiodW9e4biSGYWAHcDj22rKWQ3s/edit?usp=sharing"",""กำแพงเพชร!J152"")+IMPORTRANGE(""https://docs.google.com/spreadsheets/d/1KS0zmDSZPk8KnTAbGN-Xk6MtX1YRZD0ldgdt20K4CRk/edit?usp=sharing"","&amp;"""เชียงราย!J152"")+IMPORTRANGE(""https://docs.google.com/spreadsheets/d/1rEDxBtusbi64tE0zunoIbsTVV16HeL0oJ6trHQeQ7K8/edit?usp=sharing"",""เชียงใหม่!J152"")+IMPORTRANGE(""https://docs.google.com/spreadsheets/d/1W6MnUbDkMi6xHnHko_XkFDO9kkuL6Wqyc-6OCDFjW9I/e"&amp;"dit?usp=sharing"",""ตาก!J152"")+IMPORTRANGE(""https://docs.google.com/spreadsheets/d/1IQAWArduLkta9LpYo4a_ULsyqdta6-6aDDiwpUnQT6c/edit?usp=sharing"",""นครสวรรค์!J152"")+IMPORTRANGE(""https://docs.google.com/spreadsheets/d/10s13Sk5xrltsiR-Zkbmk5DwIaDIKO8Xl"&amp;"bJAfqyT7Gvg/edit?usp=sharing"",""น่าน!J152"")+IMPORTRANGE(""https://docs.google.com/spreadsheets/d/1uu4nAn4Dbi1XREnLKKotUANlKXa7yCgRcgq8HEzQYW8/edit?usp=sharing"",""พะเยา!J152"")+IMPORTRANGE(""https://docs.google.com/spreadsheets/d/1xfJKIQxVOaPDIICqsflNlL"&amp;"u3JacTDk1FP9RH4phX7mI/edit?usp=sharing"",""พิจิตร!J152"")+IMPORTRANGE(""https://docs.google.com/spreadsheets/d/1JtRfZkJMHtEhI5RdRHxYUG4FIZHqKDpNyIuN7A1Q0_k/edit?usp=sharing"",""พิษณุโลก!J152"")+IMPORTRANGE(""https://docs.google.com/spreadsheets/d/1xlcVZWU"&amp;"Nn6SuWm0c307h32SiGkd9BaeQWlAktfD3KO8/edit?usp=sharing"",""เพชรบูรณ์!J152"")+IMPORTRANGE(""https://docs.google.com/spreadsheets/d/1lOVebEIsI9qjGXl6EX66luk7wiuP2tBaryw-wKvv4e0/edit?usp=sharing"",""แพร่!J152"")+IMPORTRANGE(""https://docs.google.com/spreadshe"&amp;"ets/d/1dQrvX0vEcN7Gu0fnZ0B5S90AeR19zth4XlExFBeExMY/edit?usp=sharing"",""แม่ฮ่องสอน!J152"")+IMPORTRANGE(""https://docs.google.com/spreadsheets/d/1DY4XTNNwjluuxqdfdn6qvOSlMRrZqUtmYcZR0ttFiG4/edit?usp=sharing"",""ลำปาง!J152"")+IMPORTRANGE(""https://docs.goog"&amp;"le.com/spreadsheets/d/1ICwG78r0OFT8biBlxnBF8r7she7gNSzOvJ958PWT09c/edit?usp=sharing"",""ลำพูน!J152"")+IMPORTRANGE(""https://docs.google.com/spreadsheets/d/1B0f2xJpZUC6Z0xXnqKlZtEPzsf6L84eP1r1Q15seqRM/edit?usp=sharing"",""สุโขทัย!J152"")+IMPORTRANGE(""http"&amp;"s://docs.google.com/spreadsheets/d/1v0b9pFQCsKUVExMei7AgY2yQkdeNQvtOssygGsXbiKo/edit?usp=sharing"",""อุตรดิตถ์!J152"")+IMPORTRANGE(""https://docs.google.com/spreadsheets/d/1UsNK1e-WWiCo2PvGqdNfdme4m17_Ezd3J69EeeiQPD0/edit?usp=sharing"",""อุทัยธานี!J152"")"),234)</f>
        <v>234</v>
      </c>
      <c r="K152" s="46">
        <f t="shared" ca="1" si="123"/>
        <v>58.5</v>
      </c>
      <c r="L152" s="45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66">
        <f ca="1">IFERROR(__xludf.DUMMYFUNCTION("IMPORTRANGE(""https://docs.google.com/spreadsheets/d/1jTcq05yEiRwXcBMLjiodW9e4biSGYWAHcDj22rKWQ3s/edit?usp=sharing"",""กำแพงเพชร!I153"")+IMPORTRANGE(""https://docs.google.com/spreadsheets/d/1KS0zmDSZPk8KnTAbGN-Xk6MtX1YRZD0ldgdt20K4CRk/edit?usp=sharing"","&amp;"""เชียงราย!I153"")+IMPORTRANGE(""https://docs.google.com/spreadsheets/d/1rEDxBtusbi64tE0zunoIbsTVV16HeL0oJ6trHQeQ7K8/edit?usp=sharing"",""เชียงใหม่!I153"")+IMPORTRANGE(""https://docs.google.com/spreadsheets/d/1W6MnUbDkMi6xHnHko_XkFDO9kkuL6Wqyc-6OCDFjW9I/e"&amp;"dit?usp=sharing"",""ตาก!I153"")+IMPORTRANGE(""https://docs.google.com/spreadsheets/d/1IQAWArduLkta9LpYo4a_ULsyqdta6-6aDDiwpUnQT6c/edit?usp=sharing"",""นครสวรรค์!I153"")+IMPORTRANGE(""https://docs.google.com/spreadsheets/d/10s13Sk5xrltsiR-Zkbmk5DwIaDIKO8Xl"&amp;"bJAfqyT7Gvg/edit?usp=sharing"",""น่าน!I153"")+IMPORTRANGE(""https://docs.google.com/spreadsheets/d/1uu4nAn4Dbi1XREnLKKotUANlKXa7yCgRcgq8HEzQYW8/edit?usp=sharing"",""พะเยา!I153"")+IMPORTRANGE(""https://docs.google.com/spreadsheets/d/1xfJKIQxVOaPDIICqsflNlL"&amp;"u3JacTDk1FP9RH4phX7mI/edit?usp=sharing"",""พิจิตร!I153"")+IMPORTRANGE(""https://docs.google.com/spreadsheets/d/1JtRfZkJMHtEhI5RdRHxYUG4FIZHqKDpNyIuN7A1Q0_k/edit?usp=sharing"",""พิษณุโลก!I153"")+IMPORTRANGE(""https://docs.google.com/spreadsheets/d/1xlcVZWU"&amp;"Nn6SuWm0c307h32SiGkd9BaeQWlAktfD3KO8/edit?usp=sharing"",""เพชรบูรณ์!I153"")+IMPORTRANGE(""https://docs.google.com/spreadsheets/d/1lOVebEIsI9qjGXl6EX66luk7wiuP2tBaryw-wKvv4e0/edit?usp=sharing"",""แพร่!I153"")+IMPORTRANGE(""https://docs.google.com/spreadshe"&amp;"ets/d/1dQrvX0vEcN7Gu0fnZ0B5S90AeR19zth4XlExFBeExMY/edit?usp=sharing"",""แม่ฮ่องสอน!I153"")+IMPORTRANGE(""https://docs.google.com/spreadsheets/d/1DY4XTNNwjluuxqdfdn6qvOSlMRrZqUtmYcZR0ttFiG4/edit?usp=sharing"",""ลำปาง!I153"")+IMPORTRANGE(""https://docs.goog"&amp;"le.com/spreadsheets/d/1ICwG78r0OFT8biBlxnBF8r7she7gNSzOvJ958PWT09c/edit?usp=sharing"",""ลำพูน!I153"")+IMPORTRANGE(""https://docs.google.com/spreadsheets/d/1B0f2xJpZUC6Z0xXnqKlZtEPzsf6L84eP1r1Q15seqRM/edit?usp=sharing"",""สุโขทัย!I153"")+IMPORTRANGE(""http"&amp;"s://docs.google.com/spreadsheets/d/1v0b9pFQCsKUVExMei7AgY2yQkdeNQvtOssygGsXbiKo/edit?usp=sharing"",""อุตรดิตถ์!I153"")+IMPORTRANGE(""https://docs.google.com/spreadsheets/d/1UsNK1e-WWiCo2PvGqdNfdme4m17_Ezd3J69EeeiQPD0/edit?usp=sharing"",""อุทัยธานี!I153"")"),40)</f>
        <v>40</v>
      </c>
      <c r="J153" s="166">
        <f ca="1">IFERROR(__xludf.DUMMYFUNCTION("IMPORTRANGE(""https://docs.google.com/spreadsheets/d/1jTcq05yEiRwXcBMLjiodW9e4biSGYWAHcDj22rKWQ3s/edit?usp=sharing"",""กำแพงเพชร!J153"")+IMPORTRANGE(""https://docs.google.com/spreadsheets/d/1KS0zmDSZPk8KnTAbGN-Xk6MtX1YRZD0ldgdt20K4CRk/edit?usp=sharing"","&amp;"""เชียงราย!J153"")+IMPORTRANGE(""https://docs.google.com/spreadsheets/d/1rEDxBtusbi64tE0zunoIbsTVV16HeL0oJ6trHQeQ7K8/edit?usp=sharing"",""เชียงใหม่!J153"")+IMPORTRANGE(""https://docs.google.com/spreadsheets/d/1W6MnUbDkMi6xHnHko_XkFDO9kkuL6Wqyc-6OCDFjW9I/e"&amp;"dit?usp=sharing"",""ตาก!J153"")+IMPORTRANGE(""https://docs.google.com/spreadsheets/d/1IQAWArduLkta9LpYo4a_ULsyqdta6-6aDDiwpUnQT6c/edit?usp=sharing"",""นครสวรรค์!J153"")+IMPORTRANGE(""https://docs.google.com/spreadsheets/d/10s13Sk5xrltsiR-Zkbmk5DwIaDIKO8Xl"&amp;"bJAfqyT7Gvg/edit?usp=sharing"",""น่าน!J153"")+IMPORTRANGE(""https://docs.google.com/spreadsheets/d/1uu4nAn4Dbi1XREnLKKotUANlKXa7yCgRcgq8HEzQYW8/edit?usp=sharing"",""พะเยา!J153"")+IMPORTRANGE(""https://docs.google.com/spreadsheets/d/1xfJKIQxVOaPDIICqsflNlL"&amp;"u3JacTDk1FP9RH4phX7mI/edit?usp=sharing"",""พิจิตร!J153"")+IMPORTRANGE(""https://docs.google.com/spreadsheets/d/1JtRfZkJMHtEhI5RdRHxYUG4FIZHqKDpNyIuN7A1Q0_k/edit?usp=sharing"",""พิษณุโลก!J153"")+IMPORTRANGE(""https://docs.google.com/spreadsheets/d/1xlcVZWU"&amp;"Nn6SuWm0c307h32SiGkd9BaeQWlAktfD3KO8/edit?usp=sharing"",""เพชรบูรณ์!J153"")+IMPORTRANGE(""https://docs.google.com/spreadsheets/d/1lOVebEIsI9qjGXl6EX66luk7wiuP2tBaryw-wKvv4e0/edit?usp=sharing"",""แพร่!J153"")+IMPORTRANGE(""https://docs.google.com/spreadshe"&amp;"ets/d/1dQrvX0vEcN7Gu0fnZ0B5S90AeR19zth4XlExFBeExMY/edit?usp=sharing"",""แม่ฮ่องสอน!J153"")+IMPORTRANGE(""https://docs.google.com/spreadsheets/d/1DY4XTNNwjluuxqdfdn6qvOSlMRrZqUtmYcZR0ttFiG4/edit?usp=sharing"",""ลำปาง!J153"")+IMPORTRANGE(""https://docs.goog"&amp;"le.com/spreadsheets/d/1ICwG78r0OFT8biBlxnBF8r7she7gNSzOvJ958PWT09c/edit?usp=sharing"",""ลำพูน!J153"")+IMPORTRANGE(""https://docs.google.com/spreadsheets/d/1B0f2xJpZUC6Z0xXnqKlZtEPzsf6L84eP1r1Q15seqRM/edit?usp=sharing"",""สุโขทัย!J153"")+IMPORTRANGE(""http"&amp;"s://docs.google.com/spreadsheets/d/1v0b9pFQCsKUVExMei7AgY2yQkdeNQvtOssygGsXbiKo/edit?usp=sharing"",""อุตรดิตถ์!J153"")+IMPORTRANGE(""https://docs.google.com/spreadsheets/d/1UsNK1e-WWiCo2PvGqdNfdme4m17_Ezd3J69EeeiQPD0/edit?usp=sharing"",""อุทัยธานี!J153"")"),19)</f>
        <v>19</v>
      </c>
      <c r="K153" s="46">
        <f t="shared" ca="1" si="123"/>
        <v>47.5</v>
      </c>
      <c r="L153" s="45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66">
        <f ca="1">IFERROR(__xludf.DUMMYFUNCTION("IMPORTRANGE(""https://docs.google.com/spreadsheets/d/1jTcq05yEiRwXcBMLjiodW9e4biSGYWAHcDj22rKWQ3s/edit?usp=sharing"",""กำแพงเพชร!I154"")+IMPORTRANGE(""https://docs.google.com/spreadsheets/d/1KS0zmDSZPk8KnTAbGN-Xk6MtX1YRZD0ldgdt20K4CRk/edit?usp=sharing"","&amp;"""เชียงราย!I154"")+IMPORTRANGE(""https://docs.google.com/spreadsheets/d/1rEDxBtusbi64tE0zunoIbsTVV16HeL0oJ6trHQeQ7K8/edit?usp=sharing"",""เชียงใหม่!I154"")+IMPORTRANGE(""https://docs.google.com/spreadsheets/d/1W6MnUbDkMi6xHnHko_XkFDO9kkuL6Wqyc-6OCDFjW9I/e"&amp;"dit?usp=sharing"",""ตาก!I154"")+IMPORTRANGE(""https://docs.google.com/spreadsheets/d/1IQAWArduLkta9LpYo4a_ULsyqdta6-6aDDiwpUnQT6c/edit?usp=sharing"",""นครสวรรค์!I154"")+IMPORTRANGE(""https://docs.google.com/spreadsheets/d/10s13Sk5xrltsiR-Zkbmk5DwIaDIKO8Xl"&amp;"bJAfqyT7Gvg/edit?usp=sharing"",""น่าน!I154"")+IMPORTRANGE(""https://docs.google.com/spreadsheets/d/1uu4nAn4Dbi1XREnLKKotUANlKXa7yCgRcgq8HEzQYW8/edit?usp=sharing"",""พะเยา!I154"")+IMPORTRANGE(""https://docs.google.com/spreadsheets/d/1xfJKIQxVOaPDIICqsflNlL"&amp;"u3JacTDk1FP9RH4phX7mI/edit?usp=sharing"",""พิจิตร!I154"")+IMPORTRANGE(""https://docs.google.com/spreadsheets/d/1JtRfZkJMHtEhI5RdRHxYUG4FIZHqKDpNyIuN7A1Q0_k/edit?usp=sharing"",""พิษณุโลก!I154"")+IMPORTRANGE(""https://docs.google.com/spreadsheets/d/1xlcVZWU"&amp;"Nn6SuWm0c307h32SiGkd9BaeQWlAktfD3KO8/edit?usp=sharing"",""เพชรบูรณ์!I154"")+IMPORTRANGE(""https://docs.google.com/spreadsheets/d/1lOVebEIsI9qjGXl6EX66luk7wiuP2tBaryw-wKvv4e0/edit?usp=sharing"",""แพร่!I154"")+IMPORTRANGE(""https://docs.google.com/spreadshe"&amp;"ets/d/1dQrvX0vEcN7Gu0fnZ0B5S90AeR19zth4XlExFBeExMY/edit?usp=sharing"",""แม่ฮ่องสอน!I154"")+IMPORTRANGE(""https://docs.google.com/spreadsheets/d/1DY4XTNNwjluuxqdfdn6qvOSlMRrZqUtmYcZR0ttFiG4/edit?usp=sharing"",""ลำปาง!I154"")+IMPORTRANGE(""https://docs.goog"&amp;"le.com/spreadsheets/d/1ICwG78r0OFT8biBlxnBF8r7she7gNSzOvJ958PWT09c/edit?usp=sharing"",""ลำพูน!I154"")+IMPORTRANGE(""https://docs.google.com/spreadsheets/d/1B0f2xJpZUC6Z0xXnqKlZtEPzsf6L84eP1r1Q15seqRM/edit?usp=sharing"",""สุโขทัย!I154"")+IMPORTRANGE(""http"&amp;"s://docs.google.com/spreadsheets/d/1v0b9pFQCsKUVExMei7AgY2yQkdeNQvtOssygGsXbiKo/edit?usp=sharing"",""อุตรดิตถ์!I154"")+IMPORTRANGE(""https://docs.google.com/spreadsheets/d/1UsNK1e-WWiCo2PvGqdNfdme4m17_Ezd3J69EeeiQPD0/edit?usp=sharing"",""อุทัยธานี!I154"")"),15)</f>
        <v>15</v>
      </c>
      <c r="J154" s="166">
        <f ca="1">IFERROR(__xludf.DUMMYFUNCTION("IMPORTRANGE(""https://docs.google.com/spreadsheets/d/1jTcq05yEiRwXcBMLjiodW9e4biSGYWAHcDj22rKWQ3s/edit?usp=sharing"",""กำแพงเพชร!J154"")+IMPORTRANGE(""https://docs.google.com/spreadsheets/d/1KS0zmDSZPk8KnTAbGN-Xk6MtX1YRZD0ldgdt20K4CRk/edit?usp=sharing"","&amp;"""เชียงราย!J154"")+IMPORTRANGE(""https://docs.google.com/spreadsheets/d/1rEDxBtusbi64tE0zunoIbsTVV16HeL0oJ6trHQeQ7K8/edit?usp=sharing"",""เชียงใหม่!J154"")+IMPORTRANGE(""https://docs.google.com/spreadsheets/d/1W6MnUbDkMi6xHnHko_XkFDO9kkuL6Wqyc-6OCDFjW9I/e"&amp;"dit?usp=sharing"",""ตาก!J154"")+IMPORTRANGE(""https://docs.google.com/spreadsheets/d/1IQAWArduLkta9LpYo4a_ULsyqdta6-6aDDiwpUnQT6c/edit?usp=sharing"",""นครสวรรค์!J154"")+IMPORTRANGE(""https://docs.google.com/spreadsheets/d/10s13Sk5xrltsiR-Zkbmk5DwIaDIKO8Xl"&amp;"bJAfqyT7Gvg/edit?usp=sharing"",""น่าน!J154"")+IMPORTRANGE(""https://docs.google.com/spreadsheets/d/1uu4nAn4Dbi1XREnLKKotUANlKXa7yCgRcgq8HEzQYW8/edit?usp=sharing"",""พะเยา!J154"")+IMPORTRANGE(""https://docs.google.com/spreadsheets/d/1xfJKIQxVOaPDIICqsflNlL"&amp;"u3JacTDk1FP9RH4phX7mI/edit?usp=sharing"",""พิจิตร!J154"")+IMPORTRANGE(""https://docs.google.com/spreadsheets/d/1JtRfZkJMHtEhI5RdRHxYUG4FIZHqKDpNyIuN7A1Q0_k/edit?usp=sharing"",""พิษณุโลก!J154"")+IMPORTRANGE(""https://docs.google.com/spreadsheets/d/1xlcVZWU"&amp;"Nn6SuWm0c307h32SiGkd9BaeQWlAktfD3KO8/edit?usp=sharing"",""เพชรบูรณ์!J154"")+IMPORTRANGE(""https://docs.google.com/spreadsheets/d/1lOVebEIsI9qjGXl6EX66luk7wiuP2tBaryw-wKvv4e0/edit?usp=sharing"",""แพร่!J154"")+IMPORTRANGE(""https://docs.google.com/spreadshe"&amp;"ets/d/1dQrvX0vEcN7Gu0fnZ0B5S90AeR19zth4XlExFBeExMY/edit?usp=sharing"",""แม่ฮ่องสอน!J154"")+IMPORTRANGE(""https://docs.google.com/spreadsheets/d/1DY4XTNNwjluuxqdfdn6qvOSlMRrZqUtmYcZR0ttFiG4/edit?usp=sharing"",""ลำปาง!J154"")+IMPORTRANGE(""https://docs.goog"&amp;"le.com/spreadsheets/d/1ICwG78r0OFT8biBlxnBF8r7she7gNSzOvJ958PWT09c/edit?usp=sharing"",""ลำพูน!J154"")+IMPORTRANGE(""https://docs.google.com/spreadsheets/d/1B0f2xJpZUC6Z0xXnqKlZtEPzsf6L84eP1r1Q15seqRM/edit?usp=sharing"",""สุโขทัย!J154"")+IMPORTRANGE(""http"&amp;"s://docs.google.com/spreadsheets/d/1v0b9pFQCsKUVExMei7AgY2yQkdeNQvtOssygGsXbiKo/edit?usp=sharing"",""อุตรดิตถ์!J154"")+IMPORTRANGE(""https://docs.google.com/spreadsheets/d/1UsNK1e-WWiCo2PvGqdNfdme4m17_Ezd3J69EeeiQPD0/edit?usp=sharing"",""อุทัยธานี!J154"")"),0)</f>
        <v>0</v>
      </c>
      <c r="K154" s="46">
        <f t="shared" ca="1" si="123"/>
        <v>0</v>
      </c>
      <c r="L154" s="45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127">
        <f ca="1">I167</f>
        <v>210</v>
      </c>
      <c r="J156" s="127">
        <f>J168</f>
        <v>0</v>
      </c>
      <c r="K156" s="34">
        <f ca="1">IF(I156&gt;0,J156*100/I156,0)</f>
        <v>0</v>
      </c>
      <c r="L156" s="33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129" t="s">
        <v>18</v>
      </c>
      <c r="D157" s="13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132">
        <f t="shared" ref="L157:N157" ca="1" si="124">L158+L159</f>
        <v>34500</v>
      </c>
      <c r="M157" s="132">
        <f t="shared" ca="1" si="124"/>
        <v>125776</v>
      </c>
      <c r="N157" s="132">
        <f t="shared" ca="1" si="124"/>
        <v>18237.27</v>
      </c>
      <c r="O157" s="132">
        <f t="shared" ref="O157:O165" ca="1" si="125">IF(L157&gt;0,N157*100/L157,0)</f>
        <v>52.861652173913043</v>
      </c>
      <c r="P157" s="132">
        <f t="shared" ref="P157:P165" ca="1" si="126">IF(M157&gt;0,N157*100/M157,0)</f>
        <v>14.499801233939703</v>
      </c>
      <c r="Q157" s="132">
        <f t="shared" ref="Q157:S157" ca="1" si="127">Q158+Q159</f>
        <v>0</v>
      </c>
      <c r="R157" s="132">
        <f t="shared" ca="1" si="127"/>
        <v>0</v>
      </c>
      <c r="S157" s="132">
        <f t="shared" ca="1" si="127"/>
        <v>0</v>
      </c>
      <c r="T157" s="132">
        <f t="shared" ref="T157:T165" ca="1" si="128">IF(Q157&gt;0,S157*100/Q157,0)</f>
        <v>0</v>
      </c>
      <c r="U157" s="132">
        <f t="shared" ref="U157:U165" ca="1" si="129">IF(R157&gt;0,S157*100/R157,0)</f>
        <v>0</v>
      </c>
    </row>
    <row r="158" spans="1:21" ht="18.75" x14ac:dyDescent="0.25">
      <c r="A158" s="128"/>
      <c r="B158" s="40"/>
      <c r="C158" s="40"/>
      <c r="D158" s="40"/>
      <c r="E158" s="47" t="s">
        <v>20</v>
      </c>
      <c r="F158" s="40"/>
      <c r="G158" s="42"/>
      <c r="H158" s="133" t="s">
        <v>14</v>
      </c>
      <c r="I158" s="44"/>
      <c r="J158" s="44"/>
      <c r="K158" s="45"/>
      <c r="L158" s="46">
        <f t="shared" ref="L158:N158" ca="1" si="130">L161+L164</f>
        <v>0</v>
      </c>
      <c r="M158" s="46">
        <f t="shared" ca="1" si="130"/>
        <v>0</v>
      </c>
      <c r="N158" s="46">
        <f t="shared" ca="1" si="130"/>
        <v>0</v>
      </c>
      <c r="O158" s="46">
        <f t="shared" ca="1" si="125"/>
        <v>0</v>
      </c>
      <c r="P158" s="46">
        <f t="shared" ca="1" si="126"/>
        <v>0</v>
      </c>
      <c r="Q158" s="48">
        <f t="shared" ref="Q158:S158" ca="1" si="131">Q161+Q164</f>
        <v>0</v>
      </c>
      <c r="R158" s="48">
        <f t="shared" ca="1" si="131"/>
        <v>0</v>
      </c>
      <c r="S158" s="48">
        <f t="shared" ca="1" si="131"/>
        <v>0</v>
      </c>
      <c r="T158" s="48">
        <f t="shared" ca="1" si="128"/>
        <v>0</v>
      </c>
      <c r="U158" s="48">
        <f t="shared" ca="1" si="129"/>
        <v>0</v>
      </c>
    </row>
    <row r="159" spans="1:21" ht="18.75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46">
        <f t="shared" ref="L159:N159" ca="1" si="132">L162+L165</f>
        <v>34500</v>
      </c>
      <c r="M159" s="46">
        <f t="shared" ca="1" si="132"/>
        <v>125776</v>
      </c>
      <c r="N159" s="46">
        <f t="shared" ca="1" si="132"/>
        <v>18237.27</v>
      </c>
      <c r="O159" s="46">
        <f t="shared" ca="1" si="125"/>
        <v>52.861652173913043</v>
      </c>
      <c r="P159" s="46">
        <f t="shared" ca="1" si="126"/>
        <v>14.499801233939703</v>
      </c>
      <c r="Q159" s="46">
        <f t="shared" ref="Q159:S159" ca="1" si="133">Q162+Q165</f>
        <v>0</v>
      </c>
      <c r="R159" s="46">
        <f t="shared" ca="1" si="133"/>
        <v>0</v>
      </c>
      <c r="S159" s="46">
        <f t="shared" ca="1" si="133"/>
        <v>0</v>
      </c>
      <c r="T159" s="46">
        <f t="shared" ca="1" si="128"/>
        <v>0</v>
      </c>
      <c r="U159" s="46">
        <f t="shared" ca="1" si="129"/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46">
        <f t="shared" ref="L160:N160" ca="1" si="134">L161+L162</f>
        <v>34500</v>
      </c>
      <c r="M160" s="46">
        <f t="shared" ca="1" si="134"/>
        <v>125776</v>
      </c>
      <c r="N160" s="46">
        <f t="shared" ca="1" si="134"/>
        <v>18237.27</v>
      </c>
      <c r="O160" s="46">
        <f t="shared" ca="1" si="125"/>
        <v>52.861652173913043</v>
      </c>
      <c r="P160" s="46">
        <f t="shared" ca="1" si="126"/>
        <v>14.499801233939703</v>
      </c>
      <c r="Q160" s="46">
        <f t="shared" ref="Q160:S160" ca="1" si="135">Q161+Q162</f>
        <v>0</v>
      </c>
      <c r="R160" s="46">
        <f t="shared" ca="1" si="135"/>
        <v>0</v>
      </c>
      <c r="S160" s="46">
        <f t="shared" ca="1" si="135"/>
        <v>0</v>
      </c>
      <c r="T160" s="46">
        <f t="shared" ca="1" si="128"/>
        <v>0</v>
      </c>
      <c r="U160" s="46">
        <f t="shared" ca="1" si="129"/>
        <v>0</v>
      </c>
    </row>
    <row r="161" spans="1:21" ht="18.75" x14ac:dyDescent="0.25">
      <c r="A161" s="128"/>
      <c r="B161" s="40"/>
      <c r="C161" s="40"/>
      <c r="D161" s="40"/>
      <c r="E161" s="47" t="s">
        <v>36</v>
      </c>
      <c r="F161" s="40"/>
      <c r="G161" s="42"/>
      <c r="H161" s="134" t="s">
        <v>14</v>
      </c>
      <c r="I161" s="135"/>
      <c r="J161" s="135"/>
      <c r="K161" s="136"/>
      <c r="L161" s="46">
        <f ca="1">IFERROR(__xludf.DUMMYFUNCTION("IMPORTRANGE(""https://docs.google.com/spreadsheets/d/1jTcq05yEiRwXcBMLjiodW9e4biSGYWAHcDj22rKWQ3s/edit?usp=sharing"",""กำแพงเพชร!L161"")+IMPORTRANGE(""https://docs.google.com/spreadsheets/d/1KS0zmDSZPk8KnTAbGN-Xk6MtX1YRZD0ldgdt20K4CRk/edit?usp=sharing"","&amp;"""เชียงราย!L161"")+IMPORTRANGE(""https://docs.google.com/spreadsheets/d/1rEDxBtusbi64tE0zunoIbsTVV16HeL0oJ6trHQeQ7K8/edit?usp=sharing"",""เชียงใหม่!L161"")+IMPORTRANGE(""https://docs.google.com/spreadsheets/d/1W6MnUbDkMi6xHnHko_XkFDO9kkuL6Wqyc-6OCDFjW9I/e"&amp;"dit?usp=sharing"",""ตาก!L161"")+IMPORTRANGE(""https://docs.google.com/spreadsheets/d/1IQAWArduLkta9LpYo4a_ULsyqdta6-6aDDiwpUnQT6c/edit?usp=sharing"",""นครสวรรค์!L161"")+IMPORTRANGE(""https://docs.google.com/spreadsheets/d/10s13Sk5xrltsiR-Zkbmk5DwIaDIKO8Xl"&amp;"bJAfqyT7Gvg/edit?usp=sharing"",""น่าน!L161"")+IMPORTRANGE(""https://docs.google.com/spreadsheets/d/1uu4nAn4Dbi1XREnLKKotUANlKXa7yCgRcgq8HEzQYW8/edit?usp=sharing"",""พะเยา!L161"")+IMPORTRANGE(""https://docs.google.com/spreadsheets/d/1xfJKIQxVOaPDIICqsflNlL"&amp;"u3JacTDk1FP9RH4phX7mI/edit?usp=sharing"",""พิจิตร!L161"")+IMPORTRANGE(""https://docs.google.com/spreadsheets/d/1JtRfZkJMHtEhI5RdRHxYUG4FIZHqKDpNyIuN7A1Q0_k/edit?usp=sharing"",""พิษณุโลก!L161"")+IMPORTRANGE(""https://docs.google.com/spreadsheets/d/1xlcVZWU"&amp;"Nn6SuWm0c307h32SiGkd9BaeQWlAktfD3KO8/edit?usp=sharing"",""เพชรบูรณ์!L161"")+IMPORTRANGE(""https://docs.google.com/spreadsheets/d/1lOVebEIsI9qjGXl6EX66luk7wiuP2tBaryw-wKvv4e0/edit?usp=sharing"",""แพร่!L161"")+IMPORTRANGE(""https://docs.google.com/spreadshe"&amp;"ets/d/1dQrvX0vEcN7Gu0fnZ0B5S90AeR19zth4XlExFBeExMY/edit?usp=sharing"",""แม่ฮ่องสอน!L161"")+IMPORTRANGE(""https://docs.google.com/spreadsheets/d/1DY4XTNNwjluuxqdfdn6qvOSlMRrZqUtmYcZR0ttFiG4/edit?usp=sharing"",""ลำปาง!L161"")+IMPORTRANGE(""https://docs.goog"&amp;"le.com/spreadsheets/d/1ICwG78r0OFT8biBlxnBF8r7she7gNSzOvJ958PWT09c/edit?usp=sharing"",""ลำพูน!L161"")+IMPORTRANGE(""https://docs.google.com/spreadsheets/d/1B0f2xJpZUC6Z0xXnqKlZtEPzsf6L84eP1r1Q15seqRM/edit?usp=sharing"",""สุโขทัย!L161"")+IMPORTRANGE(""http"&amp;"s://docs.google.com/spreadsheets/d/1v0b9pFQCsKUVExMei7AgY2yQkdeNQvtOssygGsXbiKo/edit?usp=sharing"",""อุตรดิตถ์!L161"")+IMPORTRANGE(""https://docs.google.com/spreadsheets/d/1UsNK1e-WWiCo2PvGqdNfdme4m17_Ezd3J69EeeiQPD0/edit?usp=sharing"",""อุทัยธานี!L161"")"),0)</f>
        <v>0</v>
      </c>
      <c r="M161" s="46">
        <f ca="1">IFERROR(__xludf.DUMMYFUNCTION("IMPORTRANGE(""https://docs.google.com/spreadsheets/d/1jTcq05yEiRwXcBMLjiodW9e4biSGYWAHcDj22rKWQ3s/edit?usp=sharing"",""กำแพงเพชร!M161"")+IMPORTRANGE(""https://docs.google.com/spreadsheets/d/1KS0zmDSZPk8KnTAbGN-Xk6MtX1YRZD0ldgdt20K4CRk/edit?usp=sharing"","&amp;"""เชียงราย!M161"")+IMPORTRANGE(""https://docs.google.com/spreadsheets/d/1rEDxBtusbi64tE0zunoIbsTVV16HeL0oJ6trHQeQ7K8/edit?usp=sharing"",""เชียงใหม่!M161"")+IMPORTRANGE(""https://docs.google.com/spreadsheets/d/1W6MnUbDkMi6xHnHko_XkFDO9kkuL6Wqyc-6OCDFjW9I/e"&amp;"dit?usp=sharing"",""ตาก!M161"")+IMPORTRANGE(""https://docs.google.com/spreadsheets/d/1IQAWArduLkta9LpYo4a_ULsyqdta6-6aDDiwpUnQT6c/edit?usp=sharing"",""นครสวรรค์!M161"")+IMPORTRANGE(""https://docs.google.com/spreadsheets/d/10s13Sk5xrltsiR-Zkbmk5DwIaDIKO8Xl"&amp;"bJAfqyT7Gvg/edit?usp=sharing"",""น่าน!M161"")+IMPORTRANGE(""https://docs.google.com/spreadsheets/d/1uu4nAn4Dbi1XREnLKKotUANlKXa7yCgRcgq8HEzQYW8/edit?usp=sharing"",""พะเยา!M161"")+IMPORTRANGE(""https://docs.google.com/spreadsheets/d/1xfJKIQxVOaPDIICqsflNlL"&amp;"u3JacTDk1FP9RH4phX7mI/edit?usp=sharing"",""พิจิตร!M161"")+IMPORTRANGE(""https://docs.google.com/spreadsheets/d/1JtRfZkJMHtEhI5RdRHxYUG4FIZHqKDpNyIuN7A1Q0_k/edit?usp=sharing"",""พิษณุโลก!M161"")+IMPORTRANGE(""https://docs.google.com/spreadsheets/d/1xlcVZWU"&amp;"Nn6SuWm0c307h32SiGkd9BaeQWlAktfD3KO8/edit?usp=sharing"",""เพชรบูรณ์!M161"")+IMPORTRANGE(""https://docs.google.com/spreadsheets/d/1lOVebEIsI9qjGXl6EX66luk7wiuP2tBaryw-wKvv4e0/edit?usp=sharing"",""แพร่!M161"")+IMPORTRANGE(""https://docs.google.com/spreadshe"&amp;"ets/d/1dQrvX0vEcN7Gu0fnZ0B5S90AeR19zth4XlExFBeExMY/edit?usp=sharing"",""แม่ฮ่องสอน!M161"")+IMPORTRANGE(""https://docs.google.com/spreadsheets/d/1DY4XTNNwjluuxqdfdn6qvOSlMRrZqUtmYcZR0ttFiG4/edit?usp=sharing"",""ลำปาง!M161"")+IMPORTRANGE(""https://docs.goog"&amp;"le.com/spreadsheets/d/1ICwG78r0OFT8biBlxnBF8r7she7gNSzOvJ958PWT09c/edit?usp=sharing"",""ลำพูน!M161"")+IMPORTRANGE(""https://docs.google.com/spreadsheets/d/1B0f2xJpZUC6Z0xXnqKlZtEPzsf6L84eP1r1Q15seqRM/edit?usp=sharing"",""สุโขทัย!M161"")+IMPORTRANGE(""http"&amp;"s://docs.google.com/spreadsheets/d/1v0b9pFQCsKUVExMei7AgY2yQkdeNQvtOssygGsXbiKo/edit?usp=sharing"",""อุตรดิตถ์!M161"")+IMPORTRANGE(""https://docs.google.com/spreadsheets/d/1UsNK1e-WWiCo2PvGqdNfdme4m17_Ezd3J69EeeiQPD0/edit?usp=sharing"",""อุทัยธานี!M161"")"),0)</f>
        <v>0</v>
      </c>
      <c r="N161" s="46">
        <f ca="1">IFERROR(__xludf.DUMMYFUNCTION("IMPORTRANGE(""https://docs.google.com/spreadsheets/d/1jTcq05yEiRwXcBMLjiodW9e4biSGYWAHcDj22rKWQ3s/edit?usp=sharing"",""กำแพงเพชร!N161"")+IMPORTRANGE(""https://docs.google.com/spreadsheets/d/1KS0zmDSZPk8KnTAbGN-Xk6MtX1YRZD0ldgdt20K4CRk/edit?usp=sharing"","&amp;"""เชียงราย!N161"")+IMPORTRANGE(""https://docs.google.com/spreadsheets/d/1rEDxBtusbi64tE0zunoIbsTVV16HeL0oJ6trHQeQ7K8/edit?usp=sharing"",""เชียงใหม่!N161"")+IMPORTRANGE(""https://docs.google.com/spreadsheets/d/1W6MnUbDkMi6xHnHko_XkFDO9kkuL6Wqyc-6OCDFjW9I/e"&amp;"dit?usp=sharing"",""ตาก!N161"")+IMPORTRANGE(""https://docs.google.com/spreadsheets/d/1IQAWArduLkta9LpYo4a_ULsyqdta6-6aDDiwpUnQT6c/edit?usp=sharing"",""นครสวรรค์!N161"")+IMPORTRANGE(""https://docs.google.com/spreadsheets/d/10s13Sk5xrltsiR-Zkbmk5DwIaDIKO8Xl"&amp;"bJAfqyT7Gvg/edit?usp=sharing"",""น่าน!N161"")+IMPORTRANGE(""https://docs.google.com/spreadsheets/d/1uu4nAn4Dbi1XREnLKKotUANlKXa7yCgRcgq8HEzQYW8/edit?usp=sharing"",""พะเยา!N161"")+IMPORTRANGE(""https://docs.google.com/spreadsheets/d/1xfJKIQxVOaPDIICqsflNlL"&amp;"u3JacTDk1FP9RH4phX7mI/edit?usp=sharing"",""พิจิตร!N161"")+IMPORTRANGE(""https://docs.google.com/spreadsheets/d/1JtRfZkJMHtEhI5RdRHxYUG4FIZHqKDpNyIuN7A1Q0_k/edit?usp=sharing"",""พิษณุโลก!N161"")+IMPORTRANGE(""https://docs.google.com/spreadsheets/d/1xlcVZWU"&amp;"Nn6SuWm0c307h32SiGkd9BaeQWlAktfD3KO8/edit?usp=sharing"",""เพชรบูรณ์!N161"")+IMPORTRANGE(""https://docs.google.com/spreadsheets/d/1lOVebEIsI9qjGXl6EX66luk7wiuP2tBaryw-wKvv4e0/edit?usp=sharing"",""แพร่!N161"")+IMPORTRANGE(""https://docs.google.com/spreadshe"&amp;"ets/d/1dQrvX0vEcN7Gu0fnZ0B5S90AeR19zth4XlExFBeExMY/edit?usp=sharing"",""แม่ฮ่องสอน!N161"")+IMPORTRANGE(""https://docs.google.com/spreadsheets/d/1DY4XTNNwjluuxqdfdn6qvOSlMRrZqUtmYcZR0ttFiG4/edit?usp=sharing"",""ลำปาง!N161"")+IMPORTRANGE(""https://docs.goog"&amp;"le.com/spreadsheets/d/1ICwG78r0OFT8biBlxnBF8r7she7gNSzOvJ958PWT09c/edit?usp=sharing"",""ลำพูน!N161"")+IMPORTRANGE(""https://docs.google.com/spreadsheets/d/1B0f2xJpZUC6Z0xXnqKlZtEPzsf6L84eP1r1Q15seqRM/edit?usp=sharing"",""สุโขทัย!N161"")+IMPORTRANGE(""http"&amp;"s://docs.google.com/spreadsheets/d/1v0b9pFQCsKUVExMei7AgY2yQkdeNQvtOssygGsXbiKo/edit?usp=sharing"",""อุตรดิตถ์!N161"")+IMPORTRANGE(""https://docs.google.com/spreadsheets/d/1UsNK1e-WWiCo2PvGqdNfdme4m17_Ezd3J69EeeiQPD0/edit?usp=sharing"",""อุทัยธานี!N161"")"),0)</f>
        <v>0</v>
      </c>
      <c r="O161" s="46">
        <f t="shared" ca="1" si="125"/>
        <v>0</v>
      </c>
      <c r="P161" s="46">
        <f t="shared" ca="1" si="126"/>
        <v>0</v>
      </c>
      <c r="Q161" s="48">
        <f ca="1">IFERROR(__xludf.DUMMYFUNCTION("IMPORTRANGE(""https://docs.google.com/spreadsheets/d/1jTcq05yEiRwXcBMLjiodW9e4biSGYWAHcDj22rKWQ3s/edit?usp=sharing"",""กำแพงเพชร!Q161"")+IMPORTRANGE(""https://docs.google.com/spreadsheets/d/1KS0zmDSZPk8KnTAbGN-Xk6MtX1YRZD0ldgdt20K4CRk/edit?usp=sharing"","&amp;"""เชียงราย!Q161"")+IMPORTRANGE(""https://docs.google.com/spreadsheets/d/1rEDxBtusbi64tE0zunoIbsTVV16HeL0oJ6trHQeQ7K8/edit?usp=sharing"",""เชียงใหม่!Q161"")+IMPORTRANGE(""https://docs.google.com/spreadsheets/d/1W6MnUbDkMi6xHnHko_XkFDO9kkuL6Wqyc-6OCDFjW9I/e"&amp;"dit?usp=sharing"",""ตาก!Q161"")+IMPORTRANGE(""https://docs.google.com/spreadsheets/d/1IQAWArduLkta9LpYo4a_ULsyqdta6-6aDDiwpUnQT6c/edit?usp=sharing"",""นครสวรรค์!Q161"")+IMPORTRANGE(""https://docs.google.com/spreadsheets/d/10s13Sk5xrltsiR-Zkbmk5DwIaDIKO8Xl"&amp;"bJAfqyT7Gvg/edit?usp=sharing"",""น่าน!Q161"")+IMPORTRANGE(""https://docs.google.com/spreadsheets/d/1uu4nAn4Dbi1XREnLKKotUANlKXa7yCgRcgq8HEzQYW8/edit?usp=sharing"",""พะเยา!Q161"")+IMPORTRANGE(""https://docs.google.com/spreadsheets/d/1xfJKIQxVOaPDIICqsflNlL"&amp;"u3JacTDk1FP9RH4phX7mI/edit?usp=sharing"",""พิจิตร!Q161"")+IMPORTRANGE(""https://docs.google.com/spreadsheets/d/1JtRfZkJMHtEhI5RdRHxYUG4FIZHqKDpNyIuN7A1Q0_k/edit?usp=sharing"",""พิษณุโลก!Q161"")+IMPORTRANGE(""https://docs.google.com/spreadsheets/d/1xlcVZWU"&amp;"Nn6SuWm0c307h32SiGkd9BaeQWlAktfD3KO8/edit?usp=sharing"",""เพชรบูรณ์!Q161"")+IMPORTRANGE(""https://docs.google.com/spreadsheets/d/1lOVebEIsI9qjGXl6EX66luk7wiuP2tBaryw-wKvv4e0/edit?usp=sharing"",""แพร่!Q161"")+IMPORTRANGE(""https://docs.google.com/spreadshe"&amp;"ets/d/1dQrvX0vEcN7Gu0fnZ0B5S90AeR19zth4XlExFBeExMY/edit?usp=sharing"",""แม่ฮ่องสอน!Q161"")+IMPORTRANGE(""https://docs.google.com/spreadsheets/d/1DY4XTNNwjluuxqdfdn6qvOSlMRrZqUtmYcZR0ttFiG4/edit?usp=sharing"",""ลำปาง!Q161"")+IMPORTRANGE(""https://docs.goog"&amp;"le.com/spreadsheets/d/1ICwG78r0OFT8biBlxnBF8r7she7gNSzOvJ958PWT09c/edit?usp=sharing"",""ลำพูน!Q161"")+IMPORTRANGE(""https://docs.google.com/spreadsheets/d/1B0f2xJpZUC6Z0xXnqKlZtEPzsf6L84eP1r1Q15seqRM/edit?usp=sharing"",""สุโขทัย!Q161"")+IMPORTRANGE(""http"&amp;"s://docs.google.com/spreadsheets/d/1v0b9pFQCsKUVExMei7AgY2yQkdeNQvtOssygGsXbiKo/edit?usp=sharing"",""อุตรดิตถ์!Q161"")+IMPORTRANGE(""https://docs.google.com/spreadsheets/d/1UsNK1e-WWiCo2PvGqdNfdme4m17_Ezd3J69EeeiQPD0/edit?usp=sharing"",""อุทัยธานี!Q161"")"),0)</f>
        <v>0</v>
      </c>
      <c r="R161" s="48">
        <f ca="1">IFERROR(__xludf.DUMMYFUNCTION("IMPORTRANGE(""https://docs.google.com/spreadsheets/d/1jTcq05yEiRwXcBMLjiodW9e4biSGYWAHcDj22rKWQ3s/edit?usp=sharing"",""กำแพงเพชร!R161"")+IMPORTRANGE(""https://docs.google.com/spreadsheets/d/1KS0zmDSZPk8KnTAbGN-Xk6MtX1YRZD0ldgdt20K4CRk/edit?usp=sharing"","&amp;"""เชียงราย!R161"")+IMPORTRANGE(""https://docs.google.com/spreadsheets/d/1rEDxBtusbi64tE0zunoIbsTVV16HeL0oJ6trHQeQ7K8/edit?usp=sharing"",""เชียงใหม่!R161"")+IMPORTRANGE(""https://docs.google.com/spreadsheets/d/1W6MnUbDkMi6xHnHko_XkFDO9kkuL6Wqyc-6OCDFjW9I/e"&amp;"dit?usp=sharing"",""ตาก!R161"")+IMPORTRANGE(""https://docs.google.com/spreadsheets/d/1IQAWArduLkta9LpYo4a_ULsyqdta6-6aDDiwpUnQT6c/edit?usp=sharing"",""นครสวรรค์!R161"")+IMPORTRANGE(""https://docs.google.com/spreadsheets/d/10s13Sk5xrltsiR-Zkbmk5DwIaDIKO8Xl"&amp;"bJAfqyT7Gvg/edit?usp=sharing"",""น่าน!R161"")+IMPORTRANGE(""https://docs.google.com/spreadsheets/d/1uu4nAn4Dbi1XREnLKKotUANlKXa7yCgRcgq8HEzQYW8/edit?usp=sharing"",""พะเยา!R161"")+IMPORTRANGE(""https://docs.google.com/spreadsheets/d/1xfJKIQxVOaPDIICqsflNlL"&amp;"u3JacTDk1FP9RH4phX7mI/edit?usp=sharing"",""พิจิตร!R161"")+IMPORTRANGE(""https://docs.google.com/spreadsheets/d/1JtRfZkJMHtEhI5RdRHxYUG4FIZHqKDpNyIuN7A1Q0_k/edit?usp=sharing"",""พิษณุโลก!R161"")+IMPORTRANGE(""https://docs.google.com/spreadsheets/d/1xlcVZWU"&amp;"Nn6SuWm0c307h32SiGkd9BaeQWlAktfD3KO8/edit?usp=sharing"",""เพชรบูรณ์!R161"")+IMPORTRANGE(""https://docs.google.com/spreadsheets/d/1lOVebEIsI9qjGXl6EX66luk7wiuP2tBaryw-wKvv4e0/edit?usp=sharing"",""แพร่!R161"")+IMPORTRANGE(""https://docs.google.com/spreadshe"&amp;"ets/d/1dQrvX0vEcN7Gu0fnZ0B5S90AeR19zth4XlExFBeExMY/edit?usp=sharing"",""แม่ฮ่องสอน!R161"")+IMPORTRANGE(""https://docs.google.com/spreadsheets/d/1DY4XTNNwjluuxqdfdn6qvOSlMRrZqUtmYcZR0ttFiG4/edit?usp=sharing"",""ลำปาง!R161"")+IMPORTRANGE(""https://docs.goog"&amp;"le.com/spreadsheets/d/1ICwG78r0OFT8biBlxnBF8r7she7gNSzOvJ958PWT09c/edit?usp=sharing"",""ลำพูน!R161"")+IMPORTRANGE(""https://docs.google.com/spreadsheets/d/1B0f2xJpZUC6Z0xXnqKlZtEPzsf6L84eP1r1Q15seqRM/edit?usp=sharing"",""สุโขทัย!R161"")+IMPORTRANGE(""http"&amp;"s://docs.google.com/spreadsheets/d/1v0b9pFQCsKUVExMei7AgY2yQkdeNQvtOssygGsXbiKo/edit?usp=sharing"",""อุตรดิตถ์!R161"")+IMPORTRANGE(""https://docs.google.com/spreadsheets/d/1UsNK1e-WWiCo2PvGqdNfdme4m17_Ezd3J69EeeiQPD0/edit?usp=sharing"",""อุทัยธานี!R161"")"),0)</f>
        <v>0</v>
      </c>
      <c r="S161" s="48">
        <f ca="1">IFERROR(__xludf.DUMMYFUNCTION("IMPORTRANGE(""https://docs.google.com/spreadsheets/d/1jTcq05yEiRwXcBMLjiodW9e4biSGYWAHcDj22rKWQ3s/edit?usp=sharing"",""กำแพงเพชร!S161"")+IMPORTRANGE(""https://docs.google.com/spreadsheets/d/1KS0zmDSZPk8KnTAbGN-Xk6MtX1YRZD0ldgdt20K4CRk/edit?usp=sharing"","&amp;"""เชียงราย!S161"")+IMPORTRANGE(""https://docs.google.com/spreadsheets/d/1rEDxBtusbi64tE0zunoIbsTVV16HeL0oJ6trHQeQ7K8/edit?usp=sharing"",""เชียงใหม่!S161"")+IMPORTRANGE(""https://docs.google.com/spreadsheets/d/1W6MnUbDkMi6xHnHko_XkFDO9kkuL6Wqyc-6OCDFjW9I/e"&amp;"dit?usp=sharing"",""ตาก!S161"")+IMPORTRANGE(""https://docs.google.com/spreadsheets/d/1IQAWArduLkta9LpYo4a_ULsyqdta6-6aDDiwpUnQT6c/edit?usp=sharing"",""นครสวรรค์!S161"")+IMPORTRANGE(""https://docs.google.com/spreadsheets/d/10s13Sk5xrltsiR-Zkbmk5DwIaDIKO8Xl"&amp;"bJAfqyT7Gvg/edit?usp=sharing"",""น่าน!S161"")+IMPORTRANGE(""https://docs.google.com/spreadsheets/d/1uu4nAn4Dbi1XREnLKKotUANlKXa7yCgRcgq8HEzQYW8/edit?usp=sharing"",""พะเยา!S161"")+IMPORTRANGE(""https://docs.google.com/spreadsheets/d/1xfJKIQxVOaPDIICqsflNlL"&amp;"u3JacTDk1FP9RH4phX7mI/edit?usp=sharing"",""พิจิตร!S161"")+IMPORTRANGE(""https://docs.google.com/spreadsheets/d/1JtRfZkJMHtEhI5RdRHxYUG4FIZHqKDpNyIuN7A1Q0_k/edit?usp=sharing"",""พิษณุโลก!S161"")+IMPORTRANGE(""https://docs.google.com/spreadsheets/d/1xlcVZWU"&amp;"Nn6SuWm0c307h32SiGkd9BaeQWlAktfD3KO8/edit?usp=sharing"",""เพชรบูรณ์!S161"")+IMPORTRANGE(""https://docs.google.com/spreadsheets/d/1lOVebEIsI9qjGXl6EX66luk7wiuP2tBaryw-wKvv4e0/edit?usp=sharing"",""แพร่!S161"")+IMPORTRANGE(""https://docs.google.com/spreadshe"&amp;"ets/d/1dQrvX0vEcN7Gu0fnZ0B5S90AeR19zth4XlExFBeExMY/edit?usp=sharing"",""แม่ฮ่องสอน!S161"")+IMPORTRANGE(""https://docs.google.com/spreadsheets/d/1DY4XTNNwjluuxqdfdn6qvOSlMRrZqUtmYcZR0ttFiG4/edit?usp=sharing"",""ลำปาง!S161"")+IMPORTRANGE(""https://docs.goog"&amp;"le.com/spreadsheets/d/1ICwG78r0OFT8biBlxnBF8r7she7gNSzOvJ958PWT09c/edit?usp=sharing"",""ลำพูน!S161"")+IMPORTRANGE(""https://docs.google.com/spreadsheets/d/1B0f2xJpZUC6Z0xXnqKlZtEPzsf6L84eP1r1Q15seqRM/edit?usp=sharing"",""สุโขทัย!S161"")+IMPORTRANGE(""http"&amp;"s://docs.google.com/spreadsheets/d/1v0b9pFQCsKUVExMei7AgY2yQkdeNQvtOssygGsXbiKo/edit?usp=sharing"",""อุตรดิตถ์!S161"")+IMPORTRANGE(""https://docs.google.com/spreadsheets/d/1UsNK1e-WWiCo2PvGqdNfdme4m17_Ezd3J69EeeiQPD0/edit?usp=sharing"",""อุทัยธานี!S161"")"),0)</f>
        <v>0</v>
      </c>
      <c r="T161" s="48">
        <f t="shared" ca="1" si="128"/>
        <v>0</v>
      </c>
      <c r="U161" s="48">
        <f t="shared" ca="1" si="129"/>
        <v>0</v>
      </c>
    </row>
    <row r="162" spans="1:21" ht="18.75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46">
        <f ca="1">IFERROR(__xludf.DUMMYFUNCTION("IMPORTRANGE(""https://docs.google.com/spreadsheets/d/1jTcq05yEiRwXcBMLjiodW9e4biSGYWAHcDj22rKWQ3s/edit?usp=sharing"",""กำแพงเพชร!L162"")+IMPORTRANGE(""https://docs.google.com/spreadsheets/d/1KS0zmDSZPk8KnTAbGN-Xk6MtX1YRZD0ldgdt20K4CRk/edit?usp=sharing"","&amp;"""เชียงราย!L162"")+IMPORTRANGE(""https://docs.google.com/spreadsheets/d/1rEDxBtusbi64tE0zunoIbsTVV16HeL0oJ6trHQeQ7K8/edit?usp=sharing"",""เชียงใหม่!L162"")+IMPORTRANGE(""https://docs.google.com/spreadsheets/d/1W6MnUbDkMi6xHnHko_XkFDO9kkuL6Wqyc-6OCDFjW9I/e"&amp;"dit?usp=sharing"",""ตาก!L162"")+IMPORTRANGE(""https://docs.google.com/spreadsheets/d/1IQAWArduLkta9LpYo4a_ULsyqdta6-6aDDiwpUnQT6c/edit?usp=sharing"",""นครสวรรค์!L162"")+IMPORTRANGE(""https://docs.google.com/spreadsheets/d/10s13Sk5xrltsiR-Zkbmk5DwIaDIKO8Xl"&amp;"bJAfqyT7Gvg/edit?usp=sharing"",""น่าน!L162"")+IMPORTRANGE(""https://docs.google.com/spreadsheets/d/1uu4nAn4Dbi1XREnLKKotUANlKXa7yCgRcgq8HEzQYW8/edit?usp=sharing"",""พะเยา!L162"")+IMPORTRANGE(""https://docs.google.com/spreadsheets/d/1xfJKIQxVOaPDIICqsflNlL"&amp;"u3JacTDk1FP9RH4phX7mI/edit?usp=sharing"",""พิจิตร!L162"")+IMPORTRANGE(""https://docs.google.com/spreadsheets/d/1JtRfZkJMHtEhI5RdRHxYUG4FIZHqKDpNyIuN7A1Q0_k/edit?usp=sharing"",""พิษณุโลก!L162"")+IMPORTRANGE(""https://docs.google.com/spreadsheets/d/1xlcVZWU"&amp;"Nn6SuWm0c307h32SiGkd9BaeQWlAktfD3KO8/edit?usp=sharing"",""เพชรบูรณ์!L162"")+IMPORTRANGE(""https://docs.google.com/spreadsheets/d/1lOVebEIsI9qjGXl6EX66luk7wiuP2tBaryw-wKvv4e0/edit?usp=sharing"",""แพร่!L162"")+IMPORTRANGE(""https://docs.google.com/spreadshe"&amp;"ets/d/1dQrvX0vEcN7Gu0fnZ0B5S90AeR19zth4XlExFBeExMY/edit?usp=sharing"",""แม่ฮ่องสอน!L162"")+IMPORTRANGE(""https://docs.google.com/spreadsheets/d/1DY4XTNNwjluuxqdfdn6qvOSlMRrZqUtmYcZR0ttFiG4/edit?usp=sharing"",""ลำปาง!L162"")+IMPORTRANGE(""https://docs.goog"&amp;"le.com/spreadsheets/d/1ICwG78r0OFT8biBlxnBF8r7she7gNSzOvJ958PWT09c/edit?usp=sharing"",""ลำพูน!L162"")+IMPORTRANGE(""https://docs.google.com/spreadsheets/d/1B0f2xJpZUC6Z0xXnqKlZtEPzsf6L84eP1r1Q15seqRM/edit?usp=sharing"",""สุโขทัย!L162"")+IMPORTRANGE(""http"&amp;"s://docs.google.com/spreadsheets/d/1v0b9pFQCsKUVExMei7AgY2yQkdeNQvtOssygGsXbiKo/edit?usp=sharing"",""อุตรดิตถ์!L162"")+IMPORTRANGE(""https://docs.google.com/spreadsheets/d/1UsNK1e-WWiCo2PvGqdNfdme4m17_Ezd3J69EeeiQPD0/edit?usp=sharing"",""อุทัยธานี!L162"")"),34500)</f>
        <v>34500</v>
      </c>
      <c r="M162" s="46">
        <f ca="1">IFERROR(__xludf.DUMMYFUNCTION("IMPORTRANGE(""https://docs.google.com/spreadsheets/d/1jTcq05yEiRwXcBMLjiodW9e4biSGYWAHcDj22rKWQ3s/edit?usp=sharing"",""กำแพงเพชร!M162"")+IMPORTRANGE(""https://docs.google.com/spreadsheets/d/1KS0zmDSZPk8KnTAbGN-Xk6MtX1YRZD0ldgdt20K4CRk/edit?usp=sharing"","&amp;"""เชียงราย!M162"")+IMPORTRANGE(""https://docs.google.com/spreadsheets/d/1rEDxBtusbi64tE0zunoIbsTVV16HeL0oJ6trHQeQ7K8/edit?usp=sharing"",""เชียงใหม่!M162"")+IMPORTRANGE(""https://docs.google.com/spreadsheets/d/1W6MnUbDkMi6xHnHko_XkFDO9kkuL6Wqyc-6OCDFjW9I/e"&amp;"dit?usp=sharing"",""ตาก!M162"")+IMPORTRANGE(""https://docs.google.com/spreadsheets/d/1IQAWArduLkta9LpYo4a_ULsyqdta6-6aDDiwpUnQT6c/edit?usp=sharing"",""นครสวรรค์!M162"")+IMPORTRANGE(""https://docs.google.com/spreadsheets/d/10s13Sk5xrltsiR-Zkbmk5DwIaDIKO8Xl"&amp;"bJAfqyT7Gvg/edit?usp=sharing"",""น่าน!M162"")+IMPORTRANGE(""https://docs.google.com/spreadsheets/d/1uu4nAn4Dbi1XREnLKKotUANlKXa7yCgRcgq8HEzQYW8/edit?usp=sharing"",""พะเยา!M162"")+IMPORTRANGE(""https://docs.google.com/spreadsheets/d/1xfJKIQxVOaPDIICqsflNlL"&amp;"u3JacTDk1FP9RH4phX7mI/edit?usp=sharing"",""พิจิตร!M162"")+IMPORTRANGE(""https://docs.google.com/spreadsheets/d/1JtRfZkJMHtEhI5RdRHxYUG4FIZHqKDpNyIuN7A1Q0_k/edit?usp=sharing"",""พิษณุโลก!M162"")+IMPORTRANGE(""https://docs.google.com/spreadsheets/d/1xlcVZWU"&amp;"Nn6SuWm0c307h32SiGkd9BaeQWlAktfD3KO8/edit?usp=sharing"",""เพชรบูรณ์!M162"")+IMPORTRANGE(""https://docs.google.com/spreadsheets/d/1lOVebEIsI9qjGXl6EX66luk7wiuP2tBaryw-wKvv4e0/edit?usp=sharing"",""แพร่!M162"")+IMPORTRANGE(""https://docs.google.com/spreadshe"&amp;"ets/d/1dQrvX0vEcN7Gu0fnZ0B5S90AeR19zth4XlExFBeExMY/edit?usp=sharing"",""แม่ฮ่องสอน!M162"")+IMPORTRANGE(""https://docs.google.com/spreadsheets/d/1DY4XTNNwjluuxqdfdn6qvOSlMRrZqUtmYcZR0ttFiG4/edit?usp=sharing"",""ลำปาง!M162"")+IMPORTRANGE(""https://docs.goog"&amp;"le.com/spreadsheets/d/1ICwG78r0OFT8biBlxnBF8r7she7gNSzOvJ958PWT09c/edit?usp=sharing"",""ลำพูน!M162"")+IMPORTRANGE(""https://docs.google.com/spreadsheets/d/1B0f2xJpZUC6Z0xXnqKlZtEPzsf6L84eP1r1Q15seqRM/edit?usp=sharing"",""สุโขทัย!M162"")+IMPORTRANGE(""http"&amp;"s://docs.google.com/spreadsheets/d/1v0b9pFQCsKUVExMei7AgY2yQkdeNQvtOssygGsXbiKo/edit?usp=sharing"",""อุตรดิตถ์!M162"")+IMPORTRANGE(""https://docs.google.com/spreadsheets/d/1UsNK1e-WWiCo2PvGqdNfdme4m17_Ezd3J69EeeiQPD0/edit?usp=sharing"",""อุทัยธานี!M162"")"),125776)</f>
        <v>125776</v>
      </c>
      <c r="N162" s="46">
        <f ca="1">IFERROR(__xludf.DUMMYFUNCTION("IMPORTRANGE(""https://docs.google.com/spreadsheets/d/1jTcq05yEiRwXcBMLjiodW9e4biSGYWAHcDj22rKWQ3s/edit?usp=sharing"",""กำแพงเพชร!N162"")+IMPORTRANGE(""https://docs.google.com/spreadsheets/d/1KS0zmDSZPk8KnTAbGN-Xk6MtX1YRZD0ldgdt20K4CRk/edit?usp=sharing"","&amp;"""เชียงราย!N162"")+IMPORTRANGE(""https://docs.google.com/spreadsheets/d/1rEDxBtusbi64tE0zunoIbsTVV16HeL0oJ6trHQeQ7K8/edit?usp=sharing"",""เชียงใหม่!N162"")+IMPORTRANGE(""https://docs.google.com/spreadsheets/d/1W6MnUbDkMi6xHnHko_XkFDO9kkuL6Wqyc-6OCDFjW9I/e"&amp;"dit?usp=sharing"",""ตาก!N162"")+IMPORTRANGE(""https://docs.google.com/spreadsheets/d/1IQAWArduLkta9LpYo4a_ULsyqdta6-6aDDiwpUnQT6c/edit?usp=sharing"",""นครสวรรค์!N162"")+IMPORTRANGE(""https://docs.google.com/spreadsheets/d/10s13Sk5xrltsiR-Zkbmk5DwIaDIKO8Xl"&amp;"bJAfqyT7Gvg/edit?usp=sharing"",""น่าน!N162"")+IMPORTRANGE(""https://docs.google.com/spreadsheets/d/1uu4nAn4Dbi1XREnLKKotUANlKXa7yCgRcgq8HEzQYW8/edit?usp=sharing"",""พะเยา!N162"")+IMPORTRANGE(""https://docs.google.com/spreadsheets/d/1xfJKIQxVOaPDIICqsflNlL"&amp;"u3JacTDk1FP9RH4phX7mI/edit?usp=sharing"",""พิจิตร!N162"")+IMPORTRANGE(""https://docs.google.com/spreadsheets/d/1JtRfZkJMHtEhI5RdRHxYUG4FIZHqKDpNyIuN7A1Q0_k/edit?usp=sharing"",""พิษณุโลก!N162"")+IMPORTRANGE(""https://docs.google.com/spreadsheets/d/1xlcVZWU"&amp;"Nn6SuWm0c307h32SiGkd9BaeQWlAktfD3KO8/edit?usp=sharing"",""เพชรบูรณ์!N162"")+IMPORTRANGE(""https://docs.google.com/spreadsheets/d/1lOVebEIsI9qjGXl6EX66luk7wiuP2tBaryw-wKvv4e0/edit?usp=sharing"",""แพร่!N162"")+IMPORTRANGE(""https://docs.google.com/spreadshe"&amp;"ets/d/1dQrvX0vEcN7Gu0fnZ0B5S90AeR19zth4XlExFBeExMY/edit?usp=sharing"",""แม่ฮ่องสอน!N162"")+IMPORTRANGE(""https://docs.google.com/spreadsheets/d/1DY4XTNNwjluuxqdfdn6qvOSlMRrZqUtmYcZR0ttFiG4/edit?usp=sharing"",""ลำปาง!N162"")+IMPORTRANGE(""https://docs.goog"&amp;"le.com/spreadsheets/d/1ICwG78r0OFT8biBlxnBF8r7she7gNSzOvJ958PWT09c/edit?usp=sharing"",""ลำพูน!N162"")+IMPORTRANGE(""https://docs.google.com/spreadsheets/d/1B0f2xJpZUC6Z0xXnqKlZtEPzsf6L84eP1r1Q15seqRM/edit?usp=sharing"",""สุโขทัย!N162"")+IMPORTRANGE(""http"&amp;"s://docs.google.com/spreadsheets/d/1v0b9pFQCsKUVExMei7AgY2yQkdeNQvtOssygGsXbiKo/edit?usp=sharing"",""อุตรดิตถ์!N162"")+IMPORTRANGE(""https://docs.google.com/spreadsheets/d/1UsNK1e-WWiCo2PvGqdNfdme4m17_Ezd3J69EeeiQPD0/edit?usp=sharing"",""อุทัยธานี!N162"")"),18237.27)</f>
        <v>18237.27</v>
      </c>
      <c r="O162" s="46">
        <f t="shared" ca="1" si="125"/>
        <v>52.861652173913043</v>
      </c>
      <c r="P162" s="46">
        <f t="shared" ca="1" si="126"/>
        <v>14.499801233939703</v>
      </c>
      <c r="Q162" s="46">
        <f ca="1">IFERROR(__xludf.DUMMYFUNCTION("IMPORTRANGE(""https://docs.google.com/spreadsheets/d/1jTcq05yEiRwXcBMLjiodW9e4biSGYWAHcDj22rKWQ3s/edit?usp=sharing"",""กำแพงเพชร!Q162"")+IMPORTRANGE(""https://docs.google.com/spreadsheets/d/1KS0zmDSZPk8KnTAbGN-Xk6MtX1YRZD0ldgdt20K4CRk/edit?usp=sharing"","&amp;"""เชียงราย!Q162"")+IMPORTRANGE(""https://docs.google.com/spreadsheets/d/1rEDxBtusbi64tE0zunoIbsTVV16HeL0oJ6trHQeQ7K8/edit?usp=sharing"",""เชียงใหม่!Q162"")+IMPORTRANGE(""https://docs.google.com/spreadsheets/d/1W6MnUbDkMi6xHnHko_XkFDO9kkuL6Wqyc-6OCDFjW9I/e"&amp;"dit?usp=sharing"",""ตาก!Q162"")+IMPORTRANGE(""https://docs.google.com/spreadsheets/d/1IQAWArduLkta9LpYo4a_ULsyqdta6-6aDDiwpUnQT6c/edit?usp=sharing"",""นครสวรรค์!Q162"")+IMPORTRANGE(""https://docs.google.com/spreadsheets/d/10s13Sk5xrltsiR-Zkbmk5DwIaDIKO8Xl"&amp;"bJAfqyT7Gvg/edit?usp=sharing"",""น่าน!Q162"")+IMPORTRANGE(""https://docs.google.com/spreadsheets/d/1uu4nAn4Dbi1XREnLKKotUANlKXa7yCgRcgq8HEzQYW8/edit?usp=sharing"",""พะเยา!Q162"")+IMPORTRANGE(""https://docs.google.com/spreadsheets/d/1xfJKIQxVOaPDIICqsflNlL"&amp;"u3JacTDk1FP9RH4phX7mI/edit?usp=sharing"",""พิจิตร!Q162"")+IMPORTRANGE(""https://docs.google.com/spreadsheets/d/1JtRfZkJMHtEhI5RdRHxYUG4FIZHqKDpNyIuN7A1Q0_k/edit?usp=sharing"",""พิษณุโลก!Q162"")+IMPORTRANGE(""https://docs.google.com/spreadsheets/d/1xlcVZWU"&amp;"Nn6SuWm0c307h32SiGkd9BaeQWlAktfD3KO8/edit?usp=sharing"",""เพชรบูรณ์!Q162"")+IMPORTRANGE(""https://docs.google.com/spreadsheets/d/1lOVebEIsI9qjGXl6EX66luk7wiuP2tBaryw-wKvv4e0/edit?usp=sharing"",""แพร่!Q162"")+IMPORTRANGE(""https://docs.google.com/spreadshe"&amp;"ets/d/1dQrvX0vEcN7Gu0fnZ0B5S90AeR19zth4XlExFBeExMY/edit?usp=sharing"",""แม่ฮ่องสอน!Q162"")+IMPORTRANGE(""https://docs.google.com/spreadsheets/d/1DY4XTNNwjluuxqdfdn6qvOSlMRrZqUtmYcZR0ttFiG4/edit?usp=sharing"",""ลำปาง!Q162"")+IMPORTRANGE(""https://docs.goog"&amp;"le.com/spreadsheets/d/1ICwG78r0OFT8biBlxnBF8r7she7gNSzOvJ958PWT09c/edit?usp=sharing"",""ลำพูน!Q162"")+IMPORTRANGE(""https://docs.google.com/spreadsheets/d/1B0f2xJpZUC6Z0xXnqKlZtEPzsf6L84eP1r1Q15seqRM/edit?usp=sharing"",""สุโขทัย!Q162"")+IMPORTRANGE(""http"&amp;"s://docs.google.com/spreadsheets/d/1v0b9pFQCsKUVExMei7AgY2yQkdeNQvtOssygGsXbiKo/edit?usp=sharing"",""อุตรดิตถ์!Q162"")+IMPORTRANGE(""https://docs.google.com/spreadsheets/d/1UsNK1e-WWiCo2PvGqdNfdme4m17_Ezd3J69EeeiQPD0/edit?usp=sharing"",""อุทัยธานี!Q162"")"),0)</f>
        <v>0</v>
      </c>
      <c r="R162" s="46">
        <f ca="1">IFERROR(__xludf.DUMMYFUNCTION("IMPORTRANGE(""https://docs.google.com/spreadsheets/d/1jTcq05yEiRwXcBMLjiodW9e4biSGYWAHcDj22rKWQ3s/edit?usp=sharing"",""กำแพงเพชร!R162"")+IMPORTRANGE(""https://docs.google.com/spreadsheets/d/1KS0zmDSZPk8KnTAbGN-Xk6MtX1YRZD0ldgdt20K4CRk/edit?usp=sharing"","&amp;"""เชียงราย!R162"")+IMPORTRANGE(""https://docs.google.com/spreadsheets/d/1rEDxBtusbi64tE0zunoIbsTVV16HeL0oJ6trHQeQ7K8/edit?usp=sharing"",""เชียงใหม่!R162"")+IMPORTRANGE(""https://docs.google.com/spreadsheets/d/1W6MnUbDkMi6xHnHko_XkFDO9kkuL6Wqyc-6OCDFjW9I/e"&amp;"dit?usp=sharing"",""ตาก!R162"")+IMPORTRANGE(""https://docs.google.com/spreadsheets/d/1IQAWArduLkta9LpYo4a_ULsyqdta6-6aDDiwpUnQT6c/edit?usp=sharing"",""นครสวรรค์!R162"")+IMPORTRANGE(""https://docs.google.com/spreadsheets/d/10s13Sk5xrltsiR-Zkbmk5DwIaDIKO8Xl"&amp;"bJAfqyT7Gvg/edit?usp=sharing"",""น่าน!R162"")+IMPORTRANGE(""https://docs.google.com/spreadsheets/d/1uu4nAn4Dbi1XREnLKKotUANlKXa7yCgRcgq8HEzQYW8/edit?usp=sharing"",""พะเยา!R162"")+IMPORTRANGE(""https://docs.google.com/spreadsheets/d/1xfJKIQxVOaPDIICqsflNlL"&amp;"u3JacTDk1FP9RH4phX7mI/edit?usp=sharing"",""พิจิตร!R162"")+IMPORTRANGE(""https://docs.google.com/spreadsheets/d/1JtRfZkJMHtEhI5RdRHxYUG4FIZHqKDpNyIuN7A1Q0_k/edit?usp=sharing"",""พิษณุโลก!R162"")+IMPORTRANGE(""https://docs.google.com/spreadsheets/d/1xlcVZWU"&amp;"Nn6SuWm0c307h32SiGkd9BaeQWlAktfD3KO8/edit?usp=sharing"",""เพชรบูรณ์!R162"")+IMPORTRANGE(""https://docs.google.com/spreadsheets/d/1lOVebEIsI9qjGXl6EX66luk7wiuP2tBaryw-wKvv4e0/edit?usp=sharing"",""แพร่!R162"")+IMPORTRANGE(""https://docs.google.com/spreadshe"&amp;"ets/d/1dQrvX0vEcN7Gu0fnZ0B5S90AeR19zth4XlExFBeExMY/edit?usp=sharing"",""แม่ฮ่องสอน!R162"")+IMPORTRANGE(""https://docs.google.com/spreadsheets/d/1DY4XTNNwjluuxqdfdn6qvOSlMRrZqUtmYcZR0ttFiG4/edit?usp=sharing"",""ลำปาง!R162"")+IMPORTRANGE(""https://docs.goog"&amp;"le.com/spreadsheets/d/1ICwG78r0OFT8biBlxnBF8r7she7gNSzOvJ958PWT09c/edit?usp=sharing"",""ลำพูน!R162"")+IMPORTRANGE(""https://docs.google.com/spreadsheets/d/1B0f2xJpZUC6Z0xXnqKlZtEPzsf6L84eP1r1Q15seqRM/edit?usp=sharing"",""สุโขทัย!R162"")+IMPORTRANGE(""http"&amp;"s://docs.google.com/spreadsheets/d/1v0b9pFQCsKUVExMei7AgY2yQkdeNQvtOssygGsXbiKo/edit?usp=sharing"",""อุตรดิตถ์!R162"")+IMPORTRANGE(""https://docs.google.com/spreadsheets/d/1UsNK1e-WWiCo2PvGqdNfdme4m17_Ezd3J69EeeiQPD0/edit?usp=sharing"",""อุทัยธานี!R162"")"),0)</f>
        <v>0</v>
      </c>
      <c r="S162" s="46">
        <f ca="1">IFERROR(__xludf.DUMMYFUNCTION("IMPORTRANGE(""https://docs.google.com/spreadsheets/d/1jTcq05yEiRwXcBMLjiodW9e4biSGYWAHcDj22rKWQ3s/edit?usp=sharing"",""กำแพงเพชร!S162"")+IMPORTRANGE(""https://docs.google.com/spreadsheets/d/1KS0zmDSZPk8KnTAbGN-Xk6MtX1YRZD0ldgdt20K4CRk/edit?usp=sharing"","&amp;"""เชียงราย!S162"")+IMPORTRANGE(""https://docs.google.com/spreadsheets/d/1rEDxBtusbi64tE0zunoIbsTVV16HeL0oJ6trHQeQ7K8/edit?usp=sharing"",""เชียงใหม่!S162"")+IMPORTRANGE(""https://docs.google.com/spreadsheets/d/1W6MnUbDkMi6xHnHko_XkFDO9kkuL6Wqyc-6OCDFjW9I/e"&amp;"dit?usp=sharing"",""ตาก!S162"")+IMPORTRANGE(""https://docs.google.com/spreadsheets/d/1IQAWArduLkta9LpYo4a_ULsyqdta6-6aDDiwpUnQT6c/edit?usp=sharing"",""นครสวรรค์!S162"")+IMPORTRANGE(""https://docs.google.com/spreadsheets/d/10s13Sk5xrltsiR-Zkbmk5DwIaDIKO8Xl"&amp;"bJAfqyT7Gvg/edit?usp=sharing"",""น่าน!S162"")+IMPORTRANGE(""https://docs.google.com/spreadsheets/d/1uu4nAn4Dbi1XREnLKKotUANlKXa7yCgRcgq8HEzQYW8/edit?usp=sharing"",""พะเยา!S162"")+IMPORTRANGE(""https://docs.google.com/spreadsheets/d/1xfJKIQxVOaPDIICqsflNlL"&amp;"u3JacTDk1FP9RH4phX7mI/edit?usp=sharing"",""พิจิตร!S162"")+IMPORTRANGE(""https://docs.google.com/spreadsheets/d/1JtRfZkJMHtEhI5RdRHxYUG4FIZHqKDpNyIuN7A1Q0_k/edit?usp=sharing"",""พิษณุโลก!S162"")+IMPORTRANGE(""https://docs.google.com/spreadsheets/d/1xlcVZWU"&amp;"Nn6SuWm0c307h32SiGkd9BaeQWlAktfD3KO8/edit?usp=sharing"",""เพชรบูรณ์!S162"")+IMPORTRANGE(""https://docs.google.com/spreadsheets/d/1lOVebEIsI9qjGXl6EX66luk7wiuP2tBaryw-wKvv4e0/edit?usp=sharing"",""แพร่!S162"")+IMPORTRANGE(""https://docs.google.com/spreadshe"&amp;"ets/d/1dQrvX0vEcN7Gu0fnZ0B5S90AeR19zth4XlExFBeExMY/edit?usp=sharing"",""แม่ฮ่องสอน!S162"")+IMPORTRANGE(""https://docs.google.com/spreadsheets/d/1DY4XTNNwjluuxqdfdn6qvOSlMRrZqUtmYcZR0ttFiG4/edit?usp=sharing"",""ลำปาง!S162"")+IMPORTRANGE(""https://docs.goog"&amp;"le.com/spreadsheets/d/1ICwG78r0OFT8biBlxnBF8r7she7gNSzOvJ958PWT09c/edit?usp=sharing"",""ลำพูน!S162"")+IMPORTRANGE(""https://docs.google.com/spreadsheets/d/1B0f2xJpZUC6Z0xXnqKlZtEPzsf6L84eP1r1Q15seqRM/edit?usp=sharing"",""สุโขทัย!S162"")+IMPORTRANGE(""http"&amp;"s://docs.google.com/spreadsheets/d/1v0b9pFQCsKUVExMei7AgY2yQkdeNQvtOssygGsXbiKo/edit?usp=sharing"",""อุตรดิตถ์!S162"")+IMPORTRANGE(""https://docs.google.com/spreadsheets/d/1UsNK1e-WWiCo2PvGqdNfdme4m17_Ezd3J69EeeiQPD0/edit?usp=sharing"",""อุทัยธานี!S162"")"),0)</f>
        <v>0</v>
      </c>
      <c r="T162" s="46">
        <f t="shared" ca="1" si="128"/>
        <v>0</v>
      </c>
      <c r="U162" s="46">
        <f t="shared" ca="1" si="129"/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46">
        <f t="shared" ref="L163:N163" ca="1" si="136">L164+L165</f>
        <v>0</v>
      </c>
      <c r="M163" s="46">
        <f t="shared" ca="1" si="136"/>
        <v>0</v>
      </c>
      <c r="N163" s="46">
        <f t="shared" ca="1" si="136"/>
        <v>0</v>
      </c>
      <c r="O163" s="46">
        <f t="shared" ca="1" si="125"/>
        <v>0</v>
      </c>
      <c r="P163" s="46">
        <f t="shared" ca="1" si="126"/>
        <v>0</v>
      </c>
      <c r="Q163" s="46">
        <f t="shared" ref="Q163:S163" ca="1" si="137">Q164+Q165</f>
        <v>0</v>
      </c>
      <c r="R163" s="46">
        <f t="shared" ca="1" si="137"/>
        <v>0</v>
      </c>
      <c r="S163" s="46">
        <f t="shared" ca="1" si="137"/>
        <v>0</v>
      </c>
      <c r="T163" s="46">
        <f t="shared" ca="1" si="128"/>
        <v>0</v>
      </c>
      <c r="U163" s="46">
        <f t="shared" ca="1" si="129"/>
        <v>0</v>
      </c>
    </row>
    <row r="164" spans="1:21" ht="18.75" x14ac:dyDescent="0.25">
      <c r="A164" s="128"/>
      <c r="B164" s="40"/>
      <c r="C164" s="40"/>
      <c r="D164" s="40"/>
      <c r="E164" s="47" t="s">
        <v>20</v>
      </c>
      <c r="F164" s="40"/>
      <c r="G164" s="42"/>
      <c r="H164" s="134" t="s">
        <v>14</v>
      </c>
      <c r="I164" s="135"/>
      <c r="J164" s="135"/>
      <c r="K164" s="136"/>
      <c r="L164" s="46">
        <f ca="1">IFERROR(__xludf.DUMMYFUNCTION("IMPORTRANGE(""https://docs.google.com/spreadsheets/d/1jTcq05yEiRwXcBMLjiodW9e4biSGYWAHcDj22rKWQ3s/edit?usp=sharing"",""กำแพงเพชร!L164"")+IMPORTRANGE(""https://docs.google.com/spreadsheets/d/1KS0zmDSZPk8KnTAbGN-Xk6MtX1YRZD0ldgdt20K4CRk/edit?usp=sharing"","&amp;"""เชียงราย!L164"")+IMPORTRANGE(""https://docs.google.com/spreadsheets/d/1rEDxBtusbi64tE0zunoIbsTVV16HeL0oJ6trHQeQ7K8/edit?usp=sharing"",""เชียงใหม่!L164"")+IMPORTRANGE(""https://docs.google.com/spreadsheets/d/1W6MnUbDkMi6xHnHko_XkFDO9kkuL6Wqyc-6OCDFjW9I/e"&amp;"dit?usp=sharing"",""ตาก!L164"")+IMPORTRANGE(""https://docs.google.com/spreadsheets/d/1IQAWArduLkta9LpYo4a_ULsyqdta6-6aDDiwpUnQT6c/edit?usp=sharing"",""นครสวรรค์!L164"")+IMPORTRANGE(""https://docs.google.com/spreadsheets/d/10s13Sk5xrltsiR-Zkbmk5DwIaDIKO8Xl"&amp;"bJAfqyT7Gvg/edit?usp=sharing"",""น่าน!L164"")+IMPORTRANGE(""https://docs.google.com/spreadsheets/d/1uu4nAn4Dbi1XREnLKKotUANlKXa7yCgRcgq8HEzQYW8/edit?usp=sharing"",""พะเยา!L164"")+IMPORTRANGE(""https://docs.google.com/spreadsheets/d/1xfJKIQxVOaPDIICqsflNlL"&amp;"u3JacTDk1FP9RH4phX7mI/edit?usp=sharing"",""พิจิตร!L164"")+IMPORTRANGE(""https://docs.google.com/spreadsheets/d/1JtRfZkJMHtEhI5RdRHxYUG4FIZHqKDpNyIuN7A1Q0_k/edit?usp=sharing"",""พิษณุโลก!L164"")+IMPORTRANGE(""https://docs.google.com/spreadsheets/d/1xlcVZWU"&amp;"Nn6SuWm0c307h32SiGkd9BaeQWlAktfD3KO8/edit?usp=sharing"",""เพชรบูรณ์!L164"")+IMPORTRANGE(""https://docs.google.com/spreadsheets/d/1lOVebEIsI9qjGXl6EX66luk7wiuP2tBaryw-wKvv4e0/edit?usp=sharing"",""แพร่!L164"")+IMPORTRANGE(""https://docs.google.com/spreadshe"&amp;"ets/d/1dQrvX0vEcN7Gu0fnZ0B5S90AeR19zth4XlExFBeExMY/edit?usp=sharing"",""แม่ฮ่องสอน!L164"")+IMPORTRANGE(""https://docs.google.com/spreadsheets/d/1DY4XTNNwjluuxqdfdn6qvOSlMRrZqUtmYcZR0ttFiG4/edit?usp=sharing"",""ลำปาง!L164"")+IMPORTRANGE(""https://docs.goog"&amp;"le.com/spreadsheets/d/1ICwG78r0OFT8biBlxnBF8r7she7gNSzOvJ958PWT09c/edit?usp=sharing"",""ลำพูน!L164"")+IMPORTRANGE(""https://docs.google.com/spreadsheets/d/1B0f2xJpZUC6Z0xXnqKlZtEPzsf6L84eP1r1Q15seqRM/edit?usp=sharing"",""สุโขทัย!L164"")+IMPORTRANGE(""http"&amp;"s://docs.google.com/spreadsheets/d/1v0b9pFQCsKUVExMei7AgY2yQkdeNQvtOssygGsXbiKo/edit?usp=sharing"",""อุตรดิตถ์!L164"")+IMPORTRANGE(""https://docs.google.com/spreadsheets/d/1UsNK1e-WWiCo2PvGqdNfdme4m17_Ezd3J69EeeiQPD0/edit?usp=sharing"",""อุทัยธานี!L164"")"),0)</f>
        <v>0</v>
      </c>
      <c r="M164" s="46">
        <f ca="1">IFERROR(__xludf.DUMMYFUNCTION("IMPORTRANGE(""https://docs.google.com/spreadsheets/d/1jTcq05yEiRwXcBMLjiodW9e4biSGYWAHcDj22rKWQ3s/edit?usp=sharing"",""กำแพงเพชร!M164"")+IMPORTRANGE(""https://docs.google.com/spreadsheets/d/1KS0zmDSZPk8KnTAbGN-Xk6MtX1YRZD0ldgdt20K4CRk/edit?usp=sharing"","&amp;"""เชียงราย!M164"")+IMPORTRANGE(""https://docs.google.com/spreadsheets/d/1rEDxBtusbi64tE0zunoIbsTVV16HeL0oJ6trHQeQ7K8/edit?usp=sharing"",""เชียงใหม่!M164"")+IMPORTRANGE(""https://docs.google.com/spreadsheets/d/1W6MnUbDkMi6xHnHko_XkFDO9kkuL6Wqyc-6OCDFjW9I/e"&amp;"dit?usp=sharing"",""ตาก!M164"")+IMPORTRANGE(""https://docs.google.com/spreadsheets/d/1IQAWArduLkta9LpYo4a_ULsyqdta6-6aDDiwpUnQT6c/edit?usp=sharing"",""นครสวรรค์!M164"")+IMPORTRANGE(""https://docs.google.com/spreadsheets/d/10s13Sk5xrltsiR-Zkbmk5DwIaDIKO8Xl"&amp;"bJAfqyT7Gvg/edit?usp=sharing"",""น่าน!M164"")+IMPORTRANGE(""https://docs.google.com/spreadsheets/d/1uu4nAn4Dbi1XREnLKKotUANlKXa7yCgRcgq8HEzQYW8/edit?usp=sharing"",""พะเยา!M164"")+IMPORTRANGE(""https://docs.google.com/spreadsheets/d/1xfJKIQxVOaPDIICqsflNlL"&amp;"u3JacTDk1FP9RH4phX7mI/edit?usp=sharing"",""พิจิตร!M164"")+IMPORTRANGE(""https://docs.google.com/spreadsheets/d/1JtRfZkJMHtEhI5RdRHxYUG4FIZHqKDpNyIuN7A1Q0_k/edit?usp=sharing"",""พิษณุโลก!M164"")+IMPORTRANGE(""https://docs.google.com/spreadsheets/d/1xlcVZWU"&amp;"Nn6SuWm0c307h32SiGkd9BaeQWlAktfD3KO8/edit?usp=sharing"",""เพชรบูรณ์!M164"")+IMPORTRANGE(""https://docs.google.com/spreadsheets/d/1lOVebEIsI9qjGXl6EX66luk7wiuP2tBaryw-wKvv4e0/edit?usp=sharing"",""แพร่!M164"")+IMPORTRANGE(""https://docs.google.com/spreadshe"&amp;"ets/d/1dQrvX0vEcN7Gu0fnZ0B5S90AeR19zth4XlExFBeExMY/edit?usp=sharing"",""แม่ฮ่องสอน!M164"")+IMPORTRANGE(""https://docs.google.com/spreadsheets/d/1DY4XTNNwjluuxqdfdn6qvOSlMRrZqUtmYcZR0ttFiG4/edit?usp=sharing"",""ลำปาง!M164"")+IMPORTRANGE(""https://docs.goog"&amp;"le.com/spreadsheets/d/1ICwG78r0OFT8biBlxnBF8r7she7gNSzOvJ958PWT09c/edit?usp=sharing"",""ลำพูน!M164"")+IMPORTRANGE(""https://docs.google.com/spreadsheets/d/1B0f2xJpZUC6Z0xXnqKlZtEPzsf6L84eP1r1Q15seqRM/edit?usp=sharing"",""สุโขทัย!M164"")+IMPORTRANGE(""http"&amp;"s://docs.google.com/spreadsheets/d/1v0b9pFQCsKUVExMei7AgY2yQkdeNQvtOssygGsXbiKo/edit?usp=sharing"",""อุตรดิตถ์!M164"")+IMPORTRANGE(""https://docs.google.com/spreadsheets/d/1UsNK1e-WWiCo2PvGqdNfdme4m17_Ezd3J69EeeiQPD0/edit?usp=sharing"",""อุทัยธานี!M164"")"),0)</f>
        <v>0</v>
      </c>
      <c r="N164" s="46">
        <f ca="1">IFERROR(__xludf.DUMMYFUNCTION("IMPORTRANGE(""https://docs.google.com/spreadsheets/d/1jTcq05yEiRwXcBMLjiodW9e4biSGYWAHcDj22rKWQ3s/edit?usp=sharing"",""กำแพงเพชร!N164"")+IMPORTRANGE(""https://docs.google.com/spreadsheets/d/1KS0zmDSZPk8KnTAbGN-Xk6MtX1YRZD0ldgdt20K4CRk/edit?usp=sharing"","&amp;"""เชียงราย!N164"")+IMPORTRANGE(""https://docs.google.com/spreadsheets/d/1rEDxBtusbi64tE0zunoIbsTVV16HeL0oJ6trHQeQ7K8/edit?usp=sharing"",""เชียงใหม่!N164"")+IMPORTRANGE(""https://docs.google.com/spreadsheets/d/1W6MnUbDkMi6xHnHko_XkFDO9kkuL6Wqyc-6OCDFjW9I/e"&amp;"dit?usp=sharing"",""ตาก!N164"")+IMPORTRANGE(""https://docs.google.com/spreadsheets/d/1IQAWArduLkta9LpYo4a_ULsyqdta6-6aDDiwpUnQT6c/edit?usp=sharing"",""นครสวรรค์!N164"")+IMPORTRANGE(""https://docs.google.com/spreadsheets/d/10s13Sk5xrltsiR-Zkbmk5DwIaDIKO8Xl"&amp;"bJAfqyT7Gvg/edit?usp=sharing"",""น่าน!N164"")+IMPORTRANGE(""https://docs.google.com/spreadsheets/d/1uu4nAn4Dbi1XREnLKKotUANlKXa7yCgRcgq8HEzQYW8/edit?usp=sharing"",""พะเยา!N164"")+IMPORTRANGE(""https://docs.google.com/spreadsheets/d/1xfJKIQxVOaPDIICqsflNlL"&amp;"u3JacTDk1FP9RH4phX7mI/edit?usp=sharing"",""พิจิตร!N164"")+IMPORTRANGE(""https://docs.google.com/spreadsheets/d/1JtRfZkJMHtEhI5RdRHxYUG4FIZHqKDpNyIuN7A1Q0_k/edit?usp=sharing"",""พิษณุโลก!N164"")+IMPORTRANGE(""https://docs.google.com/spreadsheets/d/1xlcVZWU"&amp;"Nn6SuWm0c307h32SiGkd9BaeQWlAktfD3KO8/edit?usp=sharing"",""เพชรบูรณ์!N164"")+IMPORTRANGE(""https://docs.google.com/spreadsheets/d/1lOVebEIsI9qjGXl6EX66luk7wiuP2tBaryw-wKvv4e0/edit?usp=sharing"",""แพร่!N164"")+IMPORTRANGE(""https://docs.google.com/spreadshe"&amp;"ets/d/1dQrvX0vEcN7Gu0fnZ0B5S90AeR19zth4XlExFBeExMY/edit?usp=sharing"",""แม่ฮ่องสอน!N164"")+IMPORTRANGE(""https://docs.google.com/spreadsheets/d/1DY4XTNNwjluuxqdfdn6qvOSlMRrZqUtmYcZR0ttFiG4/edit?usp=sharing"",""ลำปาง!N164"")+IMPORTRANGE(""https://docs.goog"&amp;"le.com/spreadsheets/d/1ICwG78r0OFT8biBlxnBF8r7she7gNSzOvJ958PWT09c/edit?usp=sharing"",""ลำพูน!N164"")+IMPORTRANGE(""https://docs.google.com/spreadsheets/d/1B0f2xJpZUC6Z0xXnqKlZtEPzsf6L84eP1r1Q15seqRM/edit?usp=sharing"",""สุโขทัย!N164"")+IMPORTRANGE(""http"&amp;"s://docs.google.com/spreadsheets/d/1v0b9pFQCsKUVExMei7AgY2yQkdeNQvtOssygGsXbiKo/edit?usp=sharing"",""อุตรดิตถ์!N164"")+IMPORTRANGE(""https://docs.google.com/spreadsheets/d/1UsNK1e-WWiCo2PvGqdNfdme4m17_Ezd3J69EeeiQPD0/edit?usp=sharing"",""อุทัยธานี!N164"")"),0)</f>
        <v>0</v>
      </c>
      <c r="O164" s="46">
        <f t="shared" ca="1" si="125"/>
        <v>0</v>
      </c>
      <c r="P164" s="46">
        <f t="shared" ca="1" si="126"/>
        <v>0</v>
      </c>
      <c r="Q164" s="48">
        <f ca="1">IFERROR(__xludf.DUMMYFUNCTION("IMPORTRANGE(""https://docs.google.com/spreadsheets/d/1jTcq05yEiRwXcBMLjiodW9e4biSGYWAHcDj22rKWQ3s/edit?usp=sharing"",""กำแพงเพชร!Q164"")+IMPORTRANGE(""https://docs.google.com/spreadsheets/d/1KS0zmDSZPk8KnTAbGN-Xk6MtX1YRZD0ldgdt20K4CRk/edit?usp=sharing"","&amp;"""เชียงราย!Q164"")+IMPORTRANGE(""https://docs.google.com/spreadsheets/d/1rEDxBtusbi64tE0zunoIbsTVV16HeL0oJ6trHQeQ7K8/edit?usp=sharing"",""เชียงใหม่!Q164"")+IMPORTRANGE(""https://docs.google.com/spreadsheets/d/1W6MnUbDkMi6xHnHko_XkFDO9kkuL6Wqyc-6OCDFjW9I/e"&amp;"dit?usp=sharing"",""ตาก!Q164"")+IMPORTRANGE(""https://docs.google.com/spreadsheets/d/1IQAWArduLkta9LpYo4a_ULsyqdta6-6aDDiwpUnQT6c/edit?usp=sharing"",""นครสวรรค์!Q164"")+IMPORTRANGE(""https://docs.google.com/spreadsheets/d/10s13Sk5xrltsiR-Zkbmk5DwIaDIKO8Xl"&amp;"bJAfqyT7Gvg/edit?usp=sharing"",""น่าน!Q164"")+IMPORTRANGE(""https://docs.google.com/spreadsheets/d/1uu4nAn4Dbi1XREnLKKotUANlKXa7yCgRcgq8HEzQYW8/edit?usp=sharing"",""พะเยา!Q164"")+IMPORTRANGE(""https://docs.google.com/spreadsheets/d/1xfJKIQxVOaPDIICqsflNlL"&amp;"u3JacTDk1FP9RH4phX7mI/edit?usp=sharing"",""พิจิตร!Q164"")+IMPORTRANGE(""https://docs.google.com/spreadsheets/d/1JtRfZkJMHtEhI5RdRHxYUG4FIZHqKDpNyIuN7A1Q0_k/edit?usp=sharing"",""พิษณุโลก!Q164"")+IMPORTRANGE(""https://docs.google.com/spreadsheets/d/1xlcVZWU"&amp;"Nn6SuWm0c307h32SiGkd9BaeQWlAktfD3KO8/edit?usp=sharing"",""เพชรบูรณ์!Q164"")+IMPORTRANGE(""https://docs.google.com/spreadsheets/d/1lOVebEIsI9qjGXl6EX66luk7wiuP2tBaryw-wKvv4e0/edit?usp=sharing"",""แพร่!Q164"")+IMPORTRANGE(""https://docs.google.com/spreadshe"&amp;"ets/d/1dQrvX0vEcN7Gu0fnZ0B5S90AeR19zth4XlExFBeExMY/edit?usp=sharing"",""แม่ฮ่องสอน!Q164"")+IMPORTRANGE(""https://docs.google.com/spreadsheets/d/1DY4XTNNwjluuxqdfdn6qvOSlMRrZqUtmYcZR0ttFiG4/edit?usp=sharing"",""ลำปาง!Q164"")+IMPORTRANGE(""https://docs.goog"&amp;"le.com/spreadsheets/d/1ICwG78r0OFT8biBlxnBF8r7she7gNSzOvJ958PWT09c/edit?usp=sharing"",""ลำพูน!Q164"")+IMPORTRANGE(""https://docs.google.com/spreadsheets/d/1B0f2xJpZUC6Z0xXnqKlZtEPzsf6L84eP1r1Q15seqRM/edit?usp=sharing"",""สุโขทัย!Q164"")+IMPORTRANGE(""http"&amp;"s://docs.google.com/spreadsheets/d/1v0b9pFQCsKUVExMei7AgY2yQkdeNQvtOssygGsXbiKo/edit?usp=sharing"",""อุตรดิตถ์!Q164"")+IMPORTRANGE(""https://docs.google.com/spreadsheets/d/1UsNK1e-WWiCo2PvGqdNfdme4m17_Ezd3J69EeeiQPD0/edit?usp=sharing"",""อุทัยธานี!Q164"")"),0)</f>
        <v>0</v>
      </c>
      <c r="R164" s="48">
        <f ca="1">IFERROR(__xludf.DUMMYFUNCTION("IMPORTRANGE(""https://docs.google.com/spreadsheets/d/1jTcq05yEiRwXcBMLjiodW9e4biSGYWAHcDj22rKWQ3s/edit?usp=sharing"",""กำแพงเพชร!R164"")+IMPORTRANGE(""https://docs.google.com/spreadsheets/d/1KS0zmDSZPk8KnTAbGN-Xk6MtX1YRZD0ldgdt20K4CRk/edit?usp=sharing"","&amp;"""เชียงราย!R164"")+IMPORTRANGE(""https://docs.google.com/spreadsheets/d/1rEDxBtusbi64tE0zunoIbsTVV16HeL0oJ6trHQeQ7K8/edit?usp=sharing"",""เชียงใหม่!R164"")+IMPORTRANGE(""https://docs.google.com/spreadsheets/d/1W6MnUbDkMi6xHnHko_XkFDO9kkuL6Wqyc-6OCDFjW9I/e"&amp;"dit?usp=sharing"",""ตาก!R164"")+IMPORTRANGE(""https://docs.google.com/spreadsheets/d/1IQAWArduLkta9LpYo4a_ULsyqdta6-6aDDiwpUnQT6c/edit?usp=sharing"",""นครสวรรค์!R164"")+IMPORTRANGE(""https://docs.google.com/spreadsheets/d/10s13Sk5xrltsiR-Zkbmk5DwIaDIKO8Xl"&amp;"bJAfqyT7Gvg/edit?usp=sharing"",""น่าน!R164"")+IMPORTRANGE(""https://docs.google.com/spreadsheets/d/1uu4nAn4Dbi1XREnLKKotUANlKXa7yCgRcgq8HEzQYW8/edit?usp=sharing"",""พะเยา!R164"")+IMPORTRANGE(""https://docs.google.com/spreadsheets/d/1xfJKIQxVOaPDIICqsflNlL"&amp;"u3JacTDk1FP9RH4phX7mI/edit?usp=sharing"",""พิจิตร!R164"")+IMPORTRANGE(""https://docs.google.com/spreadsheets/d/1JtRfZkJMHtEhI5RdRHxYUG4FIZHqKDpNyIuN7A1Q0_k/edit?usp=sharing"",""พิษณุโลก!R164"")+IMPORTRANGE(""https://docs.google.com/spreadsheets/d/1xlcVZWU"&amp;"Nn6SuWm0c307h32SiGkd9BaeQWlAktfD3KO8/edit?usp=sharing"",""เพชรบูรณ์!R164"")+IMPORTRANGE(""https://docs.google.com/spreadsheets/d/1lOVebEIsI9qjGXl6EX66luk7wiuP2tBaryw-wKvv4e0/edit?usp=sharing"",""แพร่!R164"")+IMPORTRANGE(""https://docs.google.com/spreadshe"&amp;"ets/d/1dQrvX0vEcN7Gu0fnZ0B5S90AeR19zth4XlExFBeExMY/edit?usp=sharing"",""แม่ฮ่องสอน!R164"")+IMPORTRANGE(""https://docs.google.com/spreadsheets/d/1DY4XTNNwjluuxqdfdn6qvOSlMRrZqUtmYcZR0ttFiG4/edit?usp=sharing"",""ลำปาง!R164"")+IMPORTRANGE(""https://docs.goog"&amp;"le.com/spreadsheets/d/1ICwG78r0OFT8biBlxnBF8r7she7gNSzOvJ958PWT09c/edit?usp=sharing"",""ลำพูน!R164"")+IMPORTRANGE(""https://docs.google.com/spreadsheets/d/1B0f2xJpZUC6Z0xXnqKlZtEPzsf6L84eP1r1Q15seqRM/edit?usp=sharing"",""สุโขทัย!R164"")+IMPORTRANGE(""http"&amp;"s://docs.google.com/spreadsheets/d/1v0b9pFQCsKUVExMei7AgY2yQkdeNQvtOssygGsXbiKo/edit?usp=sharing"",""อุตรดิตถ์!R164"")+IMPORTRANGE(""https://docs.google.com/spreadsheets/d/1UsNK1e-WWiCo2PvGqdNfdme4m17_Ezd3J69EeeiQPD0/edit?usp=sharing"",""อุทัยธานี!R164"")"),0)</f>
        <v>0</v>
      </c>
      <c r="S164" s="48">
        <f ca="1">IFERROR(__xludf.DUMMYFUNCTION("IMPORTRANGE(""https://docs.google.com/spreadsheets/d/1jTcq05yEiRwXcBMLjiodW9e4biSGYWAHcDj22rKWQ3s/edit?usp=sharing"",""กำแพงเพชร!S164"")+IMPORTRANGE(""https://docs.google.com/spreadsheets/d/1KS0zmDSZPk8KnTAbGN-Xk6MtX1YRZD0ldgdt20K4CRk/edit?usp=sharing"","&amp;"""เชียงราย!S164"")+IMPORTRANGE(""https://docs.google.com/spreadsheets/d/1rEDxBtusbi64tE0zunoIbsTVV16HeL0oJ6trHQeQ7K8/edit?usp=sharing"",""เชียงใหม่!S164"")+IMPORTRANGE(""https://docs.google.com/spreadsheets/d/1W6MnUbDkMi6xHnHko_XkFDO9kkuL6Wqyc-6OCDFjW9I/e"&amp;"dit?usp=sharing"",""ตาก!S164"")+IMPORTRANGE(""https://docs.google.com/spreadsheets/d/1IQAWArduLkta9LpYo4a_ULsyqdta6-6aDDiwpUnQT6c/edit?usp=sharing"",""นครสวรรค์!S164"")+IMPORTRANGE(""https://docs.google.com/spreadsheets/d/10s13Sk5xrltsiR-Zkbmk5DwIaDIKO8Xl"&amp;"bJAfqyT7Gvg/edit?usp=sharing"",""น่าน!S164"")+IMPORTRANGE(""https://docs.google.com/spreadsheets/d/1uu4nAn4Dbi1XREnLKKotUANlKXa7yCgRcgq8HEzQYW8/edit?usp=sharing"",""พะเยา!S164"")+IMPORTRANGE(""https://docs.google.com/spreadsheets/d/1xfJKIQxVOaPDIICqsflNlL"&amp;"u3JacTDk1FP9RH4phX7mI/edit?usp=sharing"",""พิจิตร!S164"")+IMPORTRANGE(""https://docs.google.com/spreadsheets/d/1JtRfZkJMHtEhI5RdRHxYUG4FIZHqKDpNyIuN7A1Q0_k/edit?usp=sharing"",""พิษณุโลก!S164"")+IMPORTRANGE(""https://docs.google.com/spreadsheets/d/1xlcVZWU"&amp;"Nn6SuWm0c307h32SiGkd9BaeQWlAktfD3KO8/edit?usp=sharing"",""เพชรบูรณ์!S164"")+IMPORTRANGE(""https://docs.google.com/spreadsheets/d/1lOVebEIsI9qjGXl6EX66luk7wiuP2tBaryw-wKvv4e0/edit?usp=sharing"",""แพร่!S164"")+IMPORTRANGE(""https://docs.google.com/spreadshe"&amp;"ets/d/1dQrvX0vEcN7Gu0fnZ0B5S90AeR19zth4XlExFBeExMY/edit?usp=sharing"",""แม่ฮ่องสอน!S164"")+IMPORTRANGE(""https://docs.google.com/spreadsheets/d/1DY4XTNNwjluuxqdfdn6qvOSlMRrZqUtmYcZR0ttFiG4/edit?usp=sharing"",""ลำปาง!S164"")+IMPORTRANGE(""https://docs.goog"&amp;"le.com/spreadsheets/d/1ICwG78r0OFT8biBlxnBF8r7she7gNSzOvJ958PWT09c/edit?usp=sharing"",""ลำพูน!S164"")+IMPORTRANGE(""https://docs.google.com/spreadsheets/d/1B0f2xJpZUC6Z0xXnqKlZtEPzsf6L84eP1r1Q15seqRM/edit?usp=sharing"",""สุโขทัย!S164"")+IMPORTRANGE(""http"&amp;"s://docs.google.com/spreadsheets/d/1v0b9pFQCsKUVExMei7AgY2yQkdeNQvtOssygGsXbiKo/edit?usp=sharing"",""อุตรดิตถ์!S164"")+IMPORTRANGE(""https://docs.google.com/spreadsheets/d/1UsNK1e-WWiCo2PvGqdNfdme4m17_Ezd3J69EeeiQPD0/edit?usp=sharing"",""อุทัยธานี!S164"")"),0)</f>
        <v>0</v>
      </c>
      <c r="T164" s="48">
        <f t="shared" ca="1" si="128"/>
        <v>0</v>
      </c>
      <c r="U164" s="48">
        <f t="shared" ca="1" si="129"/>
        <v>0</v>
      </c>
    </row>
    <row r="165" spans="1:21" ht="18.75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46">
        <f ca="1">IFERROR(__xludf.DUMMYFUNCTION("IMPORTRANGE(""https://docs.google.com/spreadsheets/d/1jTcq05yEiRwXcBMLjiodW9e4biSGYWAHcDj22rKWQ3s/edit?usp=sharing"",""กำแพงเพชร!L165"")+IMPORTRANGE(""https://docs.google.com/spreadsheets/d/1KS0zmDSZPk8KnTAbGN-Xk6MtX1YRZD0ldgdt20K4CRk/edit?usp=sharing"","&amp;"""เชียงราย!L165"")+IMPORTRANGE(""https://docs.google.com/spreadsheets/d/1rEDxBtusbi64tE0zunoIbsTVV16HeL0oJ6trHQeQ7K8/edit?usp=sharing"",""เชียงใหม่!L165"")+IMPORTRANGE(""https://docs.google.com/spreadsheets/d/1W6MnUbDkMi6xHnHko_XkFDO9kkuL6Wqyc-6OCDFjW9I/e"&amp;"dit?usp=sharing"",""ตาก!L165"")+IMPORTRANGE(""https://docs.google.com/spreadsheets/d/1IQAWArduLkta9LpYo4a_ULsyqdta6-6aDDiwpUnQT6c/edit?usp=sharing"",""นครสวรรค์!L165"")+IMPORTRANGE(""https://docs.google.com/spreadsheets/d/10s13Sk5xrltsiR-Zkbmk5DwIaDIKO8Xl"&amp;"bJAfqyT7Gvg/edit?usp=sharing"",""น่าน!L165"")+IMPORTRANGE(""https://docs.google.com/spreadsheets/d/1uu4nAn4Dbi1XREnLKKotUANlKXa7yCgRcgq8HEzQYW8/edit?usp=sharing"",""พะเยา!L165"")+IMPORTRANGE(""https://docs.google.com/spreadsheets/d/1xfJKIQxVOaPDIICqsflNlL"&amp;"u3JacTDk1FP9RH4phX7mI/edit?usp=sharing"",""พิจิตร!L165"")+IMPORTRANGE(""https://docs.google.com/spreadsheets/d/1JtRfZkJMHtEhI5RdRHxYUG4FIZHqKDpNyIuN7A1Q0_k/edit?usp=sharing"",""พิษณุโลก!L165"")+IMPORTRANGE(""https://docs.google.com/spreadsheets/d/1xlcVZWU"&amp;"Nn6SuWm0c307h32SiGkd9BaeQWlAktfD3KO8/edit?usp=sharing"",""เพชรบูรณ์!L165"")+IMPORTRANGE(""https://docs.google.com/spreadsheets/d/1lOVebEIsI9qjGXl6EX66luk7wiuP2tBaryw-wKvv4e0/edit?usp=sharing"",""แพร่!L165"")+IMPORTRANGE(""https://docs.google.com/spreadshe"&amp;"ets/d/1dQrvX0vEcN7Gu0fnZ0B5S90AeR19zth4XlExFBeExMY/edit?usp=sharing"",""แม่ฮ่องสอน!L165"")+IMPORTRANGE(""https://docs.google.com/spreadsheets/d/1DY4XTNNwjluuxqdfdn6qvOSlMRrZqUtmYcZR0ttFiG4/edit?usp=sharing"",""ลำปาง!L165"")+IMPORTRANGE(""https://docs.goog"&amp;"le.com/spreadsheets/d/1ICwG78r0OFT8biBlxnBF8r7she7gNSzOvJ958PWT09c/edit?usp=sharing"",""ลำพูน!L165"")+IMPORTRANGE(""https://docs.google.com/spreadsheets/d/1B0f2xJpZUC6Z0xXnqKlZtEPzsf6L84eP1r1Q15seqRM/edit?usp=sharing"",""สุโขทัย!L165"")+IMPORTRANGE(""http"&amp;"s://docs.google.com/spreadsheets/d/1v0b9pFQCsKUVExMei7AgY2yQkdeNQvtOssygGsXbiKo/edit?usp=sharing"",""อุตรดิตถ์!L165"")+IMPORTRANGE(""https://docs.google.com/spreadsheets/d/1UsNK1e-WWiCo2PvGqdNfdme4m17_Ezd3J69EeeiQPD0/edit?usp=sharing"",""อุทัยธานี!L165"")"),0)</f>
        <v>0</v>
      </c>
      <c r="M165" s="46">
        <f ca="1">IFERROR(__xludf.DUMMYFUNCTION("IMPORTRANGE(""https://docs.google.com/spreadsheets/d/1jTcq05yEiRwXcBMLjiodW9e4biSGYWAHcDj22rKWQ3s/edit?usp=sharing"",""กำแพงเพชร!M165"")+IMPORTRANGE(""https://docs.google.com/spreadsheets/d/1KS0zmDSZPk8KnTAbGN-Xk6MtX1YRZD0ldgdt20K4CRk/edit?usp=sharing"","&amp;"""เชียงราย!M165"")+IMPORTRANGE(""https://docs.google.com/spreadsheets/d/1rEDxBtusbi64tE0zunoIbsTVV16HeL0oJ6trHQeQ7K8/edit?usp=sharing"",""เชียงใหม่!M165"")+IMPORTRANGE(""https://docs.google.com/spreadsheets/d/1W6MnUbDkMi6xHnHko_XkFDO9kkuL6Wqyc-6OCDFjW9I/e"&amp;"dit?usp=sharing"",""ตาก!M165"")+IMPORTRANGE(""https://docs.google.com/spreadsheets/d/1IQAWArduLkta9LpYo4a_ULsyqdta6-6aDDiwpUnQT6c/edit?usp=sharing"",""นครสวรรค์!M165"")+IMPORTRANGE(""https://docs.google.com/spreadsheets/d/10s13Sk5xrltsiR-Zkbmk5DwIaDIKO8Xl"&amp;"bJAfqyT7Gvg/edit?usp=sharing"",""น่าน!M165"")+IMPORTRANGE(""https://docs.google.com/spreadsheets/d/1uu4nAn4Dbi1XREnLKKotUANlKXa7yCgRcgq8HEzQYW8/edit?usp=sharing"",""พะเยา!M165"")+IMPORTRANGE(""https://docs.google.com/spreadsheets/d/1xfJKIQxVOaPDIICqsflNlL"&amp;"u3JacTDk1FP9RH4phX7mI/edit?usp=sharing"",""พิจิตร!M165"")+IMPORTRANGE(""https://docs.google.com/spreadsheets/d/1JtRfZkJMHtEhI5RdRHxYUG4FIZHqKDpNyIuN7A1Q0_k/edit?usp=sharing"",""พิษณุโลก!M165"")+IMPORTRANGE(""https://docs.google.com/spreadsheets/d/1xlcVZWU"&amp;"Nn6SuWm0c307h32SiGkd9BaeQWlAktfD3KO8/edit?usp=sharing"",""เพชรบูรณ์!M165"")+IMPORTRANGE(""https://docs.google.com/spreadsheets/d/1lOVebEIsI9qjGXl6EX66luk7wiuP2tBaryw-wKvv4e0/edit?usp=sharing"",""แพร่!M165"")+IMPORTRANGE(""https://docs.google.com/spreadshe"&amp;"ets/d/1dQrvX0vEcN7Gu0fnZ0B5S90AeR19zth4XlExFBeExMY/edit?usp=sharing"",""แม่ฮ่องสอน!M165"")+IMPORTRANGE(""https://docs.google.com/spreadsheets/d/1DY4XTNNwjluuxqdfdn6qvOSlMRrZqUtmYcZR0ttFiG4/edit?usp=sharing"",""ลำปาง!M165"")+IMPORTRANGE(""https://docs.goog"&amp;"le.com/spreadsheets/d/1ICwG78r0OFT8biBlxnBF8r7she7gNSzOvJ958PWT09c/edit?usp=sharing"",""ลำพูน!M165"")+IMPORTRANGE(""https://docs.google.com/spreadsheets/d/1B0f2xJpZUC6Z0xXnqKlZtEPzsf6L84eP1r1Q15seqRM/edit?usp=sharing"",""สุโขทัย!M165"")+IMPORTRANGE(""http"&amp;"s://docs.google.com/spreadsheets/d/1v0b9pFQCsKUVExMei7AgY2yQkdeNQvtOssygGsXbiKo/edit?usp=sharing"",""อุตรดิตถ์!M165"")+IMPORTRANGE(""https://docs.google.com/spreadsheets/d/1UsNK1e-WWiCo2PvGqdNfdme4m17_Ezd3J69EeeiQPD0/edit?usp=sharing"",""อุทัยธานี!M165"")"),0)</f>
        <v>0</v>
      </c>
      <c r="N165" s="46">
        <f ca="1">IFERROR(__xludf.DUMMYFUNCTION("IMPORTRANGE(""https://docs.google.com/spreadsheets/d/1jTcq05yEiRwXcBMLjiodW9e4biSGYWAHcDj22rKWQ3s/edit?usp=sharing"",""กำแพงเพชร!N165"")+IMPORTRANGE(""https://docs.google.com/spreadsheets/d/1KS0zmDSZPk8KnTAbGN-Xk6MtX1YRZD0ldgdt20K4CRk/edit?usp=sharing"","&amp;"""เชียงราย!N165"")+IMPORTRANGE(""https://docs.google.com/spreadsheets/d/1rEDxBtusbi64tE0zunoIbsTVV16HeL0oJ6trHQeQ7K8/edit?usp=sharing"",""เชียงใหม่!N165"")+IMPORTRANGE(""https://docs.google.com/spreadsheets/d/1W6MnUbDkMi6xHnHko_XkFDO9kkuL6Wqyc-6OCDFjW9I/e"&amp;"dit?usp=sharing"",""ตาก!N165"")+IMPORTRANGE(""https://docs.google.com/spreadsheets/d/1IQAWArduLkta9LpYo4a_ULsyqdta6-6aDDiwpUnQT6c/edit?usp=sharing"",""นครสวรรค์!N165"")+IMPORTRANGE(""https://docs.google.com/spreadsheets/d/10s13Sk5xrltsiR-Zkbmk5DwIaDIKO8Xl"&amp;"bJAfqyT7Gvg/edit?usp=sharing"",""น่าน!N165"")+IMPORTRANGE(""https://docs.google.com/spreadsheets/d/1uu4nAn4Dbi1XREnLKKotUANlKXa7yCgRcgq8HEzQYW8/edit?usp=sharing"",""พะเยา!N165"")+IMPORTRANGE(""https://docs.google.com/spreadsheets/d/1xfJKIQxVOaPDIICqsflNlL"&amp;"u3JacTDk1FP9RH4phX7mI/edit?usp=sharing"",""พิจิตร!N165"")+IMPORTRANGE(""https://docs.google.com/spreadsheets/d/1JtRfZkJMHtEhI5RdRHxYUG4FIZHqKDpNyIuN7A1Q0_k/edit?usp=sharing"",""พิษณุโลก!N165"")+IMPORTRANGE(""https://docs.google.com/spreadsheets/d/1xlcVZWU"&amp;"Nn6SuWm0c307h32SiGkd9BaeQWlAktfD3KO8/edit?usp=sharing"",""เพชรบูรณ์!N165"")+IMPORTRANGE(""https://docs.google.com/spreadsheets/d/1lOVebEIsI9qjGXl6EX66luk7wiuP2tBaryw-wKvv4e0/edit?usp=sharing"",""แพร่!N165"")+IMPORTRANGE(""https://docs.google.com/spreadshe"&amp;"ets/d/1dQrvX0vEcN7Gu0fnZ0B5S90AeR19zth4XlExFBeExMY/edit?usp=sharing"",""แม่ฮ่องสอน!N165"")+IMPORTRANGE(""https://docs.google.com/spreadsheets/d/1DY4XTNNwjluuxqdfdn6qvOSlMRrZqUtmYcZR0ttFiG4/edit?usp=sharing"",""ลำปาง!N165"")+IMPORTRANGE(""https://docs.goog"&amp;"le.com/spreadsheets/d/1ICwG78r0OFT8biBlxnBF8r7she7gNSzOvJ958PWT09c/edit?usp=sharing"",""ลำพูน!N165"")+IMPORTRANGE(""https://docs.google.com/spreadsheets/d/1B0f2xJpZUC6Z0xXnqKlZtEPzsf6L84eP1r1Q15seqRM/edit?usp=sharing"",""สุโขทัย!N165"")+IMPORTRANGE(""http"&amp;"s://docs.google.com/spreadsheets/d/1v0b9pFQCsKUVExMei7AgY2yQkdeNQvtOssygGsXbiKo/edit?usp=sharing"",""อุตรดิตถ์!N165"")+IMPORTRANGE(""https://docs.google.com/spreadsheets/d/1UsNK1e-WWiCo2PvGqdNfdme4m17_Ezd3J69EeeiQPD0/edit?usp=sharing"",""อุทัยธานี!N165"")"),0)</f>
        <v>0</v>
      </c>
      <c r="O165" s="46">
        <f t="shared" ca="1" si="125"/>
        <v>0</v>
      </c>
      <c r="P165" s="46">
        <f t="shared" ca="1" si="126"/>
        <v>0</v>
      </c>
      <c r="Q165" s="46">
        <f ca="1">IFERROR(__xludf.DUMMYFUNCTION("IMPORTRANGE(""https://docs.google.com/spreadsheets/d/1jTcq05yEiRwXcBMLjiodW9e4biSGYWAHcDj22rKWQ3s/edit?usp=sharing"",""กำแพงเพชร!Q165"")+IMPORTRANGE(""https://docs.google.com/spreadsheets/d/1KS0zmDSZPk8KnTAbGN-Xk6MtX1YRZD0ldgdt20K4CRk/edit?usp=sharing"","&amp;"""เชียงราย!Q165"")+IMPORTRANGE(""https://docs.google.com/spreadsheets/d/1rEDxBtusbi64tE0zunoIbsTVV16HeL0oJ6trHQeQ7K8/edit?usp=sharing"",""เชียงใหม่!Q165"")+IMPORTRANGE(""https://docs.google.com/spreadsheets/d/1W6MnUbDkMi6xHnHko_XkFDO9kkuL6Wqyc-6OCDFjW9I/e"&amp;"dit?usp=sharing"",""ตาก!Q165"")+IMPORTRANGE(""https://docs.google.com/spreadsheets/d/1IQAWArduLkta9LpYo4a_ULsyqdta6-6aDDiwpUnQT6c/edit?usp=sharing"",""นครสวรรค์!Q165"")+IMPORTRANGE(""https://docs.google.com/spreadsheets/d/10s13Sk5xrltsiR-Zkbmk5DwIaDIKO8Xl"&amp;"bJAfqyT7Gvg/edit?usp=sharing"",""น่าน!Q165"")+IMPORTRANGE(""https://docs.google.com/spreadsheets/d/1uu4nAn4Dbi1XREnLKKotUANlKXa7yCgRcgq8HEzQYW8/edit?usp=sharing"",""พะเยา!Q165"")+IMPORTRANGE(""https://docs.google.com/spreadsheets/d/1xfJKIQxVOaPDIICqsflNlL"&amp;"u3JacTDk1FP9RH4phX7mI/edit?usp=sharing"",""พิจิตร!Q165"")+IMPORTRANGE(""https://docs.google.com/spreadsheets/d/1JtRfZkJMHtEhI5RdRHxYUG4FIZHqKDpNyIuN7A1Q0_k/edit?usp=sharing"",""พิษณุโลก!Q165"")+IMPORTRANGE(""https://docs.google.com/spreadsheets/d/1xlcVZWU"&amp;"Nn6SuWm0c307h32SiGkd9BaeQWlAktfD3KO8/edit?usp=sharing"",""เพชรบูรณ์!Q165"")+IMPORTRANGE(""https://docs.google.com/spreadsheets/d/1lOVebEIsI9qjGXl6EX66luk7wiuP2tBaryw-wKvv4e0/edit?usp=sharing"",""แพร่!Q165"")+IMPORTRANGE(""https://docs.google.com/spreadshe"&amp;"ets/d/1dQrvX0vEcN7Gu0fnZ0B5S90AeR19zth4XlExFBeExMY/edit?usp=sharing"",""แม่ฮ่องสอน!Q165"")+IMPORTRANGE(""https://docs.google.com/spreadsheets/d/1DY4XTNNwjluuxqdfdn6qvOSlMRrZqUtmYcZR0ttFiG4/edit?usp=sharing"",""ลำปาง!Q165"")+IMPORTRANGE(""https://docs.goog"&amp;"le.com/spreadsheets/d/1ICwG78r0OFT8biBlxnBF8r7she7gNSzOvJ958PWT09c/edit?usp=sharing"",""ลำพูน!Q165"")+IMPORTRANGE(""https://docs.google.com/spreadsheets/d/1B0f2xJpZUC6Z0xXnqKlZtEPzsf6L84eP1r1Q15seqRM/edit?usp=sharing"",""สุโขทัย!Q165"")+IMPORTRANGE(""http"&amp;"s://docs.google.com/spreadsheets/d/1v0b9pFQCsKUVExMei7AgY2yQkdeNQvtOssygGsXbiKo/edit?usp=sharing"",""อุตรดิตถ์!Q165"")+IMPORTRANGE(""https://docs.google.com/spreadsheets/d/1UsNK1e-WWiCo2PvGqdNfdme4m17_Ezd3J69EeeiQPD0/edit?usp=sharing"",""อุทัยธานี!Q165"")"),0)</f>
        <v>0</v>
      </c>
      <c r="R165" s="46">
        <f ca="1">IFERROR(__xludf.DUMMYFUNCTION("IMPORTRANGE(""https://docs.google.com/spreadsheets/d/1jTcq05yEiRwXcBMLjiodW9e4biSGYWAHcDj22rKWQ3s/edit?usp=sharing"",""กำแพงเพชร!R165"")+IMPORTRANGE(""https://docs.google.com/spreadsheets/d/1KS0zmDSZPk8KnTAbGN-Xk6MtX1YRZD0ldgdt20K4CRk/edit?usp=sharing"","&amp;"""เชียงราย!R165"")+IMPORTRANGE(""https://docs.google.com/spreadsheets/d/1rEDxBtusbi64tE0zunoIbsTVV16HeL0oJ6trHQeQ7K8/edit?usp=sharing"",""เชียงใหม่!R165"")+IMPORTRANGE(""https://docs.google.com/spreadsheets/d/1W6MnUbDkMi6xHnHko_XkFDO9kkuL6Wqyc-6OCDFjW9I/e"&amp;"dit?usp=sharing"",""ตาก!R165"")+IMPORTRANGE(""https://docs.google.com/spreadsheets/d/1IQAWArduLkta9LpYo4a_ULsyqdta6-6aDDiwpUnQT6c/edit?usp=sharing"",""นครสวรรค์!R165"")+IMPORTRANGE(""https://docs.google.com/spreadsheets/d/10s13Sk5xrltsiR-Zkbmk5DwIaDIKO8Xl"&amp;"bJAfqyT7Gvg/edit?usp=sharing"",""น่าน!R165"")+IMPORTRANGE(""https://docs.google.com/spreadsheets/d/1uu4nAn4Dbi1XREnLKKotUANlKXa7yCgRcgq8HEzQYW8/edit?usp=sharing"",""พะเยา!R165"")+IMPORTRANGE(""https://docs.google.com/spreadsheets/d/1xfJKIQxVOaPDIICqsflNlL"&amp;"u3JacTDk1FP9RH4phX7mI/edit?usp=sharing"",""พิจิตร!R165"")+IMPORTRANGE(""https://docs.google.com/spreadsheets/d/1JtRfZkJMHtEhI5RdRHxYUG4FIZHqKDpNyIuN7A1Q0_k/edit?usp=sharing"",""พิษณุโลก!R165"")+IMPORTRANGE(""https://docs.google.com/spreadsheets/d/1xlcVZWU"&amp;"Nn6SuWm0c307h32SiGkd9BaeQWlAktfD3KO8/edit?usp=sharing"",""เพชรบูรณ์!R165"")+IMPORTRANGE(""https://docs.google.com/spreadsheets/d/1lOVebEIsI9qjGXl6EX66luk7wiuP2tBaryw-wKvv4e0/edit?usp=sharing"",""แพร่!R165"")+IMPORTRANGE(""https://docs.google.com/spreadshe"&amp;"ets/d/1dQrvX0vEcN7Gu0fnZ0B5S90AeR19zth4XlExFBeExMY/edit?usp=sharing"",""แม่ฮ่องสอน!R165"")+IMPORTRANGE(""https://docs.google.com/spreadsheets/d/1DY4XTNNwjluuxqdfdn6qvOSlMRrZqUtmYcZR0ttFiG4/edit?usp=sharing"",""ลำปาง!R165"")+IMPORTRANGE(""https://docs.goog"&amp;"le.com/spreadsheets/d/1ICwG78r0OFT8biBlxnBF8r7she7gNSzOvJ958PWT09c/edit?usp=sharing"",""ลำพูน!R165"")+IMPORTRANGE(""https://docs.google.com/spreadsheets/d/1B0f2xJpZUC6Z0xXnqKlZtEPzsf6L84eP1r1Q15seqRM/edit?usp=sharing"",""สุโขทัย!R165"")+IMPORTRANGE(""http"&amp;"s://docs.google.com/spreadsheets/d/1v0b9pFQCsKUVExMei7AgY2yQkdeNQvtOssygGsXbiKo/edit?usp=sharing"",""อุตรดิตถ์!R165"")+IMPORTRANGE(""https://docs.google.com/spreadsheets/d/1UsNK1e-WWiCo2PvGqdNfdme4m17_Ezd3J69EeeiQPD0/edit?usp=sharing"",""อุทัยธานี!R165"")"),0)</f>
        <v>0</v>
      </c>
      <c r="S165" s="46">
        <f ca="1">IFERROR(__xludf.DUMMYFUNCTION("IMPORTRANGE(""https://docs.google.com/spreadsheets/d/1jTcq05yEiRwXcBMLjiodW9e4biSGYWAHcDj22rKWQ3s/edit?usp=sharing"",""กำแพงเพชร!S165"")+IMPORTRANGE(""https://docs.google.com/spreadsheets/d/1KS0zmDSZPk8KnTAbGN-Xk6MtX1YRZD0ldgdt20K4CRk/edit?usp=sharing"","&amp;"""เชียงราย!S165"")+IMPORTRANGE(""https://docs.google.com/spreadsheets/d/1rEDxBtusbi64tE0zunoIbsTVV16HeL0oJ6trHQeQ7K8/edit?usp=sharing"",""เชียงใหม่!S165"")+IMPORTRANGE(""https://docs.google.com/spreadsheets/d/1W6MnUbDkMi6xHnHko_XkFDO9kkuL6Wqyc-6OCDFjW9I/e"&amp;"dit?usp=sharing"",""ตาก!S165"")+IMPORTRANGE(""https://docs.google.com/spreadsheets/d/1IQAWArduLkta9LpYo4a_ULsyqdta6-6aDDiwpUnQT6c/edit?usp=sharing"",""นครสวรรค์!S165"")+IMPORTRANGE(""https://docs.google.com/spreadsheets/d/10s13Sk5xrltsiR-Zkbmk5DwIaDIKO8Xl"&amp;"bJAfqyT7Gvg/edit?usp=sharing"",""น่าน!S165"")+IMPORTRANGE(""https://docs.google.com/spreadsheets/d/1uu4nAn4Dbi1XREnLKKotUANlKXa7yCgRcgq8HEzQYW8/edit?usp=sharing"",""พะเยา!S165"")+IMPORTRANGE(""https://docs.google.com/spreadsheets/d/1xfJKIQxVOaPDIICqsflNlL"&amp;"u3JacTDk1FP9RH4phX7mI/edit?usp=sharing"",""พิจิตร!S165"")+IMPORTRANGE(""https://docs.google.com/spreadsheets/d/1JtRfZkJMHtEhI5RdRHxYUG4FIZHqKDpNyIuN7A1Q0_k/edit?usp=sharing"",""พิษณุโลก!S165"")+IMPORTRANGE(""https://docs.google.com/spreadsheets/d/1xlcVZWU"&amp;"Nn6SuWm0c307h32SiGkd9BaeQWlAktfD3KO8/edit?usp=sharing"",""เพชรบูรณ์!S165"")+IMPORTRANGE(""https://docs.google.com/spreadsheets/d/1lOVebEIsI9qjGXl6EX66luk7wiuP2tBaryw-wKvv4e0/edit?usp=sharing"",""แพร่!S165"")+IMPORTRANGE(""https://docs.google.com/spreadshe"&amp;"ets/d/1dQrvX0vEcN7Gu0fnZ0B5S90AeR19zth4XlExFBeExMY/edit?usp=sharing"",""แม่ฮ่องสอน!S165"")+IMPORTRANGE(""https://docs.google.com/spreadsheets/d/1DY4XTNNwjluuxqdfdn6qvOSlMRrZqUtmYcZR0ttFiG4/edit?usp=sharing"",""ลำปาง!S165"")+IMPORTRANGE(""https://docs.goog"&amp;"le.com/spreadsheets/d/1ICwG78r0OFT8biBlxnBF8r7she7gNSzOvJ958PWT09c/edit?usp=sharing"",""ลำพูน!S165"")+IMPORTRANGE(""https://docs.google.com/spreadsheets/d/1B0f2xJpZUC6Z0xXnqKlZtEPzsf6L84eP1r1Q15seqRM/edit?usp=sharing"",""สุโขทัย!S165"")+IMPORTRANGE(""http"&amp;"s://docs.google.com/spreadsheets/d/1v0b9pFQCsKUVExMei7AgY2yQkdeNQvtOssygGsXbiKo/edit?usp=sharing"",""อุตรดิตถ์!S165"")+IMPORTRANGE(""https://docs.google.com/spreadsheets/d/1UsNK1e-WWiCo2PvGqdNfdme4m17_Ezd3J69EeeiQPD0/edit?usp=sharing"",""อุทัยธานี!S165"")"),0)</f>
        <v>0</v>
      </c>
      <c r="T165" s="46">
        <f t="shared" ca="1" si="128"/>
        <v>0</v>
      </c>
      <c r="U165" s="46">
        <f t="shared" ca="1" si="129"/>
        <v>0</v>
      </c>
    </row>
    <row r="166" spans="1:21" ht="19.5" x14ac:dyDescent="0.3">
      <c r="A166" s="138"/>
      <c r="B166" s="139"/>
      <c r="C166" s="129" t="s">
        <v>18</v>
      </c>
      <c r="D166" s="140" t="s">
        <v>38</v>
      </c>
      <c r="E166" s="141"/>
      <c r="F166" s="141"/>
      <c r="G166" s="142"/>
      <c r="H166" s="178"/>
      <c r="I166" s="44"/>
      <c r="J166" s="44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66">
        <f ca="1">IFERROR(__xludf.DUMMYFUNCTION("IMPORTRANGE(""https://docs.google.com/spreadsheets/d/1jTcq05yEiRwXcBMLjiodW9e4biSGYWAHcDj22rKWQ3s/edit?usp=sharing"",""กำแพงเพชร!I167"")+IMPORTRANGE(""https://docs.google.com/spreadsheets/d/1KS0zmDSZPk8KnTAbGN-Xk6MtX1YRZD0ldgdt20K4CRk/edit?usp=sharing"","&amp;"""เชียงราย!I167"")+IMPORTRANGE(""https://docs.google.com/spreadsheets/d/1rEDxBtusbi64tE0zunoIbsTVV16HeL0oJ6trHQeQ7K8/edit?usp=sharing"",""เชียงใหม่!I167"")+IMPORTRANGE(""https://docs.google.com/spreadsheets/d/1W6MnUbDkMi6xHnHko_XkFDO9kkuL6Wqyc-6OCDFjW9I/e"&amp;"dit?usp=sharing"",""ตาก!I167"")+IMPORTRANGE(""https://docs.google.com/spreadsheets/d/1IQAWArduLkta9LpYo4a_ULsyqdta6-6aDDiwpUnQT6c/edit?usp=sharing"",""นครสวรรค์!I167"")+IMPORTRANGE(""https://docs.google.com/spreadsheets/d/10s13Sk5xrltsiR-Zkbmk5DwIaDIKO8Xl"&amp;"bJAfqyT7Gvg/edit?usp=sharing"",""น่าน!I167"")+IMPORTRANGE(""https://docs.google.com/spreadsheets/d/1uu4nAn4Dbi1XREnLKKotUANlKXa7yCgRcgq8HEzQYW8/edit?usp=sharing"",""พะเยา!I167"")+IMPORTRANGE(""https://docs.google.com/spreadsheets/d/1xfJKIQxVOaPDIICqsflNlL"&amp;"u3JacTDk1FP9RH4phX7mI/edit?usp=sharing"",""พิจิตร!I167"")+IMPORTRANGE(""https://docs.google.com/spreadsheets/d/1JtRfZkJMHtEhI5RdRHxYUG4FIZHqKDpNyIuN7A1Q0_k/edit?usp=sharing"",""พิษณุโลก!I167"")+IMPORTRANGE(""https://docs.google.com/spreadsheets/d/1xlcVZWU"&amp;"Nn6SuWm0c307h32SiGkd9BaeQWlAktfD3KO8/edit?usp=sharing"",""เพชรบูรณ์!I167"")+IMPORTRANGE(""https://docs.google.com/spreadsheets/d/1lOVebEIsI9qjGXl6EX66luk7wiuP2tBaryw-wKvv4e0/edit?usp=sharing"",""แพร่!I167"")+IMPORTRANGE(""https://docs.google.com/spreadshe"&amp;"ets/d/1dQrvX0vEcN7Gu0fnZ0B5S90AeR19zth4XlExFBeExMY/edit?usp=sharing"",""แม่ฮ่องสอน!I167"")+IMPORTRANGE(""https://docs.google.com/spreadsheets/d/1DY4XTNNwjluuxqdfdn6qvOSlMRrZqUtmYcZR0ttFiG4/edit?usp=sharing"",""ลำปาง!I167"")+IMPORTRANGE(""https://docs.goog"&amp;"le.com/spreadsheets/d/1ICwG78r0OFT8biBlxnBF8r7she7gNSzOvJ958PWT09c/edit?usp=sharing"",""ลำพูน!I167"")+IMPORTRANGE(""https://docs.google.com/spreadsheets/d/1B0f2xJpZUC6Z0xXnqKlZtEPzsf6L84eP1r1Q15seqRM/edit?usp=sharing"",""สุโขทัย!I167"")+IMPORTRANGE(""http"&amp;"s://docs.google.com/spreadsheets/d/1v0b9pFQCsKUVExMei7AgY2yQkdeNQvtOssygGsXbiKo/edit?usp=sharing"",""อุตรดิตถ์!I167"")+IMPORTRANGE(""https://docs.google.com/spreadsheets/d/1UsNK1e-WWiCo2PvGqdNfdme4m17_Ezd3J69EeeiQPD0/edit?usp=sharing"",""อุทัยธานี!I167"")"),210)</f>
        <v>210</v>
      </c>
      <c r="J167" s="166">
        <f ca="1">IFERROR(__xludf.DUMMYFUNCTION("IMPORTRANGE(""https://docs.google.com/spreadsheets/d/1jTcq05yEiRwXcBMLjiodW9e4biSGYWAHcDj22rKWQ3s/edit?usp=sharing"",""กำแพงเพชร!J167"")+IMPORTRANGE(""https://docs.google.com/spreadsheets/d/1KS0zmDSZPk8KnTAbGN-Xk6MtX1YRZD0ldgdt20K4CRk/edit?usp=sharing"","&amp;"""เชียงราย!J167"")+IMPORTRANGE(""https://docs.google.com/spreadsheets/d/1rEDxBtusbi64tE0zunoIbsTVV16HeL0oJ6trHQeQ7K8/edit?usp=sharing"",""เชียงใหม่!J167"")+IMPORTRANGE(""https://docs.google.com/spreadsheets/d/1W6MnUbDkMi6xHnHko_XkFDO9kkuL6Wqyc-6OCDFjW9I/e"&amp;"dit?usp=sharing"",""ตาก!J167"")+IMPORTRANGE(""https://docs.google.com/spreadsheets/d/1IQAWArduLkta9LpYo4a_ULsyqdta6-6aDDiwpUnQT6c/edit?usp=sharing"",""นครสวรรค์!J167"")+IMPORTRANGE(""https://docs.google.com/spreadsheets/d/10s13Sk5xrltsiR-Zkbmk5DwIaDIKO8Xl"&amp;"bJAfqyT7Gvg/edit?usp=sharing"",""น่าน!J167"")+IMPORTRANGE(""https://docs.google.com/spreadsheets/d/1uu4nAn4Dbi1XREnLKKotUANlKXa7yCgRcgq8HEzQYW8/edit?usp=sharing"",""พะเยา!J167"")+IMPORTRANGE(""https://docs.google.com/spreadsheets/d/1xfJKIQxVOaPDIICqsflNlL"&amp;"u3JacTDk1FP9RH4phX7mI/edit?usp=sharing"",""พิจิตร!J167"")+IMPORTRANGE(""https://docs.google.com/spreadsheets/d/1JtRfZkJMHtEhI5RdRHxYUG4FIZHqKDpNyIuN7A1Q0_k/edit?usp=sharing"",""พิษณุโลก!J167"")+IMPORTRANGE(""https://docs.google.com/spreadsheets/d/1xlcVZWU"&amp;"Nn6SuWm0c307h32SiGkd9BaeQWlAktfD3KO8/edit?usp=sharing"",""เพชรบูรณ์!J167"")+IMPORTRANGE(""https://docs.google.com/spreadsheets/d/1lOVebEIsI9qjGXl6EX66luk7wiuP2tBaryw-wKvv4e0/edit?usp=sharing"",""แพร่!J167"")+IMPORTRANGE(""https://docs.google.com/spreadshe"&amp;"ets/d/1dQrvX0vEcN7Gu0fnZ0B5S90AeR19zth4XlExFBeExMY/edit?usp=sharing"",""แม่ฮ่องสอน!J167"")+IMPORTRANGE(""https://docs.google.com/spreadsheets/d/1DY4XTNNwjluuxqdfdn6qvOSlMRrZqUtmYcZR0ttFiG4/edit?usp=sharing"",""ลำปาง!J167"")+IMPORTRANGE(""https://docs.goog"&amp;"le.com/spreadsheets/d/1ICwG78r0OFT8biBlxnBF8r7she7gNSzOvJ958PWT09c/edit?usp=sharing"",""ลำพูน!J167"")+IMPORTRANGE(""https://docs.google.com/spreadsheets/d/1B0f2xJpZUC6Z0xXnqKlZtEPzsf6L84eP1r1Q15seqRM/edit?usp=sharing"",""สุโขทัย!J167"")+IMPORTRANGE(""http"&amp;"s://docs.google.com/spreadsheets/d/1v0b9pFQCsKUVExMei7AgY2yQkdeNQvtOssygGsXbiKo/edit?usp=sharing"",""อุตรดิตถ์!J167"")+IMPORTRANGE(""https://docs.google.com/spreadsheets/d/1UsNK1e-WWiCo2PvGqdNfdme4m17_Ezd3J69EeeiQPD0/edit?usp=sharing"",""อุทัยธานี!J167"")"),229)</f>
        <v>229</v>
      </c>
      <c r="K167" s="46">
        <f t="shared" ref="K167:K169" ca="1" si="138">IF(I167&gt;0,J167*100/I167,0)</f>
        <v>109.04761904761905</v>
      </c>
      <c r="L167" s="45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x14ac:dyDescent="0.25">
      <c r="A168" s="128"/>
      <c r="B168" s="40"/>
      <c r="C168" s="40"/>
      <c r="D168" s="47" t="s">
        <v>70</v>
      </c>
      <c r="E168" s="40"/>
      <c r="F168" s="40"/>
      <c r="G168" s="42"/>
      <c r="H168" s="137" t="s">
        <v>35</v>
      </c>
      <c r="I168" s="166">
        <f t="shared" ref="I168:I169" ca="1" si="139">I167</f>
        <v>210</v>
      </c>
      <c r="J168" s="184">
        <v>0</v>
      </c>
      <c r="K168" s="46">
        <f t="shared" ca="1" si="138"/>
        <v>0</v>
      </c>
      <c r="L168" s="45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x14ac:dyDescent="0.25">
      <c r="A169" s="185"/>
      <c r="B169" s="1"/>
      <c r="C169" s="1"/>
      <c r="D169" s="51" t="s">
        <v>71</v>
      </c>
      <c r="E169" s="1"/>
      <c r="F169" s="1"/>
      <c r="G169" s="52"/>
      <c r="H169" s="186" t="s">
        <v>35</v>
      </c>
      <c r="I169" s="187">
        <f t="shared" ca="1" si="139"/>
        <v>210</v>
      </c>
      <c r="J169" s="188">
        <v>0</v>
      </c>
      <c r="K169" s="111">
        <f t="shared" ca="1" si="138"/>
        <v>0</v>
      </c>
      <c r="L169" s="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200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205">
        <f t="shared" ref="I172:J172" ca="1" si="140">I183+I184</f>
        <v>189</v>
      </c>
      <c r="J172" s="205">
        <f t="shared" ca="1" si="140"/>
        <v>119</v>
      </c>
      <c r="K172" s="206">
        <f ca="1">IF(I172&gt;0,J172*100/I172,0)</f>
        <v>62.962962962962962</v>
      </c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13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132">
        <f t="shared" ref="L173:N173" ca="1" si="141">L174+L175</f>
        <v>333030</v>
      </c>
      <c r="M173" s="132">
        <f t="shared" ca="1" si="141"/>
        <v>1794000</v>
      </c>
      <c r="N173" s="132">
        <f t="shared" ca="1" si="141"/>
        <v>1691317</v>
      </c>
      <c r="O173" s="132">
        <f t="shared" ref="O173:O181" ca="1" si="142">IF(L173&gt;0,N173*100/L173,0)</f>
        <v>507.8572500975888</v>
      </c>
      <c r="P173" s="132">
        <f t="shared" ref="P173:P181" ca="1" si="143">IF(M173&gt;0,N173*100/M173,0)</f>
        <v>94.276309921962095</v>
      </c>
      <c r="Q173" s="132">
        <f t="shared" ref="Q173:S173" ca="1" si="144">Q174+Q175</f>
        <v>0</v>
      </c>
      <c r="R173" s="132">
        <f t="shared" ca="1" si="144"/>
        <v>0</v>
      </c>
      <c r="S173" s="132">
        <f t="shared" ca="1" si="144"/>
        <v>0</v>
      </c>
      <c r="T173" s="132">
        <f t="shared" ref="T173:T181" ca="1" si="145">IF(Q173&gt;0,S173*100/Q173,0)</f>
        <v>0</v>
      </c>
      <c r="U173" s="132">
        <f t="shared" ref="U173:U181" ca="1" si="146">IF(R173&gt;0,S173*100/R173,0)</f>
        <v>0</v>
      </c>
    </row>
    <row r="174" spans="1:21" ht="18.75" x14ac:dyDescent="0.25">
      <c r="A174" s="128"/>
      <c r="B174" s="40"/>
      <c r="C174" s="40"/>
      <c r="D174" s="40"/>
      <c r="E174" s="47" t="s">
        <v>20</v>
      </c>
      <c r="F174" s="40"/>
      <c r="G174" s="42"/>
      <c r="H174" s="133" t="s">
        <v>14</v>
      </c>
      <c r="I174" s="44"/>
      <c r="J174" s="44"/>
      <c r="K174" s="45"/>
      <c r="L174" s="46">
        <f t="shared" ref="L174:N174" ca="1" si="147">L177+L180</f>
        <v>0</v>
      </c>
      <c r="M174" s="46">
        <f t="shared" ca="1" si="147"/>
        <v>0</v>
      </c>
      <c r="N174" s="46">
        <f t="shared" ca="1" si="147"/>
        <v>0</v>
      </c>
      <c r="O174" s="46">
        <f t="shared" ca="1" si="142"/>
        <v>0</v>
      </c>
      <c r="P174" s="46">
        <f t="shared" ca="1" si="143"/>
        <v>0</v>
      </c>
      <c r="Q174" s="48">
        <f t="shared" ref="Q174:S174" ca="1" si="148">Q177+Q180</f>
        <v>0</v>
      </c>
      <c r="R174" s="48">
        <f t="shared" ca="1" si="148"/>
        <v>0</v>
      </c>
      <c r="S174" s="48">
        <f t="shared" ca="1" si="148"/>
        <v>0</v>
      </c>
      <c r="T174" s="48">
        <f t="shared" ca="1" si="145"/>
        <v>0</v>
      </c>
      <c r="U174" s="48">
        <f t="shared" ca="1" si="146"/>
        <v>0</v>
      </c>
    </row>
    <row r="175" spans="1:21" ht="18.75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46">
        <f t="shared" ref="L175:N175" ca="1" si="149">L178+L181</f>
        <v>333030</v>
      </c>
      <c r="M175" s="46">
        <f t="shared" ca="1" si="149"/>
        <v>1794000</v>
      </c>
      <c r="N175" s="46">
        <f t="shared" ca="1" si="149"/>
        <v>1691317</v>
      </c>
      <c r="O175" s="46">
        <f t="shared" ca="1" si="142"/>
        <v>507.8572500975888</v>
      </c>
      <c r="P175" s="46">
        <f t="shared" ca="1" si="143"/>
        <v>94.276309921962095</v>
      </c>
      <c r="Q175" s="46">
        <f t="shared" ref="Q175:S175" ca="1" si="150">Q178+Q181</f>
        <v>0</v>
      </c>
      <c r="R175" s="46">
        <f t="shared" ca="1" si="150"/>
        <v>0</v>
      </c>
      <c r="S175" s="46">
        <f t="shared" ca="1" si="150"/>
        <v>0</v>
      </c>
      <c r="T175" s="46">
        <f t="shared" ca="1" si="145"/>
        <v>0</v>
      </c>
      <c r="U175" s="46">
        <f t="shared" ca="1" si="146"/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46">
        <f t="shared" ref="L176:N176" ca="1" si="151">L177+L178</f>
        <v>333030</v>
      </c>
      <c r="M176" s="46">
        <f t="shared" ca="1" si="151"/>
        <v>1794000</v>
      </c>
      <c r="N176" s="46">
        <f t="shared" ca="1" si="151"/>
        <v>1691317</v>
      </c>
      <c r="O176" s="46">
        <f t="shared" ca="1" si="142"/>
        <v>507.8572500975888</v>
      </c>
      <c r="P176" s="46">
        <f t="shared" ca="1" si="143"/>
        <v>94.276309921962095</v>
      </c>
      <c r="Q176" s="46">
        <f t="shared" ref="Q176:S176" ca="1" si="152">Q177+Q178</f>
        <v>0</v>
      </c>
      <c r="R176" s="46">
        <f t="shared" ca="1" si="152"/>
        <v>0</v>
      </c>
      <c r="S176" s="46">
        <f t="shared" ca="1" si="152"/>
        <v>0</v>
      </c>
      <c r="T176" s="46">
        <f t="shared" ca="1" si="145"/>
        <v>0</v>
      </c>
      <c r="U176" s="46">
        <f t="shared" ca="1" si="146"/>
        <v>0</v>
      </c>
    </row>
    <row r="177" spans="1:21" ht="18.75" x14ac:dyDescent="0.25">
      <c r="A177" s="128"/>
      <c r="B177" s="40"/>
      <c r="C177" s="40"/>
      <c r="D177" s="40"/>
      <c r="E177" s="47" t="s">
        <v>36</v>
      </c>
      <c r="F177" s="40"/>
      <c r="G177" s="42"/>
      <c r="H177" s="134" t="s">
        <v>14</v>
      </c>
      <c r="I177" s="135"/>
      <c r="J177" s="135"/>
      <c r="K177" s="136"/>
      <c r="L177" s="46">
        <f ca="1">IFERROR(__xludf.DUMMYFUNCTION("IMPORTRANGE(""https://docs.google.com/spreadsheets/d/1jTcq05yEiRwXcBMLjiodW9e4biSGYWAHcDj22rKWQ3s/edit?usp=sharing"",""กำแพงเพชร!L177"")+IMPORTRANGE(""https://docs.google.com/spreadsheets/d/1KS0zmDSZPk8KnTAbGN-Xk6MtX1YRZD0ldgdt20K4CRk/edit?usp=sharing"","&amp;"""เชียงราย!L177"")+IMPORTRANGE(""https://docs.google.com/spreadsheets/d/1rEDxBtusbi64tE0zunoIbsTVV16HeL0oJ6trHQeQ7K8/edit?usp=sharing"",""เชียงใหม่!L177"")+IMPORTRANGE(""https://docs.google.com/spreadsheets/d/1W6MnUbDkMi6xHnHko_XkFDO9kkuL6Wqyc-6OCDFjW9I/e"&amp;"dit?usp=sharing"",""ตาก!L177"")+IMPORTRANGE(""https://docs.google.com/spreadsheets/d/1IQAWArduLkta9LpYo4a_ULsyqdta6-6aDDiwpUnQT6c/edit?usp=sharing"",""นครสวรรค์!L177"")+IMPORTRANGE(""https://docs.google.com/spreadsheets/d/10s13Sk5xrltsiR-Zkbmk5DwIaDIKO8Xl"&amp;"bJAfqyT7Gvg/edit?usp=sharing"",""น่าน!L177"")+IMPORTRANGE(""https://docs.google.com/spreadsheets/d/1uu4nAn4Dbi1XREnLKKotUANlKXa7yCgRcgq8HEzQYW8/edit?usp=sharing"",""พะเยา!L177"")+IMPORTRANGE(""https://docs.google.com/spreadsheets/d/1xfJKIQxVOaPDIICqsflNlL"&amp;"u3JacTDk1FP9RH4phX7mI/edit?usp=sharing"",""พิจิตร!L177"")+IMPORTRANGE(""https://docs.google.com/spreadsheets/d/1JtRfZkJMHtEhI5RdRHxYUG4FIZHqKDpNyIuN7A1Q0_k/edit?usp=sharing"",""พิษณุโลก!L177"")+IMPORTRANGE(""https://docs.google.com/spreadsheets/d/1xlcVZWU"&amp;"Nn6SuWm0c307h32SiGkd9BaeQWlAktfD3KO8/edit?usp=sharing"",""เพชรบูรณ์!L177"")+IMPORTRANGE(""https://docs.google.com/spreadsheets/d/1lOVebEIsI9qjGXl6EX66luk7wiuP2tBaryw-wKvv4e0/edit?usp=sharing"",""แพร่!L177"")+IMPORTRANGE(""https://docs.google.com/spreadshe"&amp;"ets/d/1dQrvX0vEcN7Gu0fnZ0B5S90AeR19zth4XlExFBeExMY/edit?usp=sharing"",""แม่ฮ่องสอน!L177"")+IMPORTRANGE(""https://docs.google.com/spreadsheets/d/1DY4XTNNwjluuxqdfdn6qvOSlMRrZqUtmYcZR0ttFiG4/edit?usp=sharing"",""ลำปาง!L177"")+IMPORTRANGE(""https://docs.goog"&amp;"le.com/spreadsheets/d/1ICwG78r0OFT8biBlxnBF8r7she7gNSzOvJ958PWT09c/edit?usp=sharing"",""ลำพูน!L177"")+IMPORTRANGE(""https://docs.google.com/spreadsheets/d/1B0f2xJpZUC6Z0xXnqKlZtEPzsf6L84eP1r1Q15seqRM/edit?usp=sharing"",""สุโขทัย!L177"")+IMPORTRANGE(""http"&amp;"s://docs.google.com/spreadsheets/d/1v0b9pFQCsKUVExMei7AgY2yQkdeNQvtOssygGsXbiKo/edit?usp=sharing"",""อุตรดิตถ์!L177"")+IMPORTRANGE(""https://docs.google.com/spreadsheets/d/1UsNK1e-WWiCo2PvGqdNfdme4m17_Ezd3J69EeeiQPD0/edit?usp=sharing"",""อุทัยธานี!L177"")"),0)</f>
        <v>0</v>
      </c>
      <c r="M177" s="46">
        <f ca="1">IFERROR(__xludf.DUMMYFUNCTION("IMPORTRANGE(""https://docs.google.com/spreadsheets/d/1jTcq05yEiRwXcBMLjiodW9e4biSGYWAHcDj22rKWQ3s/edit?usp=sharing"",""กำแพงเพชร!M177"")+IMPORTRANGE(""https://docs.google.com/spreadsheets/d/1KS0zmDSZPk8KnTAbGN-Xk6MtX1YRZD0ldgdt20K4CRk/edit?usp=sharing"","&amp;"""เชียงราย!M177"")+IMPORTRANGE(""https://docs.google.com/spreadsheets/d/1rEDxBtusbi64tE0zunoIbsTVV16HeL0oJ6trHQeQ7K8/edit?usp=sharing"",""เชียงใหม่!M177"")+IMPORTRANGE(""https://docs.google.com/spreadsheets/d/1W6MnUbDkMi6xHnHko_XkFDO9kkuL6Wqyc-6OCDFjW9I/e"&amp;"dit?usp=sharing"",""ตาก!M177"")+IMPORTRANGE(""https://docs.google.com/spreadsheets/d/1IQAWArduLkta9LpYo4a_ULsyqdta6-6aDDiwpUnQT6c/edit?usp=sharing"",""นครสวรรค์!M177"")+IMPORTRANGE(""https://docs.google.com/spreadsheets/d/10s13Sk5xrltsiR-Zkbmk5DwIaDIKO8Xl"&amp;"bJAfqyT7Gvg/edit?usp=sharing"",""น่าน!M177"")+IMPORTRANGE(""https://docs.google.com/spreadsheets/d/1uu4nAn4Dbi1XREnLKKotUANlKXa7yCgRcgq8HEzQYW8/edit?usp=sharing"",""พะเยา!M177"")+IMPORTRANGE(""https://docs.google.com/spreadsheets/d/1xfJKIQxVOaPDIICqsflNlL"&amp;"u3JacTDk1FP9RH4phX7mI/edit?usp=sharing"",""พิจิตร!M177"")+IMPORTRANGE(""https://docs.google.com/spreadsheets/d/1JtRfZkJMHtEhI5RdRHxYUG4FIZHqKDpNyIuN7A1Q0_k/edit?usp=sharing"",""พิษณุโลก!M177"")+IMPORTRANGE(""https://docs.google.com/spreadsheets/d/1xlcVZWU"&amp;"Nn6SuWm0c307h32SiGkd9BaeQWlAktfD3KO8/edit?usp=sharing"",""เพชรบูรณ์!M177"")+IMPORTRANGE(""https://docs.google.com/spreadsheets/d/1lOVebEIsI9qjGXl6EX66luk7wiuP2tBaryw-wKvv4e0/edit?usp=sharing"",""แพร่!M177"")+IMPORTRANGE(""https://docs.google.com/spreadshe"&amp;"ets/d/1dQrvX0vEcN7Gu0fnZ0B5S90AeR19zth4XlExFBeExMY/edit?usp=sharing"",""แม่ฮ่องสอน!M177"")+IMPORTRANGE(""https://docs.google.com/spreadsheets/d/1DY4XTNNwjluuxqdfdn6qvOSlMRrZqUtmYcZR0ttFiG4/edit?usp=sharing"",""ลำปาง!M177"")+IMPORTRANGE(""https://docs.goog"&amp;"le.com/spreadsheets/d/1ICwG78r0OFT8biBlxnBF8r7she7gNSzOvJ958PWT09c/edit?usp=sharing"",""ลำพูน!M177"")+IMPORTRANGE(""https://docs.google.com/spreadsheets/d/1B0f2xJpZUC6Z0xXnqKlZtEPzsf6L84eP1r1Q15seqRM/edit?usp=sharing"",""สุโขทัย!M177"")+IMPORTRANGE(""http"&amp;"s://docs.google.com/spreadsheets/d/1v0b9pFQCsKUVExMei7AgY2yQkdeNQvtOssygGsXbiKo/edit?usp=sharing"",""อุตรดิตถ์!M177"")+IMPORTRANGE(""https://docs.google.com/spreadsheets/d/1UsNK1e-WWiCo2PvGqdNfdme4m17_Ezd3J69EeeiQPD0/edit?usp=sharing"",""อุทัยธานี!M177"")"),0)</f>
        <v>0</v>
      </c>
      <c r="N177" s="46">
        <f ca="1">IFERROR(__xludf.DUMMYFUNCTION("IMPORTRANGE(""https://docs.google.com/spreadsheets/d/1jTcq05yEiRwXcBMLjiodW9e4biSGYWAHcDj22rKWQ3s/edit?usp=sharing"",""กำแพงเพชร!N177"")+IMPORTRANGE(""https://docs.google.com/spreadsheets/d/1KS0zmDSZPk8KnTAbGN-Xk6MtX1YRZD0ldgdt20K4CRk/edit?usp=sharing"","&amp;"""เชียงราย!N177"")+IMPORTRANGE(""https://docs.google.com/spreadsheets/d/1rEDxBtusbi64tE0zunoIbsTVV16HeL0oJ6trHQeQ7K8/edit?usp=sharing"",""เชียงใหม่!N177"")+IMPORTRANGE(""https://docs.google.com/spreadsheets/d/1W6MnUbDkMi6xHnHko_XkFDO9kkuL6Wqyc-6OCDFjW9I/e"&amp;"dit?usp=sharing"",""ตาก!N177"")+IMPORTRANGE(""https://docs.google.com/spreadsheets/d/1IQAWArduLkta9LpYo4a_ULsyqdta6-6aDDiwpUnQT6c/edit?usp=sharing"",""นครสวรรค์!N177"")+IMPORTRANGE(""https://docs.google.com/spreadsheets/d/10s13Sk5xrltsiR-Zkbmk5DwIaDIKO8Xl"&amp;"bJAfqyT7Gvg/edit?usp=sharing"",""น่าน!N177"")+IMPORTRANGE(""https://docs.google.com/spreadsheets/d/1uu4nAn4Dbi1XREnLKKotUANlKXa7yCgRcgq8HEzQYW8/edit?usp=sharing"",""พะเยา!N177"")+IMPORTRANGE(""https://docs.google.com/spreadsheets/d/1xfJKIQxVOaPDIICqsflNlL"&amp;"u3JacTDk1FP9RH4phX7mI/edit?usp=sharing"",""พิจิตร!N177"")+IMPORTRANGE(""https://docs.google.com/spreadsheets/d/1JtRfZkJMHtEhI5RdRHxYUG4FIZHqKDpNyIuN7A1Q0_k/edit?usp=sharing"",""พิษณุโลก!N177"")+IMPORTRANGE(""https://docs.google.com/spreadsheets/d/1xlcVZWU"&amp;"Nn6SuWm0c307h32SiGkd9BaeQWlAktfD3KO8/edit?usp=sharing"",""เพชรบูรณ์!N177"")+IMPORTRANGE(""https://docs.google.com/spreadsheets/d/1lOVebEIsI9qjGXl6EX66luk7wiuP2tBaryw-wKvv4e0/edit?usp=sharing"",""แพร่!N177"")+IMPORTRANGE(""https://docs.google.com/spreadshe"&amp;"ets/d/1dQrvX0vEcN7Gu0fnZ0B5S90AeR19zth4XlExFBeExMY/edit?usp=sharing"",""แม่ฮ่องสอน!N177"")+IMPORTRANGE(""https://docs.google.com/spreadsheets/d/1DY4XTNNwjluuxqdfdn6qvOSlMRrZqUtmYcZR0ttFiG4/edit?usp=sharing"",""ลำปาง!N177"")+IMPORTRANGE(""https://docs.goog"&amp;"le.com/spreadsheets/d/1ICwG78r0OFT8biBlxnBF8r7she7gNSzOvJ958PWT09c/edit?usp=sharing"",""ลำพูน!N177"")+IMPORTRANGE(""https://docs.google.com/spreadsheets/d/1B0f2xJpZUC6Z0xXnqKlZtEPzsf6L84eP1r1Q15seqRM/edit?usp=sharing"",""สุโขทัย!N177"")+IMPORTRANGE(""http"&amp;"s://docs.google.com/spreadsheets/d/1v0b9pFQCsKUVExMei7AgY2yQkdeNQvtOssygGsXbiKo/edit?usp=sharing"",""อุตรดิตถ์!N177"")+IMPORTRANGE(""https://docs.google.com/spreadsheets/d/1UsNK1e-WWiCo2PvGqdNfdme4m17_Ezd3J69EeeiQPD0/edit?usp=sharing"",""อุทัยธานี!N177"")"),0)</f>
        <v>0</v>
      </c>
      <c r="O177" s="46">
        <f t="shared" ca="1" si="142"/>
        <v>0</v>
      </c>
      <c r="P177" s="46">
        <f t="shared" ca="1" si="143"/>
        <v>0</v>
      </c>
      <c r="Q177" s="48">
        <f ca="1">IFERROR(__xludf.DUMMYFUNCTION("IMPORTRANGE(""https://docs.google.com/spreadsheets/d/1jTcq05yEiRwXcBMLjiodW9e4biSGYWAHcDj22rKWQ3s/edit?usp=sharing"",""กำแพงเพชร!Q177"")+IMPORTRANGE(""https://docs.google.com/spreadsheets/d/1KS0zmDSZPk8KnTAbGN-Xk6MtX1YRZD0ldgdt20K4CRk/edit?usp=sharing"","&amp;"""เชียงราย!Q177"")+IMPORTRANGE(""https://docs.google.com/spreadsheets/d/1rEDxBtusbi64tE0zunoIbsTVV16HeL0oJ6trHQeQ7K8/edit?usp=sharing"",""เชียงใหม่!Q177"")+IMPORTRANGE(""https://docs.google.com/spreadsheets/d/1W6MnUbDkMi6xHnHko_XkFDO9kkuL6Wqyc-6OCDFjW9I/e"&amp;"dit?usp=sharing"",""ตาก!Q177"")+IMPORTRANGE(""https://docs.google.com/spreadsheets/d/1IQAWArduLkta9LpYo4a_ULsyqdta6-6aDDiwpUnQT6c/edit?usp=sharing"",""นครสวรรค์!Q177"")+IMPORTRANGE(""https://docs.google.com/spreadsheets/d/10s13Sk5xrltsiR-Zkbmk5DwIaDIKO8Xl"&amp;"bJAfqyT7Gvg/edit?usp=sharing"",""น่าน!Q177"")+IMPORTRANGE(""https://docs.google.com/spreadsheets/d/1uu4nAn4Dbi1XREnLKKotUANlKXa7yCgRcgq8HEzQYW8/edit?usp=sharing"",""พะเยา!Q177"")+IMPORTRANGE(""https://docs.google.com/spreadsheets/d/1xfJKIQxVOaPDIICqsflNlL"&amp;"u3JacTDk1FP9RH4phX7mI/edit?usp=sharing"",""พิจิตร!Q177"")+IMPORTRANGE(""https://docs.google.com/spreadsheets/d/1JtRfZkJMHtEhI5RdRHxYUG4FIZHqKDpNyIuN7A1Q0_k/edit?usp=sharing"",""พิษณุโลก!Q177"")+IMPORTRANGE(""https://docs.google.com/spreadsheets/d/1xlcVZWU"&amp;"Nn6SuWm0c307h32SiGkd9BaeQWlAktfD3KO8/edit?usp=sharing"",""เพชรบูรณ์!Q177"")+IMPORTRANGE(""https://docs.google.com/spreadsheets/d/1lOVebEIsI9qjGXl6EX66luk7wiuP2tBaryw-wKvv4e0/edit?usp=sharing"",""แพร่!Q177"")+IMPORTRANGE(""https://docs.google.com/spreadshe"&amp;"ets/d/1dQrvX0vEcN7Gu0fnZ0B5S90AeR19zth4XlExFBeExMY/edit?usp=sharing"",""แม่ฮ่องสอน!Q177"")+IMPORTRANGE(""https://docs.google.com/spreadsheets/d/1DY4XTNNwjluuxqdfdn6qvOSlMRrZqUtmYcZR0ttFiG4/edit?usp=sharing"",""ลำปาง!Q177"")+IMPORTRANGE(""https://docs.goog"&amp;"le.com/spreadsheets/d/1ICwG78r0OFT8biBlxnBF8r7she7gNSzOvJ958PWT09c/edit?usp=sharing"",""ลำพูน!Q177"")+IMPORTRANGE(""https://docs.google.com/spreadsheets/d/1B0f2xJpZUC6Z0xXnqKlZtEPzsf6L84eP1r1Q15seqRM/edit?usp=sharing"",""สุโขทัย!Q177"")+IMPORTRANGE(""http"&amp;"s://docs.google.com/spreadsheets/d/1v0b9pFQCsKUVExMei7AgY2yQkdeNQvtOssygGsXbiKo/edit?usp=sharing"",""อุตรดิตถ์!Q177"")+IMPORTRANGE(""https://docs.google.com/spreadsheets/d/1UsNK1e-WWiCo2PvGqdNfdme4m17_Ezd3J69EeeiQPD0/edit?usp=sharing"",""อุทัยธานี!Q177"")"),0)</f>
        <v>0</v>
      </c>
      <c r="R177" s="48">
        <f ca="1">IFERROR(__xludf.DUMMYFUNCTION("IMPORTRANGE(""https://docs.google.com/spreadsheets/d/1jTcq05yEiRwXcBMLjiodW9e4biSGYWAHcDj22rKWQ3s/edit?usp=sharing"",""กำแพงเพชร!R177"")+IMPORTRANGE(""https://docs.google.com/spreadsheets/d/1KS0zmDSZPk8KnTAbGN-Xk6MtX1YRZD0ldgdt20K4CRk/edit?usp=sharing"","&amp;"""เชียงราย!R177"")+IMPORTRANGE(""https://docs.google.com/spreadsheets/d/1rEDxBtusbi64tE0zunoIbsTVV16HeL0oJ6trHQeQ7K8/edit?usp=sharing"",""เชียงใหม่!R177"")+IMPORTRANGE(""https://docs.google.com/spreadsheets/d/1W6MnUbDkMi6xHnHko_XkFDO9kkuL6Wqyc-6OCDFjW9I/e"&amp;"dit?usp=sharing"",""ตาก!R177"")+IMPORTRANGE(""https://docs.google.com/spreadsheets/d/1IQAWArduLkta9LpYo4a_ULsyqdta6-6aDDiwpUnQT6c/edit?usp=sharing"",""นครสวรรค์!R177"")+IMPORTRANGE(""https://docs.google.com/spreadsheets/d/10s13Sk5xrltsiR-Zkbmk5DwIaDIKO8Xl"&amp;"bJAfqyT7Gvg/edit?usp=sharing"",""น่าน!R177"")+IMPORTRANGE(""https://docs.google.com/spreadsheets/d/1uu4nAn4Dbi1XREnLKKotUANlKXa7yCgRcgq8HEzQYW8/edit?usp=sharing"",""พะเยา!R177"")+IMPORTRANGE(""https://docs.google.com/spreadsheets/d/1xfJKIQxVOaPDIICqsflNlL"&amp;"u3JacTDk1FP9RH4phX7mI/edit?usp=sharing"",""พิจิตร!R177"")+IMPORTRANGE(""https://docs.google.com/spreadsheets/d/1JtRfZkJMHtEhI5RdRHxYUG4FIZHqKDpNyIuN7A1Q0_k/edit?usp=sharing"",""พิษณุโลก!R177"")+IMPORTRANGE(""https://docs.google.com/spreadsheets/d/1xlcVZWU"&amp;"Nn6SuWm0c307h32SiGkd9BaeQWlAktfD3KO8/edit?usp=sharing"",""เพชรบูรณ์!R177"")+IMPORTRANGE(""https://docs.google.com/spreadsheets/d/1lOVebEIsI9qjGXl6EX66luk7wiuP2tBaryw-wKvv4e0/edit?usp=sharing"",""แพร่!R177"")+IMPORTRANGE(""https://docs.google.com/spreadshe"&amp;"ets/d/1dQrvX0vEcN7Gu0fnZ0B5S90AeR19zth4XlExFBeExMY/edit?usp=sharing"",""แม่ฮ่องสอน!R177"")+IMPORTRANGE(""https://docs.google.com/spreadsheets/d/1DY4XTNNwjluuxqdfdn6qvOSlMRrZqUtmYcZR0ttFiG4/edit?usp=sharing"",""ลำปาง!R177"")+IMPORTRANGE(""https://docs.goog"&amp;"le.com/spreadsheets/d/1ICwG78r0OFT8biBlxnBF8r7she7gNSzOvJ958PWT09c/edit?usp=sharing"",""ลำพูน!R177"")+IMPORTRANGE(""https://docs.google.com/spreadsheets/d/1B0f2xJpZUC6Z0xXnqKlZtEPzsf6L84eP1r1Q15seqRM/edit?usp=sharing"",""สุโขทัย!R177"")+IMPORTRANGE(""http"&amp;"s://docs.google.com/spreadsheets/d/1v0b9pFQCsKUVExMei7AgY2yQkdeNQvtOssygGsXbiKo/edit?usp=sharing"",""อุตรดิตถ์!R177"")+IMPORTRANGE(""https://docs.google.com/spreadsheets/d/1UsNK1e-WWiCo2PvGqdNfdme4m17_Ezd3J69EeeiQPD0/edit?usp=sharing"",""อุทัยธานี!R177"")"),0)</f>
        <v>0</v>
      </c>
      <c r="S177" s="48">
        <f ca="1">IFERROR(__xludf.DUMMYFUNCTION("IMPORTRANGE(""https://docs.google.com/spreadsheets/d/1jTcq05yEiRwXcBMLjiodW9e4biSGYWAHcDj22rKWQ3s/edit?usp=sharing"",""กำแพงเพชร!S177"")+IMPORTRANGE(""https://docs.google.com/spreadsheets/d/1KS0zmDSZPk8KnTAbGN-Xk6MtX1YRZD0ldgdt20K4CRk/edit?usp=sharing"","&amp;"""เชียงราย!S177"")+IMPORTRANGE(""https://docs.google.com/spreadsheets/d/1rEDxBtusbi64tE0zunoIbsTVV16HeL0oJ6trHQeQ7K8/edit?usp=sharing"",""เชียงใหม่!S177"")+IMPORTRANGE(""https://docs.google.com/spreadsheets/d/1W6MnUbDkMi6xHnHko_XkFDO9kkuL6Wqyc-6OCDFjW9I/e"&amp;"dit?usp=sharing"",""ตาก!S177"")+IMPORTRANGE(""https://docs.google.com/spreadsheets/d/1IQAWArduLkta9LpYo4a_ULsyqdta6-6aDDiwpUnQT6c/edit?usp=sharing"",""นครสวรรค์!S177"")+IMPORTRANGE(""https://docs.google.com/spreadsheets/d/10s13Sk5xrltsiR-Zkbmk5DwIaDIKO8Xl"&amp;"bJAfqyT7Gvg/edit?usp=sharing"",""น่าน!S177"")+IMPORTRANGE(""https://docs.google.com/spreadsheets/d/1uu4nAn4Dbi1XREnLKKotUANlKXa7yCgRcgq8HEzQYW8/edit?usp=sharing"",""พะเยา!S177"")+IMPORTRANGE(""https://docs.google.com/spreadsheets/d/1xfJKIQxVOaPDIICqsflNlL"&amp;"u3JacTDk1FP9RH4phX7mI/edit?usp=sharing"",""พิจิตร!S177"")+IMPORTRANGE(""https://docs.google.com/spreadsheets/d/1JtRfZkJMHtEhI5RdRHxYUG4FIZHqKDpNyIuN7A1Q0_k/edit?usp=sharing"",""พิษณุโลก!S177"")+IMPORTRANGE(""https://docs.google.com/spreadsheets/d/1xlcVZWU"&amp;"Nn6SuWm0c307h32SiGkd9BaeQWlAktfD3KO8/edit?usp=sharing"",""เพชรบูรณ์!S177"")+IMPORTRANGE(""https://docs.google.com/spreadsheets/d/1lOVebEIsI9qjGXl6EX66luk7wiuP2tBaryw-wKvv4e0/edit?usp=sharing"",""แพร่!S177"")+IMPORTRANGE(""https://docs.google.com/spreadshe"&amp;"ets/d/1dQrvX0vEcN7Gu0fnZ0B5S90AeR19zth4XlExFBeExMY/edit?usp=sharing"",""แม่ฮ่องสอน!S177"")+IMPORTRANGE(""https://docs.google.com/spreadsheets/d/1DY4XTNNwjluuxqdfdn6qvOSlMRrZqUtmYcZR0ttFiG4/edit?usp=sharing"",""ลำปาง!S177"")+IMPORTRANGE(""https://docs.goog"&amp;"le.com/spreadsheets/d/1ICwG78r0OFT8biBlxnBF8r7she7gNSzOvJ958PWT09c/edit?usp=sharing"",""ลำพูน!S177"")+IMPORTRANGE(""https://docs.google.com/spreadsheets/d/1B0f2xJpZUC6Z0xXnqKlZtEPzsf6L84eP1r1Q15seqRM/edit?usp=sharing"",""สุโขทัย!S177"")+IMPORTRANGE(""http"&amp;"s://docs.google.com/spreadsheets/d/1v0b9pFQCsKUVExMei7AgY2yQkdeNQvtOssygGsXbiKo/edit?usp=sharing"",""อุตรดิตถ์!S177"")+IMPORTRANGE(""https://docs.google.com/spreadsheets/d/1UsNK1e-WWiCo2PvGqdNfdme4m17_Ezd3J69EeeiQPD0/edit?usp=sharing"",""อุทัยธานี!S177"")"),0)</f>
        <v>0</v>
      </c>
      <c r="T177" s="48">
        <f t="shared" ca="1" si="145"/>
        <v>0</v>
      </c>
      <c r="U177" s="48">
        <f t="shared" ca="1" si="146"/>
        <v>0</v>
      </c>
    </row>
    <row r="178" spans="1:21" ht="18.75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46">
        <f ca="1">IFERROR(__xludf.DUMMYFUNCTION("IMPORTRANGE(""https://docs.google.com/spreadsheets/d/1jTcq05yEiRwXcBMLjiodW9e4biSGYWAHcDj22rKWQ3s/edit?usp=sharing"",""กำแพงเพชร!L178"")+IMPORTRANGE(""https://docs.google.com/spreadsheets/d/1KS0zmDSZPk8KnTAbGN-Xk6MtX1YRZD0ldgdt20K4CRk/edit?usp=sharing"","&amp;"""เชียงราย!L178"")+IMPORTRANGE(""https://docs.google.com/spreadsheets/d/1rEDxBtusbi64tE0zunoIbsTVV16HeL0oJ6trHQeQ7K8/edit?usp=sharing"",""เชียงใหม่!L178"")+IMPORTRANGE(""https://docs.google.com/spreadsheets/d/1W6MnUbDkMi6xHnHko_XkFDO9kkuL6Wqyc-6OCDFjW9I/e"&amp;"dit?usp=sharing"",""ตาก!L178"")+IMPORTRANGE(""https://docs.google.com/spreadsheets/d/1IQAWArduLkta9LpYo4a_ULsyqdta6-6aDDiwpUnQT6c/edit?usp=sharing"",""นครสวรรค์!L178"")+IMPORTRANGE(""https://docs.google.com/spreadsheets/d/10s13Sk5xrltsiR-Zkbmk5DwIaDIKO8Xl"&amp;"bJAfqyT7Gvg/edit?usp=sharing"",""น่าน!L178"")+IMPORTRANGE(""https://docs.google.com/spreadsheets/d/1uu4nAn4Dbi1XREnLKKotUANlKXa7yCgRcgq8HEzQYW8/edit?usp=sharing"",""พะเยา!L178"")+IMPORTRANGE(""https://docs.google.com/spreadsheets/d/1xfJKIQxVOaPDIICqsflNlL"&amp;"u3JacTDk1FP9RH4phX7mI/edit?usp=sharing"",""พิจิตร!L178"")+IMPORTRANGE(""https://docs.google.com/spreadsheets/d/1JtRfZkJMHtEhI5RdRHxYUG4FIZHqKDpNyIuN7A1Q0_k/edit?usp=sharing"",""พิษณุโลก!L178"")+IMPORTRANGE(""https://docs.google.com/spreadsheets/d/1xlcVZWU"&amp;"Nn6SuWm0c307h32SiGkd9BaeQWlAktfD3KO8/edit?usp=sharing"",""เพชรบูรณ์!L178"")+IMPORTRANGE(""https://docs.google.com/spreadsheets/d/1lOVebEIsI9qjGXl6EX66luk7wiuP2tBaryw-wKvv4e0/edit?usp=sharing"",""แพร่!L178"")+IMPORTRANGE(""https://docs.google.com/spreadshe"&amp;"ets/d/1dQrvX0vEcN7Gu0fnZ0B5S90AeR19zth4XlExFBeExMY/edit?usp=sharing"",""แม่ฮ่องสอน!L178"")+IMPORTRANGE(""https://docs.google.com/spreadsheets/d/1DY4XTNNwjluuxqdfdn6qvOSlMRrZqUtmYcZR0ttFiG4/edit?usp=sharing"",""ลำปาง!L178"")+IMPORTRANGE(""https://docs.goog"&amp;"le.com/spreadsheets/d/1ICwG78r0OFT8biBlxnBF8r7she7gNSzOvJ958PWT09c/edit?usp=sharing"",""ลำพูน!L178"")+IMPORTRANGE(""https://docs.google.com/spreadsheets/d/1B0f2xJpZUC6Z0xXnqKlZtEPzsf6L84eP1r1Q15seqRM/edit?usp=sharing"",""สุโขทัย!L178"")+IMPORTRANGE(""http"&amp;"s://docs.google.com/spreadsheets/d/1v0b9pFQCsKUVExMei7AgY2yQkdeNQvtOssygGsXbiKo/edit?usp=sharing"",""อุตรดิตถ์!L178"")+IMPORTRANGE(""https://docs.google.com/spreadsheets/d/1UsNK1e-WWiCo2PvGqdNfdme4m17_Ezd3J69EeeiQPD0/edit?usp=sharing"",""อุทัยธานี!L178"")"),333030)</f>
        <v>333030</v>
      </c>
      <c r="M178" s="46">
        <f ca="1">IFERROR(__xludf.DUMMYFUNCTION("IMPORTRANGE(""https://docs.google.com/spreadsheets/d/1jTcq05yEiRwXcBMLjiodW9e4biSGYWAHcDj22rKWQ3s/edit?usp=sharing"",""กำแพงเพชร!M178"")+IMPORTRANGE(""https://docs.google.com/spreadsheets/d/1KS0zmDSZPk8KnTAbGN-Xk6MtX1YRZD0ldgdt20K4CRk/edit?usp=sharing"","&amp;"""เชียงราย!M178"")+IMPORTRANGE(""https://docs.google.com/spreadsheets/d/1rEDxBtusbi64tE0zunoIbsTVV16HeL0oJ6trHQeQ7K8/edit?usp=sharing"",""เชียงใหม่!M178"")+IMPORTRANGE(""https://docs.google.com/spreadsheets/d/1W6MnUbDkMi6xHnHko_XkFDO9kkuL6Wqyc-6OCDFjW9I/e"&amp;"dit?usp=sharing"",""ตาก!M178"")+IMPORTRANGE(""https://docs.google.com/spreadsheets/d/1IQAWArduLkta9LpYo4a_ULsyqdta6-6aDDiwpUnQT6c/edit?usp=sharing"",""นครสวรรค์!M178"")+IMPORTRANGE(""https://docs.google.com/spreadsheets/d/10s13Sk5xrltsiR-Zkbmk5DwIaDIKO8Xl"&amp;"bJAfqyT7Gvg/edit?usp=sharing"",""น่าน!M178"")+IMPORTRANGE(""https://docs.google.com/spreadsheets/d/1uu4nAn4Dbi1XREnLKKotUANlKXa7yCgRcgq8HEzQYW8/edit?usp=sharing"",""พะเยา!M178"")+IMPORTRANGE(""https://docs.google.com/spreadsheets/d/1xfJKIQxVOaPDIICqsflNlL"&amp;"u3JacTDk1FP9RH4phX7mI/edit?usp=sharing"",""พิจิตร!M178"")+IMPORTRANGE(""https://docs.google.com/spreadsheets/d/1JtRfZkJMHtEhI5RdRHxYUG4FIZHqKDpNyIuN7A1Q0_k/edit?usp=sharing"",""พิษณุโลก!M178"")+IMPORTRANGE(""https://docs.google.com/spreadsheets/d/1xlcVZWU"&amp;"Nn6SuWm0c307h32SiGkd9BaeQWlAktfD3KO8/edit?usp=sharing"",""เพชรบูรณ์!M178"")+IMPORTRANGE(""https://docs.google.com/spreadsheets/d/1lOVebEIsI9qjGXl6EX66luk7wiuP2tBaryw-wKvv4e0/edit?usp=sharing"",""แพร่!M178"")+IMPORTRANGE(""https://docs.google.com/spreadshe"&amp;"ets/d/1dQrvX0vEcN7Gu0fnZ0B5S90AeR19zth4XlExFBeExMY/edit?usp=sharing"",""แม่ฮ่องสอน!M178"")+IMPORTRANGE(""https://docs.google.com/spreadsheets/d/1DY4XTNNwjluuxqdfdn6qvOSlMRrZqUtmYcZR0ttFiG4/edit?usp=sharing"",""ลำปาง!M178"")+IMPORTRANGE(""https://docs.goog"&amp;"le.com/spreadsheets/d/1ICwG78r0OFT8biBlxnBF8r7she7gNSzOvJ958PWT09c/edit?usp=sharing"",""ลำพูน!M178"")+IMPORTRANGE(""https://docs.google.com/spreadsheets/d/1B0f2xJpZUC6Z0xXnqKlZtEPzsf6L84eP1r1Q15seqRM/edit?usp=sharing"",""สุโขทัย!M178"")+IMPORTRANGE(""http"&amp;"s://docs.google.com/spreadsheets/d/1v0b9pFQCsKUVExMei7AgY2yQkdeNQvtOssygGsXbiKo/edit?usp=sharing"",""อุตรดิตถ์!M178"")+IMPORTRANGE(""https://docs.google.com/spreadsheets/d/1UsNK1e-WWiCo2PvGqdNfdme4m17_Ezd3J69EeeiQPD0/edit?usp=sharing"",""อุทัยธานี!M178"")"),1794000)</f>
        <v>1794000</v>
      </c>
      <c r="N178" s="46">
        <f ca="1">IFERROR(__xludf.DUMMYFUNCTION("IMPORTRANGE(""https://docs.google.com/spreadsheets/d/1jTcq05yEiRwXcBMLjiodW9e4biSGYWAHcDj22rKWQ3s/edit?usp=sharing"",""กำแพงเพชร!N178"")+IMPORTRANGE(""https://docs.google.com/spreadsheets/d/1KS0zmDSZPk8KnTAbGN-Xk6MtX1YRZD0ldgdt20K4CRk/edit?usp=sharing"","&amp;"""เชียงราย!N178"")+IMPORTRANGE(""https://docs.google.com/spreadsheets/d/1rEDxBtusbi64tE0zunoIbsTVV16HeL0oJ6trHQeQ7K8/edit?usp=sharing"",""เชียงใหม่!N178"")+IMPORTRANGE(""https://docs.google.com/spreadsheets/d/1W6MnUbDkMi6xHnHko_XkFDO9kkuL6Wqyc-6OCDFjW9I/e"&amp;"dit?usp=sharing"",""ตาก!N178"")+IMPORTRANGE(""https://docs.google.com/spreadsheets/d/1IQAWArduLkta9LpYo4a_ULsyqdta6-6aDDiwpUnQT6c/edit?usp=sharing"",""นครสวรรค์!N178"")+IMPORTRANGE(""https://docs.google.com/spreadsheets/d/10s13Sk5xrltsiR-Zkbmk5DwIaDIKO8Xl"&amp;"bJAfqyT7Gvg/edit?usp=sharing"",""น่าน!N178"")+IMPORTRANGE(""https://docs.google.com/spreadsheets/d/1uu4nAn4Dbi1XREnLKKotUANlKXa7yCgRcgq8HEzQYW8/edit?usp=sharing"",""พะเยา!N178"")+IMPORTRANGE(""https://docs.google.com/spreadsheets/d/1xfJKIQxVOaPDIICqsflNlL"&amp;"u3JacTDk1FP9RH4phX7mI/edit?usp=sharing"",""พิจิตร!N178"")+IMPORTRANGE(""https://docs.google.com/spreadsheets/d/1JtRfZkJMHtEhI5RdRHxYUG4FIZHqKDpNyIuN7A1Q0_k/edit?usp=sharing"",""พิษณุโลก!N178"")+IMPORTRANGE(""https://docs.google.com/spreadsheets/d/1xlcVZWU"&amp;"Nn6SuWm0c307h32SiGkd9BaeQWlAktfD3KO8/edit?usp=sharing"",""เพชรบูรณ์!N178"")+IMPORTRANGE(""https://docs.google.com/spreadsheets/d/1lOVebEIsI9qjGXl6EX66luk7wiuP2tBaryw-wKvv4e0/edit?usp=sharing"",""แพร่!N178"")+IMPORTRANGE(""https://docs.google.com/spreadshe"&amp;"ets/d/1dQrvX0vEcN7Gu0fnZ0B5S90AeR19zth4XlExFBeExMY/edit?usp=sharing"",""แม่ฮ่องสอน!N178"")+IMPORTRANGE(""https://docs.google.com/spreadsheets/d/1DY4XTNNwjluuxqdfdn6qvOSlMRrZqUtmYcZR0ttFiG4/edit?usp=sharing"",""ลำปาง!N178"")+IMPORTRANGE(""https://docs.goog"&amp;"le.com/spreadsheets/d/1ICwG78r0OFT8biBlxnBF8r7she7gNSzOvJ958PWT09c/edit?usp=sharing"",""ลำพูน!N178"")+IMPORTRANGE(""https://docs.google.com/spreadsheets/d/1B0f2xJpZUC6Z0xXnqKlZtEPzsf6L84eP1r1Q15seqRM/edit?usp=sharing"",""สุโขทัย!N178"")+IMPORTRANGE(""http"&amp;"s://docs.google.com/spreadsheets/d/1v0b9pFQCsKUVExMei7AgY2yQkdeNQvtOssygGsXbiKo/edit?usp=sharing"",""อุตรดิตถ์!N178"")+IMPORTRANGE(""https://docs.google.com/spreadsheets/d/1UsNK1e-WWiCo2PvGqdNfdme4m17_Ezd3J69EeeiQPD0/edit?usp=sharing"",""อุทัยธานี!N178"")"),1691317)</f>
        <v>1691317</v>
      </c>
      <c r="O178" s="46">
        <f t="shared" ca="1" si="142"/>
        <v>507.8572500975888</v>
      </c>
      <c r="P178" s="46">
        <f t="shared" ca="1" si="143"/>
        <v>94.276309921962095</v>
      </c>
      <c r="Q178" s="46">
        <f ca="1">IFERROR(__xludf.DUMMYFUNCTION("IMPORTRANGE(""https://docs.google.com/spreadsheets/d/1jTcq05yEiRwXcBMLjiodW9e4biSGYWAHcDj22rKWQ3s/edit?usp=sharing"",""กำแพงเพชร!Q178"")+IMPORTRANGE(""https://docs.google.com/spreadsheets/d/1KS0zmDSZPk8KnTAbGN-Xk6MtX1YRZD0ldgdt20K4CRk/edit?usp=sharing"","&amp;"""เชียงราย!Q178"")+IMPORTRANGE(""https://docs.google.com/spreadsheets/d/1rEDxBtusbi64tE0zunoIbsTVV16HeL0oJ6trHQeQ7K8/edit?usp=sharing"",""เชียงใหม่!Q178"")+IMPORTRANGE(""https://docs.google.com/spreadsheets/d/1W6MnUbDkMi6xHnHko_XkFDO9kkuL6Wqyc-6OCDFjW9I/e"&amp;"dit?usp=sharing"",""ตาก!Q178"")+IMPORTRANGE(""https://docs.google.com/spreadsheets/d/1IQAWArduLkta9LpYo4a_ULsyqdta6-6aDDiwpUnQT6c/edit?usp=sharing"",""นครสวรรค์!Q178"")+IMPORTRANGE(""https://docs.google.com/spreadsheets/d/10s13Sk5xrltsiR-Zkbmk5DwIaDIKO8Xl"&amp;"bJAfqyT7Gvg/edit?usp=sharing"",""น่าน!Q178"")+IMPORTRANGE(""https://docs.google.com/spreadsheets/d/1uu4nAn4Dbi1XREnLKKotUANlKXa7yCgRcgq8HEzQYW8/edit?usp=sharing"",""พะเยา!Q178"")+IMPORTRANGE(""https://docs.google.com/spreadsheets/d/1xfJKIQxVOaPDIICqsflNlL"&amp;"u3JacTDk1FP9RH4phX7mI/edit?usp=sharing"",""พิจิตร!Q178"")+IMPORTRANGE(""https://docs.google.com/spreadsheets/d/1JtRfZkJMHtEhI5RdRHxYUG4FIZHqKDpNyIuN7A1Q0_k/edit?usp=sharing"",""พิษณุโลก!Q178"")+IMPORTRANGE(""https://docs.google.com/spreadsheets/d/1xlcVZWU"&amp;"Nn6SuWm0c307h32SiGkd9BaeQWlAktfD3KO8/edit?usp=sharing"",""เพชรบูรณ์!Q178"")+IMPORTRANGE(""https://docs.google.com/spreadsheets/d/1lOVebEIsI9qjGXl6EX66luk7wiuP2tBaryw-wKvv4e0/edit?usp=sharing"",""แพร่!Q178"")+IMPORTRANGE(""https://docs.google.com/spreadshe"&amp;"ets/d/1dQrvX0vEcN7Gu0fnZ0B5S90AeR19zth4XlExFBeExMY/edit?usp=sharing"",""แม่ฮ่องสอน!Q178"")+IMPORTRANGE(""https://docs.google.com/spreadsheets/d/1DY4XTNNwjluuxqdfdn6qvOSlMRrZqUtmYcZR0ttFiG4/edit?usp=sharing"",""ลำปาง!Q178"")+IMPORTRANGE(""https://docs.goog"&amp;"le.com/spreadsheets/d/1ICwG78r0OFT8biBlxnBF8r7she7gNSzOvJ958PWT09c/edit?usp=sharing"",""ลำพูน!Q178"")+IMPORTRANGE(""https://docs.google.com/spreadsheets/d/1B0f2xJpZUC6Z0xXnqKlZtEPzsf6L84eP1r1Q15seqRM/edit?usp=sharing"",""สุโขทัย!Q178"")+IMPORTRANGE(""http"&amp;"s://docs.google.com/spreadsheets/d/1v0b9pFQCsKUVExMei7AgY2yQkdeNQvtOssygGsXbiKo/edit?usp=sharing"",""อุตรดิตถ์!Q178"")+IMPORTRANGE(""https://docs.google.com/spreadsheets/d/1UsNK1e-WWiCo2PvGqdNfdme4m17_Ezd3J69EeeiQPD0/edit?usp=sharing"",""อุทัยธานี!Q178"")"),0)</f>
        <v>0</v>
      </c>
      <c r="R178" s="46">
        <f ca="1">IFERROR(__xludf.DUMMYFUNCTION("IMPORTRANGE(""https://docs.google.com/spreadsheets/d/1jTcq05yEiRwXcBMLjiodW9e4biSGYWAHcDj22rKWQ3s/edit?usp=sharing"",""กำแพงเพชร!R178"")+IMPORTRANGE(""https://docs.google.com/spreadsheets/d/1KS0zmDSZPk8KnTAbGN-Xk6MtX1YRZD0ldgdt20K4CRk/edit?usp=sharing"","&amp;"""เชียงราย!R178"")+IMPORTRANGE(""https://docs.google.com/spreadsheets/d/1rEDxBtusbi64tE0zunoIbsTVV16HeL0oJ6trHQeQ7K8/edit?usp=sharing"",""เชียงใหม่!R178"")+IMPORTRANGE(""https://docs.google.com/spreadsheets/d/1W6MnUbDkMi6xHnHko_XkFDO9kkuL6Wqyc-6OCDFjW9I/e"&amp;"dit?usp=sharing"",""ตาก!R178"")+IMPORTRANGE(""https://docs.google.com/spreadsheets/d/1IQAWArduLkta9LpYo4a_ULsyqdta6-6aDDiwpUnQT6c/edit?usp=sharing"",""นครสวรรค์!R178"")+IMPORTRANGE(""https://docs.google.com/spreadsheets/d/10s13Sk5xrltsiR-Zkbmk5DwIaDIKO8Xl"&amp;"bJAfqyT7Gvg/edit?usp=sharing"",""น่าน!R178"")+IMPORTRANGE(""https://docs.google.com/spreadsheets/d/1uu4nAn4Dbi1XREnLKKotUANlKXa7yCgRcgq8HEzQYW8/edit?usp=sharing"",""พะเยา!R178"")+IMPORTRANGE(""https://docs.google.com/spreadsheets/d/1xfJKIQxVOaPDIICqsflNlL"&amp;"u3JacTDk1FP9RH4phX7mI/edit?usp=sharing"",""พิจิตร!R178"")+IMPORTRANGE(""https://docs.google.com/spreadsheets/d/1JtRfZkJMHtEhI5RdRHxYUG4FIZHqKDpNyIuN7A1Q0_k/edit?usp=sharing"",""พิษณุโลก!R178"")+IMPORTRANGE(""https://docs.google.com/spreadsheets/d/1xlcVZWU"&amp;"Nn6SuWm0c307h32SiGkd9BaeQWlAktfD3KO8/edit?usp=sharing"",""เพชรบูรณ์!R178"")+IMPORTRANGE(""https://docs.google.com/spreadsheets/d/1lOVebEIsI9qjGXl6EX66luk7wiuP2tBaryw-wKvv4e0/edit?usp=sharing"",""แพร่!R178"")+IMPORTRANGE(""https://docs.google.com/spreadshe"&amp;"ets/d/1dQrvX0vEcN7Gu0fnZ0B5S90AeR19zth4XlExFBeExMY/edit?usp=sharing"",""แม่ฮ่องสอน!R178"")+IMPORTRANGE(""https://docs.google.com/spreadsheets/d/1DY4XTNNwjluuxqdfdn6qvOSlMRrZqUtmYcZR0ttFiG4/edit?usp=sharing"",""ลำปาง!R178"")+IMPORTRANGE(""https://docs.goog"&amp;"le.com/spreadsheets/d/1ICwG78r0OFT8biBlxnBF8r7she7gNSzOvJ958PWT09c/edit?usp=sharing"",""ลำพูน!R178"")+IMPORTRANGE(""https://docs.google.com/spreadsheets/d/1B0f2xJpZUC6Z0xXnqKlZtEPzsf6L84eP1r1Q15seqRM/edit?usp=sharing"",""สุโขทัย!R178"")+IMPORTRANGE(""http"&amp;"s://docs.google.com/spreadsheets/d/1v0b9pFQCsKUVExMei7AgY2yQkdeNQvtOssygGsXbiKo/edit?usp=sharing"",""อุตรดิตถ์!R178"")+IMPORTRANGE(""https://docs.google.com/spreadsheets/d/1UsNK1e-WWiCo2PvGqdNfdme4m17_Ezd3J69EeeiQPD0/edit?usp=sharing"",""อุทัยธานี!R178"")"),0)</f>
        <v>0</v>
      </c>
      <c r="S178" s="46">
        <f ca="1">IFERROR(__xludf.DUMMYFUNCTION("IMPORTRANGE(""https://docs.google.com/spreadsheets/d/1jTcq05yEiRwXcBMLjiodW9e4biSGYWAHcDj22rKWQ3s/edit?usp=sharing"",""กำแพงเพชร!S178"")+IMPORTRANGE(""https://docs.google.com/spreadsheets/d/1KS0zmDSZPk8KnTAbGN-Xk6MtX1YRZD0ldgdt20K4CRk/edit?usp=sharing"","&amp;"""เชียงราย!S178"")+IMPORTRANGE(""https://docs.google.com/spreadsheets/d/1rEDxBtusbi64tE0zunoIbsTVV16HeL0oJ6trHQeQ7K8/edit?usp=sharing"",""เชียงใหม่!S178"")+IMPORTRANGE(""https://docs.google.com/spreadsheets/d/1W6MnUbDkMi6xHnHko_XkFDO9kkuL6Wqyc-6OCDFjW9I/e"&amp;"dit?usp=sharing"",""ตาก!S178"")+IMPORTRANGE(""https://docs.google.com/spreadsheets/d/1IQAWArduLkta9LpYo4a_ULsyqdta6-6aDDiwpUnQT6c/edit?usp=sharing"",""นครสวรรค์!S178"")+IMPORTRANGE(""https://docs.google.com/spreadsheets/d/10s13Sk5xrltsiR-Zkbmk5DwIaDIKO8Xl"&amp;"bJAfqyT7Gvg/edit?usp=sharing"",""น่าน!S178"")+IMPORTRANGE(""https://docs.google.com/spreadsheets/d/1uu4nAn4Dbi1XREnLKKotUANlKXa7yCgRcgq8HEzQYW8/edit?usp=sharing"",""พะเยา!S178"")+IMPORTRANGE(""https://docs.google.com/spreadsheets/d/1xfJKIQxVOaPDIICqsflNlL"&amp;"u3JacTDk1FP9RH4phX7mI/edit?usp=sharing"",""พิจิตร!S178"")+IMPORTRANGE(""https://docs.google.com/spreadsheets/d/1JtRfZkJMHtEhI5RdRHxYUG4FIZHqKDpNyIuN7A1Q0_k/edit?usp=sharing"",""พิษณุโลก!S178"")+IMPORTRANGE(""https://docs.google.com/spreadsheets/d/1xlcVZWU"&amp;"Nn6SuWm0c307h32SiGkd9BaeQWlAktfD3KO8/edit?usp=sharing"",""เพชรบูรณ์!S178"")+IMPORTRANGE(""https://docs.google.com/spreadsheets/d/1lOVebEIsI9qjGXl6EX66luk7wiuP2tBaryw-wKvv4e0/edit?usp=sharing"",""แพร่!S178"")+IMPORTRANGE(""https://docs.google.com/spreadshe"&amp;"ets/d/1dQrvX0vEcN7Gu0fnZ0B5S90AeR19zth4XlExFBeExMY/edit?usp=sharing"",""แม่ฮ่องสอน!S178"")+IMPORTRANGE(""https://docs.google.com/spreadsheets/d/1DY4XTNNwjluuxqdfdn6qvOSlMRrZqUtmYcZR0ttFiG4/edit?usp=sharing"",""ลำปาง!S178"")+IMPORTRANGE(""https://docs.goog"&amp;"le.com/spreadsheets/d/1ICwG78r0OFT8biBlxnBF8r7she7gNSzOvJ958PWT09c/edit?usp=sharing"",""ลำพูน!S178"")+IMPORTRANGE(""https://docs.google.com/spreadsheets/d/1B0f2xJpZUC6Z0xXnqKlZtEPzsf6L84eP1r1Q15seqRM/edit?usp=sharing"",""สุโขทัย!S178"")+IMPORTRANGE(""http"&amp;"s://docs.google.com/spreadsheets/d/1v0b9pFQCsKUVExMei7AgY2yQkdeNQvtOssygGsXbiKo/edit?usp=sharing"",""อุตรดิตถ์!S178"")+IMPORTRANGE(""https://docs.google.com/spreadsheets/d/1UsNK1e-WWiCo2PvGqdNfdme4m17_Ezd3J69EeeiQPD0/edit?usp=sharing"",""อุทัยธานี!S178"")"),0)</f>
        <v>0</v>
      </c>
      <c r="T178" s="46">
        <f t="shared" ca="1" si="145"/>
        <v>0</v>
      </c>
      <c r="U178" s="46">
        <f t="shared" ca="1" si="146"/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46">
        <f t="shared" ref="L179:N179" ca="1" si="153">L180+L181</f>
        <v>0</v>
      </c>
      <c r="M179" s="46">
        <f t="shared" ca="1" si="153"/>
        <v>0</v>
      </c>
      <c r="N179" s="46">
        <f t="shared" ca="1" si="153"/>
        <v>0</v>
      </c>
      <c r="O179" s="46">
        <f t="shared" ca="1" si="142"/>
        <v>0</v>
      </c>
      <c r="P179" s="46">
        <f t="shared" ca="1" si="143"/>
        <v>0</v>
      </c>
      <c r="Q179" s="46">
        <f t="shared" ref="Q179:S179" ca="1" si="154">Q180+Q181</f>
        <v>0</v>
      </c>
      <c r="R179" s="46">
        <f t="shared" ca="1" si="154"/>
        <v>0</v>
      </c>
      <c r="S179" s="46">
        <f t="shared" ca="1" si="154"/>
        <v>0</v>
      </c>
      <c r="T179" s="46">
        <f t="shared" ca="1" si="145"/>
        <v>0</v>
      </c>
      <c r="U179" s="46">
        <f t="shared" ca="1" si="146"/>
        <v>0</v>
      </c>
    </row>
    <row r="180" spans="1:21" ht="18.75" x14ac:dyDescent="0.25">
      <c r="A180" s="128"/>
      <c r="B180" s="40"/>
      <c r="C180" s="40"/>
      <c r="D180" s="40"/>
      <c r="E180" s="47" t="s">
        <v>20</v>
      </c>
      <c r="F180" s="40"/>
      <c r="G180" s="42"/>
      <c r="H180" s="134" t="s">
        <v>14</v>
      </c>
      <c r="I180" s="135"/>
      <c r="J180" s="135"/>
      <c r="K180" s="136"/>
      <c r="L180" s="46">
        <f ca="1">IFERROR(__xludf.DUMMYFUNCTION("IMPORTRANGE(""https://docs.google.com/spreadsheets/d/1jTcq05yEiRwXcBMLjiodW9e4biSGYWAHcDj22rKWQ3s/edit?usp=sharing"",""กำแพงเพชร!L180"")+IMPORTRANGE(""https://docs.google.com/spreadsheets/d/1KS0zmDSZPk8KnTAbGN-Xk6MtX1YRZD0ldgdt20K4CRk/edit?usp=sharing"","&amp;"""เชียงราย!L180"")+IMPORTRANGE(""https://docs.google.com/spreadsheets/d/1rEDxBtusbi64tE0zunoIbsTVV16HeL0oJ6trHQeQ7K8/edit?usp=sharing"",""เชียงใหม่!L180"")+IMPORTRANGE(""https://docs.google.com/spreadsheets/d/1W6MnUbDkMi6xHnHko_XkFDO9kkuL6Wqyc-6OCDFjW9I/e"&amp;"dit?usp=sharing"",""ตาก!L180"")+IMPORTRANGE(""https://docs.google.com/spreadsheets/d/1IQAWArduLkta9LpYo4a_ULsyqdta6-6aDDiwpUnQT6c/edit?usp=sharing"",""นครสวรรค์!L180"")+IMPORTRANGE(""https://docs.google.com/spreadsheets/d/10s13Sk5xrltsiR-Zkbmk5DwIaDIKO8Xl"&amp;"bJAfqyT7Gvg/edit?usp=sharing"",""น่าน!L180"")+IMPORTRANGE(""https://docs.google.com/spreadsheets/d/1uu4nAn4Dbi1XREnLKKotUANlKXa7yCgRcgq8HEzQYW8/edit?usp=sharing"",""พะเยา!L180"")+IMPORTRANGE(""https://docs.google.com/spreadsheets/d/1xfJKIQxVOaPDIICqsflNlL"&amp;"u3JacTDk1FP9RH4phX7mI/edit?usp=sharing"",""พิจิตร!L180"")+IMPORTRANGE(""https://docs.google.com/spreadsheets/d/1JtRfZkJMHtEhI5RdRHxYUG4FIZHqKDpNyIuN7A1Q0_k/edit?usp=sharing"",""พิษณุโลก!L180"")+IMPORTRANGE(""https://docs.google.com/spreadsheets/d/1xlcVZWU"&amp;"Nn6SuWm0c307h32SiGkd9BaeQWlAktfD3KO8/edit?usp=sharing"",""เพชรบูรณ์!L180"")+IMPORTRANGE(""https://docs.google.com/spreadsheets/d/1lOVebEIsI9qjGXl6EX66luk7wiuP2tBaryw-wKvv4e0/edit?usp=sharing"",""แพร่!L180"")+IMPORTRANGE(""https://docs.google.com/spreadshe"&amp;"ets/d/1dQrvX0vEcN7Gu0fnZ0B5S90AeR19zth4XlExFBeExMY/edit?usp=sharing"",""แม่ฮ่องสอน!L180"")+IMPORTRANGE(""https://docs.google.com/spreadsheets/d/1DY4XTNNwjluuxqdfdn6qvOSlMRrZqUtmYcZR0ttFiG4/edit?usp=sharing"",""ลำปาง!L180"")+IMPORTRANGE(""https://docs.goog"&amp;"le.com/spreadsheets/d/1ICwG78r0OFT8biBlxnBF8r7she7gNSzOvJ958PWT09c/edit?usp=sharing"",""ลำพูน!L180"")+IMPORTRANGE(""https://docs.google.com/spreadsheets/d/1B0f2xJpZUC6Z0xXnqKlZtEPzsf6L84eP1r1Q15seqRM/edit?usp=sharing"",""สุโขทัย!L180"")+IMPORTRANGE(""http"&amp;"s://docs.google.com/spreadsheets/d/1v0b9pFQCsKUVExMei7AgY2yQkdeNQvtOssygGsXbiKo/edit?usp=sharing"",""อุตรดิตถ์!L180"")+IMPORTRANGE(""https://docs.google.com/spreadsheets/d/1UsNK1e-WWiCo2PvGqdNfdme4m17_Ezd3J69EeeiQPD0/edit?usp=sharing"",""อุทัยธานี!L180"")"),0)</f>
        <v>0</v>
      </c>
      <c r="M180" s="46">
        <f ca="1">IFERROR(__xludf.DUMMYFUNCTION("IMPORTRANGE(""https://docs.google.com/spreadsheets/d/1jTcq05yEiRwXcBMLjiodW9e4biSGYWAHcDj22rKWQ3s/edit?usp=sharing"",""กำแพงเพชร!M180"")+IMPORTRANGE(""https://docs.google.com/spreadsheets/d/1KS0zmDSZPk8KnTAbGN-Xk6MtX1YRZD0ldgdt20K4CRk/edit?usp=sharing"","&amp;"""เชียงราย!M180"")+IMPORTRANGE(""https://docs.google.com/spreadsheets/d/1rEDxBtusbi64tE0zunoIbsTVV16HeL0oJ6trHQeQ7K8/edit?usp=sharing"",""เชียงใหม่!M180"")+IMPORTRANGE(""https://docs.google.com/spreadsheets/d/1W6MnUbDkMi6xHnHko_XkFDO9kkuL6Wqyc-6OCDFjW9I/e"&amp;"dit?usp=sharing"",""ตาก!M180"")+IMPORTRANGE(""https://docs.google.com/spreadsheets/d/1IQAWArduLkta9LpYo4a_ULsyqdta6-6aDDiwpUnQT6c/edit?usp=sharing"",""นครสวรรค์!M180"")+IMPORTRANGE(""https://docs.google.com/spreadsheets/d/10s13Sk5xrltsiR-Zkbmk5DwIaDIKO8Xl"&amp;"bJAfqyT7Gvg/edit?usp=sharing"",""น่าน!M180"")+IMPORTRANGE(""https://docs.google.com/spreadsheets/d/1uu4nAn4Dbi1XREnLKKotUANlKXa7yCgRcgq8HEzQYW8/edit?usp=sharing"",""พะเยา!M180"")+IMPORTRANGE(""https://docs.google.com/spreadsheets/d/1xfJKIQxVOaPDIICqsflNlL"&amp;"u3JacTDk1FP9RH4phX7mI/edit?usp=sharing"",""พิจิตร!M180"")+IMPORTRANGE(""https://docs.google.com/spreadsheets/d/1JtRfZkJMHtEhI5RdRHxYUG4FIZHqKDpNyIuN7A1Q0_k/edit?usp=sharing"",""พิษณุโลก!M180"")+IMPORTRANGE(""https://docs.google.com/spreadsheets/d/1xlcVZWU"&amp;"Nn6SuWm0c307h32SiGkd9BaeQWlAktfD3KO8/edit?usp=sharing"",""เพชรบูรณ์!M180"")+IMPORTRANGE(""https://docs.google.com/spreadsheets/d/1lOVebEIsI9qjGXl6EX66luk7wiuP2tBaryw-wKvv4e0/edit?usp=sharing"",""แพร่!M180"")+IMPORTRANGE(""https://docs.google.com/spreadshe"&amp;"ets/d/1dQrvX0vEcN7Gu0fnZ0B5S90AeR19zth4XlExFBeExMY/edit?usp=sharing"",""แม่ฮ่องสอน!M180"")+IMPORTRANGE(""https://docs.google.com/spreadsheets/d/1DY4XTNNwjluuxqdfdn6qvOSlMRrZqUtmYcZR0ttFiG4/edit?usp=sharing"",""ลำปาง!M180"")+IMPORTRANGE(""https://docs.goog"&amp;"le.com/spreadsheets/d/1ICwG78r0OFT8biBlxnBF8r7she7gNSzOvJ958PWT09c/edit?usp=sharing"",""ลำพูน!M180"")+IMPORTRANGE(""https://docs.google.com/spreadsheets/d/1B0f2xJpZUC6Z0xXnqKlZtEPzsf6L84eP1r1Q15seqRM/edit?usp=sharing"",""สุโขทัย!M180"")+IMPORTRANGE(""http"&amp;"s://docs.google.com/spreadsheets/d/1v0b9pFQCsKUVExMei7AgY2yQkdeNQvtOssygGsXbiKo/edit?usp=sharing"",""อุตรดิตถ์!M180"")+IMPORTRANGE(""https://docs.google.com/spreadsheets/d/1UsNK1e-WWiCo2PvGqdNfdme4m17_Ezd3J69EeeiQPD0/edit?usp=sharing"",""อุทัยธานี!M180"")"),0)</f>
        <v>0</v>
      </c>
      <c r="N180" s="46">
        <f ca="1">IFERROR(__xludf.DUMMYFUNCTION("IMPORTRANGE(""https://docs.google.com/spreadsheets/d/1jTcq05yEiRwXcBMLjiodW9e4biSGYWAHcDj22rKWQ3s/edit?usp=sharing"",""กำแพงเพชร!N180"")+IMPORTRANGE(""https://docs.google.com/spreadsheets/d/1KS0zmDSZPk8KnTAbGN-Xk6MtX1YRZD0ldgdt20K4CRk/edit?usp=sharing"","&amp;"""เชียงราย!N180"")+IMPORTRANGE(""https://docs.google.com/spreadsheets/d/1rEDxBtusbi64tE0zunoIbsTVV16HeL0oJ6trHQeQ7K8/edit?usp=sharing"",""เชียงใหม่!N180"")+IMPORTRANGE(""https://docs.google.com/spreadsheets/d/1W6MnUbDkMi6xHnHko_XkFDO9kkuL6Wqyc-6OCDFjW9I/e"&amp;"dit?usp=sharing"",""ตาก!N180"")+IMPORTRANGE(""https://docs.google.com/spreadsheets/d/1IQAWArduLkta9LpYo4a_ULsyqdta6-6aDDiwpUnQT6c/edit?usp=sharing"",""นครสวรรค์!N180"")+IMPORTRANGE(""https://docs.google.com/spreadsheets/d/10s13Sk5xrltsiR-Zkbmk5DwIaDIKO8Xl"&amp;"bJAfqyT7Gvg/edit?usp=sharing"",""น่าน!N180"")+IMPORTRANGE(""https://docs.google.com/spreadsheets/d/1uu4nAn4Dbi1XREnLKKotUANlKXa7yCgRcgq8HEzQYW8/edit?usp=sharing"",""พะเยา!N180"")+IMPORTRANGE(""https://docs.google.com/spreadsheets/d/1xfJKIQxVOaPDIICqsflNlL"&amp;"u3JacTDk1FP9RH4phX7mI/edit?usp=sharing"",""พิจิตร!N180"")+IMPORTRANGE(""https://docs.google.com/spreadsheets/d/1JtRfZkJMHtEhI5RdRHxYUG4FIZHqKDpNyIuN7A1Q0_k/edit?usp=sharing"",""พิษณุโลก!N180"")+IMPORTRANGE(""https://docs.google.com/spreadsheets/d/1xlcVZWU"&amp;"Nn6SuWm0c307h32SiGkd9BaeQWlAktfD3KO8/edit?usp=sharing"",""เพชรบูรณ์!N180"")+IMPORTRANGE(""https://docs.google.com/spreadsheets/d/1lOVebEIsI9qjGXl6EX66luk7wiuP2tBaryw-wKvv4e0/edit?usp=sharing"",""แพร่!N180"")+IMPORTRANGE(""https://docs.google.com/spreadshe"&amp;"ets/d/1dQrvX0vEcN7Gu0fnZ0B5S90AeR19zth4XlExFBeExMY/edit?usp=sharing"",""แม่ฮ่องสอน!N180"")+IMPORTRANGE(""https://docs.google.com/spreadsheets/d/1DY4XTNNwjluuxqdfdn6qvOSlMRrZqUtmYcZR0ttFiG4/edit?usp=sharing"",""ลำปาง!N180"")+IMPORTRANGE(""https://docs.goog"&amp;"le.com/spreadsheets/d/1ICwG78r0OFT8biBlxnBF8r7she7gNSzOvJ958PWT09c/edit?usp=sharing"",""ลำพูน!N180"")+IMPORTRANGE(""https://docs.google.com/spreadsheets/d/1B0f2xJpZUC6Z0xXnqKlZtEPzsf6L84eP1r1Q15seqRM/edit?usp=sharing"",""สุโขทัย!N180"")+IMPORTRANGE(""http"&amp;"s://docs.google.com/spreadsheets/d/1v0b9pFQCsKUVExMei7AgY2yQkdeNQvtOssygGsXbiKo/edit?usp=sharing"",""อุตรดิตถ์!N180"")+IMPORTRANGE(""https://docs.google.com/spreadsheets/d/1UsNK1e-WWiCo2PvGqdNfdme4m17_Ezd3J69EeeiQPD0/edit?usp=sharing"",""อุทัยธานี!N180"")"),0)</f>
        <v>0</v>
      </c>
      <c r="O180" s="46">
        <f t="shared" ca="1" si="142"/>
        <v>0</v>
      </c>
      <c r="P180" s="46">
        <f t="shared" ca="1" si="143"/>
        <v>0</v>
      </c>
      <c r="Q180" s="48">
        <f ca="1">IFERROR(__xludf.DUMMYFUNCTION("IMPORTRANGE(""https://docs.google.com/spreadsheets/d/1jTcq05yEiRwXcBMLjiodW9e4biSGYWAHcDj22rKWQ3s/edit?usp=sharing"",""กำแพงเพชร!Q180"")+IMPORTRANGE(""https://docs.google.com/spreadsheets/d/1KS0zmDSZPk8KnTAbGN-Xk6MtX1YRZD0ldgdt20K4CRk/edit?usp=sharing"","&amp;"""เชียงราย!Q180"")+IMPORTRANGE(""https://docs.google.com/spreadsheets/d/1rEDxBtusbi64tE0zunoIbsTVV16HeL0oJ6trHQeQ7K8/edit?usp=sharing"",""เชียงใหม่!Q180"")+IMPORTRANGE(""https://docs.google.com/spreadsheets/d/1W6MnUbDkMi6xHnHko_XkFDO9kkuL6Wqyc-6OCDFjW9I/e"&amp;"dit?usp=sharing"",""ตาก!Q180"")+IMPORTRANGE(""https://docs.google.com/spreadsheets/d/1IQAWArduLkta9LpYo4a_ULsyqdta6-6aDDiwpUnQT6c/edit?usp=sharing"",""นครสวรรค์!Q180"")+IMPORTRANGE(""https://docs.google.com/spreadsheets/d/10s13Sk5xrltsiR-Zkbmk5DwIaDIKO8Xl"&amp;"bJAfqyT7Gvg/edit?usp=sharing"",""น่าน!Q180"")+IMPORTRANGE(""https://docs.google.com/spreadsheets/d/1uu4nAn4Dbi1XREnLKKotUANlKXa7yCgRcgq8HEzQYW8/edit?usp=sharing"",""พะเยา!Q180"")+IMPORTRANGE(""https://docs.google.com/spreadsheets/d/1xfJKIQxVOaPDIICqsflNlL"&amp;"u3JacTDk1FP9RH4phX7mI/edit?usp=sharing"",""พิจิตร!Q180"")+IMPORTRANGE(""https://docs.google.com/spreadsheets/d/1JtRfZkJMHtEhI5RdRHxYUG4FIZHqKDpNyIuN7A1Q0_k/edit?usp=sharing"",""พิษณุโลก!Q180"")+IMPORTRANGE(""https://docs.google.com/spreadsheets/d/1xlcVZWU"&amp;"Nn6SuWm0c307h32SiGkd9BaeQWlAktfD3KO8/edit?usp=sharing"",""เพชรบูรณ์!Q180"")+IMPORTRANGE(""https://docs.google.com/spreadsheets/d/1lOVebEIsI9qjGXl6EX66luk7wiuP2tBaryw-wKvv4e0/edit?usp=sharing"",""แพร่!Q180"")+IMPORTRANGE(""https://docs.google.com/spreadshe"&amp;"ets/d/1dQrvX0vEcN7Gu0fnZ0B5S90AeR19zth4XlExFBeExMY/edit?usp=sharing"",""แม่ฮ่องสอน!Q180"")+IMPORTRANGE(""https://docs.google.com/spreadsheets/d/1DY4XTNNwjluuxqdfdn6qvOSlMRrZqUtmYcZR0ttFiG4/edit?usp=sharing"",""ลำปาง!Q180"")+IMPORTRANGE(""https://docs.goog"&amp;"le.com/spreadsheets/d/1ICwG78r0OFT8biBlxnBF8r7she7gNSzOvJ958PWT09c/edit?usp=sharing"",""ลำพูน!Q180"")+IMPORTRANGE(""https://docs.google.com/spreadsheets/d/1B0f2xJpZUC6Z0xXnqKlZtEPzsf6L84eP1r1Q15seqRM/edit?usp=sharing"",""สุโขทัย!Q180"")+IMPORTRANGE(""http"&amp;"s://docs.google.com/spreadsheets/d/1v0b9pFQCsKUVExMei7AgY2yQkdeNQvtOssygGsXbiKo/edit?usp=sharing"",""อุตรดิตถ์!Q180"")+IMPORTRANGE(""https://docs.google.com/spreadsheets/d/1UsNK1e-WWiCo2PvGqdNfdme4m17_Ezd3J69EeeiQPD0/edit?usp=sharing"",""อุทัยธานี!Q180"")"),0)</f>
        <v>0</v>
      </c>
      <c r="R180" s="48">
        <f ca="1">IFERROR(__xludf.DUMMYFUNCTION("IMPORTRANGE(""https://docs.google.com/spreadsheets/d/1jTcq05yEiRwXcBMLjiodW9e4biSGYWAHcDj22rKWQ3s/edit?usp=sharing"",""กำแพงเพชร!R180"")+IMPORTRANGE(""https://docs.google.com/spreadsheets/d/1KS0zmDSZPk8KnTAbGN-Xk6MtX1YRZD0ldgdt20K4CRk/edit?usp=sharing"","&amp;"""เชียงราย!R180"")+IMPORTRANGE(""https://docs.google.com/spreadsheets/d/1rEDxBtusbi64tE0zunoIbsTVV16HeL0oJ6trHQeQ7K8/edit?usp=sharing"",""เชียงใหม่!R180"")+IMPORTRANGE(""https://docs.google.com/spreadsheets/d/1W6MnUbDkMi6xHnHko_XkFDO9kkuL6Wqyc-6OCDFjW9I/e"&amp;"dit?usp=sharing"",""ตาก!R180"")+IMPORTRANGE(""https://docs.google.com/spreadsheets/d/1IQAWArduLkta9LpYo4a_ULsyqdta6-6aDDiwpUnQT6c/edit?usp=sharing"",""นครสวรรค์!R180"")+IMPORTRANGE(""https://docs.google.com/spreadsheets/d/10s13Sk5xrltsiR-Zkbmk5DwIaDIKO8Xl"&amp;"bJAfqyT7Gvg/edit?usp=sharing"",""น่าน!R180"")+IMPORTRANGE(""https://docs.google.com/spreadsheets/d/1uu4nAn4Dbi1XREnLKKotUANlKXa7yCgRcgq8HEzQYW8/edit?usp=sharing"",""พะเยา!R180"")+IMPORTRANGE(""https://docs.google.com/spreadsheets/d/1xfJKIQxVOaPDIICqsflNlL"&amp;"u3JacTDk1FP9RH4phX7mI/edit?usp=sharing"",""พิจิตร!R180"")+IMPORTRANGE(""https://docs.google.com/spreadsheets/d/1JtRfZkJMHtEhI5RdRHxYUG4FIZHqKDpNyIuN7A1Q0_k/edit?usp=sharing"",""พิษณุโลก!R180"")+IMPORTRANGE(""https://docs.google.com/spreadsheets/d/1xlcVZWU"&amp;"Nn6SuWm0c307h32SiGkd9BaeQWlAktfD3KO8/edit?usp=sharing"",""เพชรบูรณ์!R180"")+IMPORTRANGE(""https://docs.google.com/spreadsheets/d/1lOVebEIsI9qjGXl6EX66luk7wiuP2tBaryw-wKvv4e0/edit?usp=sharing"",""แพร่!R180"")+IMPORTRANGE(""https://docs.google.com/spreadshe"&amp;"ets/d/1dQrvX0vEcN7Gu0fnZ0B5S90AeR19zth4XlExFBeExMY/edit?usp=sharing"",""แม่ฮ่องสอน!R180"")+IMPORTRANGE(""https://docs.google.com/spreadsheets/d/1DY4XTNNwjluuxqdfdn6qvOSlMRrZqUtmYcZR0ttFiG4/edit?usp=sharing"",""ลำปาง!R180"")+IMPORTRANGE(""https://docs.goog"&amp;"le.com/spreadsheets/d/1ICwG78r0OFT8biBlxnBF8r7she7gNSzOvJ958PWT09c/edit?usp=sharing"",""ลำพูน!R180"")+IMPORTRANGE(""https://docs.google.com/spreadsheets/d/1B0f2xJpZUC6Z0xXnqKlZtEPzsf6L84eP1r1Q15seqRM/edit?usp=sharing"",""สุโขทัย!R180"")+IMPORTRANGE(""http"&amp;"s://docs.google.com/spreadsheets/d/1v0b9pFQCsKUVExMei7AgY2yQkdeNQvtOssygGsXbiKo/edit?usp=sharing"",""อุตรดิตถ์!R180"")+IMPORTRANGE(""https://docs.google.com/spreadsheets/d/1UsNK1e-WWiCo2PvGqdNfdme4m17_Ezd3J69EeeiQPD0/edit?usp=sharing"",""อุทัยธานี!R180"")"),0)</f>
        <v>0</v>
      </c>
      <c r="S180" s="48">
        <f ca="1">IFERROR(__xludf.DUMMYFUNCTION("IMPORTRANGE(""https://docs.google.com/spreadsheets/d/1jTcq05yEiRwXcBMLjiodW9e4biSGYWAHcDj22rKWQ3s/edit?usp=sharing"",""กำแพงเพชร!S180"")+IMPORTRANGE(""https://docs.google.com/spreadsheets/d/1KS0zmDSZPk8KnTAbGN-Xk6MtX1YRZD0ldgdt20K4CRk/edit?usp=sharing"","&amp;"""เชียงราย!S180"")+IMPORTRANGE(""https://docs.google.com/spreadsheets/d/1rEDxBtusbi64tE0zunoIbsTVV16HeL0oJ6trHQeQ7K8/edit?usp=sharing"",""เชียงใหม่!S180"")+IMPORTRANGE(""https://docs.google.com/spreadsheets/d/1W6MnUbDkMi6xHnHko_XkFDO9kkuL6Wqyc-6OCDFjW9I/e"&amp;"dit?usp=sharing"",""ตาก!S180"")+IMPORTRANGE(""https://docs.google.com/spreadsheets/d/1IQAWArduLkta9LpYo4a_ULsyqdta6-6aDDiwpUnQT6c/edit?usp=sharing"",""นครสวรรค์!S180"")+IMPORTRANGE(""https://docs.google.com/spreadsheets/d/10s13Sk5xrltsiR-Zkbmk5DwIaDIKO8Xl"&amp;"bJAfqyT7Gvg/edit?usp=sharing"",""น่าน!S180"")+IMPORTRANGE(""https://docs.google.com/spreadsheets/d/1uu4nAn4Dbi1XREnLKKotUANlKXa7yCgRcgq8HEzQYW8/edit?usp=sharing"",""พะเยา!S180"")+IMPORTRANGE(""https://docs.google.com/spreadsheets/d/1xfJKIQxVOaPDIICqsflNlL"&amp;"u3JacTDk1FP9RH4phX7mI/edit?usp=sharing"",""พิจิตร!S180"")+IMPORTRANGE(""https://docs.google.com/spreadsheets/d/1JtRfZkJMHtEhI5RdRHxYUG4FIZHqKDpNyIuN7A1Q0_k/edit?usp=sharing"",""พิษณุโลก!S180"")+IMPORTRANGE(""https://docs.google.com/spreadsheets/d/1xlcVZWU"&amp;"Nn6SuWm0c307h32SiGkd9BaeQWlAktfD3KO8/edit?usp=sharing"",""เพชรบูรณ์!S180"")+IMPORTRANGE(""https://docs.google.com/spreadsheets/d/1lOVebEIsI9qjGXl6EX66luk7wiuP2tBaryw-wKvv4e0/edit?usp=sharing"",""แพร่!S180"")+IMPORTRANGE(""https://docs.google.com/spreadshe"&amp;"ets/d/1dQrvX0vEcN7Gu0fnZ0B5S90AeR19zth4XlExFBeExMY/edit?usp=sharing"",""แม่ฮ่องสอน!S180"")+IMPORTRANGE(""https://docs.google.com/spreadsheets/d/1DY4XTNNwjluuxqdfdn6qvOSlMRrZqUtmYcZR0ttFiG4/edit?usp=sharing"",""ลำปาง!S180"")+IMPORTRANGE(""https://docs.goog"&amp;"le.com/spreadsheets/d/1ICwG78r0OFT8biBlxnBF8r7she7gNSzOvJ958PWT09c/edit?usp=sharing"",""ลำพูน!S180"")+IMPORTRANGE(""https://docs.google.com/spreadsheets/d/1B0f2xJpZUC6Z0xXnqKlZtEPzsf6L84eP1r1Q15seqRM/edit?usp=sharing"",""สุโขทัย!S180"")+IMPORTRANGE(""http"&amp;"s://docs.google.com/spreadsheets/d/1v0b9pFQCsKUVExMei7AgY2yQkdeNQvtOssygGsXbiKo/edit?usp=sharing"",""อุตรดิตถ์!S180"")+IMPORTRANGE(""https://docs.google.com/spreadsheets/d/1UsNK1e-WWiCo2PvGqdNfdme4m17_Ezd3J69EeeiQPD0/edit?usp=sharing"",""อุทัยธานี!S180"")"),0)</f>
        <v>0</v>
      </c>
      <c r="T180" s="48">
        <f t="shared" ca="1" si="145"/>
        <v>0</v>
      </c>
      <c r="U180" s="48">
        <f t="shared" ca="1" si="146"/>
        <v>0</v>
      </c>
    </row>
    <row r="181" spans="1:21" ht="18.75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46">
        <f ca="1">IFERROR(__xludf.DUMMYFUNCTION("IMPORTRANGE(""https://docs.google.com/spreadsheets/d/1jTcq05yEiRwXcBMLjiodW9e4biSGYWAHcDj22rKWQ3s/edit?usp=sharing"",""กำแพงเพชร!L181"")+IMPORTRANGE(""https://docs.google.com/spreadsheets/d/1KS0zmDSZPk8KnTAbGN-Xk6MtX1YRZD0ldgdt20K4CRk/edit?usp=sharing"","&amp;"""เชียงราย!L181"")+IMPORTRANGE(""https://docs.google.com/spreadsheets/d/1rEDxBtusbi64tE0zunoIbsTVV16HeL0oJ6trHQeQ7K8/edit?usp=sharing"",""เชียงใหม่!L181"")+IMPORTRANGE(""https://docs.google.com/spreadsheets/d/1W6MnUbDkMi6xHnHko_XkFDO9kkuL6Wqyc-6OCDFjW9I/e"&amp;"dit?usp=sharing"",""ตาก!L181"")+IMPORTRANGE(""https://docs.google.com/spreadsheets/d/1IQAWArduLkta9LpYo4a_ULsyqdta6-6aDDiwpUnQT6c/edit?usp=sharing"",""นครสวรรค์!L181"")+IMPORTRANGE(""https://docs.google.com/spreadsheets/d/10s13Sk5xrltsiR-Zkbmk5DwIaDIKO8Xl"&amp;"bJAfqyT7Gvg/edit?usp=sharing"",""น่าน!L181"")+IMPORTRANGE(""https://docs.google.com/spreadsheets/d/1uu4nAn4Dbi1XREnLKKotUANlKXa7yCgRcgq8HEzQYW8/edit?usp=sharing"",""พะเยา!L181"")+IMPORTRANGE(""https://docs.google.com/spreadsheets/d/1xfJKIQxVOaPDIICqsflNlL"&amp;"u3JacTDk1FP9RH4phX7mI/edit?usp=sharing"",""พิจิตร!L181"")+IMPORTRANGE(""https://docs.google.com/spreadsheets/d/1JtRfZkJMHtEhI5RdRHxYUG4FIZHqKDpNyIuN7A1Q0_k/edit?usp=sharing"",""พิษณุโลก!L181"")+IMPORTRANGE(""https://docs.google.com/spreadsheets/d/1xlcVZWU"&amp;"Nn6SuWm0c307h32SiGkd9BaeQWlAktfD3KO8/edit?usp=sharing"",""เพชรบูรณ์!L181"")+IMPORTRANGE(""https://docs.google.com/spreadsheets/d/1lOVebEIsI9qjGXl6EX66luk7wiuP2tBaryw-wKvv4e0/edit?usp=sharing"",""แพร่!L181"")+IMPORTRANGE(""https://docs.google.com/spreadshe"&amp;"ets/d/1dQrvX0vEcN7Gu0fnZ0B5S90AeR19zth4XlExFBeExMY/edit?usp=sharing"",""แม่ฮ่องสอน!L181"")+IMPORTRANGE(""https://docs.google.com/spreadsheets/d/1DY4XTNNwjluuxqdfdn6qvOSlMRrZqUtmYcZR0ttFiG4/edit?usp=sharing"",""ลำปาง!L181"")+IMPORTRANGE(""https://docs.goog"&amp;"le.com/spreadsheets/d/1ICwG78r0OFT8biBlxnBF8r7she7gNSzOvJ958PWT09c/edit?usp=sharing"",""ลำพูน!L181"")+IMPORTRANGE(""https://docs.google.com/spreadsheets/d/1B0f2xJpZUC6Z0xXnqKlZtEPzsf6L84eP1r1Q15seqRM/edit?usp=sharing"",""สุโขทัย!L181"")+IMPORTRANGE(""http"&amp;"s://docs.google.com/spreadsheets/d/1v0b9pFQCsKUVExMei7AgY2yQkdeNQvtOssygGsXbiKo/edit?usp=sharing"",""อุตรดิตถ์!L181"")+IMPORTRANGE(""https://docs.google.com/spreadsheets/d/1UsNK1e-WWiCo2PvGqdNfdme4m17_Ezd3J69EeeiQPD0/edit?usp=sharing"",""อุทัยธานี!L181"")"),0)</f>
        <v>0</v>
      </c>
      <c r="M181" s="46">
        <f ca="1">IFERROR(__xludf.DUMMYFUNCTION("IMPORTRANGE(""https://docs.google.com/spreadsheets/d/1jTcq05yEiRwXcBMLjiodW9e4biSGYWAHcDj22rKWQ3s/edit?usp=sharing"",""กำแพงเพชร!M181"")+IMPORTRANGE(""https://docs.google.com/spreadsheets/d/1KS0zmDSZPk8KnTAbGN-Xk6MtX1YRZD0ldgdt20K4CRk/edit?usp=sharing"","&amp;"""เชียงราย!M181"")+IMPORTRANGE(""https://docs.google.com/spreadsheets/d/1rEDxBtusbi64tE0zunoIbsTVV16HeL0oJ6trHQeQ7K8/edit?usp=sharing"",""เชียงใหม่!M181"")+IMPORTRANGE(""https://docs.google.com/spreadsheets/d/1W6MnUbDkMi6xHnHko_XkFDO9kkuL6Wqyc-6OCDFjW9I/e"&amp;"dit?usp=sharing"",""ตาก!M181"")+IMPORTRANGE(""https://docs.google.com/spreadsheets/d/1IQAWArduLkta9LpYo4a_ULsyqdta6-6aDDiwpUnQT6c/edit?usp=sharing"",""นครสวรรค์!M181"")+IMPORTRANGE(""https://docs.google.com/spreadsheets/d/10s13Sk5xrltsiR-Zkbmk5DwIaDIKO8Xl"&amp;"bJAfqyT7Gvg/edit?usp=sharing"",""น่าน!M181"")+IMPORTRANGE(""https://docs.google.com/spreadsheets/d/1uu4nAn4Dbi1XREnLKKotUANlKXa7yCgRcgq8HEzQYW8/edit?usp=sharing"",""พะเยา!M181"")+IMPORTRANGE(""https://docs.google.com/spreadsheets/d/1xfJKIQxVOaPDIICqsflNlL"&amp;"u3JacTDk1FP9RH4phX7mI/edit?usp=sharing"",""พิจิตร!M181"")+IMPORTRANGE(""https://docs.google.com/spreadsheets/d/1JtRfZkJMHtEhI5RdRHxYUG4FIZHqKDpNyIuN7A1Q0_k/edit?usp=sharing"",""พิษณุโลก!M181"")+IMPORTRANGE(""https://docs.google.com/spreadsheets/d/1xlcVZWU"&amp;"Nn6SuWm0c307h32SiGkd9BaeQWlAktfD3KO8/edit?usp=sharing"",""เพชรบูรณ์!M181"")+IMPORTRANGE(""https://docs.google.com/spreadsheets/d/1lOVebEIsI9qjGXl6EX66luk7wiuP2tBaryw-wKvv4e0/edit?usp=sharing"",""แพร่!M181"")+IMPORTRANGE(""https://docs.google.com/spreadshe"&amp;"ets/d/1dQrvX0vEcN7Gu0fnZ0B5S90AeR19zth4XlExFBeExMY/edit?usp=sharing"",""แม่ฮ่องสอน!M181"")+IMPORTRANGE(""https://docs.google.com/spreadsheets/d/1DY4XTNNwjluuxqdfdn6qvOSlMRrZqUtmYcZR0ttFiG4/edit?usp=sharing"",""ลำปาง!M181"")+IMPORTRANGE(""https://docs.goog"&amp;"le.com/spreadsheets/d/1ICwG78r0OFT8biBlxnBF8r7she7gNSzOvJ958PWT09c/edit?usp=sharing"",""ลำพูน!M181"")+IMPORTRANGE(""https://docs.google.com/spreadsheets/d/1B0f2xJpZUC6Z0xXnqKlZtEPzsf6L84eP1r1Q15seqRM/edit?usp=sharing"",""สุโขทัย!M181"")+IMPORTRANGE(""http"&amp;"s://docs.google.com/spreadsheets/d/1v0b9pFQCsKUVExMei7AgY2yQkdeNQvtOssygGsXbiKo/edit?usp=sharing"",""อุตรดิตถ์!M181"")+IMPORTRANGE(""https://docs.google.com/spreadsheets/d/1UsNK1e-WWiCo2PvGqdNfdme4m17_Ezd3J69EeeiQPD0/edit?usp=sharing"",""อุทัยธานี!M181"")"),0)</f>
        <v>0</v>
      </c>
      <c r="N181" s="46">
        <f ca="1">IFERROR(__xludf.DUMMYFUNCTION("IMPORTRANGE(""https://docs.google.com/spreadsheets/d/1jTcq05yEiRwXcBMLjiodW9e4biSGYWAHcDj22rKWQ3s/edit?usp=sharing"",""กำแพงเพชร!N181"")+IMPORTRANGE(""https://docs.google.com/spreadsheets/d/1KS0zmDSZPk8KnTAbGN-Xk6MtX1YRZD0ldgdt20K4CRk/edit?usp=sharing"","&amp;"""เชียงราย!N181"")+IMPORTRANGE(""https://docs.google.com/spreadsheets/d/1rEDxBtusbi64tE0zunoIbsTVV16HeL0oJ6trHQeQ7K8/edit?usp=sharing"",""เชียงใหม่!N181"")+IMPORTRANGE(""https://docs.google.com/spreadsheets/d/1W6MnUbDkMi6xHnHko_XkFDO9kkuL6Wqyc-6OCDFjW9I/e"&amp;"dit?usp=sharing"",""ตาก!N181"")+IMPORTRANGE(""https://docs.google.com/spreadsheets/d/1IQAWArduLkta9LpYo4a_ULsyqdta6-6aDDiwpUnQT6c/edit?usp=sharing"",""นครสวรรค์!N181"")+IMPORTRANGE(""https://docs.google.com/spreadsheets/d/10s13Sk5xrltsiR-Zkbmk5DwIaDIKO8Xl"&amp;"bJAfqyT7Gvg/edit?usp=sharing"",""น่าน!N181"")+IMPORTRANGE(""https://docs.google.com/spreadsheets/d/1uu4nAn4Dbi1XREnLKKotUANlKXa7yCgRcgq8HEzQYW8/edit?usp=sharing"",""พะเยา!N181"")+IMPORTRANGE(""https://docs.google.com/spreadsheets/d/1xfJKIQxVOaPDIICqsflNlL"&amp;"u3JacTDk1FP9RH4phX7mI/edit?usp=sharing"",""พิจิตร!N181"")+IMPORTRANGE(""https://docs.google.com/spreadsheets/d/1JtRfZkJMHtEhI5RdRHxYUG4FIZHqKDpNyIuN7A1Q0_k/edit?usp=sharing"",""พิษณุโลก!N181"")+IMPORTRANGE(""https://docs.google.com/spreadsheets/d/1xlcVZWU"&amp;"Nn6SuWm0c307h32SiGkd9BaeQWlAktfD3KO8/edit?usp=sharing"",""เพชรบูรณ์!N181"")+IMPORTRANGE(""https://docs.google.com/spreadsheets/d/1lOVebEIsI9qjGXl6EX66luk7wiuP2tBaryw-wKvv4e0/edit?usp=sharing"",""แพร่!N181"")+IMPORTRANGE(""https://docs.google.com/spreadshe"&amp;"ets/d/1dQrvX0vEcN7Gu0fnZ0B5S90AeR19zth4XlExFBeExMY/edit?usp=sharing"",""แม่ฮ่องสอน!N181"")+IMPORTRANGE(""https://docs.google.com/spreadsheets/d/1DY4XTNNwjluuxqdfdn6qvOSlMRrZqUtmYcZR0ttFiG4/edit?usp=sharing"",""ลำปาง!N181"")+IMPORTRANGE(""https://docs.goog"&amp;"le.com/spreadsheets/d/1ICwG78r0OFT8biBlxnBF8r7she7gNSzOvJ958PWT09c/edit?usp=sharing"",""ลำพูน!N181"")+IMPORTRANGE(""https://docs.google.com/spreadsheets/d/1B0f2xJpZUC6Z0xXnqKlZtEPzsf6L84eP1r1Q15seqRM/edit?usp=sharing"",""สุโขทัย!N181"")+IMPORTRANGE(""http"&amp;"s://docs.google.com/spreadsheets/d/1v0b9pFQCsKUVExMei7AgY2yQkdeNQvtOssygGsXbiKo/edit?usp=sharing"",""อุตรดิตถ์!N181"")+IMPORTRANGE(""https://docs.google.com/spreadsheets/d/1UsNK1e-WWiCo2PvGqdNfdme4m17_Ezd3J69EeeiQPD0/edit?usp=sharing"",""อุทัยธานี!N181"")"),0)</f>
        <v>0</v>
      </c>
      <c r="O181" s="46">
        <f t="shared" ca="1" si="142"/>
        <v>0</v>
      </c>
      <c r="P181" s="46">
        <f t="shared" ca="1" si="143"/>
        <v>0</v>
      </c>
      <c r="Q181" s="46">
        <f ca="1">IFERROR(__xludf.DUMMYFUNCTION("IMPORTRANGE(""https://docs.google.com/spreadsheets/d/1jTcq05yEiRwXcBMLjiodW9e4biSGYWAHcDj22rKWQ3s/edit?usp=sharing"",""กำแพงเพชร!Q181"")+IMPORTRANGE(""https://docs.google.com/spreadsheets/d/1KS0zmDSZPk8KnTAbGN-Xk6MtX1YRZD0ldgdt20K4CRk/edit?usp=sharing"","&amp;"""เชียงราย!Q181"")+IMPORTRANGE(""https://docs.google.com/spreadsheets/d/1rEDxBtusbi64tE0zunoIbsTVV16HeL0oJ6trHQeQ7K8/edit?usp=sharing"",""เชียงใหม่!Q181"")+IMPORTRANGE(""https://docs.google.com/spreadsheets/d/1W6MnUbDkMi6xHnHko_XkFDO9kkuL6Wqyc-6OCDFjW9I/e"&amp;"dit?usp=sharing"",""ตาก!Q181"")+IMPORTRANGE(""https://docs.google.com/spreadsheets/d/1IQAWArduLkta9LpYo4a_ULsyqdta6-6aDDiwpUnQT6c/edit?usp=sharing"",""นครสวรรค์!Q181"")+IMPORTRANGE(""https://docs.google.com/spreadsheets/d/10s13Sk5xrltsiR-Zkbmk5DwIaDIKO8Xl"&amp;"bJAfqyT7Gvg/edit?usp=sharing"",""น่าน!Q181"")+IMPORTRANGE(""https://docs.google.com/spreadsheets/d/1uu4nAn4Dbi1XREnLKKotUANlKXa7yCgRcgq8HEzQYW8/edit?usp=sharing"",""พะเยา!Q181"")+IMPORTRANGE(""https://docs.google.com/spreadsheets/d/1xfJKIQxVOaPDIICqsflNlL"&amp;"u3JacTDk1FP9RH4phX7mI/edit?usp=sharing"",""พิจิตร!Q181"")+IMPORTRANGE(""https://docs.google.com/spreadsheets/d/1JtRfZkJMHtEhI5RdRHxYUG4FIZHqKDpNyIuN7A1Q0_k/edit?usp=sharing"",""พิษณุโลก!Q181"")+IMPORTRANGE(""https://docs.google.com/spreadsheets/d/1xlcVZWU"&amp;"Nn6SuWm0c307h32SiGkd9BaeQWlAktfD3KO8/edit?usp=sharing"",""เพชรบูรณ์!Q181"")+IMPORTRANGE(""https://docs.google.com/spreadsheets/d/1lOVebEIsI9qjGXl6EX66luk7wiuP2tBaryw-wKvv4e0/edit?usp=sharing"",""แพร่!Q181"")+IMPORTRANGE(""https://docs.google.com/spreadshe"&amp;"ets/d/1dQrvX0vEcN7Gu0fnZ0B5S90AeR19zth4XlExFBeExMY/edit?usp=sharing"",""แม่ฮ่องสอน!Q181"")+IMPORTRANGE(""https://docs.google.com/spreadsheets/d/1DY4XTNNwjluuxqdfdn6qvOSlMRrZqUtmYcZR0ttFiG4/edit?usp=sharing"",""ลำปาง!Q181"")+IMPORTRANGE(""https://docs.goog"&amp;"le.com/spreadsheets/d/1ICwG78r0OFT8biBlxnBF8r7she7gNSzOvJ958PWT09c/edit?usp=sharing"",""ลำพูน!Q181"")+IMPORTRANGE(""https://docs.google.com/spreadsheets/d/1B0f2xJpZUC6Z0xXnqKlZtEPzsf6L84eP1r1Q15seqRM/edit?usp=sharing"",""สุโขทัย!Q181"")+IMPORTRANGE(""http"&amp;"s://docs.google.com/spreadsheets/d/1v0b9pFQCsKUVExMei7AgY2yQkdeNQvtOssygGsXbiKo/edit?usp=sharing"",""อุตรดิตถ์!Q181"")+IMPORTRANGE(""https://docs.google.com/spreadsheets/d/1UsNK1e-WWiCo2PvGqdNfdme4m17_Ezd3J69EeeiQPD0/edit?usp=sharing"",""อุทัยธานี!Q181"")"),0)</f>
        <v>0</v>
      </c>
      <c r="R181" s="46">
        <f ca="1">IFERROR(__xludf.DUMMYFUNCTION("IMPORTRANGE(""https://docs.google.com/spreadsheets/d/1jTcq05yEiRwXcBMLjiodW9e4biSGYWAHcDj22rKWQ3s/edit?usp=sharing"",""กำแพงเพชร!R181"")+IMPORTRANGE(""https://docs.google.com/spreadsheets/d/1KS0zmDSZPk8KnTAbGN-Xk6MtX1YRZD0ldgdt20K4CRk/edit?usp=sharing"","&amp;"""เชียงราย!R181"")+IMPORTRANGE(""https://docs.google.com/spreadsheets/d/1rEDxBtusbi64tE0zunoIbsTVV16HeL0oJ6trHQeQ7K8/edit?usp=sharing"",""เชียงใหม่!R181"")+IMPORTRANGE(""https://docs.google.com/spreadsheets/d/1W6MnUbDkMi6xHnHko_XkFDO9kkuL6Wqyc-6OCDFjW9I/e"&amp;"dit?usp=sharing"",""ตาก!R181"")+IMPORTRANGE(""https://docs.google.com/spreadsheets/d/1IQAWArduLkta9LpYo4a_ULsyqdta6-6aDDiwpUnQT6c/edit?usp=sharing"",""นครสวรรค์!R181"")+IMPORTRANGE(""https://docs.google.com/spreadsheets/d/10s13Sk5xrltsiR-Zkbmk5DwIaDIKO8Xl"&amp;"bJAfqyT7Gvg/edit?usp=sharing"",""น่าน!R181"")+IMPORTRANGE(""https://docs.google.com/spreadsheets/d/1uu4nAn4Dbi1XREnLKKotUANlKXa7yCgRcgq8HEzQYW8/edit?usp=sharing"",""พะเยา!R181"")+IMPORTRANGE(""https://docs.google.com/spreadsheets/d/1xfJKIQxVOaPDIICqsflNlL"&amp;"u3JacTDk1FP9RH4phX7mI/edit?usp=sharing"",""พิจิตร!R181"")+IMPORTRANGE(""https://docs.google.com/spreadsheets/d/1JtRfZkJMHtEhI5RdRHxYUG4FIZHqKDpNyIuN7A1Q0_k/edit?usp=sharing"",""พิษณุโลก!R181"")+IMPORTRANGE(""https://docs.google.com/spreadsheets/d/1xlcVZWU"&amp;"Nn6SuWm0c307h32SiGkd9BaeQWlAktfD3KO8/edit?usp=sharing"",""เพชรบูรณ์!R181"")+IMPORTRANGE(""https://docs.google.com/spreadsheets/d/1lOVebEIsI9qjGXl6EX66luk7wiuP2tBaryw-wKvv4e0/edit?usp=sharing"",""แพร่!R181"")+IMPORTRANGE(""https://docs.google.com/spreadshe"&amp;"ets/d/1dQrvX0vEcN7Gu0fnZ0B5S90AeR19zth4XlExFBeExMY/edit?usp=sharing"",""แม่ฮ่องสอน!R181"")+IMPORTRANGE(""https://docs.google.com/spreadsheets/d/1DY4XTNNwjluuxqdfdn6qvOSlMRrZqUtmYcZR0ttFiG4/edit?usp=sharing"",""ลำปาง!R181"")+IMPORTRANGE(""https://docs.goog"&amp;"le.com/spreadsheets/d/1ICwG78r0OFT8biBlxnBF8r7she7gNSzOvJ958PWT09c/edit?usp=sharing"",""ลำพูน!R181"")+IMPORTRANGE(""https://docs.google.com/spreadsheets/d/1B0f2xJpZUC6Z0xXnqKlZtEPzsf6L84eP1r1Q15seqRM/edit?usp=sharing"",""สุโขทัย!R181"")+IMPORTRANGE(""http"&amp;"s://docs.google.com/spreadsheets/d/1v0b9pFQCsKUVExMei7AgY2yQkdeNQvtOssygGsXbiKo/edit?usp=sharing"",""อุตรดิตถ์!R181"")+IMPORTRANGE(""https://docs.google.com/spreadsheets/d/1UsNK1e-WWiCo2PvGqdNfdme4m17_Ezd3J69EeeiQPD0/edit?usp=sharing"",""อุทัยธานี!R181"")"),0)</f>
        <v>0</v>
      </c>
      <c r="S181" s="46">
        <f ca="1">IFERROR(__xludf.DUMMYFUNCTION("IMPORTRANGE(""https://docs.google.com/spreadsheets/d/1jTcq05yEiRwXcBMLjiodW9e4biSGYWAHcDj22rKWQ3s/edit?usp=sharing"",""กำแพงเพชร!S181"")+IMPORTRANGE(""https://docs.google.com/spreadsheets/d/1KS0zmDSZPk8KnTAbGN-Xk6MtX1YRZD0ldgdt20K4CRk/edit?usp=sharing"","&amp;"""เชียงราย!S181"")+IMPORTRANGE(""https://docs.google.com/spreadsheets/d/1rEDxBtusbi64tE0zunoIbsTVV16HeL0oJ6trHQeQ7K8/edit?usp=sharing"",""เชียงใหม่!S181"")+IMPORTRANGE(""https://docs.google.com/spreadsheets/d/1W6MnUbDkMi6xHnHko_XkFDO9kkuL6Wqyc-6OCDFjW9I/e"&amp;"dit?usp=sharing"",""ตาก!S181"")+IMPORTRANGE(""https://docs.google.com/spreadsheets/d/1IQAWArduLkta9LpYo4a_ULsyqdta6-6aDDiwpUnQT6c/edit?usp=sharing"",""นครสวรรค์!S181"")+IMPORTRANGE(""https://docs.google.com/spreadsheets/d/10s13Sk5xrltsiR-Zkbmk5DwIaDIKO8Xl"&amp;"bJAfqyT7Gvg/edit?usp=sharing"",""น่าน!S181"")+IMPORTRANGE(""https://docs.google.com/spreadsheets/d/1uu4nAn4Dbi1XREnLKKotUANlKXa7yCgRcgq8HEzQYW8/edit?usp=sharing"",""พะเยา!S181"")+IMPORTRANGE(""https://docs.google.com/spreadsheets/d/1xfJKIQxVOaPDIICqsflNlL"&amp;"u3JacTDk1FP9RH4phX7mI/edit?usp=sharing"",""พิจิตร!S181"")+IMPORTRANGE(""https://docs.google.com/spreadsheets/d/1JtRfZkJMHtEhI5RdRHxYUG4FIZHqKDpNyIuN7A1Q0_k/edit?usp=sharing"",""พิษณุโลก!S181"")+IMPORTRANGE(""https://docs.google.com/spreadsheets/d/1xlcVZWU"&amp;"Nn6SuWm0c307h32SiGkd9BaeQWlAktfD3KO8/edit?usp=sharing"",""เพชรบูรณ์!S181"")+IMPORTRANGE(""https://docs.google.com/spreadsheets/d/1lOVebEIsI9qjGXl6EX66luk7wiuP2tBaryw-wKvv4e0/edit?usp=sharing"",""แพร่!S181"")+IMPORTRANGE(""https://docs.google.com/spreadshe"&amp;"ets/d/1dQrvX0vEcN7Gu0fnZ0B5S90AeR19zth4XlExFBeExMY/edit?usp=sharing"",""แม่ฮ่องสอน!S181"")+IMPORTRANGE(""https://docs.google.com/spreadsheets/d/1DY4XTNNwjluuxqdfdn6qvOSlMRrZqUtmYcZR0ttFiG4/edit?usp=sharing"",""ลำปาง!S181"")+IMPORTRANGE(""https://docs.goog"&amp;"le.com/spreadsheets/d/1ICwG78r0OFT8biBlxnBF8r7she7gNSzOvJ958PWT09c/edit?usp=sharing"",""ลำพูน!S181"")+IMPORTRANGE(""https://docs.google.com/spreadsheets/d/1B0f2xJpZUC6Z0xXnqKlZtEPzsf6L84eP1r1Q15seqRM/edit?usp=sharing"",""สุโขทัย!S181"")+IMPORTRANGE(""http"&amp;"s://docs.google.com/spreadsheets/d/1v0b9pFQCsKUVExMei7AgY2yQkdeNQvtOssygGsXbiKo/edit?usp=sharing"",""อุตรดิตถ์!S181"")+IMPORTRANGE(""https://docs.google.com/spreadsheets/d/1UsNK1e-WWiCo2PvGqdNfdme4m17_Ezd3J69EeeiQPD0/edit?usp=sharing"",""อุทัยธานี!S181"")"),0)</f>
        <v>0</v>
      </c>
      <c r="T181" s="46">
        <f t="shared" ca="1" si="145"/>
        <v>0</v>
      </c>
      <c r="U181" s="46">
        <f t="shared" ca="1" si="146"/>
        <v>0</v>
      </c>
    </row>
    <row r="182" spans="1:21" ht="19.5" x14ac:dyDescent="0.3">
      <c r="A182" s="138"/>
      <c r="B182" s="139"/>
      <c r="C182" s="129" t="s">
        <v>18</v>
      </c>
      <c r="D182" s="140" t="s">
        <v>38</v>
      </c>
      <c r="E182" s="141"/>
      <c r="F182" s="141"/>
      <c r="G182" s="142"/>
      <c r="H182" s="178"/>
      <c r="I182" s="44"/>
      <c r="J182" s="44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66">
        <f ca="1">IFERROR(__xludf.DUMMYFUNCTION("IMPORTRANGE(""https://docs.google.com/spreadsheets/d/1jTcq05yEiRwXcBMLjiodW9e4biSGYWAHcDj22rKWQ3s/edit?usp=sharing"",""กำแพงเพชร!I183"")+IMPORTRANGE(""https://docs.google.com/spreadsheets/d/1KS0zmDSZPk8KnTAbGN-Xk6MtX1YRZD0ldgdt20K4CRk/edit?usp=sharing"","&amp;"""เชียงราย!I183"")+IMPORTRANGE(""https://docs.google.com/spreadsheets/d/1rEDxBtusbi64tE0zunoIbsTVV16HeL0oJ6trHQeQ7K8/edit?usp=sharing"",""เชียงใหม่!I183"")+IMPORTRANGE(""https://docs.google.com/spreadsheets/d/1W6MnUbDkMi6xHnHko_XkFDO9kkuL6Wqyc-6OCDFjW9I/e"&amp;"dit?usp=sharing"",""ตาก!I183"")+IMPORTRANGE(""https://docs.google.com/spreadsheets/d/1IQAWArduLkta9LpYo4a_ULsyqdta6-6aDDiwpUnQT6c/edit?usp=sharing"",""นครสวรรค์!I183"")+IMPORTRANGE(""https://docs.google.com/spreadsheets/d/10s13Sk5xrltsiR-Zkbmk5DwIaDIKO8Xl"&amp;"bJAfqyT7Gvg/edit?usp=sharing"",""น่าน!I183"")+IMPORTRANGE(""https://docs.google.com/spreadsheets/d/1uu4nAn4Dbi1XREnLKKotUANlKXa7yCgRcgq8HEzQYW8/edit?usp=sharing"",""พะเยา!I183"")+IMPORTRANGE(""https://docs.google.com/spreadsheets/d/1xfJKIQxVOaPDIICqsflNlL"&amp;"u3JacTDk1FP9RH4phX7mI/edit?usp=sharing"",""พิจิตร!I183"")+IMPORTRANGE(""https://docs.google.com/spreadsheets/d/1JtRfZkJMHtEhI5RdRHxYUG4FIZHqKDpNyIuN7A1Q0_k/edit?usp=sharing"",""พิษณุโลก!I183"")+IMPORTRANGE(""https://docs.google.com/spreadsheets/d/1xlcVZWU"&amp;"Nn6SuWm0c307h32SiGkd9BaeQWlAktfD3KO8/edit?usp=sharing"",""เพชรบูรณ์!I183"")+IMPORTRANGE(""https://docs.google.com/spreadsheets/d/1lOVebEIsI9qjGXl6EX66luk7wiuP2tBaryw-wKvv4e0/edit?usp=sharing"",""แพร่!I183"")+IMPORTRANGE(""https://docs.google.com/spreadshe"&amp;"ets/d/1dQrvX0vEcN7Gu0fnZ0B5S90AeR19zth4XlExFBeExMY/edit?usp=sharing"",""แม่ฮ่องสอน!I183"")+IMPORTRANGE(""https://docs.google.com/spreadsheets/d/1DY4XTNNwjluuxqdfdn6qvOSlMRrZqUtmYcZR0ttFiG4/edit?usp=sharing"",""ลำปาง!I183"")+IMPORTRANGE(""https://docs.goog"&amp;"le.com/spreadsheets/d/1ICwG78r0OFT8biBlxnBF8r7she7gNSzOvJ958PWT09c/edit?usp=sharing"",""ลำพูน!I183"")+IMPORTRANGE(""https://docs.google.com/spreadsheets/d/1B0f2xJpZUC6Z0xXnqKlZtEPzsf6L84eP1r1Q15seqRM/edit?usp=sharing"",""สุโขทัย!I183"")+IMPORTRANGE(""http"&amp;"s://docs.google.com/spreadsheets/d/1v0b9pFQCsKUVExMei7AgY2yQkdeNQvtOssygGsXbiKo/edit?usp=sharing"",""อุตรดิตถ์!I183"")+IMPORTRANGE(""https://docs.google.com/spreadsheets/d/1UsNK1e-WWiCo2PvGqdNfdme4m17_Ezd3J69EeeiQPD0/edit?usp=sharing"",""อุทัยธานี!I183"")"),119)</f>
        <v>119</v>
      </c>
      <c r="J183" s="166">
        <f ca="1">IFERROR(__xludf.DUMMYFUNCTION("IMPORTRANGE(""https://docs.google.com/spreadsheets/d/1jTcq05yEiRwXcBMLjiodW9e4biSGYWAHcDj22rKWQ3s/edit?usp=sharing"",""กำแพงเพชร!J183"")+IMPORTRANGE(""https://docs.google.com/spreadsheets/d/1KS0zmDSZPk8KnTAbGN-Xk6MtX1YRZD0ldgdt20K4CRk/edit?usp=sharing"","&amp;"""เชียงราย!J183"")+IMPORTRANGE(""https://docs.google.com/spreadsheets/d/1rEDxBtusbi64tE0zunoIbsTVV16HeL0oJ6trHQeQ7K8/edit?usp=sharing"",""เชียงใหม่!J183"")+IMPORTRANGE(""https://docs.google.com/spreadsheets/d/1W6MnUbDkMi6xHnHko_XkFDO9kkuL6Wqyc-6OCDFjW9I/e"&amp;"dit?usp=sharing"",""ตาก!J183"")+IMPORTRANGE(""https://docs.google.com/spreadsheets/d/1IQAWArduLkta9LpYo4a_ULsyqdta6-6aDDiwpUnQT6c/edit?usp=sharing"",""นครสวรรค์!J183"")+IMPORTRANGE(""https://docs.google.com/spreadsheets/d/10s13Sk5xrltsiR-Zkbmk5DwIaDIKO8Xl"&amp;"bJAfqyT7Gvg/edit?usp=sharing"",""น่าน!J183"")+IMPORTRANGE(""https://docs.google.com/spreadsheets/d/1uu4nAn4Dbi1XREnLKKotUANlKXa7yCgRcgq8HEzQYW8/edit?usp=sharing"",""พะเยา!J183"")+IMPORTRANGE(""https://docs.google.com/spreadsheets/d/1xfJKIQxVOaPDIICqsflNlL"&amp;"u3JacTDk1FP9RH4phX7mI/edit?usp=sharing"",""พิจิตร!J183"")+IMPORTRANGE(""https://docs.google.com/spreadsheets/d/1JtRfZkJMHtEhI5RdRHxYUG4FIZHqKDpNyIuN7A1Q0_k/edit?usp=sharing"",""พิษณุโลก!J183"")+IMPORTRANGE(""https://docs.google.com/spreadsheets/d/1xlcVZWU"&amp;"Nn6SuWm0c307h32SiGkd9BaeQWlAktfD3KO8/edit?usp=sharing"",""เพชรบูรณ์!J183"")+IMPORTRANGE(""https://docs.google.com/spreadsheets/d/1lOVebEIsI9qjGXl6EX66luk7wiuP2tBaryw-wKvv4e0/edit?usp=sharing"",""แพร่!J183"")+IMPORTRANGE(""https://docs.google.com/spreadshe"&amp;"ets/d/1dQrvX0vEcN7Gu0fnZ0B5S90AeR19zth4XlExFBeExMY/edit?usp=sharing"",""แม่ฮ่องสอน!J183"")+IMPORTRANGE(""https://docs.google.com/spreadsheets/d/1DY4XTNNwjluuxqdfdn6qvOSlMRrZqUtmYcZR0ttFiG4/edit?usp=sharing"",""ลำปาง!J183"")+IMPORTRANGE(""https://docs.goog"&amp;"le.com/spreadsheets/d/1ICwG78r0OFT8biBlxnBF8r7she7gNSzOvJ958PWT09c/edit?usp=sharing"",""ลำพูน!J183"")+IMPORTRANGE(""https://docs.google.com/spreadsheets/d/1B0f2xJpZUC6Z0xXnqKlZtEPzsf6L84eP1r1Q15seqRM/edit?usp=sharing"",""สุโขทัย!J183"")+IMPORTRANGE(""http"&amp;"s://docs.google.com/spreadsheets/d/1v0b9pFQCsKUVExMei7AgY2yQkdeNQvtOssygGsXbiKo/edit?usp=sharing"",""อุตรดิตถ์!J183"")+IMPORTRANGE(""https://docs.google.com/spreadsheets/d/1UsNK1e-WWiCo2PvGqdNfdme4m17_Ezd3J69EeeiQPD0/edit?usp=sharing"",""อุทัยธานี!J183"")"),119)</f>
        <v>119</v>
      </c>
      <c r="K183" s="46">
        <f t="shared" ref="K183:K185" ca="1" si="155">IF(I183&gt;0,J183*100/I183,0)</f>
        <v>100</v>
      </c>
      <c r="L183" s="45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x14ac:dyDescent="0.25">
      <c r="A184" s="208"/>
      <c r="B184" s="158"/>
      <c r="C184" s="158"/>
      <c r="D184" s="209" t="s">
        <v>76</v>
      </c>
      <c r="E184" s="40"/>
      <c r="F184" s="40"/>
      <c r="G184" s="42"/>
      <c r="H184" s="210" t="s">
        <v>35</v>
      </c>
      <c r="I184" s="184">
        <v>70</v>
      </c>
      <c r="J184" s="184">
        <v>0</v>
      </c>
      <c r="K184" s="46">
        <f t="shared" si="155"/>
        <v>0</v>
      </c>
      <c r="L184" s="45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205">
        <f t="shared" ref="I185:J185" ca="1" si="156">I230+I231</f>
        <v>0</v>
      </c>
      <c r="J185" s="205">
        <f t="shared" ca="1" si="156"/>
        <v>0</v>
      </c>
      <c r="K185" s="206">
        <f t="shared" ca="1" si="155"/>
        <v>0</v>
      </c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13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132">
        <f t="shared" ref="L186:N186" ca="1" si="157">L187+L188</f>
        <v>3628200</v>
      </c>
      <c r="M186" s="132">
        <f t="shared" ca="1" si="157"/>
        <v>3153460</v>
      </c>
      <c r="N186" s="132">
        <f t="shared" ca="1" si="157"/>
        <v>2010194.07</v>
      </c>
      <c r="O186" s="132">
        <f t="shared" ref="O186:O194" ca="1" si="158">IF(L186&gt;0,N186*100/L186,0)</f>
        <v>55.404720522573179</v>
      </c>
      <c r="P186" s="132">
        <f t="shared" ref="P186:P194" ca="1" si="159">IF(M186&gt;0,N186*100/M186,0)</f>
        <v>63.745665713216596</v>
      </c>
      <c r="Q186" s="132">
        <f t="shared" ref="Q186:S186" ca="1" si="160">Q187+Q188</f>
        <v>1496500</v>
      </c>
      <c r="R186" s="132">
        <f t="shared" ca="1" si="160"/>
        <v>1554500</v>
      </c>
      <c r="S186" s="132">
        <f t="shared" ca="1" si="160"/>
        <v>560400</v>
      </c>
      <c r="T186" s="132">
        <f t="shared" ref="T186:T194" ca="1" si="161">IF(Q186&gt;0,S186*100/Q186,0)</f>
        <v>37.447377213498164</v>
      </c>
      <c r="U186" s="132">
        <f t="shared" ref="U186:U194" ca="1" si="162">IF(R186&gt;0,S186*100/R186,0)</f>
        <v>36.050176905757475</v>
      </c>
    </row>
    <row r="187" spans="1:21" ht="18.75" x14ac:dyDescent="0.25">
      <c r="A187" s="128"/>
      <c r="B187" s="40"/>
      <c r="C187" s="40"/>
      <c r="D187" s="40"/>
      <c r="E187" s="47" t="s">
        <v>20</v>
      </c>
      <c r="F187" s="40"/>
      <c r="G187" s="42"/>
      <c r="H187" s="133" t="s">
        <v>14</v>
      </c>
      <c r="I187" s="44"/>
      <c r="J187" s="44"/>
      <c r="K187" s="45"/>
      <c r="L187" s="46">
        <f t="shared" ref="L187:N187" ca="1" si="163">L190+L193</f>
        <v>0</v>
      </c>
      <c r="M187" s="46">
        <f t="shared" ca="1" si="163"/>
        <v>0</v>
      </c>
      <c r="N187" s="46">
        <f t="shared" ca="1" si="163"/>
        <v>0</v>
      </c>
      <c r="O187" s="46">
        <f t="shared" ca="1" si="158"/>
        <v>0</v>
      </c>
      <c r="P187" s="46">
        <f t="shared" ca="1" si="159"/>
        <v>0</v>
      </c>
      <c r="Q187" s="48">
        <f t="shared" ref="Q187:S187" ca="1" si="164">Q190+Q193</f>
        <v>0</v>
      </c>
      <c r="R187" s="48">
        <f t="shared" ca="1" si="164"/>
        <v>0</v>
      </c>
      <c r="S187" s="48">
        <f t="shared" ca="1" si="164"/>
        <v>0</v>
      </c>
      <c r="T187" s="48">
        <f t="shared" ca="1" si="161"/>
        <v>0</v>
      </c>
      <c r="U187" s="48">
        <f t="shared" ca="1" si="162"/>
        <v>0</v>
      </c>
    </row>
    <row r="188" spans="1:21" ht="18.75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46">
        <f t="shared" ref="L188:N188" ca="1" si="165">L191+L194</f>
        <v>3628200</v>
      </c>
      <c r="M188" s="46">
        <f t="shared" ca="1" si="165"/>
        <v>3153460</v>
      </c>
      <c r="N188" s="46">
        <f t="shared" ca="1" si="165"/>
        <v>2010194.07</v>
      </c>
      <c r="O188" s="46">
        <f t="shared" ca="1" si="158"/>
        <v>55.404720522573179</v>
      </c>
      <c r="P188" s="46">
        <f t="shared" ca="1" si="159"/>
        <v>63.745665713216596</v>
      </c>
      <c r="Q188" s="46">
        <f t="shared" ref="Q188:S188" ca="1" si="166">Q191+Q194</f>
        <v>1496500</v>
      </c>
      <c r="R188" s="46">
        <f t="shared" ca="1" si="166"/>
        <v>1554500</v>
      </c>
      <c r="S188" s="46">
        <f t="shared" ca="1" si="166"/>
        <v>560400</v>
      </c>
      <c r="T188" s="46">
        <f t="shared" ca="1" si="161"/>
        <v>37.447377213498164</v>
      </c>
      <c r="U188" s="46">
        <f t="shared" ca="1" si="162"/>
        <v>36.050176905757475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46">
        <f t="shared" ref="L189:N189" ca="1" si="167">L190+L191</f>
        <v>3628200</v>
      </c>
      <c r="M189" s="46">
        <f t="shared" ca="1" si="167"/>
        <v>3153460</v>
      </c>
      <c r="N189" s="46">
        <f t="shared" ca="1" si="167"/>
        <v>2010194.07</v>
      </c>
      <c r="O189" s="46">
        <f t="shared" ca="1" si="158"/>
        <v>55.404720522573179</v>
      </c>
      <c r="P189" s="46">
        <f t="shared" ca="1" si="159"/>
        <v>63.745665713216596</v>
      </c>
      <c r="Q189" s="46">
        <f t="shared" ref="Q189:S189" ca="1" si="168">Q190+Q191</f>
        <v>1496500</v>
      </c>
      <c r="R189" s="46">
        <f t="shared" ca="1" si="168"/>
        <v>1554500</v>
      </c>
      <c r="S189" s="46">
        <f t="shared" ca="1" si="168"/>
        <v>560400</v>
      </c>
      <c r="T189" s="46">
        <f t="shared" ca="1" si="161"/>
        <v>37.447377213498164</v>
      </c>
      <c r="U189" s="46">
        <f t="shared" ca="1" si="162"/>
        <v>36.050176905757475</v>
      </c>
    </row>
    <row r="190" spans="1:21" ht="18.75" x14ac:dyDescent="0.25">
      <c r="A190" s="128"/>
      <c r="B190" s="40"/>
      <c r="C190" s="40"/>
      <c r="D190" s="40"/>
      <c r="E190" s="47" t="s">
        <v>36</v>
      </c>
      <c r="F190" s="40"/>
      <c r="G190" s="42"/>
      <c r="H190" s="134" t="s">
        <v>14</v>
      </c>
      <c r="I190" s="135"/>
      <c r="J190" s="135"/>
      <c r="K190" s="136"/>
      <c r="L190" s="46">
        <f ca="1">IFERROR(__xludf.DUMMYFUNCTION("IMPORTRANGE(""https://docs.google.com/spreadsheets/d/1jTcq05yEiRwXcBMLjiodW9e4biSGYWAHcDj22rKWQ3s/edit?usp=sharing"",""กำแพงเพชร!L190"")+IMPORTRANGE(""https://docs.google.com/spreadsheets/d/1KS0zmDSZPk8KnTAbGN-Xk6MtX1YRZD0ldgdt20K4CRk/edit?usp=sharing"","&amp;"""เชียงราย!L190"")+IMPORTRANGE(""https://docs.google.com/spreadsheets/d/1rEDxBtusbi64tE0zunoIbsTVV16HeL0oJ6trHQeQ7K8/edit?usp=sharing"",""เชียงใหม่!L190"")+IMPORTRANGE(""https://docs.google.com/spreadsheets/d/1W6MnUbDkMi6xHnHko_XkFDO9kkuL6Wqyc-6OCDFjW9I/e"&amp;"dit?usp=sharing"",""ตาก!L190"")+IMPORTRANGE(""https://docs.google.com/spreadsheets/d/1IQAWArduLkta9LpYo4a_ULsyqdta6-6aDDiwpUnQT6c/edit?usp=sharing"",""นครสวรรค์!L190"")+IMPORTRANGE(""https://docs.google.com/spreadsheets/d/10s13Sk5xrltsiR-Zkbmk5DwIaDIKO8Xl"&amp;"bJAfqyT7Gvg/edit?usp=sharing"",""น่าน!L190"")+IMPORTRANGE(""https://docs.google.com/spreadsheets/d/1uu4nAn4Dbi1XREnLKKotUANlKXa7yCgRcgq8HEzQYW8/edit?usp=sharing"",""พะเยา!L190"")+IMPORTRANGE(""https://docs.google.com/spreadsheets/d/1xfJKIQxVOaPDIICqsflNlL"&amp;"u3JacTDk1FP9RH4phX7mI/edit?usp=sharing"",""พิจิตร!L190"")+IMPORTRANGE(""https://docs.google.com/spreadsheets/d/1JtRfZkJMHtEhI5RdRHxYUG4FIZHqKDpNyIuN7A1Q0_k/edit?usp=sharing"",""พิษณุโลก!L190"")+IMPORTRANGE(""https://docs.google.com/spreadsheets/d/1xlcVZWU"&amp;"Nn6SuWm0c307h32SiGkd9BaeQWlAktfD3KO8/edit?usp=sharing"",""เพชรบูรณ์!L190"")+IMPORTRANGE(""https://docs.google.com/spreadsheets/d/1lOVebEIsI9qjGXl6EX66luk7wiuP2tBaryw-wKvv4e0/edit?usp=sharing"",""แพร่!L190"")+IMPORTRANGE(""https://docs.google.com/spreadshe"&amp;"ets/d/1dQrvX0vEcN7Gu0fnZ0B5S90AeR19zth4XlExFBeExMY/edit?usp=sharing"",""แม่ฮ่องสอน!L190"")+IMPORTRANGE(""https://docs.google.com/spreadsheets/d/1DY4XTNNwjluuxqdfdn6qvOSlMRrZqUtmYcZR0ttFiG4/edit?usp=sharing"",""ลำปาง!L190"")+IMPORTRANGE(""https://docs.goog"&amp;"le.com/spreadsheets/d/1ICwG78r0OFT8biBlxnBF8r7she7gNSzOvJ958PWT09c/edit?usp=sharing"",""ลำพูน!L190"")+IMPORTRANGE(""https://docs.google.com/spreadsheets/d/1B0f2xJpZUC6Z0xXnqKlZtEPzsf6L84eP1r1Q15seqRM/edit?usp=sharing"",""สุโขทัย!L190"")+IMPORTRANGE(""http"&amp;"s://docs.google.com/spreadsheets/d/1v0b9pFQCsKUVExMei7AgY2yQkdeNQvtOssygGsXbiKo/edit?usp=sharing"",""อุตรดิตถ์!L190"")+IMPORTRANGE(""https://docs.google.com/spreadsheets/d/1UsNK1e-WWiCo2PvGqdNfdme4m17_Ezd3J69EeeiQPD0/edit?usp=sharing"",""อุทัยธานี!L190"")"),0)</f>
        <v>0</v>
      </c>
      <c r="M190" s="46">
        <f ca="1">IFERROR(__xludf.DUMMYFUNCTION("IMPORTRANGE(""https://docs.google.com/spreadsheets/d/1jTcq05yEiRwXcBMLjiodW9e4biSGYWAHcDj22rKWQ3s/edit?usp=sharing"",""กำแพงเพชร!M190"")+IMPORTRANGE(""https://docs.google.com/spreadsheets/d/1KS0zmDSZPk8KnTAbGN-Xk6MtX1YRZD0ldgdt20K4CRk/edit?usp=sharing"","&amp;"""เชียงราย!M190"")+IMPORTRANGE(""https://docs.google.com/spreadsheets/d/1rEDxBtusbi64tE0zunoIbsTVV16HeL0oJ6trHQeQ7K8/edit?usp=sharing"",""เชียงใหม่!M190"")+IMPORTRANGE(""https://docs.google.com/spreadsheets/d/1W6MnUbDkMi6xHnHko_XkFDO9kkuL6Wqyc-6OCDFjW9I/e"&amp;"dit?usp=sharing"",""ตาก!M190"")+IMPORTRANGE(""https://docs.google.com/spreadsheets/d/1IQAWArduLkta9LpYo4a_ULsyqdta6-6aDDiwpUnQT6c/edit?usp=sharing"",""นครสวรรค์!M190"")+IMPORTRANGE(""https://docs.google.com/spreadsheets/d/10s13Sk5xrltsiR-Zkbmk5DwIaDIKO8Xl"&amp;"bJAfqyT7Gvg/edit?usp=sharing"",""น่าน!M190"")+IMPORTRANGE(""https://docs.google.com/spreadsheets/d/1uu4nAn4Dbi1XREnLKKotUANlKXa7yCgRcgq8HEzQYW8/edit?usp=sharing"",""พะเยา!M190"")+IMPORTRANGE(""https://docs.google.com/spreadsheets/d/1xfJKIQxVOaPDIICqsflNlL"&amp;"u3JacTDk1FP9RH4phX7mI/edit?usp=sharing"",""พิจิตร!M190"")+IMPORTRANGE(""https://docs.google.com/spreadsheets/d/1JtRfZkJMHtEhI5RdRHxYUG4FIZHqKDpNyIuN7A1Q0_k/edit?usp=sharing"",""พิษณุโลก!M190"")+IMPORTRANGE(""https://docs.google.com/spreadsheets/d/1xlcVZWU"&amp;"Nn6SuWm0c307h32SiGkd9BaeQWlAktfD3KO8/edit?usp=sharing"",""เพชรบูรณ์!M190"")+IMPORTRANGE(""https://docs.google.com/spreadsheets/d/1lOVebEIsI9qjGXl6EX66luk7wiuP2tBaryw-wKvv4e0/edit?usp=sharing"",""แพร่!M190"")+IMPORTRANGE(""https://docs.google.com/spreadshe"&amp;"ets/d/1dQrvX0vEcN7Gu0fnZ0B5S90AeR19zth4XlExFBeExMY/edit?usp=sharing"",""แม่ฮ่องสอน!M190"")+IMPORTRANGE(""https://docs.google.com/spreadsheets/d/1DY4XTNNwjluuxqdfdn6qvOSlMRrZqUtmYcZR0ttFiG4/edit?usp=sharing"",""ลำปาง!M190"")+IMPORTRANGE(""https://docs.goog"&amp;"le.com/spreadsheets/d/1ICwG78r0OFT8biBlxnBF8r7she7gNSzOvJ958PWT09c/edit?usp=sharing"",""ลำพูน!M190"")+IMPORTRANGE(""https://docs.google.com/spreadsheets/d/1B0f2xJpZUC6Z0xXnqKlZtEPzsf6L84eP1r1Q15seqRM/edit?usp=sharing"",""สุโขทัย!M190"")+IMPORTRANGE(""http"&amp;"s://docs.google.com/spreadsheets/d/1v0b9pFQCsKUVExMei7AgY2yQkdeNQvtOssygGsXbiKo/edit?usp=sharing"",""อุตรดิตถ์!M190"")+IMPORTRANGE(""https://docs.google.com/spreadsheets/d/1UsNK1e-WWiCo2PvGqdNfdme4m17_Ezd3J69EeeiQPD0/edit?usp=sharing"",""อุทัยธานี!M190"")"),0)</f>
        <v>0</v>
      </c>
      <c r="N190" s="46">
        <f ca="1">IFERROR(__xludf.DUMMYFUNCTION("IMPORTRANGE(""https://docs.google.com/spreadsheets/d/1jTcq05yEiRwXcBMLjiodW9e4biSGYWAHcDj22rKWQ3s/edit?usp=sharing"",""กำแพงเพชร!N190"")+IMPORTRANGE(""https://docs.google.com/spreadsheets/d/1KS0zmDSZPk8KnTAbGN-Xk6MtX1YRZD0ldgdt20K4CRk/edit?usp=sharing"","&amp;"""เชียงราย!N190"")+IMPORTRANGE(""https://docs.google.com/spreadsheets/d/1rEDxBtusbi64tE0zunoIbsTVV16HeL0oJ6trHQeQ7K8/edit?usp=sharing"",""เชียงใหม่!N190"")+IMPORTRANGE(""https://docs.google.com/spreadsheets/d/1W6MnUbDkMi6xHnHko_XkFDO9kkuL6Wqyc-6OCDFjW9I/e"&amp;"dit?usp=sharing"",""ตาก!N190"")+IMPORTRANGE(""https://docs.google.com/spreadsheets/d/1IQAWArduLkta9LpYo4a_ULsyqdta6-6aDDiwpUnQT6c/edit?usp=sharing"",""นครสวรรค์!N190"")+IMPORTRANGE(""https://docs.google.com/spreadsheets/d/10s13Sk5xrltsiR-Zkbmk5DwIaDIKO8Xl"&amp;"bJAfqyT7Gvg/edit?usp=sharing"",""น่าน!N190"")+IMPORTRANGE(""https://docs.google.com/spreadsheets/d/1uu4nAn4Dbi1XREnLKKotUANlKXa7yCgRcgq8HEzQYW8/edit?usp=sharing"",""พะเยา!N190"")+IMPORTRANGE(""https://docs.google.com/spreadsheets/d/1xfJKIQxVOaPDIICqsflNlL"&amp;"u3JacTDk1FP9RH4phX7mI/edit?usp=sharing"",""พิจิตร!N190"")+IMPORTRANGE(""https://docs.google.com/spreadsheets/d/1JtRfZkJMHtEhI5RdRHxYUG4FIZHqKDpNyIuN7A1Q0_k/edit?usp=sharing"",""พิษณุโลก!N190"")+IMPORTRANGE(""https://docs.google.com/spreadsheets/d/1xlcVZWU"&amp;"Nn6SuWm0c307h32SiGkd9BaeQWlAktfD3KO8/edit?usp=sharing"",""เพชรบูรณ์!N190"")+IMPORTRANGE(""https://docs.google.com/spreadsheets/d/1lOVebEIsI9qjGXl6EX66luk7wiuP2tBaryw-wKvv4e0/edit?usp=sharing"",""แพร่!N190"")+IMPORTRANGE(""https://docs.google.com/spreadshe"&amp;"ets/d/1dQrvX0vEcN7Gu0fnZ0B5S90AeR19zth4XlExFBeExMY/edit?usp=sharing"",""แม่ฮ่องสอน!N190"")+IMPORTRANGE(""https://docs.google.com/spreadsheets/d/1DY4XTNNwjluuxqdfdn6qvOSlMRrZqUtmYcZR0ttFiG4/edit?usp=sharing"",""ลำปาง!N190"")+IMPORTRANGE(""https://docs.goog"&amp;"le.com/spreadsheets/d/1ICwG78r0OFT8biBlxnBF8r7she7gNSzOvJ958PWT09c/edit?usp=sharing"",""ลำพูน!N190"")+IMPORTRANGE(""https://docs.google.com/spreadsheets/d/1B0f2xJpZUC6Z0xXnqKlZtEPzsf6L84eP1r1Q15seqRM/edit?usp=sharing"",""สุโขทัย!N190"")+IMPORTRANGE(""http"&amp;"s://docs.google.com/spreadsheets/d/1v0b9pFQCsKUVExMei7AgY2yQkdeNQvtOssygGsXbiKo/edit?usp=sharing"",""อุตรดิตถ์!N190"")+IMPORTRANGE(""https://docs.google.com/spreadsheets/d/1UsNK1e-WWiCo2PvGqdNfdme4m17_Ezd3J69EeeiQPD0/edit?usp=sharing"",""อุทัยธานี!N190"")"),0)</f>
        <v>0</v>
      </c>
      <c r="O190" s="46">
        <f t="shared" ca="1" si="158"/>
        <v>0</v>
      </c>
      <c r="P190" s="46">
        <f t="shared" ca="1" si="159"/>
        <v>0</v>
      </c>
      <c r="Q190" s="48">
        <f ca="1">IFERROR(__xludf.DUMMYFUNCTION("IMPORTRANGE(""https://docs.google.com/spreadsheets/d/1jTcq05yEiRwXcBMLjiodW9e4biSGYWAHcDj22rKWQ3s/edit?usp=sharing"",""กำแพงเพชร!Q190"")+IMPORTRANGE(""https://docs.google.com/spreadsheets/d/1KS0zmDSZPk8KnTAbGN-Xk6MtX1YRZD0ldgdt20K4CRk/edit?usp=sharing"","&amp;"""เชียงราย!Q190"")+IMPORTRANGE(""https://docs.google.com/spreadsheets/d/1rEDxBtusbi64tE0zunoIbsTVV16HeL0oJ6trHQeQ7K8/edit?usp=sharing"",""เชียงใหม่!Q190"")+IMPORTRANGE(""https://docs.google.com/spreadsheets/d/1W6MnUbDkMi6xHnHko_XkFDO9kkuL6Wqyc-6OCDFjW9I/e"&amp;"dit?usp=sharing"",""ตาก!Q190"")+IMPORTRANGE(""https://docs.google.com/spreadsheets/d/1IQAWArduLkta9LpYo4a_ULsyqdta6-6aDDiwpUnQT6c/edit?usp=sharing"",""นครสวรรค์!Q190"")+IMPORTRANGE(""https://docs.google.com/spreadsheets/d/10s13Sk5xrltsiR-Zkbmk5DwIaDIKO8Xl"&amp;"bJAfqyT7Gvg/edit?usp=sharing"",""น่าน!Q190"")+IMPORTRANGE(""https://docs.google.com/spreadsheets/d/1uu4nAn4Dbi1XREnLKKotUANlKXa7yCgRcgq8HEzQYW8/edit?usp=sharing"",""พะเยา!Q190"")+IMPORTRANGE(""https://docs.google.com/spreadsheets/d/1xfJKIQxVOaPDIICqsflNlL"&amp;"u3JacTDk1FP9RH4phX7mI/edit?usp=sharing"",""พิจิตร!Q190"")+IMPORTRANGE(""https://docs.google.com/spreadsheets/d/1JtRfZkJMHtEhI5RdRHxYUG4FIZHqKDpNyIuN7A1Q0_k/edit?usp=sharing"",""พิษณุโลก!Q190"")+IMPORTRANGE(""https://docs.google.com/spreadsheets/d/1xlcVZWU"&amp;"Nn6SuWm0c307h32SiGkd9BaeQWlAktfD3KO8/edit?usp=sharing"",""เพชรบูรณ์!Q190"")+IMPORTRANGE(""https://docs.google.com/spreadsheets/d/1lOVebEIsI9qjGXl6EX66luk7wiuP2tBaryw-wKvv4e0/edit?usp=sharing"",""แพร่!Q190"")+IMPORTRANGE(""https://docs.google.com/spreadshe"&amp;"ets/d/1dQrvX0vEcN7Gu0fnZ0B5S90AeR19zth4XlExFBeExMY/edit?usp=sharing"",""แม่ฮ่องสอน!Q190"")+IMPORTRANGE(""https://docs.google.com/spreadsheets/d/1DY4XTNNwjluuxqdfdn6qvOSlMRrZqUtmYcZR0ttFiG4/edit?usp=sharing"",""ลำปาง!Q190"")+IMPORTRANGE(""https://docs.goog"&amp;"le.com/spreadsheets/d/1ICwG78r0OFT8biBlxnBF8r7she7gNSzOvJ958PWT09c/edit?usp=sharing"",""ลำพูน!Q190"")+IMPORTRANGE(""https://docs.google.com/spreadsheets/d/1B0f2xJpZUC6Z0xXnqKlZtEPzsf6L84eP1r1Q15seqRM/edit?usp=sharing"",""สุโขทัย!Q190"")+IMPORTRANGE(""http"&amp;"s://docs.google.com/spreadsheets/d/1v0b9pFQCsKUVExMei7AgY2yQkdeNQvtOssygGsXbiKo/edit?usp=sharing"",""อุตรดิตถ์!Q190"")+IMPORTRANGE(""https://docs.google.com/spreadsheets/d/1UsNK1e-WWiCo2PvGqdNfdme4m17_Ezd3J69EeeiQPD0/edit?usp=sharing"",""อุทัยธานี!Q190"")"),0)</f>
        <v>0</v>
      </c>
      <c r="R190" s="48">
        <f ca="1">IFERROR(__xludf.DUMMYFUNCTION("IMPORTRANGE(""https://docs.google.com/spreadsheets/d/1jTcq05yEiRwXcBMLjiodW9e4biSGYWAHcDj22rKWQ3s/edit?usp=sharing"",""กำแพงเพชร!R190"")+IMPORTRANGE(""https://docs.google.com/spreadsheets/d/1KS0zmDSZPk8KnTAbGN-Xk6MtX1YRZD0ldgdt20K4CRk/edit?usp=sharing"","&amp;"""เชียงราย!R190"")+IMPORTRANGE(""https://docs.google.com/spreadsheets/d/1rEDxBtusbi64tE0zunoIbsTVV16HeL0oJ6trHQeQ7K8/edit?usp=sharing"",""เชียงใหม่!R190"")+IMPORTRANGE(""https://docs.google.com/spreadsheets/d/1W6MnUbDkMi6xHnHko_XkFDO9kkuL6Wqyc-6OCDFjW9I/e"&amp;"dit?usp=sharing"",""ตาก!R190"")+IMPORTRANGE(""https://docs.google.com/spreadsheets/d/1IQAWArduLkta9LpYo4a_ULsyqdta6-6aDDiwpUnQT6c/edit?usp=sharing"",""นครสวรรค์!R190"")+IMPORTRANGE(""https://docs.google.com/spreadsheets/d/10s13Sk5xrltsiR-Zkbmk5DwIaDIKO8Xl"&amp;"bJAfqyT7Gvg/edit?usp=sharing"",""น่าน!R190"")+IMPORTRANGE(""https://docs.google.com/spreadsheets/d/1uu4nAn4Dbi1XREnLKKotUANlKXa7yCgRcgq8HEzQYW8/edit?usp=sharing"",""พะเยา!R190"")+IMPORTRANGE(""https://docs.google.com/spreadsheets/d/1xfJKIQxVOaPDIICqsflNlL"&amp;"u3JacTDk1FP9RH4phX7mI/edit?usp=sharing"",""พิจิตร!R190"")+IMPORTRANGE(""https://docs.google.com/spreadsheets/d/1JtRfZkJMHtEhI5RdRHxYUG4FIZHqKDpNyIuN7A1Q0_k/edit?usp=sharing"",""พิษณุโลก!R190"")+IMPORTRANGE(""https://docs.google.com/spreadsheets/d/1xlcVZWU"&amp;"Nn6SuWm0c307h32SiGkd9BaeQWlAktfD3KO8/edit?usp=sharing"",""เพชรบูรณ์!R190"")+IMPORTRANGE(""https://docs.google.com/spreadsheets/d/1lOVebEIsI9qjGXl6EX66luk7wiuP2tBaryw-wKvv4e0/edit?usp=sharing"",""แพร่!R190"")+IMPORTRANGE(""https://docs.google.com/spreadshe"&amp;"ets/d/1dQrvX0vEcN7Gu0fnZ0B5S90AeR19zth4XlExFBeExMY/edit?usp=sharing"",""แม่ฮ่องสอน!R190"")+IMPORTRANGE(""https://docs.google.com/spreadsheets/d/1DY4XTNNwjluuxqdfdn6qvOSlMRrZqUtmYcZR0ttFiG4/edit?usp=sharing"",""ลำปาง!R190"")+IMPORTRANGE(""https://docs.goog"&amp;"le.com/spreadsheets/d/1ICwG78r0OFT8biBlxnBF8r7she7gNSzOvJ958PWT09c/edit?usp=sharing"",""ลำพูน!R190"")+IMPORTRANGE(""https://docs.google.com/spreadsheets/d/1B0f2xJpZUC6Z0xXnqKlZtEPzsf6L84eP1r1Q15seqRM/edit?usp=sharing"",""สุโขทัย!R190"")+IMPORTRANGE(""http"&amp;"s://docs.google.com/spreadsheets/d/1v0b9pFQCsKUVExMei7AgY2yQkdeNQvtOssygGsXbiKo/edit?usp=sharing"",""อุตรดิตถ์!R190"")+IMPORTRANGE(""https://docs.google.com/spreadsheets/d/1UsNK1e-WWiCo2PvGqdNfdme4m17_Ezd3J69EeeiQPD0/edit?usp=sharing"",""อุทัยธานี!R190"")"),0)</f>
        <v>0</v>
      </c>
      <c r="S190" s="48">
        <f ca="1">IFERROR(__xludf.DUMMYFUNCTION("IMPORTRANGE(""https://docs.google.com/spreadsheets/d/1jTcq05yEiRwXcBMLjiodW9e4biSGYWAHcDj22rKWQ3s/edit?usp=sharing"",""กำแพงเพชร!S190"")+IMPORTRANGE(""https://docs.google.com/spreadsheets/d/1KS0zmDSZPk8KnTAbGN-Xk6MtX1YRZD0ldgdt20K4CRk/edit?usp=sharing"","&amp;"""เชียงราย!S190"")+IMPORTRANGE(""https://docs.google.com/spreadsheets/d/1rEDxBtusbi64tE0zunoIbsTVV16HeL0oJ6trHQeQ7K8/edit?usp=sharing"",""เชียงใหม่!S190"")+IMPORTRANGE(""https://docs.google.com/spreadsheets/d/1W6MnUbDkMi6xHnHko_XkFDO9kkuL6Wqyc-6OCDFjW9I/e"&amp;"dit?usp=sharing"",""ตาก!S190"")+IMPORTRANGE(""https://docs.google.com/spreadsheets/d/1IQAWArduLkta9LpYo4a_ULsyqdta6-6aDDiwpUnQT6c/edit?usp=sharing"",""นครสวรรค์!S190"")+IMPORTRANGE(""https://docs.google.com/spreadsheets/d/10s13Sk5xrltsiR-Zkbmk5DwIaDIKO8Xl"&amp;"bJAfqyT7Gvg/edit?usp=sharing"",""น่าน!S190"")+IMPORTRANGE(""https://docs.google.com/spreadsheets/d/1uu4nAn4Dbi1XREnLKKotUANlKXa7yCgRcgq8HEzQYW8/edit?usp=sharing"",""พะเยา!S190"")+IMPORTRANGE(""https://docs.google.com/spreadsheets/d/1xfJKIQxVOaPDIICqsflNlL"&amp;"u3JacTDk1FP9RH4phX7mI/edit?usp=sharing"",""พิจิตร!S190"")+IMPORTRANGE(""https://docs.google.com/spreadsheets/d/1JtRfZkJMHtEhI5RdRHxYUG4FIZHqKDpNyIuN7A1Q0_k/edit?usp=sharing"",""พิษณุโลก!S190"")+IMPORTRANGE(""https://docs.google.com/spreadsheets/d/1xlcVZWU"&amp;"Nn6SuWm0c307h32SiGkd9BaeQWlAktfD3KO8/edit?usp=sharing"",""เพชรบูรณ์!S190"")+IMPORTRANGE(""https://docs.google.com/spreadsheets/d/1lOVebEIsI9qjGXl6EX66luk7wiuP2tBaryw-wKvv4e0/edit?usp=sharing"",""แพร่!S190"")+IMPORTRANGE(""https://docs.google.com/spreadshe"&amp;"ets/d/1dQrvX0vEcN7Gu0fnZ0B5S90AeR19zth4XlExFBeExMY/edit?usp=sharing"",""แม่ฮ่องสอน!S190"")+IMPORTRANGE(""https://docs.google.com/spreadsheets/d/1DY4XTNNwjluuxqdfdn6qvOSlMRrZqUtmYcZR0ttFiG4/edit?usp=sharing"",""ลำปาง!S190"")+IMPORTRANGE(""https://docs.goog"&amp;"le.com/spreadsheets/d/1ICwG78r0OFT8biBlxnBF8r7she7gNSzOvJ958PWT09c/edit?usp=sharing"",""ลำพูน!S190"")+IMPORTRANGE(""https://docs.google.com/spreadsheets/d/1B0f2xJpZUC6Z0xXnqKlZtEPzsf6L84eP1r1Q15seqRM/edit?usp=sharing"",""สุโขทัย!S190"")+IMPORTRANGE(""http"&amp;"s://docs.google.com/spreadsheets/d/1v0b9pFQCsKUVExMei7AgY2yQkdeNQvtOssygGsXbiKo/edit?usp=sharing"",""อุตรดิตถ์!S190"")+IMPORTRANGE(""https://docs.google.com/spreadsheets/d/1UsNK1e-WWiCo2PvGqdNfdme4m17_Ezd3J69EeeiQPD0/edit?usp=sharing"",""อุทัยธานี!S190"")"),0)</f>
        <v>0</v>
      </c>
      <c r="T190" s="48">
        <f t="shared" ca="1" si="161"/>
        <v>0</v>
      </c>
      <c r="U190" s="48">
        <f t="shared" ca="1" si="162"/>
        <v>0</v>
      </c>
    </row>
    <row r="191" spans="1:21" ht="18.75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46">
        <f ca="1">IFERROR(__xludf.DUMMYFUNCTION("IMPORTRANGE(""https://docs.google.com/spreadsheets/d/1jTcq05yEiRwXcBMLjiodW9e4biSGYWAHcDj22rKWQ3s/edit?usp=sharing"",""กำแพงเพชร!L191"")+IMPORTRANGE(""https://docs.google.com/spreadsheets/d/1KS0zmDSZPk8KnTAbGN-Xk6MtX1YRZD0ldgdt20K4CRk/edit?usp=sharing"","&amp;"""เชียงราย!L191"")+IMPORTRANGE(""https://docs.google.com/spreadsheets/d/1rEDxBtusbi64tE0zunoIbsTVV16HeL0oJ6trHQeQ7K8/edit?usp=sharing"",""เชียงใหม่!L191"")+IMPORTRANGE(""https://docs.google.com/spreadsheets/d/1W6MnUbDkMi6xHnHko_XkFDO9kkuL6Wqyc-6OCDFjW9I/e"&amp;"dit?usp=sharing"",""ตาก!L191"")+IMPORTRANGE(""https://docs.google.com/spreadsheets/d/1IQAWArduLkta9LpYo4a_ULsyqdta6-6aDDiwpUnQT6c/edit?usp=sharing"",""นครสวรรค์!L191"")+IMPORTRANGE(""https://docs.google.com/spreadsheets/d/10s13Sk5xrltsiR-Zkbmk5DwIaDIKO8Xl"&amp;"bJAfqyT7Gvg/edit?usp=sharing"",""น่าน!L191"")+IMPORTRANGE(""https://docs.google.com/spreadsheets/d/1uu4nAn4Dbi1XREnLKKotUANlKXa7yCgRcgq8HEzQYW8/edit?usp=sharing"",""พะเยา!L191"")+IMPORTRANGE(""https://docs.google.com/spreadsheets/d/1xfJKIQxVOaPDIICqsflNlL"&amp;"u3JacTDk1FP9RH4phX7mI/edit?usp=sharing"",""พิจิตร!L191"")+IMPORTRANGE(""https://docs.google.com/spreadsheets/d/1JtRfZkJMHtEhI5RdRHxYUG4FIZHqKDpNyIuN7A1Q0_k/edit?usp=sharing"",""พิษณุโลก!L191"")+IMPORTRANGE(""https://docs.google.com/spreadsheets/d/1xlcVZWU"&amp;"Nn6SuWm0c307h32SiGkd9BaeQWlAktfD3KO8/edit?usp=sharing"",""เพชรบูรณ์!L191"")+IMPORTRANGE(""https://docs.google.com/spreadsheets/d/1lOVebEIsI9qjGXl6EX66luk7wiuP2tBaryw-wKvv4e0/edit?usp=sharing"",""แพร่!L191"")+IMPORTRANGE(""https://docs.google.com/spreadshe"&amp;"ets/d/1dQrvX0vEcN7Gu0fnZ0B5S90AeR19zth4XlExFBeExMY/edit?usp=sharing"",""แม่ฮ่องสอน!L191"")+IMPORTRANGE(""https://docs.google.com/spreadsheets/d/1DY4XTNNwjluuxqdfdn6qvOSlMRrZqUtmYcZR0ttFiG4/edit?usp=sharing"",""ลำปาง!L191"")+IMPORTRANGE(""https://docs.goog"&amp;"le.com/spreadsheets/d/1ICwG78r0OFT8biBlxnBF8r7she7gNSzOvJ958PWT09c/edit?usp=sharing"",""ลำพูน!L191"")+IMPORTRANGE(""https://docs.google.com/spreadsheets/d/1B0f2xJpZUC6Z0xXnqKlZtEPzsf6L84eP1r1Q15seqRM/edit?usp=sharing"",""สุโขทัย!L191"")+IMPORTRANGE(""http"&amp;"s://docs.google.com/spreadsheets/d/1v0b9pFQCsKUVExMei7AgY2yQkdeNQvtOssygGsXbiKo/edit?usp=sharing"",""อุตรดิตถ์!L191"")+IMPORTRANGE(""https://docs.google.com/spreadsheets/d/1UsNK1e-WWiCo2PvGqdNfdme4m17_Ezd3J69EeeiQPD0/edit?usp=sharing"",""อุทัยธานี!L191"")"),3628200)</f>
        <v>3628200</v>
      </c>
      <c r="M191" s="46">
        <f ca="1">IFERROR(__xludf.DUMMYFUNCTION("IMPORTRANGE(""https://docs.google.com/spreadsheets/d/1jTcq05yEiRwXcBMLjiodW9e4biSGYWAHcDj22rKWQ3s/edit?usp=sharing"",""กำแพงเพชร!M191"")+IMPORTRANGE(""https://docs.google.com/spreadsheets/d/1KS0zmDSZPk8KnTAbGN-Xk6MtX1YRZD0ldgdt20K4CRk/edit?usp=sharing"","&amp;"""เชียงราย!M191"")+IMPORTRANGE(""https://docs.google.com/spreadsheets/d/1rEDxBtusbi64tE0zunoIbsTVV16HeL0oJ6trHQeQ7K8/edit?usp=sharing"",""เชียงใหม่!M191"")+IMPORTRANGE(""https://docs.google.com/spreadsheets/d/1W6MnUbDkMi6xHnHko_XkFDO9kkuL6Wqyc-6OCDFjW9I/e"&amp;"dit?usp=sharing"",""ตาก!M191"")+IMPORTRANGE(""https://docs.google.com/spreadsheets/d/1IQAWArduLkta9LpYo4a_ULsyqdta6-6aDDiwpUnQT6c/edit?usp=sharing"",""นครสวรรค์!M191"")+IMPORTRANGE(""https://docs.google.com/spreadsheets/d/10s13Sk5xrltsiR-Zkbmk5DwIaDIKO8Xl"&amp;"bJAfqyT7Gvg/edit?usp=sharing"",""น่าน!M191"")+IMPORTRANGE(""https://docs.google.com/spreadsheets/d/1uu4nAn4Dbi1XREnLKKotUANlKXa7yCgRcgq8HEzQYW8/edit?usp=sharing"",""พะเยา!M191"")+IMPORTRANGE(""https://docs.google.com/spreadsheets/d/1xfJKIQxVOaPDIICqsflNlL"&amp;"u3JacTDk1FP9RH4phX7mI/edit?usp=sharing"",""พิจิตร!M191"")+IMPORTRANGE(""https://docs.google.com/spreadsheets/d/1JtRfZkJMHtEhI5RdRHxYUG4FIZHqKDpNyIuN7A1Q0_k/edit?usp=sharing"",""พิษณุโลก!M191"")+IMPORTRANGE(""https://docs.google.com/spreadsheets/d/1xlcVZWU"&amp;"Nn6SuWm0c307h32SiGkd9BaeQWlAktfD3KO8/edit?usp=sharing"",""เพชรบูรณ์!M191"")+IMPORTRANGE(""https://docs.google.com/spreadsheets/d/1lOVebEIsI9qjGXl6EX66luk7wiuP2tBaryw-wKvv4e0/edit?usp=sharing"",""แพร่!M191"")+IMPORTRANGE(""https://docs.google.com/spreadshe"&amp;"ets/d/1dQrvX0vEcN7Gu0fnZ0B5S90AeR19zth4XlExFBeExMY/edit?usp=sharing"",""แม่ฮ่องสอน!M191"")+IMPORTRANGE(""https://docs.google.com/spreadsheets/d/1DY4XTNNwjluuxqdfdn6qvOSlMRrZqUtmYcZR0ttFiG4/edit?usp=sharing"",""ลำปาง!M191"")+IMPORTRANGE(""https://docs.goog"&amp;"le.com/spreadsheets/d/1ICwG78r0OFT8biBlxnBF8r7she7gNSzOvJ958PWT09c/edit?usp=sharing"",""ลำพูน!M191"")+IMPORTRANGE(""https://docs.google.com/spreadsheets/d/1B0f2xJpZUC6Z0xXnqKlZtEPzsf6L84eP1r1Q15seqRM/edit?usp=sharing"",""สุโขทัย!M191"")+IMPORTRANGE(""http"&amp;"s://docs.google.com/spreadsheets/d/1v0b9pFQCsKUVExMei7AgY2yQkdeNQvtOssygGsXbiKo/edit?usp=sharing"",""อุตรดิตถ์!M191"")+IMPORTRANGE(""https://docs.google.com/spreadsheets/d/1UsNK1e-WWiCo2PvGqdNfdme4m17_Ezd3J69EeeiQPD0/edit?usp=sharing"",""อุทัยธานี!M191"")"),3153460)</f>
        <v>3153460</v>
      </c>
      <c r="N191" s="46">
        <f ca="1">IFERROR(__xludf.DUMMYFUNCTION("IMPORTRANGE(""https://docs.google.com/spreadsheets/d/1jTcq05yEiRwXcBMLjiodW9e4biSGYWAHcDj22rKWQ3s/edit?usp=sharing"",""กำแพงเพชร!N191"")+IMPORTRANGE(""https://docs.google.com/spreadsheets/d/1KS0zmDSZPk8KnTAbGN-Xk6MtX1YRZD0ldgdt20K4CRk/edit?usp=sharing"","&amp;"""เชียงราย!N191"")+IMPORTRANGE(""https://docs.google.com/spreadsheets/d/1rEDxBtusbi64tE0zunoIbsTVV16HeL0oJ6trHQeQ7K8/edit?usp=sharing"",""เชียงใหม่!N191"")+IMPORTRANGE(""https://docs.google.com/spreadsheets/d/1W6MnUbDkMi6xHnHko_XkFDO9kkuL6Wqyc-6OCDFjW9I/e"&amp;"dit?usp=sharing"",""ตาก!N191"")+IMPORTRANGE(""https://docs.google.com/spreadsheets/d/1IQAWArduLkta9LpYo4a_ULsyqdta6-6aDDiwpUnQT6c/edit?usp=sharing"",""นครสวรรค์!N191"")+IMPORTRANGE(""https://docs.google.com/spreadsheets/d/10s13Sk5xrltsiR-Zkbmk5DwIaDIKO8Xl"&amp;"bJAfqyT7Gvg/edit?usp=sharing"",""น่าน!N191"")+IMPORTRANGE(""https://docs.google.com/spreadsheets/d/1uu4nAn4Dbi1XREnLKKotUANlKXa7yCgRcgq8HEzQYW8/edit?usp=sharing"",""พะเยา!N191"")+IMPORTRANGE(""https://docs.google.com/spreadsheets/d/1xfJKIQxVOaPDIICqsflNlL"&amp;"u3JacTDk1FP9RH4phX7mI/edit?usp=sharing"",""พิจิตร!N191"")+IMPORTRANGE(""https://docs.google.com/spreadsheets/d/1JtRfZkJMHtEhI5RdRHxYUG4FIZHqKDpNyIuN7A1Q0_k/edit?usp=sharing"",""พิษณุโลก!N191"")+IMPORTRANGE(""https://docs.google.com/spreadsheets/d/1xlcVZWU"&amp;"Nn6SuWm0c307h32SiGkd9BaeQWlAktfD3KO8/edit?usp=sharing"",""เพชรบูรณ์!N191"")+IMPORTRANGE(""https://docs.google.com/spreadsheets/d/1lOVebEIsI9qjGXl6EX66luk7wiuP2tBaryw-wKvv4e0/edit?usp=sharing"",""แพร่!N191"")+IMPORTRANGE(""https://docs.google.com/spreadshe"&amp;"ets/d/1dQrvX0vEcN7Gu0fnZ0B5S90AeR19zth4XlExFBeExMY/edit?usp=sharing"",""แม่ฮ่องสอน!N191"")+IMPORTRANGE(""https://docs.google.com/spreadsheets/d/1DY4XTNNwjluuxqdfdn6qvOSlMRrZqUtmYcZR0ttFiG4/edit?usp=sharing"",""ลำปาง!N191"")+IMPORTRANGE(""https://docs.goog"&amp;"le.com/spreadsheets/d/1ICwG78r0OFT8biBlxnBF8r7she7gNSzOvJ958PWT09c/edit?usp=sharing"",""ลำพูน!N191"")+IMPORTRANGE(""https://docs.google.com/spreadsheets/d/1B0f2xJpZUC6Z0xXnqKlZtEPzsf6L84eP1r1Q15seqRM/edit?usp=sharing"",""สุโขทัย!N191"")+IMPORTRANGE(""http"&amp;"s://docs.google.com/spreadsheets/d/1v0b9pFQCsKUVExMei7AgY2yQkdeNQvtOssygGsXbiKo/edit?usp=sharing"",""อุตรดิตถ์!N191"")+IMPORTRANGE(""https://docs.google.com/spreadsheets/d/1UsNK1e-WWiCo2PvGqdNfdme4m17_Ezd3J69EeeiQPD0/edit?usp=sharing"",""อุทัยธานี!N191"")"),2010194.07)</f>
        <v>2010194.07</v>
      </c>
      <c r="O191" s="46">
        <f t="shared" ca="1" si="158"/>
        <v>55.404720522573179</v>
      </c>
      <c r="P191" s="46">
        <f t="shared" ca="1" si="159"/>
        <v>63.745665713216596</v>
      </c>
      <c r="Q191" s="46">
        <f ca="1">IFERROR(__xludf.DUMMYFUNCTION("IMPORTRANGE(""https://docs.google.com/spreadsheets/d/1jTcq05yEiRwXcBMLjiodW9e4biSGYWAHcDj22rKWQ3s/edit?usp=sharing"",""กำแพงเพชร!Q191"")+IMPORTRANGE(""https://docs.google.com/spreadsheets/d/1KS0zmDSZPk8KnTAbGN-Xk6MtX1YRZD0ldgdt20K4CRk/edit?usp=sharing"","&amp;"""เชียงราย!Q191"")+IMPORTRANGE(""https://docs.google.com/spreadsheets/d/1rEDxBtusbi64tE0zunoIbsTVV16HeL0oJ6trHQeQ7K8/edit?usp=sharing"",""เชียงใหม่!Q191"")+IMPORTRANGE(""https://docs.google.com/spreadsheets/d/1W6MnUbDkMi6xHnHko_XkFDO9kkuL6Wqyc-6OCDFjW9I/e"&amp;"dit?usp=sharing"",""ตาก!Q191"")+IMPORTRANGE(""https://docs.google.com/spreadsheets/d/1IQAWArduLkta9LpYo4a_ULsyqdta6-6aDDiwpUnQT6c/edit?usp=sharing"",""นครสวรรค์!Q191"")+IMPORTRANGE(""https://docs.google.com/spreadsheets/d/10s13Sk5xrltsiR-Zkbmk5DwIaDIKO8Xl"&amp;"bJAfqyT7Gvg/edit?usp=sharing"",""น่าน!Q191"")+IMPORTRANGE(""https://docs.google.com/spreadsheets/d/1uu4nAn4Dbi1XREnLKKotUANlKXa7yCgRcgq8HEzQYW8/edit?usp=sharing"",""พะเยา!Q191"")+IMPORTRANGE(""https://docs.google.com/spreadsheets/d/1xfJKIQxVOaPDIICqsflNlL"&amp;"u3JacTDk1FP9RH4phX7mI/edit?usp=sharing"",""พิจิตร!Q191"")+IMPORTRANGE(""https://docs.google.com/spreadsheets/d/1JtRfZkJMHtEhI5RdRHxYUG4FIZHqKDpNyIuN7A1Q0_k/edit?usp=sharing"",""พิษณุโลก!Q191"")+IMPORTRANGE(""https://docs.google.com/spreadsheets/d/1xlcVZWU"&amp;"Nn6SuWm0c307h32SiGkd9BaeQWlAktfD3KO8/edit?usp=sharing"",""เพชรบูรณ์!Q191"")+IMPORTRANGE(""https://docs.google.com/spreadsheets/d/1lOVebEIsI9qjGXl6EX66luk7wiuP2tBaryw-wKvv4e0/edit?usp=sharing"",""แพร่!Q191"")+IMPORTRANGE(""https://docs.google.com/spreadshe"&amp;"ets/d/1dQrvX0vEcN7Gu0fnZ0B5S90AeR19zth4XlExFBeExMY/edit?usp=sharing"",""แม่ฮ่องสอน!Q191"")+IMPORTRANGE(""https://docs.google.com/spreadsheets/d/1DY4XTNNwjluuxqdfdn6qvOSlMRrZqUtmYcZR0ttFiG4/edit?usp=sharing"",""ลำปาง!Q191"")+IMPORTRANGE(""https://docs.goog"&amp;"le.com/spreadsheets/d/1ICwG78r0OFT8biBlxnBF8r7she7gNSzOvJ958PWT09c/edit?usp=sharing"",""ลำพูน!Q191"")+IMPORTRANGE(""https://docs.google.com/spreadsheets/d/1B0f2xJpZUC6Z0xXnqKlZtEPzsf6L84eP1r1Q15seqRM/edit?usp=sharing"",""สุโขทัย!Q191"")+IMPORTRANGE(""http"&amp;"s://docs.google.com/spreadsheets/d/1v0b9pFQCsKUVExMei7AgY2yQkdeNQvtOssygGsXbiKo/edit?usp=sharing"",""อุตรดิตถ์!Q191"")+IMPORTRANGE(""https://docs.google.com/spreadsheets/d/1UsNK1e-WWiCo2PvGqdNfdme4m17_Ezd3J69EeeiQPD0/edit?usp=sharing"",""อุทัยธานี!Q191"")"),1496500)</f>
        <v>1496500</v>
      </c>
      <c r="R191" s="46">
        <f ca="1">IFERROR(__xludf.DUMMYFUNCTION("IMPORTRANGE(""https://docs.google.com/spreadsheets/d/1jTcq05yEiRwXcBMLjiodW9e4biSGYWAHcDj22rKWQ3s/edit?usp=sharing"",""กำแพงเพชร!R191"")+IMPORTRANGE(""https://docs.google.com/spreadsheets/d/1KS0zmDSZPk8KnTAbGN-Xk6MtX1YRZD0ldgdt20K4CRk/edit?usp=sharing"","&amp;"""เชียงราย!R191"")+IMPORTRANGE(""https://docs.google.com/spreadsheets/d/1rEDxBtusbi64tE0zunoIbsTVV16HeL0oJ6trHQeQ7K8/edit?usp=sharing"",""เชียงใหม่!R191"")+IMPORTRANGE(""https://docs.google.com/spreadsheets/d/1W6MnUbDkMi6xHnHko_XkFDO9kkuL6Wqyc-6OCDFjW9I/e"&amp;"dit?usp=sharing"",""ตาก!R191"")+IMPORTRANGE(""https://docs.google.com/spreadsheets/d/1IQAWArduLkta9LpYo4a_ULsyqdta6-6aDDiwpUnQT6c/edit?usp=sharing"",""นครสวรรค์!R191"")+IMPORTRANGE(""https://docs.google.com/spreadsheets/d/10s13Sk5xrltsiR-Zkbmk5DwIaDIKO8Xl"&amp;"bJAfqyT7Gvg/edit?usp=sharing"",""น่าน!R191"")+IMPORTRANGE(""https://docs.google.com/spreadsheets/d/1uu4nAn4Dbi1XREnLKKotUANlKXa7yCgRcgq8HEzQYW8/edit?usp=sharing"",""พะเยา!R191"")+IMPORTRANGE(""https://docs.google.com/spreadsheets/d/1xfJKIQxVOaPDIICqsflNlL"&amp;"u3JacTDk1FP9RH4phX7mI/edit?usp=sharing"",""พิจิตร!R191"")+IMPORTRANGE(""https://docs.google.com/spreadsheets/d/1JtRfZkJMHtEhI5RdRHxYUG4FIZHqKDpNyIuN7A1Q0_k/edit?usp=sharing"",""พิษณุโลก!R191"")+IMPORTRANGE(""https://docs.google.com/spreadsheets/d/1xlcVZWU"&amp;"Nn6SuWm0c307h32SiGkd9BaeQWlAktfD3KO8/edit?usp=sharing"",""เพชรบูรณ์!R191"")+IMPORTRANGE(""https://docs.google.com/spreadsheets/d/1lOVebEIsI9qjGXl6EX66luk7wiuP2tBaryw-wKvv4e0/edit?usp=sharing"",""แพร่!R191"")+IMPORTRANGE(""https://docs.google.com/spreadshe"&amp;"ets/d/1dQrvX0vEcN7Gu0fnZ0B5S90AeR19zth4XlExFBeExMY/edit?usp=sharing"",""แม่ฮ่องสอน!R191"")+IMPORTRANGE(""https://docs.google.com/spreadsheets/d/1DY4XTNNwjluuxqdfdn6qvOSlMRrZqUtmYcZR0ttFiG4/edit?usp=sharing"",""ลำปาง!R191"")+IMPORTRANGE(""https://docs.goog"&amp;"le.com/spreadsheets/d/1ICwG78r0OFT8biBlxnBF8r7she7gNSzOvJ958PWT09c/edit?usp=sharing"",""ลำพูน!R191"")+IMPORTRANGE(""https://docs.google.com/spreadsheets/d/1B0f2xJpZUC6Z0xXnqKlZtEPzsf6L84eP1r1Q15seqRM/edit?usp=sharing"",""สุโขทัย!R191"")+IMPORTRANGE(""http"&amp;"s://docs.google.com/spreadsheets/d/1v0b9pFQCsKUVExMei7AgY2yQkdeNQvtOssygGsXbiKo/edit?usp=sharing"",""อุตรดิตถ์!R191"")+IMPORTRANGE(""https://docs.google.com/spreadsheets/d/1UsNK1e-WWiCo2PvGqdNfdme4m17_Ezd3J69EeeiQPD0/edit?usp=sharing"",""อุทัยธานี!R191"")"),1554500)</f>
        <v>1554500</v>
      </c>
      <c r="S191" s="46">
        <f ca="1">IFERROR(__xludf.DUMMYFUNCTION("IMPORTRANGE(""https://docs.google.com/spreadsheets/d/1jTcq05yEiRwXcBMLjiodW9e4biSGYWAHcDj22rKWQ3s/edit?usp=sharing"",""กำแพงเพชร!S191"")+IMPORTRANGE(""https://docs.google.com/spreadsheets/d/1KS0zmDSZPk8KnTAbGN-Xk6MtX1YRZD0ldgdt20K4CRk/edit?usp=sharing"","&amp;"""เชียงราย!S191"")+IMPORTRANGE(""https://docs.google.com/spreadsheets/d/1rEDxBtusbi64tE0zunoIbsTVV16HeL0oJ6trHQeQ7K8/edit?usp=sharing"",""เชียงใหม่!S191"")+IMPORTRANGE(""https://docs.google.com/spreadsheets/d/1W6MnUbDkMi6xHnHko_XkFDO9kkuL6Wqyc-6OCDFjW9I/e"&amp;"dit?usp=sharing"",""ตาก!S191"")+IMPORTRANGE(""https://docs.google.com/spreadsheets/d/1IQAWArduLkta9LpYo4a_ULsyqdta6-6aDDiwpUnQT6c/edit?usp=sharing"",""นครสวรรค์!S191"")+IMPORTRANGE(""https://docs.google.com/spreadsheets/d/10s13Sk5xrltsiR-Zkbmk5DwIaDIKO8Xl"&amp;"bJAfqyT7Gvg/edit?usp=sharing"",""น่าน!S191"")+IMPORTRANGE(""https://docs.google.com/spreadsheets/d/1uu4nAn4Dbi1XREnLKKotUANlKXa7yCgRcgq8HEzQYW8/edit?usp=sharing"",""พะเยา!S191"")+IMPORTRANGE(""https://docs.google.com/spreadsheets/d/1xfJKIQxVOaPDIICqsflNlL"&amp;"u3JacTDk1FP9RH4phX7mI/edit?usp=sharing"",""พิจิตร!S191"")+IMPORTRANGE(""https://docs.google.com/spreadsheets/d/1JtRfZkJMHtEhI5RdRHxYUG4FIZHqKDpNyIuN7A1Q0_k/edit?usp=sharing"",""พิษณุโลก!S191"")+IMPORTRANGE(""https://docs.google.com/spreadsheets/d/1xlcVZWU"&amp;"Nn6SuWm0c307h32SiGkd9BaeQWlAktfD3KO8/edit?usp=sharing"",""เพชรบูรณ์!S191"")+IMPORTRANGE(""https://docs.google.com/spreadsheets/d/1lOVebEIsI9qjGXl6EX66luk7wiuP2tBaryw-wKvv4e0/edit?usp=sharing"",""แพร่!S191"")+IMPORTRANGE(""https://docs.google.com/spreadshe"&amp;"ets/d/1dQrvX0vEcN7Gu0fnZ0B5S90AeR19zth4XlExFBeExMY/edit?usp=sharing"",""แม่ฮ่องสอน!S191"")+IMPORTRANGE(""https://docs.google.com/spreadsheets/d/1DY4XTNNwjluuxqdfdn6qvOSlMRrZqUtmYcZR0ttFiG4/edit?usp=sharing"",""ลำปาง!S191"")+IMPORTRANGE(""https://docs.goog"&amp;"le.com/spreadsheets/d/1ICwG78r0OFT8biBlxnBF8r7she7gNSzOvJ958PWT09c/edit?usp=sharing"",""ลำพูน!S191"")+IMPORTRANGE(""https://docs.google.com/spreadsheets/d/1B0f2xJpZUC6Z0xXnqKlZtEPzsf6L84eP1r1Q15seqRM/edit?usp=sharing"",""สุโขทัย!S191"")+IMPORTRANGE(""http"&amp;"s://docs.google.com/spreadsheets/d/1v0b9pFQCsKUVExMei7AgY2yQkdeNQvtOssygGsXbiKo/edit?usp=sharing"",""อุตรดิตถ์!S191"")+IMPORTRANGE(""https://docs.google.com/spreadsheets/d/1UsNK1e-WWiCo2PvGqdNfdme4m17_Ezd3J69EeeiQPD0/edit?usp=sharing"",""อุทัยธานี!S191"")"),560400)</f>
        <v>560400</v>
      </c>
      <c r="T191" s="46">
        <f t="shared" ca="1" si="161"/>
        <v>37.447377213498164</v>
      </c>
      <c r="U191" s="46">
        <f t="shared" ca="1" si="162"/>
        <v>36.050176905757475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46">
        <f t="shared" ref="L192:N192" ca="1" si="169">L193+L194</f>
        <v>0</v>
      </c>
      <c r="M192" s="46">
        <f t="shared" ca="1" si="169"/>
        <v>0</v>
      </c>
      <c r="N192" s="46">
        <f t="shared" ca="1" si="169"/>
        <v>0</v>
      </c>
      <c r="O192" s="46">
        <f t="shared" ca="1" si="158"/>
        <v>0</v>
      </c>
      <c r="P192" s="46">
        <f t="shared" ca="1" si="159"/>
        <v>0</v>
      </c>
      <c r="Q192" s="46">
        <f t="shared" ref="Q192:S192" ca="1" si="170">Q193+Q194</f>
        <v>0</v>
      </c>
      <c r="R192" s="46">
        <f t="shared" ca="1" si="170"/>
        <v>0</v>
      </c>
      <c r="S192" s="46">
        <f t="shared" ca="1" si="170"/>
        <v>0</v>
      </c>
      <c r="T192" s="46">
        <f t="shared" ca="1" si="161"/>
        <v>0</v>
      </c>
      <c r="U192" s="46">
        <f t="shared" ca="1" si="162"/>
        <v>0</v>
      </c>
    </row>
    <row r="193" spans="1:21" ht="18.75" x14ac:dyDescent="0.25">
      <c r="A193" s="128"/>
      <c r="B193" s="40"/>
      <c r="C193" s="40"/>
      <c r="D193" s="40"/>
      <c r="E193" s="47" t="s">
        <v>20</v>
      </c>
      <c r="F193" s="40"/>
      <c r="G193" s="42"/>
      <c r="H193" s="134" t="s">
        <v>14</v>
      </c>
      <c r="I193" s="135"/>
      <c r="J193" s="135"/>
      <c r="K193" s="136"/>
      <c r="L193" s="46">
        <f ca="1">IFERROR(__xludf.DUMMYFUNCTION("IMPORTRANGE(""https://docs.google.com/spreadsheets/d/1jTcq05yEiRwXcBMLjiodW9e4biSGYWAHcDj22rKWQ3s/edit?usp=sharing"",""กำแพงเพชร!L193"")+IMPORTRANGE(""https://docs.google.com/spreadsheets/d/1KS0zmDSZPk8KnTAbGN-Xk6MtX1YRZD0ldgdt20K4CRk/edit?usp=sharing"","&amp;"""เชียงราย!L193"")+IMPORTRANGE(""https://docs.google.com/spreadsheets/d/1rEDxBtusbi64tE0zunoIbsTVV16HeL0oJ6trHQeQ7K8/edit?usp=sharing"",""เชียงใหม่!L193"")+IMPORTRANGE(""https://docs.google.com/spreadsheets/d/1W6MnUbDkMi6xHnHko_XkFDO9kkuL6Wqyc-6OCDFjW9I/e"&amp;"dit?usp=sharing"",""ตาก!L193"")+IMPORTRANGE(""https://docs.google.com/spreadsheets/d/1IQAWArduLkta9LpYo4a_ULsyqdta6-6aDDiwpUnQT6c/edit?usp=sharing"",""นครสวรรค์!L193"")+IMPORTRANGE(""https://docs.google.com/spreadsheets/d/10s13Sk5xrltsiR-Zkbmk5DwIaDIKO8Xl"&amp;"bJAfqyT7Gvg/edit?usp=sharing"",""น่าน!L193"")+IMPORTRANGE(""https://docs.google.com/spreadsheets/d/1uu4nAn4Dbi1XREnLKKotUANlKXa7yCgRcgq8HEzQYW8/edit?usp=sharing"",""พะเยา!L193"")+IMPORTRANGE(""https://docs.google.com/spreadsheets/d/1xfJKIQxVOaPDIICqsflNlL"&amp;"u3JacTDk1FP9RH4phX7mI/edit?usp=sharing"",""พิจิตร!L193"")+IMPORTRANGE(""https://docs.google.com/spreadsheets/d/1JtRfZkJMHtEhI5RdRHxYUG4FIZHqKDpNyIuN7A1Q0_k/edit?usp=sharing"",""พิษณุโลก!L193"")+IMPORTRANGE(""https://docs.google.com/spreadsheets/d/1xlcVZWU"&amp;"Nn6SuWm0c307h32SiGkd9BaeQWlAktfD3KO8/edit?usp=sharing"",""เพชรบูรณ์!L193"")+IMPORTRANGE(""https://docs.google.com/spreadsheets/d/1lOVebEIsI9qjGXl6EX66luk7wiuP2tBaryw-wKvv4e0/edit?usp=sharing"",""แพร่!L193"")+IMPORTRANGE(""https://docs.google.com/spreadshe"&amp;"ets/d/1dQrvX0vEcN7Gu0fnZ0B5S90AeR19zth4XlExFBeExMY/edit?usp=sharing"",""แม่ฮ่องสอน!L193"")+IMPORTRANGE(""https://docs.google.com/spreadsheets/d/1DY4XTNNwjluuxqdfdn6qvOSlMRrZqUtmYcZR0ttFiG4/edit?usp=sharing"",""ลำปาง!L193"")+IMPORTRANGE(""https://docs.goog"&amp;"le.com/spreadsheets/d/1ICwG78r0OFT8biBlxnBF8r7she7gNSzOvJ958PWT09c/edit?usp=sharing"",""ลำพูน!L193"")+IMPORTRANGE(""https://docs.google.com/spreadsheets/d/1B0f2xJpZUC6Z0xXnqKlZtEPzsf6L84eP1r1Q15seqRM/edit?usp=sharing"",""สุโขทัย!L193"")+IMPORTRANGE(""http"&amp;"s://docs.google.com/spreadsheets/d/1v0b9pFQCsKUVExMei7AgY2yQkdeNQvtOssygGsXbiKo/edit?usp=sharing"",""อุตรดิตถ์!L193"")+IMPORTRANGE(""https://docs.google.com/spreadsheets/d/1UsNK1e-WWiCo2PvGqdNfdme4m17_Ezd3J69EeeiQPD0/edit?usp=sharing"",""อุทัยธานี!L193"")"),0)</f>
        <v>0</v>
      </c>
      <c r="M193" s="46">
        <f ca="1">IFERROR(__xludf.DUMMYFUNCTION("IMPORTRANGE(""https://docs.google.com/spreadsheets/d/1jTcq05yEiRwXcBMLjiodW9e4biSGYWAHcDj22rKWQ3s/edit?usp=sharing"",""กำแพงเพชร!M193"")+IMPORTRANGE(""https://docs.google.com/spreadsheets/d/1KS0zmDSZPk8KnTAbGN-Xk6MtX1YRZD0ldgdt20K4CRk/edit?usp=sharing"","&amp;"""เชียงราย!M193"")+IMPORTRANGE(""https://docs.google.com/spreadsheets/d/1rEDxBtusbi64tE0zunoIbsTVV16HeL0oJ6trHQeQ7K8/edit?usp=sharing"",""เชียงใหม่!M193"")+IMPORTRANGE(""https://docs.google.com/spreadsheets/d/1W6MnUbDkMi6xHnHko_XkFDO9kkuL6Wqyc-6OCDFjW9I/e"&amp;"dit?usp=sharing"",""ตาก!M193"")+IMPORTRANGE(""https://docs.google.com/spreadsheets/d/1IQAWArduLkta9LpYo4a_ULsyqdta6-6aDDiwpUnQT6c/edit?usp=sharing"",""นครสวรรค์!M193"")+IMPORTRANGE(""https://docs.google.com/spreadsheets/d/10s13Sk5xrltsiR-Zkbmk5DwIaDIKO8Xl"&amp;"bJAfqyT7Gvg/edit?usp=sharing"",""น่าน!M193"")+IMPORTRANGE(""https://docs.google.com/spreadsheets/d/1uu4nAn4Dbi1XREnLKKotUANlKXa7yCgRcgq8HEzQYW8/edit?usp=sharing"",""พะเยา!M193"")+IMPORTRANGE(""https://docs.google.com/spreadsheets/d/1xfJKIQxVOaPDIICqsflNlL"&amp;"u3JacTDk1FP9RH4phX7mI/edit?usp=sharing"",""พิจิตร!M193"")+IMPORTRANGE(""https://docs.google.com/spreadsheets/d/1JtRfZkJMHtEhI5RdRHxYUG4FIZHqKDpNyIuN7A1Q0_k/edit?usp=sharing"",""พิษณุโลก!M193"")+IMPORTRANGE(""https://docs.google.com/spreadsheets/d/1xlcVZWU"&amp;"Nn6SuWm0c307h32SiGkd9BaeQWlAktfD3KO8/edit?usp=sharing"",""เพชรบูรณ์!M193"")+IMPORTRANGE(""https://docs.google.com/spreadsheets/d/1lOVebEIsI9qjGXl6EX66luk7wiuP2tBaryw-wKvv4e0/edit?usp=sharing"",""แพร่!M193"")+IMPORTRANGE(""https://docs.google.com/spreadshe"&amp;"ets/d/1dQrvX0vEcN7Gu0fnZ0B5S90AeR19zth4XlExFBeExMY/edit?usp=sharing"",""แม่ฮ่องสอน!M193"")+IMPORTRANGE(""https://docs.google.com/spreadsheets/d/1DY4XTNNwjluuxqdfdn6qvOSlMRrZqUtmYcZR0ttFiG4/edit?usp=sharing"",""ลำปาง!M193"")+IMPORTRANGE(""https://docs.goog"&amp;"le.com/spreadsheets/d/1ICwG78r0OFT8biBlxnBF8r7she7gNSzOvJ958PWT09c/edit?usp=sharing"",""ลำพูน!M193"")+IMPORTRANGE(""https://docs.google.com/spreadsheets/d/1B0f2xJpZUC6Z0xXnqKlZtEPzsf6L84eP1r1Q15seqRM/edit?usp=sharing"",""สุโขทัย!M193"")+IMPORTRANGE(""http"&amp;"s://docs.google.com/spreadsheets/d/1v0b9pFQCsKUVExMei7AgY2yQkdeNQvtOssygGsXbiKo/edit?usp=sharing"",""อุตรดิตถ์!M193"")+IMPORTRANGE(""https://docs.google.com/spreadsheets/d/1UsNK1e-WWiCo2PvGqdNfdme4m17_Ezd3J69EeeiQPD0/edit?usp=sharing"",""อุทัยธานี!M193"")"),0)</f>
        <v>0</v>
      </c>
      <c r="N193" s="46">
        <f ca="1">IFERROR(__xludf.DUMMYFUNCTION("IMPORTRANGE(""https://docs.google.com/spreadsheets/d/1jTcq05yEiRwXcBMLjiodW9e4biSGYWAHcDj22rKWQ3s/edit?usp=sharing"",""กำแพงเพชร!N193"")+IMPORTRANGE(""https://docs.google.com/spreadsheets/d/1KS0zmDSZPk8KnTAbGN-Xk6MtX1YRZD0ldgdt20K4CRk/edit?usp=sharing"","&amp;"""เชียงราย!N193"")+IMPORTRANGE(""https://docs.google.com/spreadsheets/d/1rEDxBtusbi64tE0zunoIbsTVV16HeL0oJ6trHQeQ7K8/edit?usp=sharing"",""เชียงใหม่!N193"")+IMPORTRANGE(""https://docs.google.com/spreadsheets/d/1W6MnUbDkMi6xHnHko_XkFDO9kkuL6Wqyc-6OCDFjW9I/e"&amp;"dit?usp=sharing"",""ตาก!N193"")+IMPORTRANGE(""https://docs.google.com/spreadsheets/d/1IQAWArduLkta9LpYo4a_ULsyqdta6-6aDDiwpUnQT6c/edit?usp=sharing"",""นครสวรรค์!N193"")+IMPORTRANGE(""https://docs.google.com/spreadsheets/d/10s13Sk5xrltsiR-Zkbmk5DwIaDIKO8Xl"&amp;"bJAfqyT7Gvg/edit?usp=sharing"",""น่าน!N193"")+IMPORTRANGE(""https://docs.google.com/spreadsheets/d/1uu4nAn4Dbi1XREnLKKotUANlKXa7yCgRcgq8HEzQYW8/edit?usp=sharing"",""พะเยา!N193"")+IMPORTRANGE(""https://docs.google.com/spreadsheets/d/1xfJKIQxVOaPDIICqsflNlL"&amp;"u3JacTDk1FP9RH4phX7mI/edit?usp=sharing"",""พิจิตร!N193"")+IMPORTRANGE(""https://docs.google.com/spreadsheets/d/1JtRfZkJMHtEhI5RdRHxYUG4FIZHqKDpNyIuN7A1Q0_k/edit?usp=sharing"",""พิษณุโลก!N193"")+IMPORTRANGE(""https://docs.google.com/spreadsheets/d/1xlcVZWU"&amp;"Nn6SuWm0c307h32SiGkd9BaeQWlAktfD3KO8/edit?usp=sharing"",""เพชรบูรณ์!N193"")+IMPORTRANGE(""https://docs.google.com/spreadsheets/d/1lOVebEIsI9qjGXl6EX66luk7wiuP2tBaryw-wKvv4e0/edit?usp=sharing"",""แพร่!N193"")+IMPORTRANGE(""https://docs.google.com/spreadshe"&amp;"ets/d/1dQrvX0vEcN7Gu0fnZ0B5S90AeR19zth4XlExFBeExMY/edit?usp=sharing"",""แม่ฮ่องสอน!N193"")+IMPORTRANGE(""https://docs.google.com/spreadsheets/d/1DY4XTNNwjluuxqdfdn6qvOSlMRrZqUtmYcZR0ttFiG4/edit?usp=sharing"",""ลำปาง!N193"")+IMPORTRANGE(""https://docs.goog"&amp;"le.com/spreadsheets/d/1ICwG78r0OFT8biBlxnBF8r7she7gNSzOvJ958PWT09c/edit?usp=sharing"",""ลำพูน!N193"")+IMPORTRANGE(""https://docs.google.com/spreadsheets/d/1B0f2xJpZUC6Z0xXnqKlZtEPzsf6L84eP1r1Q15seqRM/edit?usp=sharing"",""สุโขทัย!N193"")+IMPORTRANGE(""http"&amp;"s://docs.google.com/spreadsheets/d/1v0b9pFQCsKUVExMei7AgY2yQkdeNQvtOssygGsXbiKo/edit?usp=sharing"",""อุตรดิตถ์!N193"")+IMPORTRANGE(""https://docs.google.com/spreadsheets/d/1UsNK1e-WWiCo2PvGqdNfdme4m17_Ezd3J69EeeiQPD0/edit?usp=sharing"",""อุทัยธานี!N193"")"),0)</f>
        <v>0</v>
      </c>
      <c r="O193" s="46">
        <f t="shared" ca="1" si="158"/>
        <v>0</v>
      </c>
      <c r="P193" s="46">
        <f t="shared" ca="1" si="159"/>
        <v>0</v>
      </c>
      <c r="Q193" s="48">
        <f ca="1">IFERROR(__xludf.DUMMYFUNCTION("IMPORTRANGE(""https://docs.google.com/spreadsheets/d/1jTcq05yEiRwXcBMLjiodW9e4biSGYWAHcDj22rKWQ3s/edit?usp=sharing"",""กำแพงเพชร!Q193"")+IMPORTRANGE(""https://docs.google.com/spreadsheets/d/1KS0zmDSZPk8KnTAbGN-Xk6MtX1YRZD0ldgdt20K4CRk/edit?usp=sharing"","&amp;"""เชียงราย!Q193"")+IMPORTRANGE(""https://docs.google.com/spreadsheets/d/1rEDxBtusbi64tE0zunoIbsTVV16HeL0oJ6trHQeQ7K8/edit?usp=sharing"",""เชียงใหม่!Q193"")+IMPORTRANGE(""https://docs.google.com/spreadsheets/d/1W6MnUbDkMi6xHnHko_XkFDO9kkuL6Wqyc-6OCDFjW9I/e"&amp;"dit?usp=sharing"",""ตาก!Q193"")+IMPORTRANGE(""https://docs.google.com/spreadsheets/d/1IQAWArduLkta9LpYo4a_ULsyqdta6-6aDDiwpUnQT6c/edit?usp=sharing"",""นครสวรรค์!Q193"")+IMPORTRANGE(""https://docs.google.com/spreadsheets/d/10s13Sk5xrltsiR-Zkbmk5DwIaDIKO8Xl"&amp;"bJAfqyT7Gvg/edit?usp=sharing"",""น่าน!Q193"")+IMPORTRANGE(""https://docs.google.com/spreadsheets/d/1uu4nAn4Dbi1XREnLKKotUANlKXa7yCgRcgq8HEzQYW8/edit?usp=sharing"",""พะเยา!Q193"")+IMPORTRANGE(""https://docs.google.com/spreadsheets/d/1xfJKIQxVOaPDIICqsflNlL"&amp;"u3JacTDk1FP9RH4phX7mI/edit?usp=sharing"",""พิจิตร!Q193"")+IMPORTRANGE(""https://docs.google.com/spreadsheets/d/1JtRfZkJMHtEhI5RdRHxYUG4FIZHqKDpNyIuN7A1Q0_k/edit?usp=sharing"",""พิษณุโลก!Q193"")+IMPORTRANGE(""https://docs.google.com/spreadsheets/d/1xlcVZWU"&amp;"Nn6SuWm0c307h32SiGkd9BaeQWlAktfD3KO8/edit?usp=sharing"",""เพชรบูรณ์!Q193"")+IMPORTRANGE(""https://docs.google.com/spreadsheets/d/1lOVebEIsI9qjGXl6EX66luk7wiuP2tBaryw-wKvv4e0/edit?usp=sharing"",""แพร่!Q193"")+IMPORTRANGE(""https://docs.google.com/spreadshe"&amp;"ets/d/1dQrvX0vEcN7Gu0fnZ0B5S90AeR19zth4XlExFBeExMY/edit?usp=sharing"",""แม่ฮ่องสอน!Q193"")+IMPORTRANGE(""https://docs.google.com/spreadsheets/d/1DY4XTNNwjluuxqdfdn6qvOSlMRrZqUtmYcZR0ttFiG4/edit?usp=sharing"",""ลำปาง!Q193"")+IMPORTRANGE(""https://docs.goog"&amp;"le.com/spreadsheets/d/1ICwG78r0OFT8biBlxnBF8r7she7gNSzOvJ958PWT09c/edit?usp=sharing"",""ลำพูน!Q193"")+IMPORTRANGE(""https://docs.google.com/spreadsheets/d/1B0f2xJpZUC6Z0xXnqKlZtEPzsf6L84eP1r1Q15seqRM/edit?usp=sharing"",""สุโขทัย!Q193"")+IMPORTRANGE(""http"&amp;"s://docs.google.com/spreadsheets/d/1v0b9pFQCsKUVExMei7AgY2yQkdeNQvtOssygGsXbiKo/edit?usp=sharing"",""อุตรดิตถ์!Q193"")+IMPORTRANGE(""https://docs.google.com/spreadsheets/d/1UsNK1e-WWiCo2PvGqdNfdme4m17_Ezd3J69EeeiQPD0/edit?usp=sharing"",""อุทัยธานี!Q193"")"),0)</f>
        <v>0</v>
      </c>
      <c r="R193" s="48">
        <f ca="1">IFERROR(__xludf.DUMMYFUNCTION("IMPORTRANGE(""https://docs.google.com/spreadsheets/d/1jTcq05yEiRwXcBMLjiodW9e4biSGYWAHcDj22rKWQ3s/edit?usp=sharing"",""กำแพงเพชร!R193"")+IMPORTRANGE(""https://docs.google.com/spreadsheets/d/1KS0zmDSZPk8KnTAbGN-Xk6MtX1YRZD0ldgdt20K4CRk/edit?usp=sharing"","&amp;"""เชียงราย!R193"")+IMPORTRANGE(""https://docs.google.com/spreadsheets/d/1rEDxBtusbi64tE0zunoIbsTVV16HeL0oJ6trHQeQ7K8/edit?usp=sharing"",""เชียงใหม่!R193"")+IMPORTRANGE(""https://docs.google.com/spreadsheets/d/1W6MnUbDkMi6xHnHko_XkFDO9kkuL6Wqyc-6OCDFjW9I/e"&amp;"dit?usp=sharing"",""ตาก!R193"")+IMPORTRANGE(""https://docs.google.com/spreadsheets/d/1IQAWArduLkta9LpYo4a_ULsyqdta6-6aDDiwpUnQT6c/edit?usp=sharing"",""นครสวรรค์!R193"")+IMPORTRANGE(""https://docs.google.com/spreadsheets/d/10s13Sk5xrltsiR-Zkbmk5DwIaDIKO8Xl"&amp;"bJAfqyT7Gvg/edit?usp=sharing"",""น่าน!R193"")+IMPORTRANGE(""https://docs.google.com/spreadsheets/d/1uu4nAn4Dbi1XREnLKKotUANlKXa7yCgRcgq8HEzQYW8/edit?usp=sharing"",""พะเยา!R193"")+IMPORTRANGE(""https://docs.google.com/spreadsheets/d/1xfJKIQxVOaPDIICqsflNlL"&amp;"u3JacTDk1FP9RH4phX7mI/edit?usp=sharing"",""พิจิตร!R193"")+IMPORTRANGE(""https://docs.google.com/spreadsheets/d/1JtRfZkJMHtEhI5RdRHxYUG4FIZHqKDpNyIuN7A1Q0_k/edit?usp=sharing"",""พิษณุโลก!R193"")+IMPORTRANGE(""https://docs.google.com/spreadsheets/d/1xlcVZWU"&amp;"Nn6SuWm0c307h32SiGkd9BaeQWlAktfD3KO8/edit?usp=sharing"",""เพชรบูรณ์!R193"")+IMPORTRANGE(""https://docs.google.com/spreadsheets/d/1lOVebEIsI9qjGXl6EX66luk7wiuP2tBaryw-wKvv4e0/edit?usp=sharing"",""แพร่!R193"")+IMPORTRANGE(""https://docs.google.com/spreadshe"&amp;"ets/d/1dQrvX0vEcN7Gu0fnZ0B5S90AeR19zth4XlExFBeExMY/edit?usp=sharing"",""แม่ฮ่องสอน!R193"")+IMPORTRANGE(""https://docs.google.com/spreadsheets/d/1DY4XTNNwjluuxqdfdn6qvOSlMRrZqUtmYcZR0ttFiG4/edit?usp=sharing"",""ลำปาง!R193"")+IMPORTRANGE(""https://docs.goog"&amp;"le.com/spreadsheets/d/1ICwG78r0OFT8biBlxnBF8r7she7gNSzOvJ958PWT09c/edit?usp=sharing"",""ลำพูน!R193"")+IMPORTRANGE(""https://docs.google.com/spreadsheets/d/1B0f2xJpZUC6Z0xXnqKlZtEPzsf6L84eP1r1Q15seqRM/edit?usp=sharing"",""สุโขทัย!R193"")+IMPORTRANGE(""http"&amp;"s://docs.google.com/spreadsheets/d/1v0b9pFQCsKUVExMei7AgY2yQkdeNQvtOssygGsXbiKo/edit?usp=sharing"",""อุตรดิตถ์!R193"")+IMPORTRANGE(""https://docs.google.com/spreadsheets/d/1UsNK1e-WWiCo2PvGqdNfdme4m17_Ezd3J69EeeiQPD0/edit?usp=sharing"",""อุทัยธานี!R193"")"),0)</f>
        <v>0</v>
      </c>
      <c r="S193" s="48">
        <f ca="1">IFERROR(__xludf.DUMMYFUNCTION("IMPORTRANGE(""https://docs.google.com/spreadsheets/d/1jTcq05yEiRwXcBMLjiodW9e4biSGYWAHcDj22rKWQ3s/edit?usp=sharing"",""กำแพงเพชร!S193"")+IMPORTRANGE(""https://docs.google.com/spreadsheets/d/1KS0zmDSZPk8KnTAbGN-Xk6MtX1YRZD0ldgdt20K4CRk/edit?usp=sharing"","&amp;"""เชียงราย!S193"")+IMPORTRANGE(""https://docs.google.com/spreadsheets/d/1rEDxBtusbi64tE0zunoIbsTVV16HeL0oJ6trHQeQ7K8/edit?usp=sharing"",""เชียงใหม่!S193"")+IMPORTRANGE(""https://docs.google.com/spreadsheets/d/1W6MnUbDkMi6xHnHko_XkFDO9kkuL6Wqyc-6OCDFjW9I/e"&amp;"dit?usp=sharing"",""ตาก!S193"")+IMPORTRANGE(""https://docs.google.com/spreadsheets/d/1IQAWArduLkta9LpYo4a_ULsyqdta6-6aDDiwpUnQT6c/edit?usp=sharing"",""นครสวรรค์!S193"")+IMPORTRANGE(""https://docs.google.com/spreadsheets/d/10s13Sk5xrltsiR-Zkbmk5DwIaDIKO8Xl"&amp;"bJAfqyT7Gvg/edit?usp=sharing"",""น่าน!S193"")+IMPORTRANGE(""https://docs.google.com/spreadsheets/d/1uu4nAn4Dbi1XREnLKKotUANlKXa7yCgRcgq8HEzQYW8/edit?usp=sharing"",""พะเยา!S193"")+IMPORTRANGE(""https://docs.google.com/spreadsheets/d/1xfJKIQxVOaPDIICqsflNlL"&amp;"u3JacTDk1FP9RH4phX7mI/edit?usp=sharing"",""พิจิตร!S193"")+IMPORTRANGE(""https://docs.google.com/spreadsheets/d/1JtRfZkJMHtEhI5RdRHxYUG4FIZHqKDpNyIuN7A1Q0_k/edit?usp=sharing"",""พิษณุโลก!S193"")+IMPORTRANGE(""https://docs.google.com/spreadsheets/d/1xlcVZWU"&amp;"Nn6SuWm0c307h32SiGkd9BaeQWlAktfD3KO8/edit?usp=sharing"",""เพชรบูรณ์!S193"")+IMPORTRANGE(""https://docs.google.com/spreadsheets/d/1lOVebEIsI9qjGXl6EX66luk7wiuP2tBaryw-wKvv4e0/edit?usp=sharing"",""แพร่!S193"")+IMPORTRANGE(""https://docs.google.com/spreadshe"&amp;"ets/d/1dQrvX0vEcN7Gu0fnZ0B5S90AeR19zth4XlExFBeExMY/edit?usp=sharing"",""แม่ฮ่องสอน!S193"")+IMPORTRANGE(""https://docs.google.com/spreadsheets/d/1DY4XTNNwjluuxqdfdn6qvOSlMRrZqUtmYcZR0ttFiG4/edit?usp=sharing"",""ลำปาง!S193"")+IMPORTRANGE(""https://docs.goog"&amp;"le.com/spreadsheets/d/1ICwG78r0OFT8biBlxnBF8r7she7gNSzOvJ958PWT09c/edit?usp=sharing"",""ลำพูน!S193"")+IMPORTRANGE(""https://docs.google.com/spreadsheets/d/1B0f2xJpZUC6Z0xXnqKlZtEPzsf6L84eP1r1Q15seqRM/edit?usp=sharing"",""สุโขทัย!S193"")+IMPORTRANGE(""http"&amp;"s://docs.google.com/spreadsheets/d/1v0b9pFQCsKUVExMei7AgY2yQkdeNQvtOssygGsXbiKo/edit?usp=sharing"",""อุตรดิตถ์!S193"")+IMPORTRANGE(""https://docs.google.com/spreadsheets/d/1UsNK1e-WWiCo2PvGqdNfdme4m17_Ezd3J69EeeiQPD0/edit?usp=sharing"",""อุทัยธานี!S193"")"),0)</f>
        <v>0</v>
      </c>
      <c r="T193" s="48">
        <f t="shared" ca="1" si="161"/>
        <v>0</v>
      </c>
      <c r="U193" s="48">
        <f t="shared" ca="1" si="162"/>
        <v>0</v>
      </c>
    </row>
    <row r="194" spans="1:21" ht="18.75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46">
        <f ca="1">IFERROR(__xludf.DUMMYFUNCTION("IMPORTRANGE(""https://docs.google.com/spreadsheets/d/1jTcq05yEiRwXcBMLjiodW9e4biSGYWAHcDj22rKWQ3s/edit?usp=sharing"",""กำแพงเพชร!L194"")+IMPORTRANGE(""https://docs.google.com/spreadsheets/d/1KS0zmDSZPk8KnTAbGN-Xk6MtX1YRZD0ldgdt20K4CRk/edit?usp=sharing"","&amp;"""เชียงราย!L194"")+IMPORTRANGE(""https://docs.google.com/spreadsheets/d/1rEDxBtusbi64tE0zunoIbsTVV16HeL0oJ6trHQeQ7K8/edit?usp=sharing"",""เชียงใหม่!L194"")+IMPORTRANGE(""https://docs.google.com/spreadsheets/d/1W6MnUbDkMi6xHnHko_XkFDO9kkuL6Wqyc-6OCDFjW9I/e"&amp;"dit?usp=sharing"",""ตาก!L194"")+IMPORTRANGE(""https://docs.google.com/spreadsheets/d/1IQAWArduLkta9LpYo4a_ULsyqdta6-6aDDiwpUnQT6c/edit?usp=sharing"",""นครสวรรค์!L194"")+IMPORTRANGE(""https://docs.google.com/spreadsheets/d/10s13Sk5xrltsiR-Zkbmk5DwIaDIKO8Xl"&amp;"bJAfqyT7Gvg/edit?usp=sharing"",""น่าน!L194"")+IMPORTRANGE(""https://docs.google.com/spreadsheets/d/1uu4nAn4Dbi1XREnLKKotUANlKXa7yCgRcgq8HEzQYW8/edit?usp=sharing"",""พะเยา!L194"")+IMPORTRANGE(""https://docs.google.com/spreadsheets/d/1xfJKIQxVOaPDIICqsflNlL"&amp;"u3JacTDk1FP9RH4phX7mI/edit?usp=sharing"",""พิจิตร!L194"")+IMPORTRANGE(""https://docs.google.com/spreadsheets/d/1JtRfZkJMHtEhI5RdRHxYUG4FIZHqKDpNyIuN7A1Q0_k/edit?usp=sharing"",""พิษณุโลก!L194"")+IMPORTRANGE(""https://docs.google.com/spreadsheets/d/1xlcVZWU"&amp;"Nn6SuWm0c307h32SiGkd9BaeQWlAktfD3KO8/edit?usp=sharing"",""เพชรบูรณ์!L194"")+IMPORTRANGE(""https://docs.google.com/spreadsheets/d/1lOVebEIsI9qjGXl6EX66luk7wiuP2tBaryw-wKvv4e0/edit?usp=sharing"",""แพร่!L194"")+IMPORTRANGE(""https://docs.google.com/spreadshe"&amp;"ets/d/1dQrvX0vEcN7Gu0fnZ0B5S90AeR19zth4XlExFBeExMY/edit?usp=sharing"",""แม่ฮ่องสอน!L194"")+IMPORTRANGE(""https://docs.google.com/spreadsheets/d/1DY4XTNNwjluuxqdfdn6qvOSlMRrZqUtmYcZR0ttFiG4/edit?usp=sharing"",""ลำปาง!L194"")+IMPORTRANGE(""https://docs.goog"&amp;"le.com/spreadsheets/d/1ICwG78r0OFT8biBlxnBF8r7she7gNSzOvJ958PWT09c/edit?usp=sharing"",""ลำพูน!L194"")+IMPORTRANGE(""https://docs.google.com/spreadsheets/d/1B0f2xJpZUC6Z0xXnqKlZtEPzsf6L84eP1r1Q15seqRM/edit?usp=sharing"",""สุโขทัย!L194"")+IMPORTRANGE(""http"&amp;"s://docs.google.com/spreadsheets/d/1v0b9pFQCsKUVExMei7AgY2yQkdeNQvtOssygGsXbiKo/edit?usp=sharing"",""อุตรดิตถ์!L194"")+IMPORTRANGE(""https://docs.google.com/spreadsheets/d/1UsNK1e-WWiCo2PvGqdNfdme4m17_Ezd3J69EeeiQPD0/edit?usp=sharing"",""อุทัยธานี!L194"")"),0)</f>
        <v>0</v>
      </c>
      <c r="M194" s="46">
        <f ca="1">IFERROR(__xludf.DUMMYFUNCTION("IMPORTRANGE(""https://docs.google.com/spreadsheets/d/1jTcq05yEiRwXcBMLjiodW9e4biSGYWAHcDj22rKWQ3s/edit?usp=sharing"",""กำแพงเพชร!M194"")+IMPORTRANGE(""https://docs.google.com/spreadsheets/d/1KS0zmDSZPk8KnTAbGN-Xk6MtX1YRZD0ldgdt20K4CRk/edit?usp=sharing"","&amp;"""เชียงราย!M194"")+IMPORTRANGE(""https://docs.google.com/spreadsheets/d/1rEDxBtusbi64tE0zunoIbsTVV16HeL0oJ6trHQeQ7K8/edit?usp=sharing"",""เชียงใหม่!M194"")+IMPORTRANGE(""https://docs.google.com/spreadsheets/d/1W6MnUbDkMi6xHnHko_XkFDO9kkuL6Wqyc-6OCDFjW9I/e"&amp;"dit?usp=sharing"",""ตาก!M194"")+IMPORTRANGE(""https://docs.google.com/spreadsheets/d/1IQAWArduLkta9LpYo4a_ULsyqdta6-6aDDiwpUnQT6c/edit?usp=sharing"",""นครสวรรค์!M194"")+IMPORTRANGE(""https://docs.google.com/spreadsheets/d/10s13Sk5xrltsiR-Zkbmk5DwIaDIKO8Xl"&amp;"bJAfqyT7Gvg/edit?usp=sharing"",""น่าน!M194"")+IMPORTRANGE(""https://docs.google.com/spreadsheets/d/1uu4nAn4Dbi1XREnLKKotUANlKXa7yCgRcgq8HEzQYW8/edit?usp=sharing"",""พะเยา!M194"")+IMPORTRANGE(""https://docs.google.com/spreadsheets/d/1xfJKIQxVOaPDIICqsflNlL"&amp;"u3JacTDk1FP9RH4phX7mI/edit?usp=sharing"",""พิจิตร!M194"")+IMPORTRANGE(""https://docs.google.com/spreadsheets/d/1JtRfZkJMHtEhI5RdRHxYUG4FIZHqKDpNyIuN7A1Q0_k/edit?usp=sharing"",""พิษณุโลก!M194"")+IMPORTRANGE(""https://docs.google.com/spreadsheets/d/1xlcVZWU"&amp;"Nn6SuWm0c307h32SiGkd9BaeQWlAktfD3KO8/edit?usp=sharing"",""เพชรบูรณ์!M194"")+IMPORTRANGE(""https://docs.google.com/spreadsheets/d/1lOVebEIsI9qjGXl6EX66luk7wiuP2tBaryw-wKvv4e0/edit?usp=sharing"",""แพร่!M194"")+IMPORTRANGE(""https://docs.google.com/spreadshe"&amp;"ets/d/1dQrvX0vEcN7Gu0fnZ0B5S90AeR19zth4XlExFBeExMY/edit?usp=sharing"",""แม่ฮ่องสอน!M194"")+IMPORTRANGE(""https://docs.google.com/spreadsheets/d/1DY4XTNNwjluuxqdfdn6qvOSlMRrZqUtmYcZR0ttFiG4/edit?usp=sharing"",""ลำปาง!M194"")+IMPORTRANGE(""https://docs.goog"&amp;"le.com/spreadsheets/d/1ICwG78r0OFT8biBlxnBF8r7she7gNSzOvJ958PWT09c/edit?usp=sharing"",""ลำพูน!M194"")+IMPORTRANGE(""https://docs.google.com/spreadsheets/d/1B0f2xJpZUC6Z0xXnqKlZtEPzsf6L84eP1r1Q15seqRM/edit?usp=sharing"",""สุโขทัย!M194"")+IMPORTRANGE(""http"&amp;"s://docs.google.com/spreadsheets/d/1v0b9pFQCsKUVExMei7AgY2yQkdeNQvtOssygGsXbiKo/edit?usp=sharing"",""อุตรดิตถ์!M194"")+IMPORTRANGE(""https://docs.google.com/spreadsheets/d/1UsNK1e-WWiCo2PvGqdNfdme4m17_Ezd3J69EeeiQPD0/edit?usp=sharing"",""อุทัยธานี!M194"")"),0)</f>
        <v>0</v>
      </c>
      <c r="N194" s="46">
        <f ca="1">IFERROR(__xludf.DUMMYFUNCTION("IMPORTRANGE(""https://docs.google.com/spreadsheets/d/1jTcq05yEiRwXcBMLjiodW9e4biSGYWAHcDj22rKWQ3s/edit?usp=sharing"",""กำแพงเพชร!N194"")+IMPORTRANGE(""https://docs.google.com/spreadsheets/d/1KS0zmDSZPk8KnTAbGN-Xk6MtX1YRZD0ldgdt20K4CRk/edit?usp=sharing"","&amp;"""เชียงราย!N194"")+IMPORTRANGE(""https://docs.google.com/spreadsheets/d/1rEDxBtusbi64tE0zunoIbsTVV16HeL0oJ6trHQeQ7K8/edit?usp=sharing"",""เชียงใหม่!N194"")+IMPORTRANGE(""https://docs.google.com/spreadsheets/d/1W6MnUbDkMi6xHnHko_XkFDO9kkuL6Wqyc-6OCDFjW9I/e"&amp;"dit?usp=sharing"",""ตาก!N194"")+IMPORTRANGE(""https://docs.google.com/spreadsheets/d/1IQAWArduLkta9LpYo4a_ULsyqdta6-6aDDiwpUnQT6c/edit?usp=sharing"",""นครสวรรค์!N194"")+IMPORTRANGE(""https://docs.google.com/spreadsheets/d/10s13Sk5xrltsiR-Zkbmk5DwIaDIKO8Xl"&amp;"bJAfqyT7Gvg/edit?usp=sharing"",""น่าน!N194"")+IMPORTRANGE(""https://docs.google.com/spreadsheets/d/1uu4nAn4Dbi1XREnLKKotUANlKXa7yCgRcgq8HEzQYW8/edit?usp=sharing"",""พะเยา!N194"")+IMPORTRANGE(""https://docs.google.com/spreadsheets/d/1xfJKIQxVOaPDIICqsflNlL"&amp;"u3JacTDk1FP9RH4phX7mI/edit?usp=sharing"",""พิจิตร!N194"")+IMPORTRANGE(""https://docs.google.com/spreadsheets/d/1JtRfZkJMHtEhI5RdRHxYUG4FIZHqKDpNyIuN7A1Q0_k/edit?usp=sharing"",""พิษณุโลก!N194"")+IMPORTRANGE(""https://docs.google.com/spreadsheets/d/1xlcVZWU"&amp;"Nn6SuWm0c307h32SiGkd9BaeQWlAktfD3KO8/edit?usp=sharing"",""เพชรบูรณ์!N194"")+IMPORTRANGE(""https://docs.google.com/spreadsheets/d/1lOVebEIsI9qjGXl6EX66luk7wiuP2tBaryw-wKvv4e0/edit?usp=sharing"",""แพร่!N194"")+IMPORTRANGE(""https://docs.google.com/spreadshe"&amp;"ets/d/1dQrvX0vEcN7Gu0fnZ0B5S90AeR19zth4XlExFBeExMY/edit?usp=sharing"",""แม่ฮ่องสอน!N194"")+IMPORTRANGE(""https://docs.google.com/spreadsheets/d/1DY4XTNNwjluuxqdfdn6qvOSlMRrZqUtmYcZR0ttFiG4/edit?usp=sharing"",""ลำปาง!N194"")+IMPORTRANGE(""https://docs.goog"&amp;"le.com/spreadsheets/d/1ICwG78r0OFT8biBlxnBF8r7she7gNSzOvJ958PWT09c/edit?usp=sharing"",""ลำพูน!N194"")+IMPORTRANGE(""https://docs.google.com/spreadsheets/d/1B0f2xJpZUC6Z0xXnqKlZtEPzsf6L84eP1r1Q15seqRM/edit?usp=sharing"",""สุโขทัย!N194"")+IMPORTRANGE(""http"&amp;"s://docs.google.com/spreadsheets/d/1v0b9pFQCsKUVExMei7AgY2yQkdeNQvtOssygGsXbiKo/edit?usp=sharing"",""อุตรดิตถ์!N194"")+IMPORTRANGE(""https://docs.google.com/spreadsheets/d/1UsNK1e-WWiCo2PvGqdNfdme4m17_Ezd3J69EeeiQPD0/edit?usp=sharing"",""อุทัยธานี!N194"")"),0)</f>
        <v>0</v>
      </c>
      <c r="O194" s="46">
        <f t="shared" ca="1" si="158"/>
        <v>0</v>
      </c>
      <c r="P194" s="46">
        <f t="shared" ca="1" si="159"/>
        <v>0</v>
      </c>
      <c r="Q194" s="46">
        <f ca="1">IFERROR(__xludf.DUMMYFUNCTION("IMPORTRANGE(""https://docs.google.com/spreadsheets/d/1jTcq05yEiRwXcBMLjiodW9e4biSGYWAHcDj22rKWQ3s/edit?usp=sharing"",""กำแพงเพชร!Q194"")+IMPORTRANGE(""https://docs.google.com/spreadsheets/d/1KS0zmDSZPk8KnTAbGN-Xk6MtX1YRZD0ldgdt20K4CRk/edit?usp=sharing"","&amp;"""เชียงราย!Q194"")+IMPORTRANGE(""https://docs.google.com/spreadsheets/d/1rEDxBtusbi64tE0zunoIbsTVV16HeL0oJ6trHQeQ7K8/edit?usp=sharing"",""เชียงใหม่!Q194"")+IMPORTRANGE(""https://docs.google.com/spreadsheets/d/1W6MnUbDkMi6xHnHko_XkFDO9kkuL6Wqyc-6OCDFjW9I/e"&amp;"dit?usp=sharing"",""ตาก!Q194"")+IMPORTRANGE(""https://docs.google.com/spreadsheets/d/1IQAWArduLkta9LpYo4a_ULsyqdta6-6aDDiwpUnQT6c/edit?usp=sharing"",""นครสวรรค์!Q194"")+IMPORTRANGE(""https://docs.google.com/spreadsheets/d/10s13Sk5xrltsiR-Zkbmk5DwIaDIKO8Xl"&amp;"bJAfqyT7Gvg/edit?usp=sharing"",""น่าน!Q194"")+IMPORTRANGE(""https://docs.google.com/spreadsheets/d/1uu4nAn4Dbi1XREnLKKotUANlKXa7yCgRcgq8HEzQYW8/edit?usp=sharing"",""พะเยา!Q194"")+IMPORTRANGE(""https://docs.google.com/spreadsheets/d/1xfJKIQxVOaPDIICqsflNlL"&amp;"u3JacTDk1FP9RH4phX7mI/edit?usp=sharing"",""พิจิตร!Q194"")+IMPORTRANGE(""https://docs.google.com/spreadsheets/d/1JtRfZkJMHtEhI5RdRHxYUG4FIZHqKDpNyIuN7A1Q0_k/edit?usp=sharing"",""พิษณุโลก!Q194"")+IMPORTRANGE(""https://docs.google.com/spreadsheets/d/1xlcVZWU"&amp;"Nn6SuWm0c307h32SiGkd9BaeQWlAktfD3KO8/edit?usp=sharing"",""เพชรบูรณ์!Q194"")+IMPORTRANGE(""https://docs.google.com/spreadsheets/d/1lOVebEIsI9qjGXl6EX66luk7wiuP2tBaryw-wKvv4e0/edit?usp=sharing"",""แพร่!Q194"")+IMPORTRANGE(""https://docs.google.com/spreadshe"&amp;"ets/d/1dQrvX0vEcN7Gu0fnZ0B5S90AeR19zth4XlExFBeExMY/edit?usp=sharing"",""แม่ฮ่องสอน!Q194"")+IMPORTRANGE(""https://docs.google.com/spreadsheets/d/1DY4XTNNwjluuxqdfdn6qvOSlMRrZqUtmYcZR0ttFiG4/edit?usp=sharing"",""ลำปาง!Q194"")+IMPORTRANGE(""https://docs.goog"&amp;"le.com/spreadsheets/d/1ICwG78r0OFT8biBlxnBF8r7she7gNSzOvJ958PWT09c/edit?usp=sharing"",""ลำพูน!Q194"")+IMPORTRANGE(""https://docs.google.com/spreadsheets/d/1B0f2xJpZUC6Z0xXnqKlZtEPzsf6L84eP1r1Q15seqRM/edit?usp=sharing"",""สุโขทัย!Q194"")+IMPORTRANGE(""http"&amp;"s://docs.google.com/spreadsheets/d/1v0b9pFQCsKUVExMei7AgY2yQkdeNQvtOssygGsXbiKo/edit?usp=sharing"",""อุตรดิตถ์!Q194"")+IMPORTRANGE(""https://docs.google.com/spreadsheets/d/1UsNK1e-WWiCo2PvGqdNfdme4m17_Ezd3J69EeeiQPD0/edit?usp=sharing"",""อุทัยธานี!Q194"")"),0)</f>
        <v>0</v>
      </c>
      <c r="R194" s="46">
        <f ca="1">IFERROR(__xludf.DUMMYFUNCTION("IMPORTRANGE(""https://docs.google.com/spreadsheets/d/1jTcq05yEiRwXcBMLjiodW9e4biSGYWAHcDj22rKWQ3s/edit?usp=sharing"",""กำแพงเพชร!R194"")+IMPORTRANGE(""https://docs.google.com/spreadsheets/d/1KS0zmDSZPk8KnTAbGN-Xk6MtX1YRZD0ldgdt20K4CRk/edit?usp=sharing"","&amp;"""เชียงราย!R194"")+IMPORTRANGE(""https://docs.google.com/spreadsheets/d/1rEDxBtusbi64tE0zunoIbsTVV16HeL0oJ6trHQeQ7K8/edit?usp=sharing"",""เชียงใหม่!R194"")+IMPORTRANGE(""https://docs.google.com/spreadsheets/d/1W6MnUbDkMi6xHnHko_XkFDO9kkuL6Wqyc-6OCDFjW9I/e"&amp;"dit?usp=sharing"",""ตาก!R194"")+IMPORTRANGE(""https://docs.google.com/spreadsheets/d/1IQAWArduLkta9LpYo4a_ULsyqdta6-6aDDiwpUnQT6c/edit?usp=sharing"",""นครสวรรค์!R194"")+IMPORTRANGE(""https://docs.google.com/spreadsheets/d/10s13Sk5xrltsiR-Zkbmk5DwIaDIKO8Xl"&amp;"bJAfqyT7Gvg/edit?usp=sharing"",""น่าน!R194"")+IMPORTRANGE(""https://docs.google.com/spreadsheets/d/1uu4nAn4Dbi1XREnLKKotUANlKXa7yCgRcgq8HEzQYW8/edit?usp=sharing"",""พะเยา!R194"")+IMPORTRANGE(""https://docs.google.com/spreadsheets/d/1xfJKIQxVOaPDIICqsflNlL"&amp;"u3JacTDk1FP9RH4phX7mI/edit?usp=sharing"",""พิจิตร!R194"")+IMPORTRANGE(""https://docs.google.com/spreadsheets/d/1JtRfZkJMHtEhI5RdRHxYUG4FIZHqKDpNyIuN7A1Q0_k/edit?usp=sharing"",""พิษณุโลก!R194"")+IMPORTRANGE(""https://docs.google.com/spreadsheets/d/1xlcVZWU"&amp;"Nn6SuWm0c307h32SiGkd9BaeQWlAktfD3KO8/edit?usp=sharing"",""เพชรบูรณ์!R194"")+IMPORTRANGE(""https://docs.google.com/spreadsheets/d/1lOVebEIsI9qjGXl6EX66luk7wiuP2tBaryw-wKvv4e0/edit?usp=sharing"",""แพร่!R194"")+IMPORTRANGE(""https://docs.google.com/spreadshe"&amp;"ets/d/1dQrvX0vEcN7Gu0fnZ0B5S90AeR19zth4XlExFBeExMY/edit?usp=sharing"",""แม่ฮ่องสอน!R194"")+IMPORTRANGE(""https://docs.google.com/spreadsheets/d/1DY4XTNNwjluuxqdfdn6qvOSlMRrZqUtmYcZR0ttFiG4/edit?usp=sharing"",""ลำปาง!R194"")+IMPORTRANGE(""https://docs.goog"&amp;"le.com/spreadsheets/d/1ICwG78r0OFT8biBlxnBF8r7she7gNSzOvJ958PWT09c/edit?usp=sharing"",""ลำพูน!R194"")+IMPORTRANGE(""https://docs.google.com/spreadsheets/d/1B0f2xJpZUC6Z0xXnqKlZtEPzsf6L84eP1r1Q15seqRM/edit?usp=sharing"",""สุโขทัย!R194"")+IMPORTRANGE(""http"&amp;"s://docs.google.com/spreadsheets/d/1v0b9pFQCsKUVExMei7AgY2yQkdeNQvtOssygGsXbiKo/edit?usp=sharing"",""อุตรดิตถ์!R194"")+IMPORTRANGE(""https://docs.google.com/spreadsheets/d/1UsNK1e-WWiCo2PvGqdNfdme4m17_Ezd3J69EeeiQPD0/edit?usp=sharing"",""อุทัยธานี!R194"")"),0)</f>
        <v>0</v>
      </c>
      <c r="S194" s="46">
        <f ca="1">IFERROR(__xludf.DUMMYFUNCTION("IMPORTRANGE(""https://docs.google.com/spreadsheets/d/1jTcq05yEiRwXcBMLjiodW9e4biSGYWAHcDj22rKWQ3s/edit?usp=sharing"",""กำแพงเพชร!S194"")+IMPORTRANGE(""https://docs.google.com/spreadsheets/d/1KS0zmDSZPk8KnTAbGN-Xk6MtX1YRZD0ldgdt20K4CRk/edit?usp=sharing"","&amp;"""เชียงราย!S194"")+IMPORTRANGE(""https://docs.google.com/spreadsheets/d/1rEDxBtusbi64tE0zunoIbsTVV16HeL0oJ6trHQeQ7K8/edit?usp=sharing"",""เชียงใหม่!S194"")+IMPORTRANGE(""https://docs.google.com/spreadsheets/d/1W6MnUbDkMi6xHnHko_XkFDO9kkuL6Wqyc-6OCDFjW9I/e"&amp;"dit?usp=sharing"",""ตาก!S194"")+IMPORTRANGE(""https://docs.google.com/spreadsheets/d/1IQAWArduLkta9LpYo4a_ULsyqdta6-6aDDiwpUnQT6c/edit?usp=sharing"",""นครสวรรค์!S194"")+IMPORTRANGE(""https://docs.google.com/spreadsheets/d/10s13Sk5xrltsiR-Zkbmk5DwIaDIKO8Xl"&amp;"bJAfqyT7Gvg/edit?usp=sharing"",""น่าน!S194"")+IMPORTRANGE(""https://docs.google.com/spreadsheets/d/1uu4nAn4Dbi1XREnLKKotUANlKXa7yCgRcgq8HEzQYW8/edit?usp=sharing"",""พะเยา!S194"")+IMPORTRANGE(""https://docs.google.com/spreadsheets/d/1xfJKIQxVOaPDIICqsflNlL"&amp;"u3JacTDk1FP9RH4phX7mI/edit?usp=sharing"",""พิจิตร!S194"")+IMPORTRANGE(""https://docs.google.com/spreadsheets/d/1JtRfZkJMHtEhI5RdRHxYUG4FIZHqKDpNyIuN7A1Q0_k/edit?usp=sharing"",""พิษณุโลก!S194"")+IMPORTRANGE(""https://docs.google.com/spreadsheets/d/1xlcVZWU"&amp;"Nn6SuWm0c307h32SiGkd9BaeQWlAktfD3KO8/edit?usp=sharing"",""เพชรบูรณ์!S194"")+IMPORTRANGE(""https://docs.google.com/spreadsheets/d/1lOVebEIsI9qjGXl6EX66luk7wiuP2tBaryw-wKvv4e0/edit?usp=sharing"",""แพร่!S194"")+IMPORTRANGE(""https://docs.google.com/spreadshe"&amp;"ets/d/1dQrvX0vEcN7Gu0fnZ0B5S90AeR19zth4XlExFBeExMY/edit?usp=sharing"",""แม่ฮ่องสอน!S194"")+IMPORTRANGE(""https://docs.google.com/spreadsheets/d/1DY4XTNNwjluuxqdfdn6qvOSlMRrZqUtmYcZR0ttFiG4/edit?usp=sharing"",""ลำปาง!S194"")+IMPORTRANGE(""https://docs.goog"&amp;"le.com/spreadsheets/d/1ICwG78r0OFT8biBlxnBF8r7she7gNSzOvJ958PWT09c/edit?usp=sharing"",""ลำพูน!S194"")+IMPORTRANGE(""https://docs.google.com/spreadsheets/d/1B0f2xJpZUC6Z0xXnqKlZtEPzsf6L84eP1r1Q15seqRM/edit?usp=sharing"",""สุโขทัย!S194"")+IMPORTRANGE(""http"&amp;"s://docs.google.com/spreadsheets/d/1v0b9pFQCsKUVExMei7AgY2yQkdeNQvtOssygGsXbiKo/edit?usp=sharing"",""อุตรดิตถ์!S194"")+IMPORTRANGE(""https://docs.google.com/spreadsheets/d/1UsNK1e-WWiCo2PvGqdNfdme4m17_Ezd3J69EeeiQPD0/edit?usp=sharing"",""อุทัยธานี!S194"")"),0)</f>
        <v>0</v>
      </c>
      <c r="T194" s="46">
        <f t="shared" ca="1" si="161"/>
        <v>0</v>
      </c>
      <c r="U194" s="46">
        <f t="shared" ca="1" si="162"/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217">
        <f t="shared" ref="I195:J195" ca="1" si="171">I198</f>
        <v>68</v>
      </c>
      <c r="J195" s="217">
        <f t="shared" ca="1" si="171"/>
        <v>31</v>
      </c>
      <c r="K195" s="218">
        <f ca="1">IF(I195&gt;0,J195*100/I195,0)</f>
        <v>45.588235294117645</v>
      </c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220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132">
        <f ca="1">IFERROR(__xludf.DUMMYFUNCTION("IMPORTRANGE(""https://docs.google.com/spreadsheets/d/1jTcq05yEiRwXcBMLjiodW9e4biSGYWAHcDj22rKWQ3s/edit?usp=sharing"",""กำแพงเพชร!L196"")+IMPORTRANGE(""https://docs.google.com/spreadsheets/d/1KS0zmDSZPk8KnTAbGN-Xk6MtX1YRZD0ldgdt20K4CRk/edit?usp=sharing"","&amp;"""เชียงราย!L196"")+IMPORTRANGE(""https://docs.google.com/spreadsheets/d/1rEDxBtusbi64tE0zunoIbsTVV16HeL0oJ6trHQeQ7K8/edit?usp=sharing"",""เชียงใหม่!L196"")+IMPORTRANGE(""https://docs.google.com/spreadsheets/d/1W6MnUbDkMi6xHnHko_XkFDO9kkuL6Wqyc-6OCDFjW9I/e"&amp;"dit?usp=sharing"",""ตาก!L196"")+IMPORTRANGE(""https://docs.google.com/spreadsheets/d/1IQAWArduLkta9LpYo4a_ULsyqdta6-6aDDiwpUnQT6c/edit?usp=sharing"",""นครสวรรค์!L196"")+IMPORTRANGE(""https://docs.google.com/spreadsheets/d/10s13Sk5xrltsiR-Zkbmk5DwIaDIKO8Xl"&amp;"bJAfqyT7Gvg/edit?usp=sharing"",""น่าน!L196"")+IMPORTRANGE(""https://docs.google.com/spreadsheets/d/1uu4nAn4Dbi1XREnLKKotUANlKXa7yCgRcgq8HEzQYW8/edit?usp=sharing"",""พะเยา!L196"")+IMPORTRANGE(""https://docs.google.com/spreadsheets/d/1xfJKIQxVOaPDIICqsflNlL"&amp;"u3JacTDk1FP9RH4phX7mI/edit?usp=sharing"",""พิจิตร!L196"")+IMPORTRANGE(""https://docs.google.com/spreadsheets/d/1JtRfZkJMHtEhI5RdRHxYUG4FIZHqKDpNyIuN7A1Q0_k/edit?usp=sharing"",""พิษณุโลก!L196"")+IMPORTRANGE(""https://docs.google.com/spreadsheets/d/1xlcVZWU"&amp;"Nn6SuWm0c307h32SiGkd9BaeQWlAktfD3KO8/edit?usp=sharing"",""เพชรบูรณ์!L196"")+IMPORTRANGE(""https://docs.google.com/spreadsheets/d/1lOVebEIsI9qjGXl6EX66luk7wiuP2tBaryw-wKvv4e0/edit?usp=sharing"",""แพร่!L196"")+IMPORTRANGE(""https://docs.google.com/spreadshe"&amp;"ets/d/1dQrvX0vEcN7Gu0fnZ0B5S90AeR19zth4XlExFBeExMY/edit?usp=sharing"",""แม่ฮ่องสอน!L196"")+IMPORTRANGE(""https://docs.google.com/spreadsheets/d/1DY4XTNNwjluuxqdfdn6qvOSlMRrZqUtmYcZR0ttFiG4/edit?usp=sharing"",""ลำปาง!L196"")+IMPORTRANGE(""https://docs.goog"&amp;"le.com/spreadsheets/d/1ICwG78r0OFT8biBlxnBF8r7she7gNSzOvJ958PWT09c/edit?usp=sharing"",""ลำพูน!L196"")+IMPORTRANGE(""https://docs.google.com/spreadsheets/d/1B0f2xJpZUC6Z0xXnqKlZtEPzsf6L84eP1r1Q15seqRM/edit?usp=sharing"",""สุโขทัย!L196"")+IMPORTRANGE(""http"&amp;"s://docs.google.com/spreadsheets/d/1v0b9pFQCsKUVExMei7AgY2yQkdeNQvtOssygGsXbiKo/edit?usp=sharing"",""อุตรดิตถ์!L196"")+IMPORTRANGE(""https://docs.google.com/spreadsheets/d/1UsNK1e-WWiCo2PvGqdNfdme4m17_Ezd3J69EeeiQPD0/edit?usp=sharing"",""อุทัยธานี!L196"")"),102000)</f>
        <v>102000</v>
      </c>
      <c r="M196" s="132">
        <f ca="1">IFERROR(__xludf.DUMMYFUNCTION("IMPORTRANGE(""https://docs.google.com/spreadsheets/d/1jTcq05yEiRwXcBMLjiodW9e4biSGYWAHcDj22rKWQ3s/edit?usp=sharing"",""กำแพงเพชร!M196"")+IMPORTRANGE(""https://docs.google.com/spreadsheets/d/1KS0zmDSZPk8KnTAbGN-Xk6MtX1YRZD0ldgdt20K4CRk/edit?usp=sharing"","&amp;"""เชียงราย!M196"")+IMPORTRANGE(""https://docs.google.com/spreadsheets/d/1rEDxBtusbi64tE0zunoIbsTVV16HeL0oJ6trHQeQ7K8/edit?usp=sharing"",""เชียงใหม่!M196"")+IMPORTRANGE(""https://docs.google.com/spreadsheets/d/1W6MnUbDkMi6xHnHko_XkFDO9kkuL6Wqyc-6OCDFjW9I/e"&amp;"dit?usp=sharing"",""ตาก!M196"")+IMPORTRANGE(""https://docs.google.com/spreadsheets/d/1IQAWArduLkta9LpYo4a_ULsyqdta6-6aDDiwpUnQT6c/edit?usp=sharing"",""นครสวรรค์!M196"")+IMPORTRANGE(""https://docs.google.com/spreadsheets/d/10s13Sk5xrltsiR-Zkbmk5DwIaDIKO8Xl"&amp;"bJAfqyT7Gvg/edit?usp=sharing"",""น่าน!M196"")+IMPORTRANGE(""https://docs.google.com/spreadsheets/d/1uu4nAn4Dbi1XREnLKKotUANlKXa7yCgRcgq8HEzQYW8/edit?usp=sharing"",""พะเยา!M196"")+IMPORTRANGE(""https://docs.google.com/spreadsheets/d/1xfJKIQxVOaPDIICqsflNlL"&amp;"u3JacTDk1FP9RH4phX7mI/edit?usp=sharing"",""พิจิตร!M196"")+IMPORTRANGE(""https://docs.google.com/spreadsheets/d/1JtRfZkJMHtEhI5RdRHxYUG4FIZHqKDpNyIuN7A1Q0_k/edit?usp=sharing"",""พิษณุโลก!M196"")+IMPORTRANGE(""https://docs.google.com/spreadsheets/d/1xlcVZWU"&amp;"Nn6SuWm0c307h32SiGkd9BaeQWlAktfD3KO8/edit?usp=sharing"",""เพชรบูรณ์!M196"")+IMPORTRANGE(""https://docs.google.com/spreadsheets/d/1lOVebEIsI9qjGXl6EX66luk7wiuP2tBaryw-wKvv4e0/edit?usp=sharing"",""แพร่!M196"")+IMPORTRANGE(""https://docs.google.com/spreadshe"&amp;"ets/d/1dQrvX0vEcN7Gu0fnZ0B5S90AeR19zth4XlExFBeExMY/edit?usp=sharing"",""แม่ฮ่องสอน!M196"")+IMPORTRANGE(""https://docs.google.com/spreadsheets/d/1DY4XTNNwjluuxqdfdn6qvOSlMRrZqUtmYcZR0ttFiG4/edit?usp=sharing"",""ลำปาง!M196"")+IMPORTRANGE(""https://docs.goog"&amp;"le.com/spreadsheets/d/1ICwG78r0OFT8biBlxnBF8r7she7gNSzOvJ958PWT09c/edit?usp=sharing"",""ลำพูน!M196"")+IMPORTRANGE(""https://docs.google.com/spreadsheets/d/1B0f2xJpZUC6Z0xXnqKlZtEPzsf6L84eP1r1Q15seqRM/edit?usp=sharing"",""สุโขทัย!M196"")+IMPORTRANGE(""http"&amp;"s://docs.google.com/spreadsheets/d/1v0b9pFQCsKUVExMei7AgY2yQkdeNQvtOssygGsXbiKo/edit?usp=sharing"",""อุตรดิตถ์!M196"")+IMPORTRANGE(""https://docs.google.com/spreadsheets/d/1UsNK1e-WWiCo2PvGqdNfdme4m17_Ezd3J69EeeiQPD0/edit?usp=sharing"",""อุทัยธานี!M196"")"),0)</f>
        <v>0</v>
      </c>
      <c r="N196" s="132">
        <f ca="1">IFERROR(__xludf.DUMMYFUNCTION("IMPORTRANGE(""https://docs.google.com/spreadsheets/d/1jTcq05yEiRwXcBMLjiodW9e4biSGYWAHcDj22rKWQ3s/edit?usp=sharing"",""กำแพงเพชร!N196"")+IMPORTRANGE(""https://docs.google.com/spreadsheets/d/1KS0zmDSZPk8KnTAbGN-Xk6MtX1YRZD0ldgdt20K4CRk/edit?usp=sharing"","&amp;"""เชียงราย!N196"")+IMPORTRANGE(""https://docs.google.com/spreadsheets/d/1rEDxBtusbi64tE0zunoIbsTVV16HeL0oJ6trHQeQ7K8/edit?usp=sharing"",""เชียงใหม่!N196"")+IMPORTRANGE(""https://docs.google.com/spreadsheets/d/1W6MnUbDkMi6xHnHko_XkFDO9kkuL6Wqyc-6OCDFjW9I/e"&amp;"dit?usp=sharing"",""ตาก!N196"")+IMPORTRANGE(""https://docs.google.com/spreadsheets/d/1IQAWArduLkta9LpYo4a_ULsyqdta6-6aDDiwpUnQT6c/edit?usp=sharing"",""นครสวรรค์!N196"")+IMPORTRANGE(""https://docs.google.com/spreadsheets/d/10s13Sk5xrltsiR-Zkbmk5DwIaDIKO8Xl"&amp;"bJAfqyT7Gvg/edit?usp=sharing"",""น่าน!N196"")+IMPORTRANGE(""https://docs.google.com/spreadsheets/d/1uu4nAn4Dbi1XREnLKKotUANlKXa7yCgRcgq8HEzQYW8/edit?usp=sharing"",""พะเยา!N196"")+IMPORTRANGE(""https://docs.google.com/spreadsheets/d/1xfJKIQxVOaPDIICqsflNlL"&amp;"u3JacTDk1FP9RH4phX7mI/edit?usp=sharing"",""พิจิตร!N196"")+IMPORTRANGE(""https://docs.google.com/spreadsheets/d/1JtRfZkJMHtEhI5RdRHxYUG4FIZHqKDpNyIuN7A1Q0_k/edit?usp=sharing"",""พิษณุโลก!N196"")+IMPORTRANGE(""https://docs.google.com/spreadsheets/d/1xlcVZWU"&amp;"Nn6SuWm0c307h32SiGkd9BaeQWlAktfD3KO8/edit?usp=sharing"",""เพชรบูรณ์!N196"")+IMPORTRANGE(""https://docs.google.com/spreadsheets/d/1lOVebEIsI9qjGXl6EX66luk7wiuP2tBaryw-wKvv4e0/edit?usp=sharing"",""แพร่!N196"")+IMPORTRANGE(""https://docs.google.com/spreadshe"&amp;"ets/d/1dQrvX0vEcN7Gu0fnZ0B5S90AeR19zth4XlExFBeExMY/edit?usp=sharing"",""แม่ฮ่องสอน!N196"")+IMPORTRANGE(""https://docs.google.com/spreadsheets/d/1DY4XTNNwjluuxqdfdn6qvOSlMRrZqUtmYcZR0ttFiG4/edit?usp=sharing"",""ลำปาง!N196"")+IMPORTRANGE(""https://docs.goog"&amp;"le.com/spreadsheets/d/1ICwG78r0OFT8biBlxnBF8r7she7gNSzOvJ958PWT09c/edit?usp=sharing"",""ลำพูน!N196"")+IMPORTRANGE(""https://docs.google.com/spreadsheets/d/1B0f2xJpZUC6Z0xXnqKlZtEPzsf6L84eP1r1Q15seqRM/edit?usp=sharing"",""สุโขทัย!N196"")+IMPORTRANGE(""http"&amp;"s://docs.google.com/spreadsheets/d/1v0b9pFQCsKUVExMei7AgY2yQkdeNQvtOssygGsXbiKo/edit?usp=sharing"",""อุตรดิตถ์!N196"")+IMPORTRANGE(""https://docs.google.com/spreadsheets/d/1UsNK1e-WWiCo2PvGqdNfdme4m17_Ezd3J69EeeiQPD0/edit?usp=sharing"",""อุทัยธานี!N196"")"),15100)</f>
        <v>15100</v>
      </c>
      <c r="O196" s="132">
        <f ca="1">IF(L196&gt;0,N196*100/L196,0)</f>
        <v>14.803921568627452</v>
      </c>
      <c r="P196" s="45"/>
      <c r="Q196" s="45">
        <f ca="1">IFERROR(__xludf.DUMMYFUNCTION("IMPORTRANGE(""https://docs.google.com/spreadsheets/d/1jTcq05yEiRwXcBMLjiodW9e4biSGYWAHcDj22rKWQ3s/edit?usp=sharing"",""กำแพงเพชร!Q196"")+IMPORTRANGE(""https://docs.google.com/spreadsheets/d/1KS0zmDSZPk8KnTAbGN-Xk6MtX1YRZD0ldgdt20K4CRk/edit?usp=sharing"","&amp;"""เชียงราย!Q196"")+IMPORTRANGE(""https://docs.google.com/spreadsheets/d/1rEDxBtusbi64tE0zunoIbsTVV16HeL0oJ6trHQeQ7K8/edit?usp=sharing"",""เชียงใหม่!Q196"")+IMPORTRANGE(""https://docs.google.com/spreadsheets/d/1W6MnUbDkMi6xHnHko_XkFDO9kkuL6Wqyc-6OCDFjW9I/e"&amp;"dit?usp=sharing"",""ตาก!Q196"")+IMPORTRANGE(""https://docs.google.com/spreadsheets/d/1IQAWArduLkta9LpYo4a_ULsyqdta6-6aDDiwpUnQT6c/edit?usp=sharing"",""นครสวรรค์!Q196"")+IMPORTRANGE(""https://docs.google.com/spreadsheets/d/10s13Sk5xrltsiR-Zkbmk5DwIaDIKO8Xl"&amp;"bJAfqyT7Gvg/edit?usp=sharing"",""น่าน!Q196"")+IMPORTRANGE(""https://docs.google.com/spreadsheets/d/1uu4nAn4Dbi1XREnLKKotUANlKXa7yCgRcgq8HEzQYW8/edit?usp=sharing"",""พะเยา!Q196"")+IMPORTRANGE(""https://docs.google.com/spreadsheets/d/1xfJKIQxVOaPDIICqsflNlL"&amp;"u3JacTDk1FP9RH4phX7mI/edit?usp=sharing"",""พิจิตร!Q196"")+IMPORTRANGE(""https://docs.google.com/spreadsheets/d/1JtRfZkJMHtEhI5RdRHxYUG4FIZHqKDpNyIuN7A1Q0_k/edit?usp=sharing"",""พิษณุโลก!Q196"")+IMPORTRANGE(""https://docs.google.com/spreadsheets/d/1xlcVZWU"&amp;"Nn6SuWm0c307h32SiGkd9BaeQWlAktfD3KO8/edit?usp=sharing"",""เพชรบูรณ์!Q196"")+IMPORTRANGE(""https://docs.google.com/spreadsheets/d/1lOVebEIsI9qjGXl6EX66luk7wiuP2tBaryw-wKvv4e0/edit?usp=sharing"",""แพร่!Q196"")+IMPORTRANGE(""https://docs.google.com/spreadshe"&amp;"ets/d/1dQrvX0vEcN7Gu0fnZ0B5S90AeR19zth4XlExFBeExMY/edit?usp=sharing"",""แม่ฮ่องสอน!Q196"")+IMPORTRANGE(""https://docs.google.com/spreadsheets/d/1DY4XTNNwjluuxqdfdn6qvOSlMRrZqUtmYcZR0ttFiG4/edit?usp=sharing"",""ลำปาง!Q196"")+IMPORTRANGE(""https://docs.goog"&amp;"le.com/spreadsheets/d/1ICwG78r0OFT8biBlxnBF8r7she7gNSzOvJ958PWT09c/edit?usp=sharing"",""ลำพูน!Q196"")+IMPORTRANGE(""https://docs.google.com/spreadsheets/d/1B0f2xJpZUC6Z0xXnqKlZtEPzsf6L84eP1r1Q15seqRM/edit?usp=sharing"",""สุโขทัย!Q196"")+IMPORTRANGE(""http"&amp;"s://docs.google.com/spreadsheets/d/1v0b9pFQCsKUVExMei7AgY2yQkdeNQvtOssygGsXbiKo/edit?usp=sharing"",""อุตรดิตถ์!Q196"")+IMPORTRANGE(""https://docs.google.com/spreadsheets/d/1UsNK1e-WWiCo2PvGqdNfdme4m17_Ezd3J69EeeiQPD0/edit?usp=sharing"",""อุทัยธานี!Q196"")"),0)</f>
        <v>0</v>
      </c>
      <c r="R196" s="45">
        <f ca="1">IFERROR(__xludf.DUMMYFUNCTION("IMPORTRANGE(""https://docs.google.com/spreadsheets/d/1jTcq05yEiRwXcBMLjiodW9e4biSGYWAHcDj22rKWQ3s/edit?usp=sharing"",""กำแพงเพชร!R196"")+IMPORTRANGE(""https://docs.google.com/spreadsheets/d/1KS0zmDSZPk8KnTAbGN-Xk6MtX1YRZD0ldgdt20K4CRk/edit?usp=sharing"","&amp;"""เชียงราย!R196"")+IMPORTRANGE(""https://docs.google.com/spreadsheets/d/1rEDxBtusbi64tE0zunoIbsTVV16HeL0oJ6trHQeQ7K8/edit?usp=sharing"",""เชียงใหม่!R196"")+IMPORTRANGE(""https://docs.google.com/spreadsheets/d/1W6MnUbDkMi6xHnHko_XkFDO9kkuL6Wqyc-6OCDFjW9I/e"&amp;"dit?usp=sharing"",""ตาก!R196"")+IMPORTRANGE(""https://docs.google.com/spreadsheets/d/1IQAWArduLkta9LpYo4a_ULsyqdta6-6aDDiwpUnQT6c/edit?usp=sharing"",""นครสวรรค์!R196"")+IMPORTRANGE(""https://docs.google.com/spreadsheets/d/10s13Sk5xrltsiR-Zkbmk5DwIaDIKO8Xl"&amp;"bJAfqyT7Gvg/edit?usp=sharing"",""น่าน!R196"")+IMPORTRANGE(""https://docs.google.com/spreadsheets/d/1uu4nAn4Dbi1XREnLKKotUANlKXa7yCgRcgq8HEzQYW8/edit?usp=sharing"",""พะเยา!R196"")+IMPORTRANGE(""https://docs.google.com/spreadsheets/d/1xfJKIQxVOaPDIICqsflNlL"&amp;"u3JacTDk1FP9RH4phX7mI/edit?usp=sharing"",""พิจิตร!R196"")+IMPORTRANGE(""https://docs.google.com/spreadsheets/d/1JtRfZkJMHtEhI5RdRHxYUG4FIZHqKDpNyIuN7A1Q0_k/edit?usp=sharing"",""พิษณุโลก!R196"")+IMPORTRANGE(""https://docs.google.com/spreadsheets/d/1xlcVZWU"&amp;"Nn6SuWm0c307h32SiGkd9BaeQWlAktfD3KO8/edit?usp=sharing"",""เพชรบูรณ์!R196"")+IMPORTRANGE(""https://docs.google.com/spreadsheets/d/1lOVebEIsI9qjGXl6EX66luk7wiuP2tBaryw-wKvv4e0/edit?usp=sharing"",""แพร่!R196"")+IMPORTRANGE(""https://docs.google.com/spreadshe"&amp;"ets/d/1dQrvX0vEcN7Gu0fnZ0B5S90AeR19zth4XlExFBeExMY/edit?usp=sharing"",""แม่ฮ่องสอน!R196"")+IMPORTRANGE(""https://docs.google.com/spreadsheets/d/1DY4XTNNwjluuxqdfdn6qvOSlMRrZqUtmYcZR0ttFiG4/edit?usp=sharing"",""ลำปาง!R196"")+IMPORTRANGE(""https://docs.goog"&amp;"le.com/spreadsheets/d/1ICwG78r0OFT8biBlxnBF8r7she7gNSzOvJ958PWT09c/edit?usp=sharing"",""ลำพูน!R196"")+IMPORTRANGE(""https://docs.google.com/spreadsheets/d/1B0f2xJpZUC6Z0xXnqKlZtEPzsf6L84eP1r1Q15seqRM/edit?usp=sharing"",""สุโขทัย!R196"")+IMPORTRANGE(""http"&amp;"s://docs.google.com/spreadsheets/d/1v0b9pFQCsKUVExMei7AgY2yQkdeNQvtOssygGsXbiKo/edit?usp=sharing"",""อุตรดิตถ์!R196"")+IMPORTRANGE(""https://docs.google.com/spreadsheets/d/1UsNK1e-WWiCo2PvGqdNfdme4m17_Ezd3J69EeeiQPD0/edit?usp=sharing"",""อุทัยธานี!R196"")"),0)</f>
        <v>0</v>
      </c>
      <c r="S196" s="45">
        <f ca="1">IFERROR(__xludf.DUMMYFUNCTION("IMPORTRANGE(""https://docs.google.com/spreadsheets/d/1jTcq05yEiRwXcBMLjiodW9e4biSGYWAHcDj22rKWQ3s/edit?usp=sharing"",""กำแพงเพชร!S196"")+IMPORTRANGE(""https://docs.google.com/spreadsheets/d/1KS0zmDSZPk8KnTAbGN-Xk6MtX1YRZD0ldgdt20K4CRk/edit?usp=sharing"","&amp;"""เชียงราย!S196"")+IMPORTRANGE(""https://docs.google.com/spreadsheets/d/1rEDxBtusbi64tE0zunoIbsTVV16HeL0oJ6trHQeQ7K8/edit?usp=sharing"",""เชียงใหม่!S196"")+IMPORTRANGE(""https://docs.google.com/spreadsheets/d/1W6MnUbDkMi6xHnHko_XkFDO9kkuL6Wqyc-6OCDFjW9I/e"&amp;"dit?usp=sharing"",""ตาก!S196"")+IMPORTRANGE(""https://docs.google.com/spreadsheets/d/1IQAWArduLkta9LpYo4a_ULsyqdta6-6aDDiwpUnQT6c/edit?usp=sharing"",""นครสวรรค์!S196"")+IMPORTRANGE(""https://docs.google.com/spreadsheets/d/10s13Sk5xrltsiR-Zkbmk5DwIaDIKO8Xl"&amp;"bJAfqyT7Gvg/edit?usp=sharing"",""น่าน!S196"")+IMPORTRANGE(""https://docs.google.com/spreadsheets/d/1uu4nAn4Dbi1XREnLKKotUANlKXa7yCgRcgq8HEzQYW8/edit?usp=sharing"",""พะเยา!S196"")+IMPORTRANGE(""https://docs.google.com/spreadsheets/d/1xfJKIQxVOaPDIICqsflNlL"&amp;"u3JacTDk1FP9RH4phX7mI/edit?usp=sharing"",""พิจิตร!S196"")+IMPORTRANGE(""https://docs.google.com/spreadsheets/d/1JtRfZkJMHtEhI5RdRHxYUG4FIZHqKDpNyIuN7A1Q0_k/edit?usp=sharing"",""พิษณุโลก!S196"")+IMPORTRANGE(""https://docs.google.com/spreadsheets/d/1xlcVZWU"&amp;"Nn6SuWm0c307h32SiGkd9BaeQWlAktfD3KO8/edit?usp=sharing"",""เพชรบูรณ์!S196"")+IMPORTRANGE(""https://docs.google.com/spreadsheets/d/1lOVebEIsI9qjGXl6EX66luk7wiuP2tBaryw-wKvv4e0/edit?usp=sharing"",""แพร่!S196"")+IMPORTRANGE(""https://docs.google.com/spreadshe"&amp;"ets/d/1dQrvX0vEcN7Gu0fnZ0B5S90AeR19zth4XlExFBeExMY/edit?usp=sharing"",""แม่ฮ่องสอน!S196"")+IMPORTRANGE(""https://docs.google.com/spreadsheets/d/1DY4XTNNwjluuxqdfdn6qvOSlMRrZqUtmYcZR0ttFiG4/edit?usp=sharing"",""ลำปาง!S196"")+IMPORTRANGE(""https://docs.goog"&amp;"le.com/spreadsheets/d/1ICwG78r0OFT8biBlxnBF8r7she7gNSzOvJ958PWT09c/edit?usp=sharing"",""ลำพูน!S196"")+IMPORTRANGE(""https://docs.google.com/spreadsheets/d/1B0f2xJpZUC6Z0xXnqKlZtEPzsf6L84eP1r1Q15seqRM/edit?usp=sharing"",""สุโขทัย!S196"")+IMPORTRANGE(""http"&amp;"s://docs.google.com/spreadsheets/d/1v0b9pFQCsKUVExMei7AgY2yQkdeNQvtOssygGsXbiKo/edit?usp=sharing"",""อุตรดิตถ์!S196"")+IMPORTRANGE(""https://docs.google.com/spreadsheets/d/1UsNK1e-WWiCo2PvGqdNfdme4m17_Ezd3J69EeeiQPD0/edit?usp=sharing"",""อุทัยธานี!S196"")"),0)</f>
        <v>0</v>
      </c>
      <c r="T196" s="45"/>
      <c r="U196" s="45"/>
    </row>
    <row r="197" spans="1:21" ht="19.5" x14ac:dyDescent="0.3">
      <c r="A197" s="138"/>
      <c r="B197" s="139"/>
      <c r="C197" s="129" t="s">
        <v>18</v>
      </c>
      <c r="D197" s="140" t="s">
        <v>38</v>
      </c>
      <c r="E197" s="141"/>
      <c r="F197" s="141"/>
      <c r="G197" s="142"/>
      <c r="H197" s="143"/>
      <c r="I197" s="44"/>
      <c r="J197" s="44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66">
        <f ca="1">IFERROR(__xludf.DUMMYFUNCTION("IMPORTRANGE(""https://docs.google.com/spreadsheets/d/1jTcq05yEiRwXcBMLjiodW9e4biSGYWAHcDj22rKWQ3s/edit?usp=sharing"",""กำแพงเพชร!I198"")+IMPORTRANGE(""https://docs.google.com/spreadsheets/d/1KS0zmDSZPk8KnTAbGN-Xk6MtX1YRZD0ldgdt20K4CRk/edit?usp=sharing"","&amp;"""เชียงราย!I198"")+IMPORTRANGE(""https://docs.google.com/spreadsheets/d/1rEDxBtusbi64tE0zunoIbsTVV16HeL0oJ6trHQeQ7K8/edit?usp=sharing"",""เชียงใหม่!I198"")+IMPORTRANGE(""https://docs.google.com/spreadsheets/d/1W6MnUbDkMi6xHnHko_XkFDO9kkuL6Wqyc-6OCDFjW9I/e"&amp;"dit?usp=sharing"",""ตาก!I198"")+IMPORTRANGE(""https://docs.google.com/spreadsheets/d/1IQAWArduLkta9LpYo4a_ULsyqdta6-6aDDiwpUnQT6c/edit?usp=sharing"",""นครสวรรค์!I198"")+IMPORTRANGE(""https://docs.google.com/spreadsheets/d/10s13Sk5xrltsiR-Zkbmk5DwIaDIKO8Xl"&amp;"bJAfqyT7Gvg/edit?usp=sharing"",""น่าน!I198"")+IMPORTRANGE(""https://docs.google.com/spreadsheets/d/1uu4nAn4Dbi1XREnLKKotUANlKXa7yCgRcgq8HEzQYW8/edit?usp=sharing"",""พะเยา!I198"")+IMPORTRANGE(""https://docs.google.com/spreadsheets/d/1xfJKIQxVOaPDIICqsflNlL"&amp;"u3JacTDk1FP9RH4phX7mI/edit?usp=sharing"",""พิจิตร!I198"")+IMPORTRANGE(""https://docs.google.com/spreadsheets/d/1JtRfZkJMHtEhI5RdRHxYUG4FIZHqKDpNyIuN7A1Q0_k/edit?usp=sharing"",""พิษณุโลก!I198"")+IMPORTRANGE(""https://docs.google.com/spreadsheets/d/1xlcVZWU"&amp;"Nn6SuWm0c307h32SiGkd9BaeQWlAktfD3KO8/edit?usp=sharing"",""เพชรบูรณ์!I198"")+IMPORTRANGE(""https://docs.google.com/spreadsheets/d/1lOVebEIsI9qjGXl6EX66luk7wiuP2tBaryw-wKvv4e0/edit?usp=sharing"",""แพร่!I198"")+IMPORTRANGE(""https://docs.google.com/spreadshe"&amp;"ets/d/1dQrvX0vEcN7Gu0fnZ0B5S90AeR19zth4XlExFBeExMY/edit?usp=sharing"",""แม่ฮ่องสอน!I198"")+IMPORTRANGE(""https://docs.google.com/spreadsheets/d/1DY4XTNNwjluuxqdfdn6qvOSlMRrZqUtmYcZR0ttFiG4/edit?usp=sharing"",""ลำปาง!I198"")+IMPORTRANGE(""https://docs.goog"&amp;"le.com/spreadsheets/d/1ICwG78r0OFT8biBlxnBF8r7she7gNSzOvJ958PWT09c/edit?usp=sharing"",""ลำพูน!I198"")+IMPORTRANGE(""https://docs.google.com/spreadsheets/d/1B0f2xJpZUC6Z0xXnqKlZtEPzsf6L84eP1r1Q15seqRM/edit?usp=sharing"",""สุโขทัย!I198"")+IMPORTRANGE(""http"&amp;"s://docs.google.com/spreadsheets/d/1v0b9pFQCsKUVExMei7AgY2yQkdeNQvtOssygGsXbiKo/edit?usp=sharing"",""อุตรดิตถ์!I198"")+IMPORTRANGE(""https://docs.google.com/spreadsheets/d/1UsNK1e-WWiCo2PvGqdNfdme4m17_Ezd3J69EeeiQPD0/edit?usp=sharing"",""อุทัยธานี!I198"")"),68)</f>
        <v>68</v>
      </c>
      <c r="J198" s="166">
        <f ca="1">IFERROR(__xludf.DUMMYFUNCTION("IMPORTRANGE(""https://docs.google.com/spreadsheets/d/1jTcq05yEiRwXcBMLjiodW9e4biSGYWAHcDj22rKWQ3s/edit?usp=sharing"",""กำแพงเพชร!J198"")+IMPORTRANGE(""https://docs.google.com/spreadsheets/d/1KS0zmDSZPk8KnTAbGN-Xk6MtX1YRZD0ldgdt20K4CRk/edit?usp=sharing"","&amp;"""เชียงราย!J198"")+IMPORTRANGE(""https://docs.google.com/spreadsheets/d/1rEDxBtusbi64tE0zunoIbsTVV16HeL0oJ6trHQeQ7K8/edit?usp=sharing"",""เชียงใหม่!J198"")+IMPORTRANGE(""https://docs.google.com/spreadsheets/d/1W6MnUbDkMi6xHnHko_XkFDO9kkuL6Wqyc-6OCDFjW9I/e"&amp;"dit?usp=sharing"",""ตาก!J198"")+IMPORTRANGE(""https://docs.google.com/spreadsheets/d/1IQAWArduLkta9LpYo4a_ULsyqdta6-6aDDiwpUnQT6c/edit?usp=sharing"",""นครสวรรค์!J198"")+IMPORTRANGE(""https://docs.google.com/spreadsheets/d/10s13Sk5xrltsiR-Zkbmk5DwIaDIKO8Xl"&amp;"bJAfqyT7Gvg/edit?usp=sharing"",""น่าน!J198"")+IMPORTRANGE(""https://docs.google.com/spreadsheets/d/1uu4nAn4Dbi1XREnLKKotUANlKXa7yCgRcgq8HEzQYW8/edit?usp=sharing"",""พะเยา!J198"")+IMPORTRANGE(""https://docs.google.com/spreadsheets/d/1xfJKIQxVOaPDIICqsflNlL"&amp;"u3JacTDk1FP9RH4phX7mI/edit?usp=sharing"",""พิจิตร!J198"")+IMPORTRANGE(""https://docs.google.com/spreadsheets/d/1JtRfZkJMHtEhI5RdRHxYUG4FIZHqKDpNyIuN7A1Q0_k/edit?usp=sharing"",""พิษณุโลก!J198"")+IMPORTRANGE(""https://docs.google.com/spreadsheets/d/1xlcVZWU"&amp;"Nn6SuWm0c307h32SiGkd9BaeQWlAktfD3KO8/edit?usp=sharing"",""เพชรบูรณ์!J198"")+IMPORTRANGE(""https://docs.google.com/spreadsheets/d/1lOVebEIsI9qjGXl6EX66luk7wiuP2tBaryw-wKvv4e0/edit?usp=sharing"",""แพร่!J198"")+IMPORTRANGE(""https://docs.google.com/spreadshe"&amp;"ets/d/1dQrvX0vEcN7Gu0fnZ0B5S90AeR19zth4XlExFBeExMY/edit?usp=sharing"",""แม่ฮ่องสอน!J198"")+IMPORTRANGE(""https://docs.google.com/spreadsheets/d/1DY4XTNNwjluuxqdfdn6qvOSlMRrZqUtmYcZR0ttFiG4/edit?usp=sharing"",""ลำปาง!J198"")+IMPORTRANGE(""https://docs.goog"&amp;"le.com/spreadsheets/d/1ICwG78r0OFT8biBlxnBF8r7she7gNSzOvJ958PWT09c/edit?usp=sharing"",""ลำพูน!J198"")+IMPORTRANGE(""https://docs.google.com/spreadsheets/d/1B0f2xJpZUC6Z0xXnqKlZtEPzsf6L84eP1r1Q15seqRM/edit?usp=sharing"",""สุโขทัย!J198"")+IMPORTRANGE(""http"&amp;"s://docs.google.com/spreadsheets/d/1v0b9pFQCsKUVExMei7AgY2yQkdeNQvtOssygGsXbiKo/edit?usp=sharing"",""อุตรดิตถ์!J198"")+IMPORTRANGE(""https://docs.google.com/spreadsheets/d/1UsNK1e-WWiCo2PvGqdNfdme4m17_Ezd3J69EeeiQPD0/edit?usp=sharing"",""อุทัยธานี!J198"")"),31)</f>
        <v>31</v>
      </c>
      <c r="K198" s="46">
        <f ca="1">IF(I198&gt;0,J198*100/I198,0)</f>
        <v>45.588235294117645</v>
      </c>
      <c r="L198" s="45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9.5" x14ac:dyDescent="0.3">
      <c r="A199" s="138"/>
      <c r="B199" s="139"/>
      <c r="C199" s="139"/>
      <c r="D199" s="149" t="s">
        <v>81</v>
      </c>
      <c r="E199" s="145"/>
      <c r="F199" s="145"/>
      <c r="G199" s="143"/>
      <c r="H199" s="222" t="s">
        <v>35</v>
      </c>
      <c r="I199" s="44"/>
      <c r="J199" s="147">
        <f ca="1">J200+J201</f>
        <v>611</v>
      </c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166">
        <f ca="1">IFERROR(__xludf.DUMMYFUNCTION("IMPORTRANGE(""https://docs.google.com/spreadsheets/d/1jTcq05yEiRwXcBMLjiodW9e4biSGYWAHcDj22rKWQ3s/edit?usp=sharing"",""กำแพงเพชร!J200"")+IMPORTRANGE(""https://docs.google.com/spreadsheets/d/1KS0zmDSZPk8KnTAbGN-Xk6MtX1YRZD0ldgdt20K4CRk/edit?usp=sharing"","&amp;"""เชียงราย!J200"")+IMPORTRANGE(""https://docs.google.com/spreadsheets/d/1rEDxBtusbi64tE0zunoIbsTVV16HeL0oJ6trHQeQ7K8/edit?usp=sharing"",""เชียงใหม่!J200"")+IMPORTRANGE(""https://docs.google.com/spreadsheets/d/1W6MnUbDkMi6xHnHko_XkFDO9kkuL6Wqyc-6OCDFjW9I/e"&amp;"dit?usp=sharing"",""ตาก!J200"")+IMPORTRANGE(""https://docs.google.com/spreadsheets/d/1IQAWArduLkta9LpYo4a_ULsyqdta6-6aDDiwpUnQT6c/edit?usp=sharing"",""นครสวรรค์!J200"")+IMPORTRANGE(""https://docs.google.com/spreadsheets/d/10s13Sk5xrltsiR-Zkbmk5DwIaDIKO8Xl"&amp;"bJAfqyT7Gvg/edit?usp=sharing"",""น่าน!J200"")+IMPORTRANGE(""https://docs.google.com/spreadsheets/d/1uu4nAn4Dbi1XREnLKKotUANlKXa7yCgRcgq8HEzQYW8/edit?usp=sharing"",""พะเยา!J200"")+IMPORTRANGE(""https://docs.google.com/spreadsheets/d/1xfJKIQxVOaPDIICqsflNlL"&amp;"u3JacTDk1FP9RH4phX7mI/edit?usp=sharing"",""พิจิตร!J200"")+IMPORTRANGE(""https://docs.google.com/spreadsheets/d/1JtRfZkJMHtEhI5RdRHxYUG4FIZHqKDpNyIuN7A1Q0_k/edit?usp=sharing"",""พิษณุโลก!J200"")+IMPORTRANGE(""https://docs.google.com/spreadsheets/d/1xlcVZWU"&amp;"Nn6SuWm0c307h32SiGkd9BaeQWlAktfD3KO8/edit?usp=sharing"",""เพชรบูรณ์!J200"")+IMPORTRANGE(""https://docs.google.com/spreadsheets/d/1lOVebEIsI9qjGXl6EX66luk7wiuP2tBaryw-wKvv4e0/edit?usp=sharing"",""แพร่!J200"")+IMPORTRANGE(""https://docs.google.com/spreadshe"&amp;"ets/d/1dQrvX0vEcN7Gu0fnZ0B5S90AeR19zth4XlExFBeExMY/edit?usp=sharing"",""แม่ฮ่องสอน!J200"")+IMPORTRANGE(""https://docs.google.com/spreadsheets/d/1DY4XTNNwjluuxqdfdn6qvOSlMRrZqUtmYcZR0ttFiG4/edit?usp=sharing"",""ลำปาง!J200"")+IMPORTRANGE(""https://docs.goog"&amp;"le.com/spreadsheets/d/1ICwG78r0OFT8biBlxnBF8r7she7gNSzOvJ958PWT09c/edit?usp=sharing"",""ลำพูน!J200"")+IMPORTRANGE(""https://docs.google.com/spreadsheets/d/1B0f2xJpZUC6Z0xXnqKlZtEPzsf6L84eP1r1Q15seqRM/edit?usp=sharing"",""สุโขทัย!J200"")+IMPORTRANGE(""http"&amp;"s://docs.google.com/spreadsheets/d/1v0b9pFQCsKUVExMei7AgY2yQkdeNQvtOssygGsXbiKo/edit?usp=sharing"",""อุตรดิตถ์!J200"")+IMPORTRANGE(""https://docs.google.com/spreadsheets/d/1UsNK1e-WWiCo2PvGqdNfdme4m17_Ezd3J69EeeiQPD0/edit?usp=sharing"",""อุทัยธานี!J200"")"),561)</f>
        <v>561</v>
      </c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166">
        <f ca="1">IFERROR(__xludf.DUMMYFUNCTION("IMPORTRANGE(""https://docs.google.com/spreadsheets/d/1jTcq05yEiRwXcBMLjiodW9e4biSGYWAHcDj22rKWQ3s/edit?usp=sharing"",""กำแพงเพชร!J201"")+IMPORTRANGE(""https://docs.google.com/spreadsheets/d/1KS0zmDSZPk8KnTAbGN-Xk6MtX1YRZD0ldgdt20K4CRk/edit?usp=sharing"","&amp;"""เชียงราย!J201"")+IMPORTRANGE(""https://docs.google.com/spreadsheets/d/1rEDxBtusbi64tE0zunoIbsTVV16HeL0oJ6trHQeQ7K8/edit?usp=sharing"",""เชียงใหม่!J201"")+IMPORTRANGE(""https://docs.google.com/spreadsheets/d/1W6MnUbDkMi6xHnHko_XkFDO9kkuL6Wqyc-6OCDFjW9I/e"&amp;"dit?usp=sharing"",""ตาก!J201"")+IMPORTRANGE(""https://docs.google.com/spreadsheets/d/1IQAWArduLkta9LpYo4a_ULsyqdta6-6aDDiwpUnQT6c/edit?usp=sharing"",""นครสวรรค์!J201"")+IMPORTRANGE(""https://docs.google.com/spreadsheets/d/10s13Sk5xrltsiR-Zkbmk5DwIaDIKO8Xl"&amp;"bJAfqyT7Gvg/edit?usp=sharing"",""น่าน!J201"")+IMPORTRANGE(""https://docs.google.com/spreadsheets/d/1uu4nAn4Dbi1XREnLKKotUANlKXa7yCgRcgq8HEzQYW8/edit?usp=sharing"",""พะเยา!J201"")+IMPORTRANGE(""https://docs.google.com/spreadsheets/d/1xfJKIQxVOaPDIICqsflNlL"&amp;"u3JacTDk1FP9RH4phX7mI/edit?usp=sharing"",""พิจิตร!J201"")+IMPORTRANGE(""https://docs.google.com/spreadsheets/d/1JtRfZkJMHtEhI5RdRHxYUG4FIZHqKDpNyIuN7A1Q0_k/edit?usp=sharing"",""พิษณุโลก!J201"")+IMPORTRANGE(""https://docs.google.com/spreadsheets/d/1xlcVZWU"&amp;"Nn6SuWm0c307h32SiGkd9BaeQWlAktfD3KO8/edit?usp=sharing"",""เพชรบูรณ์!J201"")+IMPORTRANGE(""https://docs.google.com/spreadsheets/d/1lOVebEIsI9qjGXl6EX66luk7wiuP2tBaryw-wKvv4e0/edit?usp=sharing"",""แพร่!J201"")+IMPORTRANGE(""https://docs.google.com/spreadshe"&amp;"ets/d/1dQrvX0vEcN7Gu0fnZ0B5S90AeR19zth4XlExFBeExMY/edit?usp=sharing"",""แม่ฮ่องสอน!J201"")+IMPORTRANGE(""https://docs.google.com/spreadsheets/d/1DY4XTNNwjluuxqdfdn6qvOSlMRrZqUtmYcZR0ttFiG4/edit?usp=sharing"",""ลำปาง!J201"")+IMPORTRANGE(""https://docs.goog"&amp;"le.com/spreadsheets/d/1ICwG78r0OFT8biBlxnBF8r7she7gNSzOvJ958PWT09c/edit?usp=sharing"",""ลำพูน!J201"")+IMPORTRANGE(""https://docs.google.com/spreadsheets/d/1B0f2xJpZUC6Z0xXnqKlZtEPzsf6L84eP1r1Q15seqRM/edit?usp=sharing"",""สุโขทัย!J201"")+IMPORTRANGE(""http"&amp;"s://docs.google.com/spreadsheets/d/1v0b9pFQCsKUVExMei7AgY2yQkdeNQvtOssygGsXbiKo/edit?usp=sharing"",""อุตรดิตถ์!J201"")+IMPORTRANGE(""https://docs.google.com/spreadsheets/d/1UsNK1e-WWiCo2PvGqdNfdme4m17_Ezd3J69EeeiQPD0/edit?usp=sharing"",""อุทัยธานี!J201"")"),50)</f>
        <v>50</v>
      </c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217">
        <f t="shared" ref="I202:J202" ca="1" si="172">I209</f>
        <v>53</v>
      </c>
      <c r="J202" s="217">
        <f t="shared" ca="1" si="172"/>
        <v>9</v>
      </c>
      <c r="K202" s="218">
        <f ca="1">IF(I202&gt;0,J202*100/I202,0)</f>
        <v>16.981132075471699</v>
      </c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220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132">
        <f t="shared" ref="L203:N203" ca="1" si="173">L204+L205+L206+L207</f>
        <v>281000</v>
      </c>
      <c r="M203" s="132">
        <f t="shared" ca="1" si="173"/>
        <v>0</v>
      </c>
      <c r="N203" s="132">
        <f t="shared" ca="1" si="173"/>
        <v>55314.879999999997</v>
      </c>
      <c r="O203" s="132">
        <f ca="1">IF(L203&gt;0,N203*100/L203,0)</f>
        <v>19.685010676156583</v>
      </c>
      <c r="P203" s="45"/>
      <c r="Q203" s="46">
        <f t="shared" ref="Q203:S203" ca="1" si="174">Q204+Q205+Q206+Q207</f>
        <v>672000</v>
      </c>
      <c r="R203" s="46">
        <f t="shared" ca="1" si="174"/>
        <v>0</v>
      </c>
      <c r="S203" s="46">
        <f t="shared" ca="1" si="174"/>
        <v>47140</v>
      </c>
      <c r="T203" s="46"/>
      <c r="U203" s="46"/>
    </row>
    <row r="204" spans="1:21" ht="18.75" x14ac:dyDescent="0.25">
      <c r="A204" s="128"/>
      <c r="B204" s="158"/>
      <c r="C204" s="40"/>
      <c r="D204" s="47" t="s">
        <v>86</v>
      </c>
      <c r="E204" s="40"/>
      <c r="F204" s="40"/>
      <c r="G204" s="42"/>
      <c r="H204" s="134" t="s">
        <v>14</v>
      </c>
      <c r="I204" s="135"/>
      <c r="J204" s="135"/>
      <c r="K204" s="136"/>
      <c r="L204" s="46">
        <f ca="1">IFERROR(__xludf.DUMMYFUNCTION("IMPORTRANGE(""https://docs.google.com/spreadsheets/d/1jTcq05yEiRwXcBMLjiodW9e4biSGYWAHcDj22rKWQ3s/edit?usp=sharing"",""กำแพงเพชร!L204"")+IMPORTRANGE(""https://docs.google.com/spreadsheets/d/1KS0zmDSZPk8KnTAbGN-Xk6MtX1YRZD0ldgdt20K4CRk/edit?usp=sharing"","&amp;"""เชียงราย!L204"")+IMPORTRANGE(""https://docs.google.com/spreadsheets/d/1rEDxBtusbi64tE0zunoIbsTVV16HeL0oJ6trHQeQ7K8/edit?usp=sharing"",""เชียงใหม่!L204"")+IMPORTRANGE(""https://docs.google.com/spreadsheets/d/1W6MnUbDkMi6xHnHko_XkFDO9kkuL6Wqyc-6OCDFjW9I/e"&amp;"dit?usp=sharing"",""ตาก!L204"")+IMPORTRANGE(""https://docs.google.com/spreadsheets/d/1IQAWArduLkta9LpYo4a_ULsyqdta6-6aDDiwpUnQT6c/edit?usp=sharing"",""นครสวรรค์!L204"")+IMPORTRANGE(""https://docs.google.com/spreadsheets/d/10s13Sk5xrltsiR-Zkbmk5DwIaDIKO8Xl"&amp;"bJAfqyT7Gvg/edit?usp=sharing"",""น่าน!L204"")+IMPORTRANGE(""https://docs.google.com/spreadsheets/d/1uu4nAn4Dbi1XREnLKKotUANlKXa7yCgRcgq8HEzQYW8/edit?usp=sharing"",""พะเยา!L204"")+IMPORTRANGE(""https://docs.google.com/spreadsheets/d/1xfJKIQxVOaPDIICqsflNlL"&amp;"u3JacTDk1FP9RH4phX7mI/edit?usp=sharing"",""พิจิตร!L204"")+IMPORTRANGE(""https://docs.google.com/spreadsheets/d/1JtRfZkJMHtEhI5RdRHxYUG4FIZHqKDpNyIuN7A1Q0_k/edit?usp=sharing"",""พิษณุโลก!L204"")+IMPORTRANGE(""https://docs.google.com/spreadsheets/d/1xlcVZWU"&amp;"Nn6SuWm0c307h32SiGkd9BaeQWlAktfD3KO8/edit?usp=sharing"",""เพชรบูรณ์!L204"")+IMPORTRANGE(""https://docs.google.com/spreadsheets/d/1lOVebEIsI9qjGXl6EX66luk7wiuP2tBaryw-wKvv4e0/edit?usp=sharing"",""แพร่!L204"")+IMPORTRANGE(""https://docs.google.com/spreadshe"&amp;"ets/d/1dQrvX0vEcN7Gu0fnZ0B5S90AeR19zth4XlExFBeExMY/edit?usp=sharing"",""แม่ฮ่องสอน!L204"")+IMPORTRANGE(""https://docs.google.com/spreadsheets/d/1DY4XTNNwjluuxqdfdn6qvOSlMRrZqUtmYcZR0ttFiG4/edit?usp=sharing"",""ลำปาง!L204"")+IMPORTRANGE(""https://docs.goog"&amp;"le.com/spreadsheets/d/1ICwG78r0OFT8biBlxnBF8r7she7gNSzOvJ958PWT09c/edit?usp=sharing"",""ลำพูน!L204"")+IMPORTRANGE(""https://docs.google.com/spreadsheets/d/1B0f2xJpZUC6Z0xXnqKlZtEPzsf6L84eP1r1Q15seqRM/edit?usp=sharing"",""สุโขทัย!L204"")+IMPORTRANGE(""http"&amp;"s://docs.google.com/spreadsheets/d/1v0b9pFQCsKUVExMei7AgY2yQkdeNQvtOssygGsXbiKo/edit?usp=sharing"",""อุตรดิตถ์!L204"")+IMPORTRANGE(""https://docs.google.com/spreadsheets/d/1UsNK1e-WWiCo2PvGqdNfdme4m17_Ezd3J69EeeiQPD0/edit?usp=sharing"",""อุทัยธานี!L204"")"),42000)</f>
        <v>42000</v>
      </c>
      <c r="M204" s="46">
        <f ca="1">IFERROR(__xludf.DUMMYFUNCTION("IMPORTRANGE(""https://docs.google.com/spreadsheets/d/1jTcq05yEiRwXcBMLjiodW9e4biSGYWAHcDj22rKWQ3s/edit?usp=sharing"",""กำแพงเพชร!M204"")+IMPORTRANGE(""https://docs.google.com/spreadsheets/d/1KS0zmDSZPk8KnTAbGN-Xk6MtX1YRZD0ldgdt20K4CRk/edit?usp=sharing"","&amp;"""เชียงราย!M204"")+IMPORTRANGE(""https://docs.google.com/spreadsheets/d/1rEDxBtusbi64tE0zunoIbsTVV16HeL0oJ6trHQeQ7K8/edit?usp=sharing"",""เชียงใหม่!M204"")+IMPORTRANGE(""https://docs.google.com/spreadsheets/d/1W6MnUbDkMi6xHnHko_XkFDO9kkuL6Wqyc-6OCDFjW9I/e"&amp;"dit?usp=sharing"",""ตาก!M204"")+IMPORTRANGE(""https://docs.google.com/spreadsheets/d/1IQAWArduLkta9LpYo4a_ULsyqdta6-6aDDiwpUnQT6c/edit?usp=sharing"",""นครสวรรค์!M204"")+IMPORTRANGE(""https://docs.google.com/spreadsheets/d/10s13Sk5xrltsiR-Zkbmk5DwIaDIKO8Xl"&amp;"bJAfqyT7Gvg/edit?usp=sharing"",""น่าน!M204"")+IMPORTRANGE(""https://docs.google.com/spreadsheets/d/1uu4nAn4Dbi1XREnLKKotUANlKXa7yCgRcgq8HEzQYW8/edit?usp=sharing"",""พะเยา!M204"")+IMPORTRANGE(""https://docs.google.com/spreadsheets/d/1xfJKIQxVOaPDIICqsflNlL"&amp;"u3JacTDk1FP9RH4phX7mI/edit?usp=sharing"",""พิจิตร!M204"")+IMPORTRANGE(""https://docs.google.com/spreadsheets/d/1JtRfZkJMHtEhI5RdRHxYUG4FIZHqKDpNyIuN7A1Q0_k/edit?usp=sharing"",""พิษณุโลก!M204"")+IMPORTRANGE(""https://docs.google.com/spreadsheets/d/1xlcVZWU"&amp;"Nn6SuWm0c307h32SiGkd9BaeQWlAktfD3KO8/edit?usp=sharing"",""เพชรบูรณ์!M204"")+IMPORTRANGE(""https://docs.google.com/spreadsheets/d/1lOVebEIsI9qjGXl6EX66luk7wiuP2tBaryw-wKvv4e0/edit?usp=sharing"",""แพร่!M204"")+IMPORTRANGE(""https://docs.google.com/spreadshe"&amp;"ets/d/1dQrvX0vEcN7Gu0fnZ0B5S90AeR19zth4XlExFBeExMY/edit?usp=sharing"",""แม่ฮ่องสอน!M204"")+IMPORTRANGE(""https://docs.google.com/spreadsheets/d/1DY4XTNNwjluuxqdfdn6qvOSlMRrZqUtmYcZR0ttFiG4/edit?usp=sharing"",""ลำปาง!M204"")+IMPORTRANGE(""https://docs.goog"&amp;"le.com/spreadsheets/d/1ICwG78r0OFT8biBlxnBF8r7she7gNSzOvJ958PWT09c/edit?usp=sharing"",""ลำพูน!M204"")+IMPORTRANGE(""https://docs.google.com/spreadsheets/d/1B0f2xJpZUC6Z0xXnqKlZtEPzsf6L84eP1r1Q15seqRM/edit?usp=sharing"",""สุโขทัย!M204"")+IMPORTRANGE(""http"&amp;"s://docs.google.com/spreadsheets/d/1v0b9pFQCsKUVExMei7AgY2yQkdeNQvtOssygGsXbiKo/edit?usp=sharing"",""อุตรดิตถ์!M204"")+IMPORTRANGE(""https://docs.google.com/spreadsheets/d/1UsNK1e-WWiCo2PvGqdNfdme4m17_Ezd3J69EeeiQPD0/edit?usp=sharing"",""อุทัยธานี!M204"")"),0)</f>
        <v>0</v>
      </c>
      <c r="N204" s="46">
        <f ca="1">IFERROR(__xludf.DUMMYFUNCTION("IMPORTRANGE(""https://docs.google.com/spreadsheets/d/1jTcq05yEiRwXcBMLjiodW9e4biSGYWAHcDj22rKWQ3s/edit?usp=sharing"",""กำแพงเพชร!N204"")+IMPORTRANGE(""https://docs.google.com/spreadsheets/d/1KS0zmDSZPk8KnTAbGN-Xk6MtX1YRZD0ldgdt20K4CRk/edit?usp=sharing"","&amp;"""เชียงราย!N204"")+IMPORTRANGE(""https://docs.google.com/spreadsheets/d/1rEDxBtusbi64tE0zunoIbsTVV16HeL0oJ6trHQeQ7K8/edit?usp=sharing"",""เชียงใหม่!N204"")+IMPORTRANGE(""https://docs.google.com/spreadsheets/d/1W6MnUbDkMi6xHnHko_XkFDO9kkuL6Wqyc-6OCDFjW9I/e"&amp;"dit?usp=sharing"",""ตาก!N204"")+IMPORTRANGE(""https://docs.google.com/spreadsheets/d/1IQAWArduLkta9LpYo4a_ULsyqdta6-6aDDiwpUnQT6c/edit?usp=sharing"",""นครสวรรค์!N204"")+IMPORTRANGE(""https://docs.google.com/spreadsheets/d/10s13Sk5xrltsiR-Zkbmk5DwIaDIKO8Xl"&amp;"bJAfqyT7Gvg/edit?usp=sharing"",""น่าน!N204"")+IMPORTRANGE(""https://docs.google.com/spreadsheets/d/1uu4nAn4Dbi1XREnLKKotUANlKXa7yCgRcgq8HEzQYW8/edit?usp=sharing"",""พะเยา!N204"")+IMPORTRANGE(""https://docs.google.com/spreadsheets/d/1xfJKIQxVOaPDIICqsflNlL"&amp;"u3JacTDk1FP9RH4phX7mI/edit?usp=sharing"",""พิจิตร!N204"")+IMPORTRANGE(""https://docs.google.com/spreadsheets/d/1JtRfZkJMHtEhI5RdRHxYUG4FIZHqKDpNyIuN7A1Q0_k/edit?usp=sharing"",""พิษณุโลก!N204"")+IMPORTRANGE(""https://docs.google.com/spreadsheets/d/1xlcVZWU"&amp;"Nn6SuWm0c307h32SiGkd9BaeQWlAktfD3KO8/edit?usp=sharing"",""เพชรบูรณ์!N204"")+IMPORTRANGE(""https://docs.google.com/spreadsheets/d/1lOVebEIsI9qjGXl6EX66luk7wiuP2tBaryw-wKvv4e0/edit?usp=sharing"",""แพร่!N204"")+IMPORTRANGE(""https://docs.google.com/spreadshe"&amp;"ets/d/1dQrvX0vEcN7Gu0fnZ0B5S90AeR19zth4XlExFBeExMY/edit?usp=sharing"",""แม่ฮ่องสอน!N204"")+IMPORTRANGE(""https://docs.google.com/spreadsheets/d/1DY4XTNNwjluuxqdfdn6qvOSlMRrZqUtmYcZR0ttFiG4/edit?usp=sharing"",""ลำปาง!N204"")+IMPORTRANGE(""https://docs.goog"&amp;"le.com/spreadsheets/d/1ICwG78r0OFT8biBlxnBF8r7she7gNSzOvJ958PWT09c/edit?usp=sharing"",""ลำพูน!N204"")+IMPORTRANGE(""https://docs.google.com/spreadsheets/d/1B0f2xJpZUC6Z0xXnqKlZtEPzsf6L84eP1r1Q15seqRM/edit?usp=sharing"",""สุโขทัย!N204"")+IMPORTRANGE(""http"&amp;"s://docs.google.com/spreadsheets/d/1v0b9pFQCsKUVExMei7AgY2yQkdeNQvtOssygGsXbiKo/edit?usp=sharing"",""อุตรดิตถ์!N204"")+IMPORTRANGE(""https://docs.google.com/spreadsheets/d/1UsNK1e-WWiCo2PvGqdNfdme4m17_Ezd3J69EeeiQPD0/edit?usp=sharing"",""อุทัยธานี!N204"")"),11314.88)</f>
        <v>11314.88</v>
      </c>
      <c r="O204" s="136"/>
      <c r="P204" s="45"/>
      <c r="Q204" s="46">
        <f ca="1">IFERROR(__xludf.DUMMYFUNCTION("IMPORTRANGE(""https://docs.google.com/spreadsheets/d/1jTcq05yEiRwXcBMLjiodW9e4biSGYWAHcDj22rKWQ3s/edit?usp=sharing"",""กำแพงเพชร!Q204"")+IMPORTRANGE(""https://docs.google.com/spreadsheets/d/1KS0zmDSZPk8KnTAbGN-Xk6MtX1YRZD0ldgdt20K4CRk/edit?usp=sharing"","&amp;"""เชียงราย!Q204"")+IMPORTRANGE(""https://docs.google.com/spreadsheets/d/1rEDxBtusbi64tE0zunoIbsTVV16HeL0oJ6trHQeQ7K8/edit?usp=sharing"",""เชียงใหม่!Q204"")+IMPORTRANGE(""https://docs.google.com/spreadsheets/d/1W6MnUbDkMi6xHnHko_XkFDO9kkuL6Wqyc-6OCDFjW9I/e"&amp;"dit?usp=sharing"",""ตาก!Q204"")+IMPORTRANGE(""https://docs.google.com/spreadsheets/d/1IQAWArduLkta9LpYo4a_ULsyqdta6-6aDDiwpUnQT6c/edit?usp=sharing"",""นครสวรรค์!Q204"")+IMPORTRANGE(""https://docs.google.com/spreadsheets/d/10s13Sk5xrltsiR-Zkbmk5DwIaDIKO8Xl"&amp;"bJAfqyT7Gvg/edit?usp=sharing"",""น่าน!Q204"")+IMPORTRANGE(""https://docs.google.com/spreadsheets/d/1uu4nAn4Dbi1XREnLKKotUANlKXa7yCgRcgq8HEzQYW8/edit?usp=sharing"",""พะเยา!Q204"")+IMPORTRANGE(""https://docs.google.com/spreadsheets/d/1xfJKIQxVOaPDIICqsflNlL"&amp;"u3JacTDk1FP9RH4phX7mI/edit?usp=sharing"",""พิจิตร!Q204"")+IMPORTRANGE(""https://docs.google.com/spreadsheets/d/1JtRfZkJMHtEhI5RdRHxYUG4FIZHqKDpNyIuN7A1Q0_k/edit?usp=sharing"",""พิษณุโลก!Q204"")+IMPORTRANGE(""https://docs.google.com/spreadsheets/d/1xlcVZWU"&amp;"Nn6SuWm0c307h32SiGkd9BaeQWlAktfD3KO8/edit?usp=sharing"",""เพชรบูรณ์!Q204"")+IMPORTRANGE(""https://docs.google.com/spreadsheets/d/1lOVebEIsI9qjGXl6EX66luk7wiuP2tBaryw-wKvv4e0/edit?usp=sharing"",""แพร่!Q204"")+IMPORTRANGE(""https://docs.google.com/spreadshe"&amp;"ets/d/1dQrvX0vEcN7Gu0fnZ0B5S90AeR19zth4XlExFBeExMY/edit?usp=sharing"",""แม่ฮ่องสอน!Q204"")+IMPORTRANGE(""https://docs.google.com/spreadsheets/d/1DY4XTNNwjluuxqdfdn6qvOSlMRrZqUtmYcZR0ttFiG4/edit?usp=sharing"",""ลำปาง!Q204"")+IMPORTRANGE(""https://docs.goog"&amp;"le.com/spreadsheets/d/1ICwG78r0OFT8biBlxnBF8r7she7gNSzOvJ958PWT09c/edit?usp=sharing"",""ลำพูน!Q204"")+IMPORTRANGE(""https://docs.google.com/spreadsheets/d/1B0f2xJpZUC6Z0xXnqKlZtEPzsf6L84eP1r1Q15seqRM/edit?usp=sharing"",""สุโขทัย!Q204"")+IMPORTRANGE(""http"&amp;"s://docs.google.com/spreadsheets/d/1v0b9pFQCsKUVExMei7AgY2yQkdeNQvtOssygGsXbiKo/edit?usp=sharing"",""อุตรดิตถ์!Q204"")+IMPORTRANGE(""https://docs.google.com/spreadsheets/d/1UsNK1e-WWiCo2PvGqdNfdme4m17_Ezd3J69EeeiQPD0/edit?usp=sharing"",""อุทัยธานี!Q204"")"),0)</f>
        <v>0</v>
      </c>
      <c r="R204" s="46">
        <f ca="1">IFERROR(__xludf.DUMMYFUNCTION("IMPORTRANGE(""https://docs.google.com/spreadsheets/d/1jTcq05yEiRwXcBMLjiodW9e4biSGYWAHcDj22rKWQ3s/edit?usp=sharing"",""กำแพงเพชร!R204"")+IMPORTRANGE(""https://docs.google.com/spreadsheets/d/1KS0zmDSZPk8KnTAbGN-Xk6MtX1YRZD0ldgdt20K4CRk/edit?usp=sharing"","&amp;"""เชียงราย!R204"")+IMPORTRANGE(""https://docs.google.com/spreadsheets/d/1rEDxBtusbi64tE0zunoIbsTVV16HeL0oJ6trHQeQ7K8/edit?usp=sharing"",""เชียงใหม่!R204"")+IMPORTRANGE(""https://docs.google.com/spreadsheets/d/1W6MnUbDkMi6xHnHko_XkFDO9kkuL6Wqyc-6OCDFjW9I/e"&amp;"dit?usp=sharing"",""ตาก!R204"")+IMPORTRANGE(""https://docs.google.com/spreadsheets/d/1IQAWArduLkta9LpYo4a_ULsyqdta6-6aDDiwpUnQT6c/edit?usp=sharing"",""นครสวรรค์!R204"")+IMPORTRANGE(""https://docs.google.com/spreadsheets/d/10s13Sk5xrltsiR-Zkbmk5DwIaDIKO8Xl"&amp;"bJAfqyT7Gvg/edit?usp=sharing"",""น่าน!R204"")+IMPORTRANGE(""https://docs.google.com/spreadsheets/d/1uu4nAn4Dbi1XREnLKKotUANlKXa7yCgRcgq8HEzQYW8/edit?usp=sharing"",""พะเยา!R204"")+IMPORTRANGE(""https://docs.google.com/spreadsheets/d/1xfJKIQxVOaPDIICqsflNlL"&amp;"u3JacTDk1FP9RH4phX7mI/edit?usp=sharing"",""พิจิตร!R204"")+IMPORTRANGE(""https://docs.google.com/spreadsheets/d/1JtRfZkJMHtEhI5RdRHxYUG4FIZHqKDpNyIuN7A1Q0_k/edit?usp=sharing"",""พิษณุโลก!R204"")+IMPORTRANGE(""https://docs.google.com/spreadsheets/d/1xlcVZWU"&amp;"Nn6SuWm0c307h32SiGkd9BaeQWlAktfD3KO8/edit?usp=sharing"",""เพชรบูรณ์!R204"")+IMPORTRANGE(""https://docs.google.com/spreadsheets/d/1lOVebEIsI9qjGXl6EX66luk7wiuP2tBaryw-wKvv4e0/edit?usp=sharing"",""แพร่!R204"")+IMPORTRANGE(""https://docs.google.com/spreadshe"&amp;"ets/d/1dQrvX0vEcN7Gu0fnZ0B5S90AeR19zth4XlExFBeExMY/edit?usp=sharing"",""แม่ฮ่องสอน!R204"")+IMPORTRANGE(""https://docs.google.com/spreadsheets/d/1DY4XTNNwjluuxqdfdn6qvOSlMRrZqUtmYcZR0ttFiG4/edit?usp=sharing"",""ลำปาง!R204"")+IMPORTRANGE(""https://docs.goog"&amp;"le.com/spreadsheets/d/1ICwG78r0OFT8biBlxnBF8r7she7gNSzOvJ958PWT09c/edit?usp=sharing"",""ลำพูน!R204"")+IMPORTRANGE(""https://docs.google.com/spreadsheets/d/1B0f2xJpZUC6Z0xXnqKlZtEPzsf6L84eP1r1Q15seqRM/edit?usp=sharing"",""สุโขทัย!R204"")+IMPORTRANGE(""http"&amp;"s://docs.google.com/spreadsheets/d/1v0b9pFQCsKUVExMei7AgY2yQkdeNQvtOssygGsXbiKo/edit?usp=sharing"",""อุตรดิตถ์!R204"")+IMPORTRANGE(""https://docs.google.com/spreadsheets/d/1UsNK1e-WWiCo2PvGqdNfdme4m17_Ezd3J69EeeiQPD0/edit?usp=sharing"",""อุทัยธานี!R204"")"),0)</f>
        <v>0</v>
      </c>
      <c r="S204" s="46">
        <f ca="1">IFERROR(__xludf.DUMMYFUNCTION("IMPORTRANGE(""https://docs.google.com/spreadsheets/d/1jTcq05yEiRwXcBMLjiodW9e4biSGYWAHcDj22rKWQ3s/edit?usp=sharing"",""กำแพงเพชร!S204"")+IMPORTRANGE(""https://docs.google.com/spreadsheets/d/1KS0zmDSZPk8KnTAbGN-Xk6MtX1YRZD0ldgdt20K4CRk/edit?usp=sharing"","&amp;"""เชียงราย!S204"")+IMPORTRANGE(""https://docs.google.com/spreadsheets/d/1rEDxBtusbi64tE0zunoIbsTVV16HeL0oJ6trHQeQ7K8/edit?usp=sharing"",""เชียงใหม่!S204"")+IMPORTRANGE(""https://docs.google.com/spreadsheets/d/1W6MnUbDkMi6xHnHko_XkFDO9kkuL6Wqyc-6OCDFjW9I/e"&amp;"dit?usp=sharing"",""ตาก!S204"")+IMPORTRANGE(""https://docs.google.com/spreadsheets/d/1IQAWArduLkta9LpYo4a_ULsyqdta6-6aDDiwpUnQT6c/edit?usp=sharing"",""นครสวรรค์!S204"")+IMPORTRANGE(""https://docs.google.com/spreadsheets/d/10s13Sk5xrltsiR-Zkbmk5DwIaDIKO8Xl"&amp;"bJAfqyT7Gvg/edit?usp=sharing"",""น่าน!S204"")+IMPORTRANGE(""https://docs.google.com/spreadsheets/d/1uu4nAn4Dbi1XREnLKKotUANlKXa7yCgRcgq8HEzQYW8/edit?usp=sharing"",""พะเยา!S204"")+IMPORTRANGE(""https://docs.google.com/spreadsheets/d/1xfJKIQxVOaPDIICqsflNlL"&amp;"u3JacTDk1FP9RH4phX7mI/edit?usp=sharing"",""พิจิตร!S204"")+IMPORTRANGE(""https://docs.google.com/spreadsheets/d/1JtRfZkJMHtEhI5RdRHxYUG4FIZHqKDpNyIuN7A1Q0_k/edit?usp=sharing"",""พิษณุโลก!S204"")+IMPORTRANGE(""https://docs.google.com/spreadsheets/d/1xlcVZWU"&amp;"Nn6SuWm0c307h32SiGkd9BaeQWlAktfD3KO8/edit?usp=sharing"",""เพชรบูรณ์!S204"")+IMPORTRANGE(""https://docs.google.com/spreadsheets/d/1lOVebEIsI9qjGXl6EX66luk7wiuP2tBaryw-wKvv4e0/edit?usp=sharing"",""แพร่!S204"")+IMPORTRANGE(""https://docs.google.com/spreadshe"&amp;"ets/d/1dQrvX0vEcN7Gu0fnZ0B5S90AeR19zth4XlExFBeExMY/edit?usp=sharing"",""แม่ฮ่องสอน!S204"")+IMPORTRANGE(""https://docs.google.com/spreadsheets/d/1DY4XTNNwjluuxqdfdn6qvOSlMRrZqUtmYcZR0ttFiG4/edit?usp=sharing"",""ลำปาง!S204"")+IMPORTRANGE(""https://docs.goog"&amp;"le.com/spreadsheets/d/1ICwG78r0OFT8biBlxnBF8r7she7gNSzOvJ958PWT09c/edit?usp=sharing"",""ลำพูน!S204"")+IMPORTRANGE(""https://docs.google.com/spreadsheets/d/1B0f2xJpZUC6Z0xXnqKlZtEPzsf6L84eP1r1Q15seqRM/edit?usp=sharing"",""สุโขทัย!S204"")+IMPORTRANGE(""http"&amp;"s://docs.google.com/spreadsheets/d/1v0b9pFQCsKUVExMei7AgY2yQkdeNQvtOssygGsXbiKo/edit?usp=sharing"",""อุตรดิตถ์!S204"")+IMPORTRANGE(""https://docs.google.com/spreadsheets/d/1UsNK1e-WWiCo2PvGqdNfdme4m17_Ezd3J69EeeiQPD0/edit?usp=sharing"",""อุทัยธานี!S204"")"),0)</f>
        <v>0</v>
      </c>
      <c r="T204" s="152"/>
      <c r="U204" s="46"/>
    </row>
    <row r="205" spans="1:21" ht="18.75" x14ac:dyDescent="0.25">
      <c r="A205" s="208"/>
      <c r="B205" s="158"/>
      <c r="C205" s="40"/>
      <c r="D205" s="47" t="s">
        <v>87</v>
      </c>
      <c r="E205" s="40"/>
      <c r="F205" s="40"/>
      <c r="G205" s="42"/>
      <c r="H205" s="43" t="s">
        <v>14</v>
      </c>
      <c r="I205" s="44"/>
      <c r="J205" s="44"/>
      <c r="K205" s="45"/>
      <c r="L205" s="224">
        <v>0</v>
      </c>
      <c r="M205" s="224">
        <v>0</v>
      </c>
      <c r="N205" s="224">
        <v>0</v>
      </c>
      <c r="O205" s="136"/>
      <c r="P205" s="45"/>
      <c r="Q205" s="46">
        <v>0</v>
      </c>
      <c r="R205" s="46">
        <v>0</v>
      </c>
      <c r="S205" s="46">
        <v>0</v>
      </c>
      <c r="T205" s="152"/>
      <c r="U205" s="46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46">
        <f ca="1">IFERROR(__xludf.DUMMYFUNCTION("IMPORTRANGE(""https://docs.google.com/spreadsheets/d/1jTcq05yEiRwXcBMLjiodW9e4biSGYWAHcDj22rKWQ3s/edit?usp=sharing"",""กำแพงเพชร!L206"")+IMPORTRANGE(""https://docs.google.com/spreadsheets/d/1KS0zmDSZPk8KnTAbGN-Xk6MtX1YRZD0ldgdt20K4CRk/edit?usp=sharing"","&amp;"""เชียงราย!L206"")+IMPORTRANGE(""https://docs.google.com/spreadsheets/d/1rEDxBtusbi64tE0zunoIbsTVV16HeL0oJ6trHQeQ7K8/edit?usp=sharing"",""เชียงใหม่!L206"")+IMPORTRANGE(""https://docs.google.com/spreadsheets/d/1W6MnUbDkMi6xHnHko_XkFDO9kkuL6Wqyc-6OCDFjW9I/e"&amp;"dit?usp=sharing"",""ตาก!L206"")+IMPORTRANGE(""https://docs.google.com/spreadsheets/d/1IQAWArduLkta9LpYo4a_ULsyqdta6-6aDDiwpUnQT6c/edit?usp=sharing"",""นครสวรรค์!L206"")+IMPORTRANGE(""https://docs.google.com/spreadsheets/d/10s13Sk5xrltsiR-Zkbmk5DwIaDIKO8Xl"&amp;"bJAfqyT7Gvg/edit?usp=sharing"",""น่าน!L206"")+IMPORTRANGE(""https://docs.google.com/spreadsheets/d/1uu4nAn4Dbi1XREnLKKotUANlKXa7yCgRcgq8HEzQYW8/edit?usp=sharing"",""พะเยา!L206"")+IMPORTRANGE(""https://docs.google.com/spreadsheets/d/1xfJKIQxVOaPDIICqsflNlL"&amp;"u3JacTDk1FP9RH4phX7mI/edit?usp=sharing"",""พิจิตร!L206"")+IMPORTRANGE(""https://docs.google.com/spreadsheets/d/1JtRfZkJMHtEhI5RdRHxYUG4FIZHqKDpNyIuN7A1Q0_k/edit?usp=sharing"",""พิษณุโลก!L206"")+IMPORTRANGE(""https://docs.google.com/spreadsheets/d/1xlcVZWU"&amp;"Nn6SuWm0c307h32SiGkd9BaeQWlAktfD3KO8/edit?usp=sharing"",""เพชรบูรณ์!L206"")+IMPORTRANGE(""https://docs.google.com/spreadsheets/d/1lOVebEIsI9qjGXl6EX66luk7wiuP2tBaryw-wKvv4e0/edit?usp=sharing"",""แพร่!L206"")+IMPORTRANGE(""https://docs.google.com/spreadshe"&amp;"ets/d/1dQrvX0vEcN7Gu0fnZ0B5S90AeR19zth4XlExFBeExMY/edit?usp=sharing"",""แม่ฮ่องสอน!L206"")+IMPORTRANGE(""https://docs.google.com/spreadsheets/d/1DY4XTNNwjluuxqdfdn6qvOSlMRrZqUtmYcZR0ttFiG4/edit?usp=sharing"",""ลำปาง!L206"")+IMPORTRANGE(""https://docs.goog"&amp;"le.com/spreadsheets/d/1ICwG78r0OFT8biBlxnBF8r7she7gNSzOvJ958PWT09c/edit?usp=sharing"",""ลำพูน!L206"")+IMPORTRANGE(""https://docs.google.com/spreadsheets/d/1B0f2xJpZUC6Z0xXnqKlZtEPzsf6L84eP1r1Q15seqRM/edit?usp=sharing"",""สุโขทัย!L206"")+IMPORTRANGE(""http"&amp;"s://docs.google.com/spreadsheets/d/1v0b9pFQCsKUVExMei7AgY2yQkdeNQvtOssygGsXbiKo/edit?usp=sharing"",""อุตรดิตถ์!L206"")+IMPORTRANGE(""https://docs.google.com/spreadsheets/d/1UsNK1e-WWiCo2PvGqdNfdme4m17_Ezd3J69EeeiQPD0/edit?usp=sharing"",""อุทัยธานี!L206"")"),40000)</f>
        <v>40000</v>
      </c>
      <c r="M206" s="46">
        <f ca="1">IFERROR(__xludf.DUMMYFUNCTION("IMPORTRANGE(""https://docs.google.com/spreadsheets/d/1jTcq05yEiRwXcBMLjiodW9e4biSGYWAHcDj22rKWQ3s/edit?usp=sharing"",""กำแพงเพชร!M206"")+IMPORTRANGE(""https://docs.google.com/spreadsheets/d/1KS0zmDSZPk8KnTAbGN-Xk6MtX1YRZD0ldgdt20K4CRk/edit?usp=sharing"","&amp;"""เชียงราย!M206"")+IMPORTRANGE(""https://docs.google.com/spreadsheets/d/1rEDxBtusbi64tE0zunoIbsTVV16HeL0oJ6trHQeQ7K8/edit?usp=sharing"",""เชียงใหม่!M206"")+IMPORTRANGE(""https://docs.google.com/spreadsheets/d/1W6MnUbDkMi6xHnHko_XkFDO9kkuL6Wqyc-6OCDFjW9I/e"&amp;"dit?usp=sharing"",""ตาก!M206"")+IMPORTRANGE(""https://docs.google.com/spreadsheets/d/1IQAWArduLkta9LpYo4a_ULsyqdta6-6aDDiwpUnQT6c/edit?usp=sharing"",""นครสวรรค์!M206"")+IMPORTRANGE(""https://docs.google.com/spreadsheets/d/10s13Sk5xrltsiR-Zkbmk5DwIaDIKO8Xl"&amp;"bJAfqyT7Gvg/edit?usp=sharing"",""น่าน!M206"")+IMPORTRANGE(""https://docs.google.com/spreadsheets/d/1uu4nAn4Dbi1XREnLKKotUANlKXa7yCgRcgq8HEzQYW8/edit?usp=sharing"",""พะเยา!M206"")+IMPORTRANGE(""https://docs.google.com/spreadsheets/d/1xfJKIQxVOaPDIICqsflNlL"&amp;"u3JacTDk1FP9RH4phX7mI/edit?usp=sharing"",""พิจิตร!M206"")+IMPORTRANGE(""https://docs.google.com/spreadsheets/d/1JtRfZkJMHtEhI5RdRHxYUG4FIZHqKDpNyIuN7A1Q0_k/edit?usp=sharing"",""พิษณุโลก!M206"")+IMPORTRANGE(""https://docs.google.com/spreadsheets/d/1xlcVZWU"&amp;"Nn6SuWm0c307h32SiGkd9BaeQWlAktfD3KO8/edit?usp=sharing"",""เพชรบูรณ์!M206"")+IMPORTRANGE(""https://docs.google.com/spreadsheets/d/1lOVebEIsI9qjGXl6EX66luk7wiuP2tBaryw-wKvv4e0/edit?usp=sharing"",""แพร่!M206"")+IMPORTRANGE(""https://docs.google.com/spreadshe"&amp;"ets/d/1dQrvX0vEcN7Gu0fnZ0B5S90AeR19zth4XlExFBeExMY/edit?usp=sharing"",""แม่ฮ่องสอน!M206"")+IMPORTRANGE(""https://docs.google.com/spreadsheets/d/1DY4XTNNwjluuxqdfdn6qvOSlMRrZqUtmYcZR0ttFiG4/edit?usp=sharing"",""ลำปาง!M206"")+IMPORTRANGE(""https://docs.goog"&amp;"le.com/spreadsheets/d/1ICwG78r0OFT8biBlxnBF8r7she7gNSzOvJ958PWT09c/edit?usp=sharing"",""ลำพูน!M206"")+IMPORTRANGE(""https://docs.google.com/spreadsheets/d/1B0f2xJpZUC6Z0xXnqKlZtEPzsf6L84eP1r1Q15seqRM/edit?usp=sharing"",""สุโขทัย!M206"")+IMPORTRANGE(""http"&amp;"s://docs.google.com/spreadsheets/d/1v0b9pFQCsKUVExMei7AgY2yQkdeNQvtOssygGsXbiKo/edit?usp=sharing"",""อุตรดิตถ์!M206"")+IMPORTRANGE(""https://docs.google.com/spreadsheets/d/1UsNK1e-WWiCo2PvGqdNfdme4m17_Ezd3J69EeeiQPD0/edit?usp=sharing"",""อุทัยธานี!M206"")"),0)</f>
        <v>0</v>
      </c>
      <c r="N206" s="46">
        <f ca="1">IFERROR(__xludf.DUMMYFUNCTION("IMPORTRANGE(""https://docs.google.com/spreadsheets/d/1jTcq05yEiRwXcBMLjiodW9e4biSGYWAHcDj22rKWQ3s/edit?usp=sharing"",""กำแพงเพชร!N206"")+IMPORTRANGE(""https://docs.google.com/spreadsheets/d/1KS0zmDSZPk8KnTAbGN-Xk6MtX1YRZD0ldgdt20K4CRk/edit?usp=sharing"","&amp;"""เชียงราย!N206"")+IMPORTRANGE(""https://docs.google.com/spreadsheets/d/1rEDxBtusbi64tE0zunoIbsTVV16HeL0oJ6trHQeQ7K8/edit?usp=sharing"",""เชียงใหม่!N206"")+IMPORTRANGE(""https://docs.google.com/spreadsheets/d/1W6MnUbDkMi6xHnHko_XkFDO9kkuL6Wqyc-6OCDFjW9I/e"&amp;"dit?usp=sharing"",""ตาก!N206"")+IMPORTRANGE(""https://docs.google.com/spreadsheets/d/1IQAWArduLkta9LpYo4a_ULsyqdta6-6aDDiwpUnQT6c/edit?usp=sharing"",""นครสวรรค์!N206"")+IMPORTRANGE(""https://docs.google.com/spreadsheets/d/10s13Sk5xrltsiR-Zkbmk5DwIaDIKO8Xl"&amp;"bJAfqyT7Gvg/edit?usp=sharing"",""น่าน!N206"")+IMPORTRANGE(""https://docs.google.com/spreadsheets/d/1uu4nAn4Dbi1XREnLKKotUANlKXa7yCgRcgq8HEzQYW8/edit?usp=sharing"",""พะเยา!N206"")+IMPORTRANGE(""https://docs.google.com/spreadsheets/d/1xfJKIQxVOaPDIICqsflNlL"&amp;"u3JacTDk1FP9RH4phX7mI/edit?usp=sharing"",""พิจิตร!N206"")+IMPORTRANGE(""https://docs.google.com/spreadsheets/d/1JtRfZkJMHtEhI5RdRHxYUG4FIZHqKDpNyIuN7A1Q0_k/edit?usp=sharing"",""พิษณุโลก!N206"")+IMPORTRANGE(""https://docs.google.com/spreadsheets/d/1xlcVZWU"&amp;"Nn6SuWm0c307h32SiGkd9BaeQWlAktfD3KO8/edit?usp=sharing"",""เพชรบูรณ์!N206"")+IMPORTRANGE(""https://docs.google.com/spreadsheets/d/1lOVebEIsI9qjGXl6EX66luk7wiuP2tBaryw-wKvv4e0/edit?usp=sharing"",""แพร่!N206"")+IMPORTRANGE(""https://docs.google.com/spreadshe"&amp;"ets/d/1dQrvX0vEcN7Gu0fnZ0B5S90AeR19zth4XlExFBeExMY/edit?usp=sharing"",""แม่ฮ่องสอน!N206"")+IMPORTRANGE(""https://docs.google.com/spreadsheets/d/1DY4XTNNwjluuxqdfdn6qvOSlMRrZqUtmYcZR0ttFiG4/edit?usp=sharing"",""ลำปาง!N206"")+IMPORTRANGE(""https://docs.goog"&amp;"le.com/spreadsheets/d/1ICwG78r0OFT8biBlxnBF8r7she7gNSzOvJ958PWT09c/edit?usp=sharing"",""ลำพูน!N206"")+IMPORTRANGE(""https://docs.google.com/spreadsheets/d/1B0f2xJpZUC6Z0xXnqKlZtEPzsf6L84eP1r1Q15seqRM/edit?usp=sharing"",""สุโขทัย!N206"")+IMPORTRANGE(""http"&amp;"s://docs.google.com/spreadsheets/d/1v0b9pFQCsKUVExMei7AgY2yQkdeNQvtOssygGsXbiKo/edit?usp=sharing"",""อุตรดิตถ์!N206"")+IMPORTRANGE(""https://docs.google.com/spreadsheets/d/1UsNK1e-WWiCo2PvGqdNfdme4m17_Ezd3J69EeeiQPD0/edit?usp=sharing"",""อุทัยธานี!N206"")"),32000)</f>
        <v>32000</v>
      </c>
      <c r="O206" s="136"/>
      <c r="P206" s="45"/>
      <c r="Q206" s="46">
        <f ca="1">IFERROR(__xludf.DUMMYFUNCTION("IMPORTRANGE(""https://docs.google.com/spreadsheets/d/1jTcq05yEiRwXcBMLjiodW9e4biSGYWAHcDj22rKWQ3s/edit?usp=sharing"",""กำแพงเพชร!Q206"")+IMPORTRANGE(""https://docs.google.com/spreadsheets/d/1KS0zmDSZPk8KnTAbGN-Xk6MtX1YRZD0ldgdt20K4CRk/edit?usp=sharing"","&amp;"""เชียงราย!Q206"")+IMPORTRANGE(""https://docs.google.com/spreadsheets/d/1rEDxBtusbi64tE0zunoIbsTVV16HeL0oJ6trHQeQ7K8/edit?usp=sharing"",""เชียงใหม่!Q206"")+IMPORTRANGE(""https://docs.google.com/spreadsheets/d/1W6MnUbDkMi6xHnHko_XkFDO9kkuL6Wqyc-6OCDFjW9I/e"&amp;"dit?usp=sharing"",""ตาก!Q206"")+IMPORTRANGE(""https://docs.google.com/spreadsheets/d/1IQAWArduLkta9LpYo4a_ULsyqdta6-6aDDiwpUnQT6c/edit?usp=sharing"",""นครสวรรค์!Q206"")+IMPORTRANGE(""https://docs.google.com/spreadsheets/d/10s13Sk5xrltsiR-Zkbmk5DwIaDIKO8Xl"&amp;"bJAfqyT7Gvg/edit?usp=sharing"",""น่าน!Q206"")+IMPORTRANGE(""https://docs.google.com/spreadsheets/d/1uu4nAn4Dbi1XREnLKKotUANlKXa7yCgRcgq8HEzQYW8/edit?usp=sharing"",""พะเยา!Q206"")+IMPORTRANGE(""https://docs.google.com/spreadsheets/d/1xfJKIQxVOaPDIICqsflNlL"&amp;"u3JacTDk1FP9RH4phX7mI/edit?usp=sharing"",""พิจิตร!Q206"")+IMPORTRANGE(""https://docs.google.com/spreadsheets/d/1JtRfZkJMHtEhI5RdRHxYUG4FIZHqKDpNyIuN7A1Q0_k/edit?usp=sharing"",""พิษณุโลก!Q206"")+IMPORTRANGE(""https://docs.google.com/spreadsheets/d/1xlcVZWU"&amp;"Nn6SuWm0c307h32SiGkd9BaeQWlAktfD3KO8/edit?usp=sharing"",""เพชรบูรณ์!Q206"")+IMPORTRANGE(""https://docs.google.com/spreadsheets/d/1lOVebEIsI9qjGXl6EX66luk7wiuP2tBaryw-wKvv4e0/edit?usp=sharing"",""แพร่!Q206"")+IMPORTRANGE(""https://docs.google.com/spreadshe"&amp;"ets/d/1dQrvX0vEcN7Gu0fnZ0B5S90AeR19zth4XlExFBeExMY/edit?usp=sharing"",""แม่ฮ่องสอน!Q206"")+IMPORTRANGE(""https://docs.google.com/spreadsheets/d/1DY4XTNNwjluuxqdfdn6qvOSlMRrZqUtmYcZR0ttFiG4/edit?usp=sharing"",""ลำปาง!Q206"")+IMPORTRANGE(""https://docs.goog"&amp;"le.com/spreadsheets/d/1ICwG78r0OFT8biBlxnBF8r7she7gNSzOvJ958PWT09c/edit?usp=sharing"",""ลำพูน!Q206"")+IMPORTRANGE(""https://docs.google.com/spreadsheets/d/1B0f2xJpZUC6Z0xXnqKlZtEPzsf6L84eP1r1Q15seqRM/edit?usp=sharing"",""สุโขทัย!Q206"")+IMPORTRANGE(""http"&amp;"s://docs.google.com/spreadsheets/d/1v0b9pFQCsKUVExMei7AgY2yQkdeNQvtOssygGsXbiKo/edit?usp=sharing"",""อุตรดิตถ์!Q206"")+IMPORTRANGE(""https://docs.google.com/spreadsheets/d/1UsNK1e-WWiCo2PvGqdNfdme4m17_Ezd3J69EeeiQPD0/edit?usp=sharing"",""อุทัยธานี!Q206"")"),672000)</f>
        <v>672000</v>
      </c>
      <c r="R206" s="46">
        <f ca="1">IFERROR(__xludf.DUMMYFUNCTION("IMPORTRANGE(""https://docs.google.com/spreadsheets/d/1jTcq05yEiRwXcBMLjiodW9e4biSGYWAHcDj22rKWQ3s/edit?usp=sharing"",""กำแพงเพชร!R206"")+IMPORTRANGE(""https://docs.google.com/spreadsheets/d/1KS0zmDSZPk8KnTAbGN-Xk6MtX1YRZD0ldgdt20K4CRk/edit?usp=sharing"","&amp;"""เชียงราย!R206"")+IMPORTRANGE(""https://docs.google.com/spreadsheets/d/1rEDxBtusbi64tE0zunoIbsTVV16HeL0oJ6trHQeQ7K8/edit?usp=sharing"",""เชียงใหม่!R206"")+IMPORTRANGE(""https://docs.google.com/spreadsheets/d/1W6MnUbDkMi6xHnHko_XkFDO9kkuL6Wqyc-6OCDFjW9I/e"&amp;"dit?usp=sharing"",""ตาก!R206"")+IMPORTRANGE(""https://docs.google.com/spreadsheets/d/1IQAWArduLkta9LpYo4a_ULsyqdta6-6aDDiwpUnQT6c/edit?usp=sharing"",""นครสวรรค์!R206"")+IMPORTRANGE(""https://docs.google.com/spreadsheets/d/10s13Sk5xrltsiR-Zkbmk5DwIaDIKO8Xl"&amp;"bJAfqyT7Gvg/edit?usp=sharing"",""น่าน!R206"")+IMPORTRANGE(""https://docs.google.com/spreadsheets/d/1uu4nAn4Dbi1XREnLKKotUANlKXa7yCgRcgq8HEzQYW8/edit?usp=sharing"",""พะเยา!R206"")+IMPORTRANGE(""https://docs.google.com/spreadsheets/d/1xfJKIQxVOaPDIICqsflNlL"&amp;"u3JacTDk1FP9RH4phX7mI/edit?usp=sharing"",""พิจิตร!R206"")+IMPORTRANGE(""https://docs.google.com/spreadsheets/d/1JtRfZkJMHtEhI5RdRHxYUG4FIZHqKDpNyIuN7A1Q0_k/edit?usp=sharing"",""พิษณุโลก!R206"")+IMPORTRANGE(""https://docs.google.com/spreadsheets/d/1xlcVZWU"&amp;"Nn6SuWm0c307h32SiGkd9BaeQWlAktfD3KO8/edit?usp=sharing"",""เพชรบูรณ์!R206"")+IMPORTRANGE(""https://docs.google.com/spreadsheets/d/1lOVebEIsI9qjGXl6EX66luk7wiuP2tBaryw-wKvv4e0/edit?usp=sharing"",""แพร่!R206"")+IMPORTRANGE(""https://docs.google.com/spreadshe"&amp;"ets/d/1dQrvX0vEcN7Gu0fnZ0B5S90AeR19zth4XlExFBeExMY/edit?usp=sharing"",""แม่ฮ่องสอน!R206"")+IMPORTRANGE(""https://docs.google.com/spreadsheets/d/1DY4XTNNwjluuxqdfdn6qvOSlMRrZqUtmYcZR0ttFiG4/edit?usp=sharing"",""ลำปาง!R206"")+IMPORTRANGE(""https://docs.goog"&amp;"le.com/spreadsheets/d/1ICwG78r0OFT8biBlxnBF8r7she7gNSzOvJ958PWT09c/edit?usp=sharing"",""ลำพูน!R206"")+IMPORTRANGE(""https://docs.google.com/spreadsheets/d/1B0f2xJpZUC6Z0xXnqKlZtEPzsf6L84eP1r1Q15seqRM/edit?usp=sharing"",""สุโขทัย!R206"")+IMPORTRANGE(""http"&amp;"s://docs.google.com/spreadsheets/d/1v0b9pFQCsKUVExMei7AgY2yQkdeNQvtOssygGsXbiKo/edit?usp=sharing"",""อุตรดิตถ์!R206"")+IMPORTRANGE(""https://docs.google.com/spreadsheets/d/1UsNK1e-WWiCo2PvGqdNfdme4m17_Ezd3J69EeeiQPD0/edit?usp=sharing"",""อุทัยธานี!R206"")"),0)</f>
        <v>0</v>
      </c>
      <c r="S206" s="46">
        <f ca="1">IFERROR(__xludf.DUMMYFUNCTION("IMPORTRANGE(""https://docs.google.com/spreadsheets/d/1jTcq05yEiRwXcBMLjiodW9e4biSGYWAHcDj22rKWQ3s/edit?usp=sharing"",""กำแพงเพชร!S206"")+IMPORTRANGE(""https://docs.google.com/spreadsheets/d/1KS0zmDSZPk8KnTAbGN-Xk6MtX1YRZD0ldgdt20K4CRk/edit?usp=sharing"","&amp;"""เชียงราย!S206"")+IMPORTRANGE(""https://docs.google.com/spreadsheets/d/1rEDxBtusbi64tE0zunoIbsTVV16HeL0oJ6trHQeQ7K8/edit?usp=sharing"",""เชียงใหม่!S206"")+IMPORTRANGE(""https://docs.google.com/spreadsheets/d/1W6MnUbDkMi6xHnHko_XkFDO9kkuL6Wqyc-6OCDFjW9I/e"&amp;"dit?usp=sharing"",""ตาก!S206"")+IMPORTRANGE(""https://docs.google.com/spreadsheets/d/1IQAWArduLkta9LpYo4a_ULsyqdta6-6aDDiwpUnQT6c/edit?usp=sharing"",""นครสวรรค์!S206"")+IMPORTRANGE(""https://docs.google.com/spreadsheets/d/10s13Sk5xrltsiR-Zkbmk5DwIaDIKO8Xl"&amp;"bJAfqyT7Gvg/edit?usp=sharing"",""น่าน!S206"")+IMPORTRANGE(""https://docs.google.com/spreadsheets/d/1uu4nAn4Dbi1XREnLKKotUANlKXa7yCgRcgq8HEzQYW8/edit?usp=sharing"",""พะเยา!S206"")+IMPORTRANGE(""https://docs.google.com/spreadsheets/d/1xfJKIQxVOaPDIICqsflNlL"&amp;"u3JacTDk1FP9RH4phX7mI/edit?usp=sharing"",""พิจิตร!S206"")+IMPORTRANGE(""https://docs.google.com/spreadsheets/d/1JtRfZkJMHtEhI5RdRHxYUG4FIZHqKDpNyIuN7A1Q0_k/edit?usp=sharing"",""พิษณุโลก!S206"")+IMPORTRANGE(""https://docs.google.com/spreadsheets/d/1xlcVZWU"&amp;"Nn6SuWm0c307h32SiGkd9BaeQWlAktfD3KO8/edit?usp=sharing"",""เพชรบูรณ์!S206"")+IMPORTRANGE(""https://docs.google.com/spreadsheets/d/1lOVebEIsI9qjGXl6EX66luk7wiuP2tBaryw-wKvv4e0/edit?usp=sharing"",""แพร่!S206"")+IMPORTRANGE(""https://docs.google.com/spreadshe"&amp;"ets/d/1dQrvX0vEcN7Gu0fnZ0B5S90AeR19zth4XlExFBeExMY/edit?usp=sharing"",""แม่ฮ่องสอน!S206"")+IMPORTRANGE(""https://docs.google.com/spreadsheets/d/1DY4XTNNwjluuxqdfdn6qvOSlMRrZqUtmYcZR0ttFiG4/edit?usp=sharing"",""ลำปาง!S206"")+IMPORTRANGE(""https://docs.goog"&amp;"le.com/spreadsheets/d/1ICwG78r0OFT8biBlxnBF8r7she7gNSzOvJ958PWT09c/edit?usp=sharing"",""ลำพูน!S206"")+IMPORTRANGE(""https://docs.google.com/spreadsheets/d/1B0f2xJpZUC6Z0xXnqKlZtEPzsf6L84eP1r1Q15seqRM/edit?usp=sharing"",""สุโขทัย!S206"")+IMPORTRANGE(""http"&amp;"s://docs.google.com/spreadsheets/d/1v0b9pFQCsKUVExMei7AgY2yQkdeNQvtOssygGsXbiKo/edit?usp=sharing"",""อุตรดิตถ์!S206"")+IMPORTRANGE(""https://docs.google.com/spreadsheets/d/1UsNK1e-WWiCo2PvGqdNfdme4m17_Ezd3J69EeeiQPD0/edit?usp=sharing"",""อุทัยธานี!S206"")"),47140)</f>
        <v>47140</v>
      </c>
      <c r="T206" s="152"/>
      <c r="U206" s="46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46">
        <f ca="1">IFERROR(__xludf.DUMMYFUNCTION("IMPORTRANGE(""https://docs.google.com/spreadsheets/d/1jTcq05yEiRwXcBMLjiodW9e4biSGYWAHcDj22rKWQ3s/edit?usp=sharing"",""กำแพงเพชร!L207"")+IMPORTRANGE(""https://docs.google.com/spreadsheets/d/1KS0zmDSZPk8KnTAbGN-Xk6MtX1YRZD0ldgdt20K4CRk/edit?usp=sharing"","&amp;"""เชียงราย!L207"")+IMPORTRANGE(""https://docs.google.com/spreadsheets/d/1rEDxBtusbi64tE0zunoIbsTVV16HeL0oJ6trHQeQ7K8/edit?usp=sharing"",""เชียงใหม่!L207"")+IMPORTRANGE(""https://docs.google.com/spreadsheets/d/1W6MnUbDkMi6xHnHko_XkFDO9kkuL6Wqyc-6OCDFjW9I/e"&amp;"dit?usp=sharing"",""ตาก!L207"")+IMPORTRANGE(""https://docs.google.com/spreadsheets/d/1IQAWArduLkta9LpYo4a_ULsyqdta6-6aDDiwpUnQT6c/edit?usp=sharing"",""นครสวรรค์!L207"")+IMPORTRANGE(""https://docs.google.com/spreadsheets/d/10s13Sk5xrltsiR-Zkbmk5DwIaDIKO8Xl"&amp;"bJAfqyT7Gvg/edit?usp=sharing"",""น่าน!L207"")+IMPORTRANGE(""https://docs.google.com/spreadsheets/d/1uu4nAn4Dbi1XREnLKKotUANlKXa7yCgRcgq8HEzQYW8/edit?usp=sharing"",""พะเยา!L207"")+IMPORTRANGE(""https://docs.google.com/spreadsheets/d/1xfJKIQxVOaPDIICqsflNlL"&amp;"u3JacTDk1FP9RH4phX7mI/edit?usp=sharing"",""พิจิตร!L207"")+IMPORTRANGE(""https://docs.google.com/spreadsheets/d/1JtRfZkJMHtEhI5RdRHxYUG4FIZHqKDpNyIuN7A1Q0_k/edit?usp=sharing"",""พิษณุโลก!L207"")+IMPORTRANGE(""https://docs.google.com/spreadsheets/d/1xlcVZWU"&amp;"Nn6SuWm0c307h32SiGkd9BaeQWlAktfD3KO8/edit?usp=sharing"",""เพชรบูรณ์!L207"")+IMPORTRANGE(""https://docs.google.com/spreadsheets/d/1lOVebEIsI9qjGXl6EX66luk7wiuP2tBaryw-wKvv4e0/edit?usp=sharing"",""แพร่!L207"")+IMPORTRANGE(""https://docs.google.com/spreadshe"&amp;"ets/d/1dQrvX0vEcN7Gu0fnZ0B5S90AeR19zth4XlExFBeExMY/edit?usp=sharing"",""แม่ฮ่องสอน!L207"")+IMPORTRANGE(""https://docs.google.com/spreadsheets/d/1DY4XTNNwjluuxqdfdn6qvOSlMRrZqUtmYcZR0ttFiG4/edit?usp=sharing"",""ลำปาง!L207"")+IMPORTRANGE(""https://docs.goog"&amp;"le.com/spreadsheets/d/1ICwG78r0OFT8biBlxnBF8r7she7gNSzOvJ958PWT09c/edit?usp=sharing"",""ลำพูน!L207"")+IMPORTRANGE(""https://docs.google.com/spreadsheets/d/1B0f2xJpZUC6Z0xXnqKlZtEPzsf6L84eP1r1Q15seqRM/edit?usp=sharing"",""สุโขทัย!L207"")+IMPORTRANGE(""http"&amp;"s://docs.google.com/spreadsheets/d/1v0b9pFQCsKUVExMei7AgY2yQkdeNQvtOssygGsXbiKo/edit?usp=sharing"",""อุตรดิตถ์!L207"")+IMPORTRANGE(""https://docs.google.com/spreadsheets/d/1UsNK1e-WWiCo2PvGqdNfdme4m17_Ezd3J69EeeiQPD0/edit?usp=sharing"",""อุทัยธานี!L207"")"),199000)</f>
        <v>199000</v>
      </c>
      <c r="M207" s="46">
        <f ca="1">IFERROR(__xludf.DUMMYFUNCTION("IMPORTRANGE(""https://docs.google.com/spreadsheets/d/1jTcq05yEiRwXcBMLjiodW9e4biSGYWAHcDj22rKWQ3s/edit?usp=sharing"",""กำแพงเพชร!M207"")+IMPORTRANGE(""https://docs.google.com/spreadsheets/d/1KS0zmDSZPk8KnTAbGN-Xk6MtX1YRZD0ldgdt20K4CRk/edit?usp=sharing"","&amp;"""เชียงราย!M207"")+IMPORTRANGE(""https://docs.google.com/spreadsheets/d/1rEDxBtusbi64tE0zunoIbsTVV16HeL0oJ6trHQeQ7K8/edit?usp=sharing"",""เชียงใหม่!M207"")+IMPORTRANGE(""https://docs.google.com/spreadsheets/d/1W6MnUbDkMi6xHnHko_XkFDO9kkuL6Wqyc-6OCDFjW9I/e"&amp;"dit?usp=sharing"",""ตาก!M207"")+IMPORTRANGE(""https://docs.google.com/spreadsheets/d/1IQAWArduLkta9LpYo4a_ULsyqdta6-6aDDiwpUnQT6c/edit?usp=sharing"",""นครสวรรค์!M207"")+IMPORTRANGE(""https://docs.google.com/spreadsheets/d/10s13Sk5xrltsiR-Zkbmk5DwIaDIKO8Xl"&amp;"bJAfqyT7Gvg/edit?usp=sharing"",""น่าน!M207"")+IMPORTRANGE(""https://docs.google.com/spreadsheets/d/1uu4nAn4Dbi1XREnLKKotUANlKXa7yCgRcgq8HEzQYW8/edit?usp=sharing"",""พะเยา!M207"")+IMPORTRANGE(""https://docs.google.com/spreadsheets/d/1xfJKIQxVOaPDIICqsflNlL"&amp;"u3JacTDk1FP9RH4phX7mI/edit?usp=sharing"",""พิจิตร!M207"")+IMPORTRANGE(""https://docs.google.com/spreadsheets/d/1JtRfZkJMHtEhI5RdRHxYUG4FIZHqKDpNyIuN7A1Q0_k/edit?usp=sharing"",""พิษณุโลก!M207"")+IMPORTRANGE(""https://docs.google.com/spreadsheets/d/1xlcVZWU"&amp;"Nn6SuWm0c307h32SiGkd9BaeQWlAktfD3KO8/edit?usp=sharing"",""เพชรบูรณ์!M207"")+IMPORTRANGE(""https://docs.google.com/spreadsheets/d/1lOVebEIsI9qjGXl6EX66luk7wiuP2tBaryw-wKvv4e0/edit?usp=sharing"",""แพร่!M207"")+IMPORTRANGE(""https://docs.google.com/spreadshe"&amp;"ets/d/1dQrvX0vEcN7Gu0fnZ0B5S90AeR19zth4XlExFBeExMY/edit?usp=sharing"",""แม่ฮ่องสอน!M207"")+IMPORTRANGE(""https://docs.google.com/spreadsheets/d/1DY4XTNNwjluuxqdfdn6qvOSlMRrZqUtmYcZR0ttFiG4/edit?usp=sharing"",""ลำปาง!M207"")+IMPORTRANGE(""https://docs.goog"&amp;"le.com/spreadsheets/d/1ICwG78r0OFT8biBlxnBF8r7she7gNSzOvJ958PWT09c/edit?usp=sharing"",""ลำพูน!M207"")+IMPORTRANGE(""https://docs.google.com/spreadsheets/d/1B0f2xJpZUC6Z0xXnqKlZtEPzsf6L84eP1r1Q15seqRM/edit?usp=sharing"",""สุโขทัย!M207"")+IMPORTRANGE(""http"&amp;"s://docs.google.com/spreadsheets/d/1v0b9pFQCsKUVExMei7AgY2yQkdeNQvtOssygGsXbiKo/edit?usp=sharing"",""อุตรดิตถ์!M207"")+IMPORTRANGE(""https://docs.google.com/spreadsheets/d/1UsNK1e-WWiCo2PvGqdNfdme4m17_Ezd3J69EeeiQPD0/edit?usp=sharing"",""อุทัยธานี!M207"")"),0)</f>
        <v>0</v>
      </c>
      <c r="N207" s="46">
        <f ca="1">IFERROR(__xludf.DUMMYFUNCTION("IMPORTRANGE(""https://docs.google.com/spreadsheets/d/1jTcq05yEiRwXcBMLjiodW9e4biSGYWAHcDj22rKWQ3s/edit?usp=sharing"",""กำแพงเพชร!N207"")+IMPORTRANGE(""https://docs.google.com/spreadsheets/d/1KS0zmDSZPk8KnTAbGN-Xk6MtX1YRZD0ldgdt20K4CRk/edit?usp=sharing"","&amp;"""เชียงราย!N207"")+IMPORTRANGE(""https://docs.google.com/spreadsheets/d/1rEDxBtusbi64tE0zunoIbsTVV16HeL0oJ6trHQeQ7K8/edit?usp=sharing"",""เชียงใหม่!N207"")+IMPORTRANGE(""https://docs.google.com/spreadsheets/d/1W6MnUbDkMi6xHnHko_XkFDO9kkuL6Wqyc-6OCDFjW9I/e"&amp;"dit?usp=sharing"",""ตาก!N207"")+IMPORTRANGE(""https://docs.google.com/spreadsheets/d/1IQAWArduLkta9LpYo4a_ULsyqdta6-6aDDiwpUnQT6c/edit?usp=sharing"",""นครสวรรค์!N207"")+IMPORTRANGE(""https://docs.google.com/spreadsheets/d/10s13Sk5xrltsiR-Zkbmk5DwIaDIKO8Xl"&amp;"bJAfqyT7Gvg/edit?usp=sharing"",""น่าน!N207"")+IMPORTRANGE(""https://docs.google.com/spreadsheets/d/1uu4nAn4Dbi1XREnLKKotUANlKXa7yCgRcgq8HEzQYW8/edit?usp=sharing"",""พะเยา!N207"")+IMPORTRANGE(""https://docs.google.com/spreadsheets/d/1xfJKIQxVOaPDIICqsflNlL"&amp;"u3JacTDk1FP9RH4phX7mI/edit?usp=sharing"",""พิจิตร!N207"")+IMPORTRANGE(""https://docs.google.com/spreadsheets/d/1JtRfZkJMHtEhI5RdRHxYUG4FIZHqKDpNyIuN7A1Q0_k/edit?usp=sharing"",""พิษณุโลก!N207"")+IMPORTRANGE(""https://docs.google.com/spreadsheets/d/1xlcVZWU"&amp;"Nn6SuWm0c307h32SiGkd9BaeQWlAktfD3KO8/edit?usp=sharing"",""เพชรบูรณ์!N207"")+IMPORTRANGE(""https://docs.google.com/spreadsheets/d/1lOVebEIsI9qjGXl6EX66luk7wiuP2tBaryw-wKvv4e0/edit?usp=sharing"",""แพร่!N207"")+IMPORTRANGE(""https://docs.google.com/spreadshe"&amp;"ets/d/1dQrvX0vEcN7Gu0fnZ0B5S90AeR19zth4XlExFBeExMY/edit?usp=sharing"",""แม่ฮ่องสอน!N207"")+IMPORTRANGE(""https://docs.google.com/spreadsheets/d/1DY4XTNNwjluuxqdfdn6qvOSlMRrZqUtmYcZR0ttFiG4/edit?usp=sharing"",""ลำปาง!N207"")+IMPORTRANGE(""https://docs.goog"&amp;"le.com/spreadsheets/d/1ICwG78r0OFT8biBlxnBF8r7she7gNSzOvJ958PWT09c/edit?usp=sharing"",""ลำพูน!N207"")+IMPORTRANGE(""https://docs.google.com/spreadsheets/d/1B0f2xJpZUC6Z0xXnqKlZtEPzsf6L84eP1r1Q15seqRM/edit?usp=sharing"",""สุโขทัย!N207"")+IMPORTRANGE(""http"&amp;"s://docs.google.com/spreadsheets/d/1v0b9pFQCsKUVExMei7AgY2yQkdeNQvtOssygGsXbiKo/edit?usp=sharing"",""อุตรดิตถ์!N207"")+IMPORTRANGE(""https://docs.google.com/spreadsheets/d/1UsNK1e-WWiCo2PvGqdNfdme4m17_Ezd3J69EeeiQPD0/edit?usp=sharing"",""อุทัยธานี!N207"")"),12000)</f>
        <v>12000</v>
      </c>
      <c r="O207" s="136"/>
      <c r="P207" s="45"/>
      <c r="Q207" s="46">
        <f ca="1">IFERROR(__xludf.DUMMYFUNCTION("IMPORTRANGE(""https://docs.google.com/spreadsheets/d/1jTcq05yEiRwXcBMLjiodW9e4biSGYWAHcDj22rKWQ3s/edit?usp=sharing"",""กำแพงเพชร!Q207"")+IMPORTRANGE(""https://docs.google.com/spreadsheets/d/1KS0zmDSZPk8KnTAbGN-Xk6MtX1YRZD0ldgdt20K4CRk/edit?usp=sharing"","&amp;"""เชียงราย!Q207"")+IMPORTRANGE(""https://docs.google.com/spreadsheets/d/1rEDxBtusbi64tE0zunoIbsTVV16HeL0oJ6trHQeQ7K8/edit?usp=sharing"",""เชียงใหม่!Q207"")+IMPORTRANGE(""https://docs.google.com/spreadsheets/d/1W6MnUbDkMi6xHnHko_XkFDO9kkuL6Wqyc-6OCDFjW9I/e"&amp;"dit?usp=sharing"",""ตาก!Q207"")+IMPORTRANGE(""https://docs.google.com/spreadsheets/d/1IQAWArduLkta9LpYo4a_ULsyqdta6-6aDDiwpUnQT6c/edit?usp=sharing"",""นครสวรรค์!Q207"")+IMPORTRANGE(""https://docs.google.com/spreadsheets/d/10s13Sk5xrltsiR-Zkbmk5DwIaDIKO8Xl"&amp;"bJAfqyT7Gvg/edit?usp=sharing"",""น่าน!Q207"")+IMPORTRANGE(""https://docs.google.com/spreadsheets/d/1uu4nAn4Dbi1XREnLKKotUANlKXa7yCgRcgq8HEzQYW8/edit?usp=sharing"",""พะเยา!Q207"")+IMPORTRANGE(""https://docs.google.com/spreadsheets/d/1xfJKIQxVOaPDIICqsflNlL"&amp;"u3JacTDk1FP9RH4phX7mI/edit?usp=sharing"",""พิจิตร!Q207"")+IMPORTRANGE(""https://docs.google.com/spreadsheets/d/1JtRfZkJMHtEhI5RdRHxYUG4FIZHqKDpNyIuN7A1Q0_k/edit?usp=sharing"",""พิษณุโลก!Q207"")+IMPORTRANGE(""https://docs.google.com/spreadsheets/d/1xlcVZWU"&amp;"Nn6SuWm0c307h32SiGkd9BaeQWlAktfD3KO8/edit?usp=sharing"",""เพชรบูรณ์!Q207"")+IMPORTRANGE(""https://docs.google.com/spreadsheets/d/1lOVebEIsI9qjGXl6EX66luk7wiuP2tBaryw-wKvv4e0/edit?usp=sharing"",""แพร่!Q207"")+IMPORTRANGE(""https://docs.google.com/spreadshe"&amp;"ets/d/1dQrvX0vEcN7Gu0fnZ0B5S90AeR19zth4XlExFBeExMY/edit?usp=sharing"",""แม่ฮ่องสอน!Q207"")+IMPORTRANGE(""https://docs.google.com/spreadsheets/d/1DY4XTNNwjluuxqdfdn6qvOSlMRrZqUtmYcZR0ttFiG4/edit?usp=sharing"",""ลำปาง!Q207"")+IMPORTRANGE(""https://docs.goog"&amp;"le.com/spreadsheets/d/1ICwG78r0OFT8biBlxnBF8r7she7gNSzOvJ958PWT09c/edit?usp=sharing"",""ลำพูน!Q207"")+IMPORTRANGE(""https://docs.google.com/spreadsheets/d/1B0f2xJpZUC6Z0xXnqKlZtEPzsf6L84eP1r1Q15seqRM/edit?usp=sharing"",""สุโขทัย!Q207"")+IMPORTRANGE(""http"&amp;"s://docs.google.com/spreadsheets/d/1v0b9pFQCsKUVExMei7AgY2yQkdeNQvtOssygGsXbiKo/edit?usp=sharing"",""อุตรดิตถ์!Q207"")+IMPORTRANGE(""https://docs.google.com/spreadsheets/d/1UsNK1e-WWiCo2PvGqdNfdme4m17_Ezd3J69EeeiQPD0/edit?usp=sharing"",""อุทัยธานี!Q207"")"),0)</f>
        <v>0</v>
      </c>
      <c r="R207" s="46">
        <f ca="1">IFERROR(__xludf.DUMMYFUNCTION("IMPORTRANGE(""https://docs.google.com/spreadsheets/d/1jTcq05yEiRwXcBMLjiodW9e4biSGYWAHcDj22rKWQ3s/edit?usp=sharing"",""กำแพงเพชร!R207"")+IMPORTRANGE(""https://docs.google.com/spreadsheets/d/1KS0zmDSZPk8KnTAbGN-Xk6MtX1YRZD0ldgdt20K4CRk/edit?usp=sharing"","&amp;"""เชียงราย!R207"")+IMPORTRANGE(""https://docs.google.com/spreadsheets/d/1rEDxBtusbi64tE0zunoIbsTVV16HeL0oJ6trHQeQ7K8/edit?usp=sharing"",""เชียงใหม่!R207"")+IMPORTRANGE(""https://docs.google.com/spreadsheets/d/1W6MnUbDkMi6xHnHko_XkFDO9kkuL6Wqyc-6OCDFjW9I/e"&amp;"dit?usp=sharing"",""ตาก!R207"")+IMPORTRANGE(""https://docs.google.com/spreadsheets/d/1IQAWArduLkta9LpYo4a_ULsyqdta6-6aDDiwpUnQT6c/edit?usp=sharing"",""นครสวรรค์!R207"")+IMPORTRANGE(""https://docs.google.com/spreadsheets/d/10s13Sk5xrltsiR-Zkbmk5DwIaDIKO8Xl"&amp;"bJAfqyT7Gvg/edit?usp=sharing"",""น่าน!R207"")+IMPORTRANGE(""https://docs.google.com/spreadsheets/d/1uu4nAn4Dbi1XREnLKKotUANlKXa7yCgRcgq8HEzQYW8/edit?usp=sharing"",""พะเยา!R207"")+IMPORTRANGE(""https://docs.google.com/spreadsheets/d/1xfJKIQxVOaPDIICqsflNlL"&amp;"u3JacTDk1FP9RH4phX7mI/edit?usp=sharing"",""พิจิตร!R207"")+IMPORTRANGE(""https://docs.google.com/spreadsheets/d/1JtRfZkJMHtEhI5RdRHxYUG4FIZHqKDpNyIuN7A1Q0_k/edit?usp=sharing"",""พิษณุโลก!R207"")+IMPORTRANGE(""https://docs.google.com/spreadsheets/d/1xlcVZWU"&amp;"Nn6SuWm0c307h32SiGkd9BaeQWlAktfD3KO8/edit?usp=sharing"",""เพชรบูรณ์!R207"")+IMPORTRANGE(""https://docs.google.com/spreadsheets/d/1lOVebEIsI9qjGXl6EX66luk7wiuP2tBaryw-wKvv4e0/edit?usp=sharing"",""แพร่!R207"")+IMPORTRANGE(""https://docs.google.com/spreadshe"&amp;"ets/d/1dQrvX0vEcN7Gu0fnZ0B5S90AeR19zth4XlExFBeExMY/edit?usp=sharing"",""แม่ฮ่องสอน!R207"")+IMPORTRANGE(""https://docs.google.com/spreadsheets/d/1DY4XTNNwjluuxqdfdn6qvOSlMRrZqUtmYcZR0ttFiG4/edit?usp=sharing"",""ลำปาง!R207"")+IMPORTRANGE(""https://docs.goog"&amp;"le.com/spreadsheets/d/1ICwG78r0OFT8biBlxnBF8r7she7gNSzOvJ958PWT09c/edit?usp=sharing"",""ลำพูน!R207"")+IMPORTRANGE(""https://docs.google.com/spreadsheets/d/1B0f2xJpZUC6Z0xXnqKlZtEPzsf6L84eP1r1Q15seqRM/edit?usp=sharing"",""สุโขทัย!R207"")+IMPORTRANGE(""http"&amp;"s://docs.google.com/spreadsheets/d/1v0b9pFQCsKUVExMei7AgY2yQkdeNQvtOssygGsXbiKo/edit?usp=sharing"",""อุตรดิตถ์!R207"")+IMPORTRANGE(""https://docs.google.com/spreadsheets/d/1UsNK1e-WWiCo2PvGqdNfdme4m17_Ezd3J69EeeiQPD0/edit?usp=sharing"",""อุทัยธานี!R207"")"),0)</f>
        <v>0</v>
      </c>
      <c r="S207" s="46">
        <f ca="1">IFERROR(__xludf.DUMMYFUNCTION("IMPORTRANGE(""https://docs.google.com/spreadsheets/d/1jTcq05yEiRwXcBMLjiodW9e4biSGYWAHcDj22rKWQ3s/edit?usp=sharing"",""กำแพงเพชร!S207"")+IMPORTRANGE(""https://docs.google.com/spreadsheets/d/1KS0zmDSZPk8KnTAbGN-Xk6MtX1YRZD0ldgdt20K4CRk/edit?usp=sharing"","&amp;"""เชียงราย!S207"")+IMPORTRANGE(""https://docs.google.com/spreadsheets/d/1rEDxBtusbi64tE0zunoIbsTVV16HeL0oJ6trHQeQ7K8/edit?usp=sharing"",""เชียงใหม่!S207"")+IMPORTRANGE(""https://docs.google.com/spreadsheets/d/1W6MnUbDkMi6xHnHko_XkFDO9kkuL6Wqyc-6OCDFjW9I/e"&amp;"dit?usp=sharing"",""ตาก!S207"")+IMPORTRANGE(""https://docs.google.com/spreadsheets/d/1IQAWArduLkta9LpYo4a_ULsyqdta6-6aDDiwpUnQT6c/edit?usp=sharing"",""นครสวรรค์!S207"")+IMPORTRANGE(""https://docs.google.com/spreadsheets/d/10s13Sk5xrltsiR-Zkbmk5DwIaDIKO8Xl"&amp;"bJAfqyT7Gvg/edit?usp=sharing"",""น่าน!S207"")+IMPORTRANGE(""https://docs.google.com/spreadsheets/d/1uu4nAn4Dbi1XREnLKKotUANlKXa7yCgRcgq8HEzQYW8/edit?usp=sharing"",""พะเยา!S207"")+IMPORTRANGE(""https://docs.google.com/spreadsheets/d/1xfJKIQxVOaPDIICqsflNlL"&amp;"u3JacTDk1FP9RH4phX7mI/edit?usp=sharing"",""พิจิตร!S207"")+IMPORTRANGE(""https://docs.google.com/spreadsheets/d/1JtRfZkJMHtEhI5RdRHxYUG4FIZHqKDpNyIuN7A1Q0_k/edit?usp=sharing"",""พิษณุโลก!S207"")+IMPORTRANGE(""https://docs.google.com/spreadsheets/d/1xlcVZWU"&amp;"Nn6SuWm0c307h32SiGkd9BaeQWlAktfD3KO8/edit?usp=sharing"",""เพชรบูรณ์!S207"")+IMPORTRANGE(""https://docs.google.com/spreadsheets/d/1lOVebEIsI9qjGXl6EX66luk7wiuP2tBaryw-wKvv4e0/edit?usp=sharing"",""แพร่!S207"")+IMPORTRANGE(""https://docs.google.com/spreadshe"&amp;"ets/d/1dQrvX0vEcN7Gu0fnZ0B5S90AeR19zth4XlExFBeExMY/edit?usp=sharing"",""แม่ฮ่องสอน!S207"")+IMPORTRANGE(""https://docs.google.com/spreadsheets/d/1DY4XTNNwjluuxqdfdn6qvOSlMRrZqUtmYcZR0ttFiG4/edit?usp=sharing"",""ลำปาง!S207"")+IMPORTRANGE(""https://docs.goog"&amp;"le.com/spreadsheets/d/1ICwG78r0OFT8biBlxnBF8r7she7gNSzOvJ958PWT09c/edit?usp=sharing"",""ลำพูน!S207"")+IMPORTRANGE(""https://docs.google.com/spreadsheets/d/1B0f2xJpZUC6Z0xXnqKlZtEPzsf6L84eP1r1Q15seqRM/edit?usp=sharing"",""สุโขทัย!S207"")+IMPORTRANGE(""http"&amp;"s://docs.google.com/spreadsheets/d/1v0b9pFQCsKUVExMei7AgY2yQkdeNQvtOssygGsXbiKo/edit?usp=sharing"",""อุตรดิตถ์!S207"")+IMPORTRANGE(""https://docs.google.com/spreadsheets/d/1UsNK1e-WWiCo2PvGqdNfdme4m17_Ezd3J69EeeiQPD0/edit?usp=sharing"",""อุทัยธานี!S207"")"),0)</f>
        <v>0</v>
      </c>
      <c r="T207" s="152"/>
      <c r="U207" s="46"/>
    </row>
    <row r="208" spans="1:21" ht="19.5" x14ac:dyDescent="0.3">
      <c r="A208" s="138"/>
      <c r="B208" s="139"/>
      <c r="C208" s="129" t="s">
        <v>18</v>
      </c>
      <c r="D208" s="140" t="s">
        <v>38</v>
      </c>
      <c r="E208" s="141"/>
      <c r="F208" s="141"/>
      <c r="G208" s="142"/>
      <c r="H208" s="143"/>
      <c r="I208" s="135"/>
      <c r="J208" s="135"/>
      <c r="K208" s="136"/>
      <c r="L208" s="136"/>
      <c r="M208" s="136"/>
      <c r="N208" s="136"/>
      <c r="O208" s="136"/>
      <c r="P208" s="136"/>
      <c r="Q208" s="152"/>
      <c r="R208" s="152"/>
      <c r="S208" s="152"/>
      <c r="T208" s="152"/>
      <c r="U208" s="152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66">
        <f ca="1">IFERROR(__xludf.DUMMYFUNCTION("IMPORTRANGE(""https://docs.google.com/spreadsheets/d/1jTcq05yEiRwXcBMLjiodW9e4biSGYWAHcDj22rKWQ3s/edit?usp=sharing"",""กำแพงเพชร!I209"")+IMPORTRANGE(""https://docs.google.com/spreadsheets/d/1KS0zmDSZPk8KnTAbGN-Xk6MtX1YRZD0ldgdt20K4CRk/edit?usp=sharing"","&amp;"""เชียงราย!I209"")+IMPORTRANGE(""https://docs.google.com/spreadsheets/d/1rEDxBtusbi64tE0zunoIbsTVV16HeL0oJ6trHQeQ7K8/edit?usp=sharing"",""เชียงใหม่!I209"")+IMPORTRANGE(""https://docs.google.com/spreadsheets/d/1W6MnUbDkMi6xHnHko_XkFDO9kkuL6Wqyc-6OCDFjW9I/e"&amp;"dit?usp=sharing"",""ตาก!I209"")+IMPORTRANGE(""https://docs.google.com/spreadsheets/d/1IQAWArduLkta9LpYo4a_ULsyqdta6-6aDDiwpUnQT6c/edit?usp=sharing"",""นครสวรรค์!I209"")+IMPORTRANGE(""https://docs.google.com/spreadsheets/d/10s13Sk5xrltsiR-Zkbmk5DwIaDIKO8Xl"&amp;"bJAfqyT7Gvg/edit?usp=sharing"",""น่าน!I209"")+IMPORTRANGE(""https://docs.google.com/spreadsheets/d/1uu4nAn4Dbi1XREnLKKotUANlKXa7yCgRcgq8HEzQYW8/edit?usp=sharing"",""พะเยา!I209"")+IMPORTRANGE(""https://docs.google.com/spreadsheets/d/1xfJKIQxVOaPDIICqsflNlL"&amp;"u3JacTDk1FP9RH4phX7mI/edit?usp=sharing"",""พิจิตร!I209"")+IMPORTRANGE(""https://docs.google.com/spreadsheets/d/1JtRfZkJMHtEhI5RdRHxYUG4FIZHqKDpNyIuN7A1Q0_k/edit?usp=sharing"",""พิษณุโลก!I209"")+IMPORTRANGE(""https://docs.google.com/spreadsheets/d/1xlcVZWU"&amp;"Nn6SuWm0c307h32SiGkd9BaeQWlAktfD3KO8/edit?usp=sharing"",""เพชรบูรณ์!I209"")+IMPORTRANGE(""https://docs.google.com/spreadsheets/d/1lOVebEIsI9qjGXl6EX66luk7wiuP2tBaryw-wKvv4e0/edit?usp=sharing"",""แพร่!I209"")+IMPORTRANGE(""https://docs.google.com/spreadshe"&amp;"ets/d/1dQrvX0vEcN7Gu0fnZ0B5S90AeR19zth4XlExFBeExMY/edit?usp=sharing"",""แม่ฮ่องสอน!I209"")+IMPORTRANGE(""https://docs.google.com/spreadsheets/d/1DY4XTNNwjluuxqdfdn6qvOSlMRrZqUtmYcZR0ttFiG4/edit?usp=sharing"",""ลำปาง!I209"")+IMPORTRANGE(""https://docs.goog"&amp;"le.com/spreadsheets/d/1ICwG78r0OFT8biBlxnBF8r7she7gNSzOvJ958PWT09c/edit?usp=sharing"",""ลำพูน!I209"")+IMPORTRANGE(""https://docs.google.com/spreadsheets/d/1B0f2xJpZUC6Z0xXnqKlZtEPzsf6L84eP1r1Q15seqRM/edit?usp=sharing"",""สุโขทัย!I209"")+IMPORTRANGE(""http"&amp;"s://docs.google.com/spreadsheets/d/1v0b9pFQCsKUVExMei7AgY2yQkdeNQvtOssygGsXbiKo/edit?usp=sharing"",""อุตรดิตถ์!I209"")+IMPORTRANGE(""https://docs.google.com/spreadsheets/d/1UsNK1e-WWiCo2PvGqdNfdme4m17_Ezd3J69EeeiQPD0/edit?usp=sharing"",""อุทัยธานี!I209"")"),53)</f>
        <v>53</v>
      </c>
      <c r="J209" s="166">
        <f ca="1">IFERROR(__xludf.DUMMYFUNCTION("IMPORTRANGE(""https://docs.google.com/spreadsheets/d/1jTcq05yEiRwXcBMLjiodW9e4biSGYWAHcDj22rKWQ3s/edit?usp=sharing"",""กำแพงเพชร!J209"")+IMPORTRANGE(""https://docs.google.com/spreadsheets/d/1KS0zmDSZPk8KnTAbGN-Xk6MtX1YRZD0ldgdt20K4CRk/edit?usp=sharing"","&amp;"""เชียงราย!J209"")+IMPORTRANGE(""https://docs.google.com/spreadsheets/d/1rEDxBtusbi64tE0zunoIbsTVV16HeL0oJ6trHQeQ7K8/edit?usp=sharing"",""เชียงใหม่!J209"")+IMPORTRANGE(""https://docs.google.com/spreadsheets/d/1W6MnUbDkMi6xHnHko_XkFDO9kkuL6Wqyc-6OCDFjW9I/e"&amp;"dit?usp=sharing"",""ตาก!J209"")+IMPORTRANGE(""https://docs.google.com/spreadsheets/d/1IQAWArduLkta9LpYo4a_ULsyqdta6-6aDDiwpUnQT6c/edit?usp=sharing"",""นครสวรรค์!J209"")+IMPORTRANGE(""https://docs.google.com/spreadsheets/d/10s13Sk5xrltsiR-Zkbmk5DwIaDIKO8Xl"&amp;"bJAfqyT7Gvg/edit?usp=sharing"",""น่าน!J209"")+IMPORTRANGE(""https://docs.google.com/spreadsheets/d/1uu4nAn4Dbi1XREnLKKotUANlKXa7yCgRcgq8HEzQYW8/edit?usp=sharing"",""พะเยา!J209"")+IMPORTRANGE(""https://docs.google.com/spreadsheets/d/1xfJKIQxVOaPDIICqsflNlL"&amp;"u3JacTDk1FP9RH4phX7mI/edit?usp=sharing"",""พิจิตร!J209"")+IMPORTRANGE(""https://docs.google.com/spreadsheets/d/1JtRfZkJMHtEhI5RdRHxYUG4FIZHqKDpNyIuN7A1Q0_k/edit?usp=sharing"",""พิษณุโลก!J209"")+IMPORTRANGE(""https://docs.google.com/spreadsheets/d/1xlcVZWU"&amp;"Nn6SuWm0c307h32SiGkd9BaeQWlAktfD3KO8/edit?usp=sharing"",""เพชรบูรณ์!J209"")+IMPORTRANGE(""https://docs.google.com/spreadsheets/d/1lOVebEIsI9qjGXl6EX66luk7wiuP2tBaryw-wKvv4e0/edit?usp=sharing"",""แพร่!J209"")+IMPORTRANGE(""https://docs.google.com/spreadshe"&amp;"ets/d/1dQrvX0vEcN7Gu0fnZ0B5S90AeR19zth4XlExFBeExMY/edit?usp=sharing"",""แม่ฮ่องสอน!J209"")+IMPORTRANGE(""https://docs.google.com/spreadsheets/d/1DY4XTNNwjluuxqdfdn6qvOSlMRrZqUtmYcZR0ttFiG4/edit?usp=sharing"",""ลำปาง!J209"")+IMPORTRANGE(""https://docs.goog"&amp;"le.com/spreadsheets/d/1ICwG78r0OFT8biBlxnBF8r7she7gNSzOvJ958PWT09c/edit?usp=sharing"",""ลำพูน!J209"")+IMPORTRANGE(""https://docs.google.com/spreadsheets/d/1B0f2xJpZUC6Z0xXnqKlZtEPzsf6L84eP1r1Q15seqRM/edit?usp=sharing"",""สุโขทัย!J209"")+IMPORTRANGE(""http"&amp;"s://docs.google.com/spreadsheets/d/1v0b9pFQCsKUVExMei7AgY2yQkdeNQvtOssygGsXbiKo/edit?usp=sharing"",""อุตรดิตถ์!J209"")+IMPORTRANGE(""https://docs.google.com/spreadsheets/d/1UsNK1e-WWiCo2PvGqdNfdme4m17_Ezd3J69EeeiQPD0/edit?usp=sharing"",""อุทัยธานี!J209"")"),9)</f>
        <v>9</v>
      </c>
      <c r="K209" s="152">
        <f ca="1">IF(I209&gt;0,J209*100/I209,0)</f>
        <v>16.981132075471699</v>
      </c>
      <c r="L209" s="45"/>
      <c r="M209" s="45"/>
      <c r="N209" s="45"/>
      <c r="O209" s="45"/>
      <c r="P209" s="45"/>
      <c r="Q209" s="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45"/>
      <c r="M210" s="45"/>
      <c r="N210" s="45"/>
      <c r="O210" s="45"/>
      <c r="P210" s="45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v>0</v>
      </c>
      <c r="J211" s="166">
        <f ca="1">IFERROR(__xludf.DUMMYFUNCTION("IMPORTRANGE(""https://docs.google.com/spreadsheets/d/1jTcq05yEiRwXcBMLjiodW9e4biSGYWAHcDj22rKWQ3s/edit?usp=sharing"",""กำแพงเพชร!J211"")+IMPORTRANGE(""https://docs.google.com/spreadsheets/d/1KS0zmDSZPk8KnTAbGN-Xk6MtX1YRZD0ldgdt20K4CRk/edit?usp=sharing"","&amp;"""เชียงราย!J211"")+IMPORTRANGE(""https://docs.google.com/spreadsheets/d/1rEDxBtusbi64tE0zunoIbsTVV16HeL0oJ6trHQeQ7K8/edit?usp=sharing"",""เชียงใหม่!J211"")+IMPORTRANGE(""https://docs.google.com/spreadsheets/d/1W6MnUbDkMi6xHnHko_XkFDO9kkuL6Wqyc-6OCDFjW9I/e"&amp;"dit?usp=sharing"",""ตาก!J211"")+IMPORTRANGE(""https://docs.google.com/spreadsheets/d/1IQAWArduLkta9LpYo4a_ULsyqdta6-6aDDiwpUnQT6c/edit?usp=sharing"",""นครสวรรค์!J211"")+IMPORTRANGE(""https://docs.google.com/spreadsheets/d/10s13Sk5xrltsiR-Zkbmk5DwIaDIKO8Xl"&amp;"bJAfqyT7Gvg/edit?usp=sharing"",""น่าน!J211"")+IMPORTRANGE(""https://docs.google.com/spreadsheets/d/1uu4nAn4Dbi1XREnLKKotUANlKXa7yCgRcgq8HEzQYW8/edit?usp=sharing"",""พะเยา!J211"")+IMPORTRANGE(""https://docs.google.com/spreadsheets/d/1xfJKIQxVOaPDIICqsflNlL"&amp;"u3JacTDk1FP9RH4phX7mI/edit?usp=sharing"",""พิจิตร!J211"")+IMPORTRANGE(""https://docs.google.com/spreadsheets/d/1JtRfZkJMHtEhI5RdRHxYUG4FIZHqKDpNyIuN7A1Q0_k/edit?usp=sharing"",""พิษณุโลก!J211"")+IMPORTRANGE(""https://docs.google.com/spreadsheets/d/1xlcVZWU"&amp;"Nn6SuWm0c307h32SiGkd9BaeQWlAktfD3KO8/edit?usp=sharing"",""เพชรบูรณ์!J211"")+IMPORTRANGE(""https://docs.google.com/spreadsheets/d/1lOVebEIsI9qjGXl6EX66luk7wiuP2tBaryw-wKvv4e0/edit?usp=sharing"",""แพร่!J211"")+IMPORTRANGE(""https://docs.google.com/spreadshe"&amp;"ets/d/1dQrvX0vEcN7Gu0fnZ0B5S90AeR19zth4XlExFBeExMY/edit?usp=sharing"",""แม่ฮ่องสอน!J211"")+IMPORTRANGE(""https://docs.google.com/spreadsheets/d/1DY4XTNNwjluuxqdfdn6qvOSlMRrZqUtmYcZR0ttFiG4/edit?usp=sharing"",""ลำปาง!J211"")+IMPORTRANGE(""https://docs.goog"&amp;"le.com/spreadsheets/d/1ICwG78r0OFT8biBlxnBF8r7she7gNSzOvJ958PWT09c/edit?usp=sharing"",""ลำพูน!J211"")+IMPORTRANGE(""https://docs.google.com/spreadsheets/d/1B0f2xJpZUC6Z0xXnqKlZtEPzsf6L84eP1r1Q15seqRM/edit?usp=sharing"",""สุโขทัย!J211"")+IMPORTRANGE(""http"&amp;"s://docs.google.com/spreadsheets/d/1v0b9pFQCsKUVExMei7AgY2yQkdeNQvtOssygGsXbiKo/edit?usp=sharing"",""อุตรดิตถ์!J211"")+IMPORTRANGE(""https://docs.google.com/spreadsheets/d/1UsNK1e-WWiCo2PvGqdNfdme4m17_Ezd3J69EeeiQPD0/edit?usp=sharing"",""อุทัยธานี!J211"")"),9)</f>
        <v>9</v>
      </c>
      <c r="K211" s="152">
        <f t="shared" ref="K211:K213" si="175">IF(I211&gt;0,J211*100/I211,0)</f>
        <v>0</v>
      </c>
      <c r="L211" s="45"/>
      <c r="M211" s="45"/>
      <c r="N211" s="45"/>
      <c r="O211" s="45"/>
      <c r="P211" s="45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v>0</v>
      </c>
      <c r="J212" s="166">
        <f ca="1">IFERROR(__xludf.DUMMYFUNCTION("IMPORTRANGE(""https://docs.google.com/spreadsheets/d/1jTcq05yEiRwXcBMLjiodW9e4biSGYWAHcDj22rKWQ3s/edit?usp=sharing"",""กำแพงเพชร!J212"")+IMPORTRANGE(""https://docs.google.com/spreadsheets/d/1KS0zmDSZPk8KnTAbGN-Xk6MtX1YRZD0ldgdt20K4CRk/edit?usp=sharing"","&amp;"""เชียงราย!J212"")+IMPORTRANGE(""https://docs.google.com/spreadsheets/d/1rEDxBtusbi64tE0zunoIbsTVV16HeL0oJ6trHQeQ7K8/edit?usp=sharing"",""เชียงใหม่!J212"")+IMPORTRANGE(""https://docs.google.com/spreadsheets/d/1W6MnUbDkMi6xHnHko_XkFDO9kkuL6Wqyc-6OCDFjW9I/e"&amp;"dit?usp=sharing"",""ตาก!J212"")+IMPORTRANGE(""https://docs.google.com/spreadsheets/d/1IQAWArduLkta9LpYo4a_ULsyqdta6-6aDDiwpUnQT6c/edit?usp=sharing"",""นครสวรรค์!J212"")+IMPORTRANGE(""https://docs.google.com/spreadsheets/d/10s13Sk5xrltsiR-Zkbmk5DwIaDIKO8Xl"&amp;"bJAfqyT7Gvg/edit?usp=sharing"",""น่าน!J212"")+IMPORTRANGE(""https://docs.google.com/spreadsheets/d/1uu4nAn4Dbi1XREnLKKotUANlKXa7yCgRcgq8HEzQYW8/edit?usp=sharing"",""พะเยา!J212"")+IMPORTRANGE(""https://docs.google.com/spreadsheets/d/1xfJKIQxVOaPDIICqsflNlL"&amp;"u3JacTDk1FP9RH4phX7mI/edit?usp=sharing"",""พิจิตร!J212"")+IMPORTRANGE(""https://docs.google.com/spreadsheets/d/1JtRfZkJMHtEhI5RdRHxYUG4FIZHqKDpNyIuN7A1Q0_k/edit?usp=sharing"",""พิษณุโลก!J212"")+IMPORTRANGE(""https://docs.google.com/spreadsheets/d/1xlcVZWU"&amp;"Nn6SuWm0c307h32SiGkd9BaeQWlAktfD3KO8/edit?usp=sharing"",""เพชรบูรณ์!J212"")+IMPORTRANGE(""https://docs.google.com/spreadsheets/d/1lOVebEIsI9qjGXl6EX66luk7wiuP2tBaryw-wKvv4e0/edit?usp=sharing"",""แพร่!J212"")+IMPORTRANGE(""https://docs.google.com/spreadshe"&amp;"ets/d/1dQrvX0vEcN7Gu0fnZ0B5S90AeR19zth4XlExFBeExMY/edit?usp=sharing"",""แม่ฮ่องสอน!J212"")+IMPORTRANGE(""https://docs.google.com/spreadsheets/d/1DY4XTNNwjluuxqdfdn6qvOSlMRrZqUtmYcZR0ttFiG4/edit?usp=sharing"",""ลำปาง!J212"")+IMPORTRANGE(""https://docs.goog"&amp;"le.com/spreadsheets/d/1ICwG78r0OFT8biBlxnBF8r7she7gNSzOvJ958PWT09c/edit?usp=sharing"",""ลำพูน!J212"")+IMPORTRANGE(""https://docs.google.com/spreadsheets/d/1B0f2xJpZUC6Z0xXnqKlZtEPzsf6L84eP1r1Q15seqRM/edit?usp=sharing"",""สุโขทัย!J212"")+IMPORTRANGE(""http"&amp;"s://docs.google.com/spreadsheets/d/1v0b9pFQCsKUVExMei7AgY2yQkdeNQvtOssygGsXbiKo/edit?usp=sharing"",""อุตรดิตถ์!J212"")+IMPORTRANGE(""https://docs.google.com/spreadsheets/d/1UsNK1e-WWiCo2PvGqdNfdme4m17_Ezd3J69EeeiQPD0/edit?usp=sharing"",""อุทัยธานี!J212"")"),2)</f>
        <v>2</v>
      </c>
      <c r="K212" s="152">
        <f t="shared" si="175"/>
        <v>0</v>
      </c>
      <c r="L212" s="45"/>
      <c r="M212" s="45"/>
      <c r="N212" s="45"/>
      <c r="O212" s="45"/>
      <c r="P212" s="45"/>
      <c r="Q212" s="46"/>
      <c r="R212" s="46"/>
      <c r="S212" s="46"/>
      <c r="T212" s="46"/>
      <c r="U212" s="46"/>
    </row>
    <row r="213" spans="1:21" ht="19.5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217">
        <f t="shared" ref="I213:J213" ca="1" si="176">I220</f>
        <v>4</v>
      </c>
      <c r="J213" s="217">
        <f t="shared" ca="1" si="176"/>
        <v>0</v>
      </c>
      <c r="K213" s="218">
        <f t="shared" ca="1" si="175"/>
        <v>0</v>
      </c>
      <c r="L213" s="219"/>
      <c r="M213" s="219"/>
      <c r="N213" s="219"/>
      <c r="O213" s="219"/>
      <c r="P213" s="219"/>
      <c r="Q213" s="226"/>
      <c r="R213" s="226"/>
      <c r="S213" s="226"/>
      <c r="T213" s="226"/>
      <c r="U213" s="226"/>
    </row>
    <row r="214" spans="1:21" ht="19.5" x14ac:dyDescent="0.3">
      <c r="A214" s="128"/>
      <c r="B214" s="40"/>
      <c r="C214" s="129" t="s">
        <v>18</v>
      </c>
      <c r="D214" s="220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132">
        <f t="shared" ref="L214:N214" ca="1" si="177">L215+L216+L217</f>
        <v>24000</v>
      </c>
      <c r="M214" s="132">
        <f t="shared" ca="1" si="177"/>
        <v>0</v>
      </c>
      <c r="N214" s="132">
        <f t="shared" ca="1" si="177"/>
        <v>0</v>
      </c>
      <c r="O214" s="132">
        <f ca="1">IF(L214&gt;0,N214*100/L214,0)</f>
        <v>0</v>
      </c>
      <c r="P214" s="45"/>
      <c r="Q214" s="46">
        <f t="shared" ref="Q214:S214" ca="1" si="178">Q215+Q216+Q217</f>
        <v>198800</v>
      </c>
      <c r="R214" s="46">
        <f t="shared" ca="1" si="178"/>
        <v>0</v>
      </c>
      <c r="S214" s="46">
        <f t="shared" ca="1" si="178"/>
        <v>0</v>
      </c>
      <c r="T214" s="46"/>
      <c r="U214" s="46"/>
    </row>
    <row r="215" spans="1:21" ht="18.75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46">
        <f ca="1">IFERROR(__xludf.DUMMYFUNCTION("IMPORTRANGE(""https://docs.google.com/spreadsheets/d/1jTcq05yEiRwXcBMLjiodW9e4biSGYWAHcDj22rKWQ3s/edit?usp=sharing"",""กำแพงเพชร!L215"")+IMPORTRANGE(""https://docs.google.com/spreadsheets/d/1KS0zmDSZPk8KnTAbGN-Xk6MtX1YRZD0ldgdt20K4CRk/edit?usp=sharing"","&amp;"""เชียงราย!L215"")+IMPORTRANGE(""https://docs.google.com/spreadsheets/d/1rEDxBtusbi64tE0zunoIbsTVV16HeL0oJ6trHQeQ7K8/edit?usp=sharing"",""เชียงใหม่!L215"")+IMPORTRANGE(""https://docs.google.com/spreadsheets/d/1W6MnUbDkMi6xHnHko_XkFDO9kkuL6Wqyc-6OCDFjW9I/e"&amp;"dit?usp=sharing"",""ตาก!L215"")+IMPORTRANGE(""https://docs.google.com/spreadsheets/d/1IQAWArduLkta9LpYo4a_ULsyqdta6-6aDDiwpUnQT6c/edit?usp=sharing"",""นครสวรรค์!L215"")+IMPORTRANGE(""https://docs.google.com/spreadsheets/d/10s13Sk5xrltsiR-Zkbmk5DwIaDIKO8Xl"&amp;"bJAfqyT7Gvg/edit?usp=sharing"",""น่าน!L215"")+IMPORTRANGE(""https://docs.google.com/spreadsheets/d/1uu4nAn4Dbi1XREnLKKotUANlKXa7yCgRcgq8HEzQYW8/edit?usp=sharing"",""พะเยา!L215"")+IMPORTRANGE(""https://docs.google.com/spreadsheets/d/1xfJKIQxVOaPDIICqsflNlL"&amp;"u3JacTDk1FP9RH4phX7mI/edit?usp=sharing"",""พิจิตร!L215"")+IMPORTRANGE(""https://docs.google.com/spreadsheets/d/1JtRfZkJMHtEhI5RdRHxYUG4FIZHqKDpNyIuN7A1Q0_k/edit?usp=sharing"",""พิษณุโลก!L215"")+IMPORTRANGE(""https://docs.google.com/spreadsheets/d/1xlcVZWU"&amp;"Nn6SuWm0c307h32SiGkd9BaeQWlAktfD3KO8/edit?usp=sharing"",""เพชรบูรณ์!L215"")+IMPORTRANGE(""https://docs.google.com/spreadsheets/d/1lOVebEIsI9qjGXl6EX66luk7wiuP2tBaryw-wKvv4e0/edit?usp=sharing"",""แพร่!L215"")+IMPORTRANGE(""https://docs.google.com/spreadshe"&amp;"ets/d/1dQrvX0vEcN7Gu0fnZ0B5S90AeR19zth4XlExFBeExMY/edit?usp=sharing"",""แม่ฮ่องสอน!L215"")+IMPORTRANGE(""https://docs.google.com/spreadsheets/d/1DY4XTNNwjluuxqdfdn6qvOSlMRrZqUtmYcZR0ttFiG4/edit?usp=sharing"",""ลำปาง!L215"")+IMPORTRANGE(""https://docs.goog"&amp;"le.com/spreadsheets/d/1ICwG78r0OFT8biBlxnBF8r7she7gNSzOvJ958PWT09c/edit?usp=sharing"",""ลำพูน!L215"")+IMPORTRANGE(""https://docs.google.com/spreadsheets/d/1B0f2xJpZUC6Z0xXnqKlZtEPzsf6L84eP1r1Q15seqRM/edit?usp=sharing"",""สุโขทัย!L215"")+IMPORTRANGE(""http"&amp;"s://docs.google.com/spreadsheets/d/1v0b9pFQCsKUVExMei7AgY2yQkdeNQvtOssygGsXbiKo/edit?usp=sharing"",""อุตรดิตถ์!L215"")+IMPORTRANGE(""https://docs.google.com/spreadsheets/d/1UsNK1e-WWiCo2PvGqdNfdme4m17_Ezd3J69EeeiQPD0/edit?usp=sharing"",""อุทัยธานี!L215"")"),4000)</f>
        <v>4000</v>
      </c>
      <c r="M215" s="46">
        <f ca="1">IFERROR(__xludf.DUMMYFUNCTION("IMPORTRANGE(""https://docs.google.com/spreadsheets/d/1jTcq05yEiRwXcBMLjiodW9e4biSGYWAHcDj22rKWQ3s/edit?usp=sharing"",""กำแพงเพชร!M215"")+IMPORTRANGE(""https://docs.google.com/spreadsheets/d/1KS0zmDSZPk8KnTAbGN-Xk6MtX1YRZD0ldgdt20K4CRk/edit?usp=sharing"","&amp;"""เชียงราย!M215"")+IMPORTRANGE(""https://docs.google.com/spreadsheets/d/1rEDxBtusbi64tE0zunoIbsTVV16HeL0oJ6trHQeQ7K8/edit?usp=sharing"",""เชียงใหม่!M215"")+IMPORTRANGE(""https://docs.google.com/spreadsheets/d/1W6MnUbDkMi6xHnHko_XkFDO9kkuL6Wqyc-6OCDFjW9I/e"&amp;"dit?usp=sharing"",""ตาก!M215"")+IMPORTRANGE(""https://docs.google.com/spreadsheets/d/1IQAWArduLkta9LpYo4a_ULsyqdta6-6aDDiwpUnQT6c/edit?usp=sharing"",""นครสวรรค์!M215"")+IMPORTRANGE(""https://docs.google.com/spreadsheets/d/10s13Sk5xrltsiR-Zkbmk5DwIaDIKO8Xl"&amp;"bJAfqyT7Gvg/edit?usp=sharing"",""น่าน!M215"")+IMPORTRANGE(""https://docs.google.com/spreadsheets/d/1uu4nAn4Dbi1XREnLKKotUANlKXa7yCgRcgq8HEzQYW8/edit?usp=sharing"",""พะเยา!M215"")+IMPORTRANGE(""https://docs.google.com/spreadsheets/d/1xfJKIQxVOaPDIICqsflNlL"&amp;"u3JacTDk1FP9RH4phX7mI/edit?usp=sharing"",""พิจิตร!M215"")+IMPORTRANGE(""https://docs.google.com/spreadsheets/d/1JtRfZkJMHtEhI5RdRHxYUG4FIZHqKDpNyIuN7A1Q0_k/edit?usp=sharing"",""พิษณุโลก!M215"")+IMPORTRANGE(""https://docs.google.com/spreadsheets/d/1xlcVZWU"&amp;"Nn6SuWm0c307h32SiGkd9BaeQWlAktfD3KO8/edit?usp=sharing"",""เพชรบูรณ์!M215"")+IMPORTRANGE(""https://docs.google.com/spreadsheets/d/1lOVebEIsI9qjGXl6EX66luk7wiuP2tBaryw-wKvv4e0/edit?usp=sharing"",""แพร่!M215"")+IMPORTRANGE(""https://docs.google.com/spreadshe"&amp;"ets/d/1dQrvX0vEcN7Gu0fnZ0B5S90AeR19zth4XlExFBeExMY/edit?usp=sharing"",""แม่ฮ่องสอน!M215"")+IMPORTRANGE(""https://docs.google.com/spreadsheets/d/1DY4XTNNwjluuxqdfdn6qvOSlMRrZqUtmYcZR0ttFiG4/edit?usp=sharing"",""ลำปาง!M215"")+IMPORTRANGE(""https://docs.goog"&amp;"le.com/spreadsheets/d/1ICwG78r0OFT8biBlxnBF8r7she7gNSzOvJ958PWT09c/edit?usp=sharing"",""ลำพูน!M215"")+IMPORTRANGE(""https://docs.google.com/spreadsheets/d/1B0f2xJpZUC6Z0xXnqKlZtEPzsf6L84eP1r1Q15seqRM/edit?usp=sharing"",""สุโขทัย!M215"")+IMPORTRANGE(""http"&amp;"s://docs.google.com/spreadsheets/d/1v0b9pFQCsKUVExMei7AgY2yQkdeNQvtOssygGsXbiKo/edit?usp=sharing"",""อุตรดิตถ์!M215"")+IMPORTRANGE(""https://docs.google.com/spreadsheets/d/1UsNK1e-WWiCo2PvGqdNfdme4m17_Ezd3J69EeeiQPD0/edit?usp=sharing"",""อุทัยธานี!M215"")"),0)</f>
        <v>0</v>
      </c>
      <c r="N215" s="46">
        <f ca="1">IFERROR(__xludf.DUMMYFUNCTION("IMPORTRANGE(""https://docs.google.com/spreadsheets/d/1jTcq05yEiRwXcBMLjiodW9e4biSGYWAHcDj22rKWQ3s/edit?usp=sharing"",""กำแพงเพชร!N215"")+IMPORTRANGE(""https://docs.google.com/spreadsheets/d/1KS0zmDSZPk8KnTAbGN-Xk6MtX1YRZD0ldgdt20K4CRk/edit?usp=sharing"","&amp;"""เชียงราย!N215"")+IMPORTRANGE(""https://docs.google.com/spreadsheets/d/1rEDxBtusbi64tE0zunoIbsTVV16HeL0oJ6trHQeQ7K8/edit?usp=sharing"",""เชียงใหม่!N215"")+IMPORTRANGE(""https://docs.google.com/spreadsheets/d/1W6MnUbDkMi6xHnHko_XkFDO9kkuL6Wqyc-6OCDFjW9I/e"&amp;"dit?usp=sharing"",""ตาก!N215"")+IMPORTRANGE(""https://docs.google.com/spreadsheets/d/1IQAWArduLkta9LpYo4a_ULsyqdta6-6aDDiwpUnQT6c/edit?usp=sharing"",""นครสวรรค์!N215"")+IMPORTRANGE(""https://docs.google.com/spreadsheets/d/10s13Sk5xrltsiR-Zkbmk5DwIaDIKO8Xl"&amp;"bJAfqyT7Gvg/edit?usp=sharing"",""น่าน!N215"")+IMPORTRANGE(""https://docs.google.com/spreadsheets/d/1uu4nAn4Dbi1XREnLKKotUANlKXa7yCgRcgq8HEzQYW8/edit?usp=sharing"",""พะเยา!N215"")+IMPORTRANGE(""https://docs.google.com/spreadsheets/d/1xfJKIQxVOaPDIICqsflNlL"&amp;"u3JacTDk1FP9RH4phX7mI/edit?usp=sharing"",""พิจิตร!N215"")+IMPORTRANGE(""https://docs.google.com/spreadsheets/d/1JtRfZkJMHtEhI5RdRHxYUG4FIZHqKDpNyIuN7A1Q0_k/edit?usp=sharing"",""พิษณุโลก!N215"")+IMPORTRANGE(""https://docs.google.com/spreadsheets/d/1xlcVZWU"&amp;"Nn6SuWm0c307h32SiGkd9BaeQWlAktfD3KO8/edit?usp=sharing"",""เพชรบูรณ์!N215"")+IMPORTRANGE(""https://docs.google.com/spreadsheets/d/1lOVebEIsI9qjGXl6EX66luk7wiuP2tBaryw-wKvv4e0/edit?usp=sharing"",""แพร่!N215"")+IMPORTRANGE(""https://docs.google.com/spreadshe"&amp;"ets/d/1dQrvX0vEcN7Gu0fnZ0B5S90AeR19zth4XlExFBeExMY/edit?usp=sharing"",""แม่ฮ่องสอน!N215"")+IMPORTRANGE(""https://docs.google.com/spreadsheets/d/1DY4XTNNwjluuxqdfdn6qvOSlMRrZqUtmYcZR0ttFiG4/edit?usp=sharing"",""ลำปาง!N215"")+IMPORTRANGE(""https://docs.goog"&amp;"le.com/spreadsheets/d/1ICwG78r0OFT8biBlxnBF8r7she7gNSzOvJ958PWT09c/edit?usp=sharing"",""ลำพูน!N215"")+IMPORTRANGE(""https://docs.google.com/spreadsheets/d/1B0f2xJpZUC6Z0xXnqKlZtEPzsf6L84eP1r1Q15seqRM/edit?usp=sharing"",""สุโขทัย!N215"")+IMPORTRANGE(""http"&amp;"s://docs.google.com/spreadsheets/d/1v0b9pFQCsKUVExMei7AgY2yQkdeNQvtOssygGsXbiKo/edit?usp=sharing"",""อุตรดิตถ์!N215"")+IMPORTRANGE(""https://docs.google.com/spreadsheets/d/1UsNK1e-WWiCo2PvGqdNfdme4m17_Ezd3J69EeeiQPD0/edit?usp=sharing"",""อุทัยธานี!N215"")"),0)</f>
        <v>0</v>
      </c>
      <c r="O215" s="136"/>
      <c r="P215" s="45"/>
      <c r="Q215" s="46">
        <f ca="1">IFERROR(__xludf.DUMMYFUNCTION("IMPORTRANGE(""https://docs.google.com/spreadsheets/d/1jTcq05yEiRwXcBMLjiodW9e4biSGYWAHcDj22rKWQ3s/edit?usp=sharing"",""กำแพงเพชร!Q215"")+IMPORTRANGE(""https://docs.google.com/spreadsheets/d/1KS0zmDSZPk8KnTAbGN-Xk6MtX1YRZD0ldgdt20K4CRk/edit?usp=sharing"","&amp;"""เชียงราย!Q215"")+IMPORTRANGE(""https://docs.google.com/spreadsheets/d/1rEDxBtusbi64tE0zunoIbsTVV16HeL0oJ6trHQeQ7K8/edit?usp=sharing"",""เชียงใหม่!Q215"")+IMPORTRANGE(""https://docs.google.com/spreadsheets/d/1W6MnUbDkMi6xHnHko_XkFDO9kkuL6Wqyc-6OCDFjW9I/e"&amp;"dit?usp=sharing"",""ตาก!Q215"")+IMPORTRANGE(""https://docs.google.com/spreadsheets/d/1IQAWArduLkta9LpYo4a_ULsyqdta6-6aDDiwpUnQT6c/edit?usp=sharing"",""นครสวรรค์!Q215"")+IMPORTRANGE(""https://docs.google.com/spreadsheets/d/10s13Sk5xrltsiR-Zkbmk5DwIaDIKO8Xl"&amp;"bJAfqyT7Gvg/edit?usp=sharing"",""น่าน!Q215"")+IMPORTRANGE(""https://docs.google.com/spreadsheets/d/1uu4nAn4Dbi1XREnLKKotUANlKXa7yCgRcgq8HEzQYW8/edit?usp=sharing"",""พะเยา!Q215"")+IMPORTRANGE(""https://docs.google.com/spreadsheets/d/1xfJKIQxVOaPDIICqsflNlL"&amp;"u3JacTDk1FP9RH4phX7mI/edit?usp=sharing"",""พิจิตร!Q215"")+IMPORTRANGE(""https://docs.google.com/spreadsheets/d/1JtRfZkJMHtEhI5RdRHxYUG4FIZHqKDpNyIuN7A1Q0_k/edit?usp=sharing"",""พิษณุโลก!Q215"")+IMPORTRANGE(""https://docs.google.com/spreadsheets/d/1xlcVZWU"&amp;"Nn6SuWm0c307h32SiGkd9BaeQWlAktfD3KO8/edit?usp=sharing"",""เพชรบูรณ์!Q215"")+IMPORTRANGE(""https://docs.google.com/spreadsheets/d/1lOVebEIsI9qjGXl6EX66luk7wiuP2tBaryw-wKvv4e0/edit?usp=sharing"",""แพร่!Q215"")+IMPORTRANGE(""https://docs.google.com/spreadshe"&amp;"ets/d/1dQrvX0vEcN7Gu0fnZ0B5S90AeR19zth4XlExFBeExMY/edit?usp=sharing"",""แม่ฮ่องสอน!Q215"")+IMPORTRANGE(""https://docs.google.com/spreadsheets/d/1DY4XTNNwjluuxqdfdn6qvOSlMRrZqUtmYcZR0ttFiG4/edit?usp=sharing"",""ลำปาง!Q215"")+IMPORTRANGE(""https://docs.goog"&amp;"le.com/spreadsheets/d/1ICwG78r0OFT8biBlxnBF8r7she7gNSzOvJ958PWT09c/edit?usp=sharing"",""ลำพูน!Q215"")+IMPORTRANGE(""https://docs.google.com/spreadsheets/d/1B0f2xJpZUC6Z0xXnqKlZtEPzsf6L84eP1r1Q15seqRM/edit?usp=sharing"",""สุโขทัย!Q215"")+IMPORTRANGE(""http"&amp;"s://docs.google.com/spreadsheets/d/1v0b9pFQCsKUVExMei7AgY2yQkdeNQvtOssygGsXbiKo/edit?usp=sharing"",""อุตรดิตถ์!Q215"")+IMPORTRANGE(""https://docs.google.com/spreadsheets/d/1UsNK1e-WWiCo2PvGqdNfdme4m17_Ezd3J69EeeiQPD0/edit?usp=sharing"",""อุทัยธานี!Q215"")"),0)</f>
        <v>0</v>
      </c>
      <c r="R215" s="46">
        <f ca="1">IFERROR(__xludf.DUMMYFUNCTION("IMPORTRANGE(""https://docs.google.com/spreadsheets/d/1jTcq05yEiRwXcBMLjiodW9e4biSGYWAHcDj22rKWQ3s/edit?usp=sharing"",""กำแพงเพชร!R215"")+IMPORTRANGE(""https://docs.google.com/spreadsheets/d/1KS0zmDSZPk8KnTAbGN-Xk6MtX1YRZD0ldgdt20K4CRk/edit?usp=sharing"","&amp;"""เชียงราย!R215"")+IMPORTRANGE(""https://docs.google.com/spreadsheets/d/1rEDxBtusbi64tE0zunoIbsTVV16HeL0oJ6trHQeQ7K8/edit?usp=sharing"",""เชียงใหม่!R215"")+IMPORTRANGE(""https://docs.google.com/spreadsheets/d/1W6MnUbDkMi6xHnHko_XkFDO9kkuL6Wqyc-6OCDFjW9I/e"&amp;"dit?usp=sharing"",""ตาก!R215"")+IMPORTRANGE(""https://docs.google.com/spreadsheets/d/1IQAWArduLkta9LpYo4a_ULsyqdta6-6aDDiwpUnQT6c/edit?usp=sharing"",""นครสวรรค์!R215"")+IMPORTRANGE(""https://docs.google.com/spreadsheets/d/10s13Sk5xrltsiR-Zkbmk5DwIaDIKO8Xl"&amp;"bJAfqyT7Gvg/edit?usp=sharing"",""น่าน!R215"")+IMPORTRANGE(""https://docs.google.com/spreadsheets/d/1uu4nAn4Dbi1XREnLKKotUANlKXa7yCgRcgq8HEzQYW8/edit?usp=sharing"",""พะเยา!R215"")+IMPORTRANGE(""https://docs.google.com/spreadsheets/d/1xfJKIQxVOaPDIICqsflNlL"&amp;"u3JacTDk1FP9RH4phX7mI/edit?usp=sharing"",""พิจิตร!R215"")+IMPORTRANGE(""https://docs.google.com/spreadsheets/d/1JtRfZkJMHtEhI5RdRHxYUG4FIZHqKDpNyIuN7A1Q0_k/edit?usp=sharing"",""พิษณุโลก!R215"")+IMPORTRANGE(""https://docs.google.com/spreadsheets/d/1xlcVZWU"&amp;"Nn6SuWm0c307h32SiGkd9BaeQWlAktfD3KO8/edit?usp=sharing"",""เพชรบูรณ์!R215"")+IMPORTRANGE(""https://docs.google.com/spreadsheets/d/1lOVebEIsI9qjGXl6EX66luk7wiuP2tBaryw-wKvv4e0/edit?usp=sharing"",""แพร่!R215"")+IMPORTRANGE(""https://docs.google.com/spreadshe"&amp;"ets/d/1dQrvX0vEcN7Gu0fnZ0B5S90AeR19zth4XlExFBeExMY/edit?usp=sharing"",""แม่ฮ่องสอน!R215"")+IMPORTRANGE(""https://docs.google.com/spreadsheets/d/1DY4XTNNwjluuxqdfdn6qvOSlMRrZqUtmYcZR0ttFiG4/edit?usp=sharing"",""ลำปาง!R215"")+IMPORTRANGE(""https://docs.goog"&amp;"le.com/spreadsheets/d/1ICwG78r0OFT8biBlxnBF8r7she7gNSzOvJ958PWT09c/edit?usp=sharing"",""ลำพูน!R215"")+IMPORTRANGE(""https://docs.google.com/spreadsheets/d/1B0f2xJpZUC6Z0xXnqKlZtEPzsf6L84eP1r1Q15seqRM/edit?usp=sharing"",""สุโขทัย!R215"")+IMPORTRANGE(""http"&amp;"s://docs.google.com/spreadsheets/d/1v0b9pFQCsKUVExMei7AgY2yQkdeNQvtOssygGsXbiKo/edit?usp=sharing"",""อุตรดิตถ์!R215"")+IMPORTRANGE(""https://docs.google.com/spreadsheets/d/1UsNK1e-WWiCo2PvGqdNfdme4m17_Ezd3J69EeeiQPD0/edit?usp=sharing"",""อุทัยธานี!R215"")"),0)</f>
        <v>0</v>
      </c>
      <c r="S215" s="46">
        <f ca="1">IFERROR(__xludf.DUMMYFUNCTION("IMPORTRANGE(""https://docs.google.com/spreadsheets/d/1jTcq05yEiRwXcBMLjiodW9e4biSGYWAHcDj22rKWQ3s/edit?usp=sharing"",""กำแพงเพชร!S215"")+IMPORTRANGE(""https://docs.google.com/spreadsheets/d/1KS0zmDSZPk8KnTAbGN-Xk6MtX1YRZD0ldgdt20K4CRk/edit?usp=sharing"","&amp;"""เชียงราย!S215"")+IMPORTRANGE(""https://docs.google.com/spreadsheets/d/1rEDxBtusbi64tE0zunoIbsTVV16HeL0oJ6trHQeQ7K8/edit?usp=sharing"",""เชียงใหม่!S215"")+IMPORTRANGE(""https://docs.google.com/spreadsheets/d/1W6MnUbDkMi6xHnHko_XkFDO9kkuL6Wqyc-6OCDFjW9I/e"&amp;"dit?usp=sharing"",""ตาก!S215"")+IMPORTRANGE(""https://docs.google.com/spreadsheets/d/1IQAWArduLkta9LpYo4a_ULsyqdta6-6aDDiwpUnQT6c/edit?usp=sharing"",""นครสวรรค์!S215"")+IMPORTRANGE(""https://docs.google.com/spreadsheets/d/10s13Sk5xrltsiR-Zkbmk5DwIaDIKO8Xl"&amp;"bJAfqyT7Gvg/edit?usp=sharing"",""น่าน!S215"")+IMPORTRANGE(""https://docs.google.com/spreadsheets/d/1uu4nAn4Dbi1XREnLKKotUANlKXa7yCgRcgq8HEzQYW8/edit?usp=sharing"",""พะเยา!S215"")+IMPORTRANGE(""https://docs.google.com/spreadsheets/d/1xfJKIQxVOaPDIICqsflNlL"&amp;"u3JacTDk1FP9RH4phX7mI/edit?usp=sharing"",""พิจิตร!S215"")+IMPORTRANGE(""https://docs.google.com/spreadsheets/d/1JtRfZkJMHtEhI5RdRHxYUG4FIZHqKDpNyIuN7A1Q0_k/edit?usp=sharing"",""พิษณุโลก!S215"")+IMPORTRANGE(""https://docs.google.com/spreadsheets/d/1xlcVZWU"&amp;"Nn6SuWm0c307h32SiGkd9BaeQWlAktfD3KO8/edit?usp=sharing"",""เพชรบูรณ์!S215"")+IMPORTRANGE(""https://docs.google.com/spreadsheets/d/1lOVebEIsI9qjGXl6EX66luk7wiuP2tBaryw-wKvv4e0/edit?usp=sharing"",""แพร่!S215"")+IMPORTRANGE(""https://docs.google.com/spreadshe"&amp;"ets/d/1dQrvX0vEcN7Gu0fnZ0B5S90AeR19zth4XlExFBeExMY/edit?usp=sharing"",""แม่ฮ่องสอน!S215"")+IMPORTRANGE(""https://docs.google.com/spreadsheets/d/1DY4XTNNwjluuxqdfdn6qvOSlMRrZqUtmYcZR0ttFiG4/edit?usp=sharing"",""ลำปาง!S215"")+IMPORTRANGE(""https://docs.goog"&amp;"le.com/spreadsheets/d/1ICwG78r0OFT8biBlxnBF8r7she7gNSzOvJ958PWT09c/edit?usp=sharing"",""ลำพูน!S215"")+IMPORTRANGE(""https://docs.google.com/spreadsheets/d/1B0f2xJpZUC6Z0xXnqKlZtEPzsf6L84eP1r1Q15seqRM/edit?usp=sharing"",""สุโขทัย!S215"")+IMPORTRANGE(""http"&amp;"s://docs.google.com/spreadsheets/d/1v0b9pFQCsKUVExMei7AgY2yQkdeNQvtOssygGsXbiKo/edit?usp=sharing"",""อุตรดิตถ์!S215"")+IMPORTRANGE(""https://docs.google.com/spreadsheets/d/1UsNK1e-WWiCo2PvGqdNfdme4m17_Ezd3J69EeeiQPD0/edit?usp=sharing"",""อุทัยธานี!S215"")"),0)</f>
        <v>0</v>
      </c>
      <c r="T215" s="152"/>
      <c r="U215" s="46"/>
    </row>
    <row r="216" spans="1:21" ht="18.75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46">
        <f ca="1">IFERROR(__xludf.DUMMYFUNCTION("IMPORTRANGE(""https://docs.google.com/spreadsheets/d/1jTcq05yEiRwXcBMLjiodW9e4biSGYWAHcDj22rKWQ3s/edit?usp=sharing"",""กำแพงเพชร!L216"")+IMPORTRANGE(""https://docs.google.com/spreadsheets/d/1KS0zmDSZPk8KnTAbGN-Xk6MtX1YRZD0ldgdt20K4CRk/edit?usp=sharing"","&amp;"""เชียงราย!L216"")+IMPORTRANGE(""https://docs.google.com/spreadsheets/d/1rEDxBtusbi64tE0zunoIbsTVV16HeL0oJ6trHQeQ7K8/edit?usp=sharing"",""เชียงใหม่!L216"")+IMPORTRANGE(""https://docs.google.com/spreadsheets/d/1W6MnUbDkMi6xHnHko_XkFDO9kkuL6Wqyc-6OCDFjW9I/e"&amp;"dit?usp=sharing"",""ตาก!L216"")+IMPORTRANGE(""https://docs.google.com/spreadsheets/d/1IQAWArduLkta9LpYo4a_ULsyqdta6-6aDDiwpUnQT6c/edit?usp=sharing"",""นครสวรรค์!L216"")+IMPORTRANGE(""https://docs.google.com/spreadsheets/d/10s13Sk5xrltsiR-Zkbmk5DwIaDIKO8Xl"&amp;"bJAfqyT7Gvg/edit?usp=sharing"",""น่าน!L216"")+IMPORTRANGE(""https://docs.google.com/spreadsheets/d/1uu4nAn4Dbi1XREnLKKotUANlKXa7yCgRcgq8HEzQYW8/edit?usp=sharing"",""พะเยา!L216"")+IMPORTRANGE(""https://docs.google.com/spreadsheets/d/1xfJKIQxVOaPDIICqsflNlL"&amp;"u3JacTDk1FP9RH4phX7mI/edit?usp=sharing"",""พิจิตร!L216"")+IMPORTRANGE(""https://docs.google.com/spreadsheets/d/1JtRfZkJMHtEhI5RdRHxYUG4FIZHqKDpNyIuN7A1Q0_k/edit?usp=sharing"",""พิษณุโลก!L216"")+IMPORTRANGE(""https://docs.google.com/spreadsheets/d/1xlcVZWU"&amp;"Nn6SuWm0c307h32SiGkd9BaeQWlAktfD3KO8/edit?usp=sharing"",""เพชรบูรณ์!L216"")+IMPORTRANGE(""https://docs.google.com/spreadsheets/d/1lOVebEIsI9qjGXl6EX66luk7wiuP2tBaryw-wKvv4e0/edit?usp=sharing"",""แพร่!L216"")+IMPORTRANGE(""https://docs.google.com/spreadshe"&amp;"ets/d/1dQrvX0vEcN7Gu0fnZ0B5S90AeR19zth4XlExFBeExMY/edit?usp=sharing"",""แม่ฮ่องสอน!L216"")+IMPORTRANGE(""https://docs.google.com/spreadsheets/d/1DY4XTNNwjluuxqdfdn6qvOSlMRrZqUtmYcZR0ttFiG4/edit?usp=sharing"",""ลำปาง!L216"")+IMPORTRANGE(""https://docs.goog"&amp;"le.com/spreadsheets/d/1ICwG78r0OFT8biBlxnBF8r7she7gNSzOvJ958PWT09c/edit?usp=sharing"",""ลำพูน!L216"")+IMPORTRANGE(""https://docs.google.com/spreadsheets/d/1B0f2xJpZUC6Z0xXnqKlZtEPzsf6L84eP1r1Q15seqRM/edit?usp=sharing"",""สุโขทัย!L216"")+IMPORTRANGE(""http"&amp;"s://docs.google.com/spreadsheets/d/1v0b9pFQCsKUVExMei7AgY2yQkdeNQvtOssygGsXbiKo/edit?usp=sharing"",""อุตรดิตถ์!L216"")+IMPORTRANGE(""https://docs.google.com/spreadsheets/d/1UsNK1e-WWiCo2PvGqdNfdme4m17_Ezd3J69EeeiQPD0/edit?usp=sharing"",""อุทัยธานี!L216"")"),20000)</f>
        <v>20000</v>
      </c>
      <c r="M216" s="46">
        <f ca="1">IFERROR(__xludf.DUMMYFUNCTION("IMPORTRANGE(""https://docs.google.com/spreadsheets/d/1jTcq05yEiRwXcBMLjiodW9e4biSGYWAHcDj22rKWQ3s/edit?usp=sharing"",""กำแพงเพชร!M216"")+IMPORTRANGE(""https://docs.google.com/spreadsheets/d/1KS0zmDSZPk8KnTAbGN-Xk6MtX1YRZD0ldgdt20K4CRk/edit?usp=sharing"","&amp;"""เชียงราย!M216"")+IMPORTRANGE(""https://docs.google.com/spreadsheets/d/1rEDxBtusbi64tE0zunoIbsTVV16HeL0oJ6trHQeQ7K8/edit?usp=sharing"",""เชียงใหม่!M216"")+IMPORTRANGE(""https://docs.google.com/spreadsheets/d/1W6MnUbDkMi6xHnHko_XkFDO9kkuL6Wqyc-6OCDFjW9I/e"&amp;"dit?usp=sharing"",""ตาก!M216"")+IMPORTRANGE(""https://docs.google.com/spreadsheets/d/1IQAWArduLkta9LpYo4a_ULsyqdta6-6aDDiwpUnQT6c/edit?usp=sharing"",""นครสวรรค์!M216"")+IMPORTRANGE(""https://docs.google.com/spreadsheets/d/10s13Sk5xrltsiR-Zkbmk5DwIaDIKO8Xl"&amp;"bJAfqyT7Gvg/edit?usp=sharing"",""น่าน!M216"")+IMPORTRANGE(""https://docs.google.com/spreadsheets/d/1uu4nAn4Dbi1XREnLKKotUANlKXa7yCgRcgq8HEzQYW8/edit?usp=sharing"",""พะเยา!M216"")+IMPORTRANGE(""https://docs.google.com/spreadsheets/d/1xfJKIQxVOaPDIICqsflNlL"&amp;"u3JacTDk1FP9RH4phX7mI/edit?usp=sharing"",""พิจิตร!M216"")+IMPORTRANGE(""https://docs.google.com/spreadsheets/d/1JtRfZkJMHtEhI5RdRHxYUG4FIZHqKDpNyIuN7A1Q0_k/edit?usp=sharing"",""พิษณุโลก!M216"")+IMPORTRANGE(""https://docs.google.com/spreadsheets/d/1xlcVZWU"&amp;"Nn6SuWm0c307h32SiGkd9BaeQWlAktfD3KO8/edit?usp=sharing"",""เพชรบูรณ์!M216"")+IMPORTRANGE(""https://docs.google.com/spreadsheets/d/1lOVebEIsI9qjGXl6EX66luk7wiuP2tBaryw-wKvv4e0/edit?usp=sharing"",""แพร่!M216"")+IMPORTRANGE(""https://docs.google.com/spreadshe"&amp;"ets/d/1dQrvX0vEcN7Gu0fnZ0B5S90AeR19zth4XlExFBeExMY/edit?usp=sharing"",""แม่ฮ่องสอน!M216"")+IMPORTRANGE(""https://docs.google.com/spreadsheets/d/1DY4XTNNwjluuxqdfdn6qvOSlMRrZqUtmYcZR0ttFiG4/edit?usp=sharing"",""ลำปาง!M216"")+IMPORTRANGE(""https://docs.goog"&amp;"le.com/spreadsheets/d/1ICwG78r0OFT8biBlxnBF8r7she7gNSzOvJ958PWT09c/edit?usp=sharing"",""ลำพูน!M216"")+IMPORTRANGE(""https://docs.google.com/spreadsheets/d/1B0f2xJpZUC6Z0xXnqKlZtEPzsf6L84eP1r1Q15seqRM/edit?usp=sharing"",""สุโขทัย!M216"")+IMPORTRANGE(""http"&amp;"s://docs.google.com/spreadsheets/d/1v0b9pFQCsKUVExMei7AgY2yQkdeNQvtOssygGsXbiKo/edit?usp=sharing"",""อุตรดิตถ์!M216"")+IMPORTRANGE(""https://docs.google.com/spreadsheets/d/1UsNK1e-WWiCo2PvGqdNfdme4m17_Ezd3J69EeeiQPD0/edit?usp=sharing"",""อุทัยธานี!M216"")"),0)</f>
        <v>0</v>
      </c>
      <c r="N216" s="46">
        <f ca="1">IFERROR(__xludf.DUMMYFUNCTION("IMPORTRANGE(""https://docs.google.com/spreadsheets/d/1jTcq05yEiRwXcBMLjiodW9e4biSGYWAHcDj22rKWQ3s/edit?usp=sharing"",""กำแพงเพชร!N216"")+IMPORTRANGE(""https://docs.google.com/spreadsheets/d/1KS0zmDSZPk8KnTAbGN-Xk6MtX1YRZD0ldgdt20K4CRk/edit?usp=sharing"","&amp;"""เชียงราย!N216"")+IMPORTRANGE(""https://docs.google.com/spreadsheets/d/1rEDxBtusbi64tE0zunoIbsTVV16HeL0oJ6trHQeQ7K8/edit?usp=sharing"",""เชียงใหม่!N216"")+IMPORTRANGE(""https://docs.google.com/spreadsheets/d/1W6MnUbDkMi6xHnHko_XkFDO9kkuL6Wqyc-6OCDFjW9I/e"&amp;"dit?usp=sharing"",""ตาก!N216"")+IMPORTRANGE(""https://docs.google.com/spreadsheets/d/1IQAWArduLkta9LpYo4a_ULsyqdta6-6aDDiwpUnQT6c/edit?usp=sharing"",""นครสวรรค์!N216"")+IMPORTRANGE(""https://docs.google.com/spreadsheets/d/10s13Sk5xrltsiR-Zkbmk5DwIaDIKO8Xl"&amp;"bJAfqyT7Gvg/edit?usp=sharing"",""น่าน!N216"")+IMPORTRANGE(""https://docs.google.com/spreadsheets/d/1uu4nAn4Dbi1XREnLKKotUANlKXa7yCgRcgq8HEzQYW8/edit?usp=sharing"",""พะเยา!N216"")+IMPORTRANGE(""https://docs.google.com/spreadsheets/d/1xfJKIQxVOaPDIICqsflNlL"&amp;"u3JacTDk1FP9RH4phX7mI/edit?usp=sharing"",""พิจิตร!N216"")+IMPORTRANGE(""https://docs.google.com/spreadsheets/d/1JtRfZkJMHtEhI5RdRHxYUG4FIZHqKDpNyIuN7A1Q0_k/edit?usp=sharing"",""พิษณุโลก!N216"")+IMPORTRANGE(""https://docs.google.com/spreadsheets/d/1xlcVZWU"&amp;"Nn6SuWm0c307h32SiGkd9BaeQWlAktfD3KO8/edit?usp=sharing"",""เพชรบูรณ์!N216"")+IMPORTRANGE(""https://docs.google.com/spreadsheets/d/1lOVebEIsI9qjGXl6EX66luk7wiuP2tBaryw-wKvv4e0/edit?usp=sharing"",""แพร่!N216"")+IMPORTRANGE(""https://docs.google.com/spreadshe"&amp;"ets/d/1dQrvX0vEcN7Gu0fnZ0B5S90AeR19zth4XlExFBeExMY/edit?usp=sharing"",""แม่ฮ่องสอน!N216"")+IMPORTRANGE(""https://docs.google.com/spreadsheets/d/1DY4XTNNwjluuxqdfdn6qvOSlMRrZqUtmYcZR0ttFiG4/edit?usp=sharing"",""ลำปาง!N216"")+IMPORTRANGE(""https://docs.goog"&amp;"le.com/spreadsheets/d/1ICwG78r0OFT8biBlxnBF8r7she7gNSzOvJ958PWT09c/edit?usp=sharing"",""ลำพูน!N216"")+IMPORTRANGE(""https://docs.google.com/spreadsheets/d/1B0f2xJpZUC6Z0xXnqKlZtEPzsf6L84eP1r1Q15seqRM/edit?usp=sharing"",""สุโขทัย!N216"")+IMPORTRANGE(""http"&amp;"s://docs.google.com/spreadsheets/d/1v0b9pFQCsKUVExMei7AgY2yQkdeNQvtOssygGsXbiKo/edit?usp=sharing"",""อุตรดิตถ์!N216"")+IMPORTRANGE(""https://docs.google.com/spreadsheets/d/1UsNK1e-WWiCo2PvGqdNfdme4m17_Ezd3J69EeeiQPD0/edit?usp=sharing"",""อุทัยธานี!N216"")"),0)</f>
        <v>0</v>
      </c>
      <c r="O216" s="136"/>
      <c r="P216" s="45"/>
      <c r="Q216" s="46">
        <f ca="1">IFERROR(__xludf.DUMMYFUNCTION("IMPORTRANGE(""https://docs.google.com/spreadsheets/d/1jTcq05yEiRwXcBMLjiodW9e4biSGYWAHcDj22rKWQ3s/edit?usp=sharing"",""กำแพงเพชร!Q216"")+IMPORTRANGE(""https://docs.google.com/spreadsheets/d/1KS0zmDSZPk8KnTAbGN-Xk6MtX1YRZD0ldgdt20K4CRk/edit?usp=sharing"","&amp;"""เชียงราย!Q216"")+IMPORTRANGE(""https://docs.google.com/spreadsheets/d/1rEDxBtusbi64tE0zunoIbsTVV16HeL0oJ6trHQeQ7K8/edit?usp=sharing"",""เชียงใหม่!Q216"")+IMPORTRANGE(""https://docs.google.com/spreadsheets/d/1W6MnUbDkMi6xHnHko_XkFDO9kkuL6Wqyc-6OCDFjW9I/e"&amp;"dit?usp=sharing"",""ตาก!Q216"")+IMPORTRANGE(""https://docs.google.com/spreadsheets/d/1IQAWArduLkta9LpYo4a_ULsyqdta6-6aDDiwpUnQT6c/edit?usp=sharing"",""นครสวรรค์!Q216"")+IMPORTRANGE(""https://docs.google.com/spreadsheets/d/10s13Sk5xrltsiR-Zkbmk5DwIaDIKO8Xl"&amp;"bJAfqyT7Gvg/edit?usp=sharing"",""น่าน!Q216"")+IMPORTRANGE(""https://docs.google.com/spreadsheets/d/1uu4nAn4Dbi1XREnLKKotUANlKXa7yCgRcgq8HEzQYW8/edit?usp=sharing"",""พะเยา!Q216"")+IMPORTRANGE(""https://docs.google.com/spreadsheets/d/1xfJKIQxVOaPDIICqsflNlL"&amp;"u3JacTDk1FP9RH4phX7mI/edit?usp=sharing"",""พิจิตร!Q216"")+IMPORTRANGE(""https://docs.google.com/spreadsheets/d/1JtRfZkJMHtEhI5RdRHxYUG4FIZHqKDpNyIuN7A1Q0_k/edit?usp=sharing"",""พิษณุโลก!Q216"")+IMPORTRANGE(""https://docs.google.com/spreadsheets/d/1xlcVZWU"&amp;"Nn6SuWm0c307h32SiGkd9BaeQWlAktfD3KO8/edit?usp=sharing"",""เพชรบูรณ์!Q216"")+IMPORTRANGE(""https://docs.google.com/spreadsheets/d/1lOVebEIsI9qjGXl6EX66luk7wiuP2tBaryw-wKvv4e0/edit?usp=sharing"",""แพร่!Q216"")+IMPORTRANGE(""https://docs.google.com/spreadshe"&amp;"ets/d/1dQrvX0vEcN7Gu0fnZ0B5S90AeR19zth4XlExFBeExMY/edit?usp=sharing"",""แม่ฮ่องสอน!Q216"")+IMPORTRANGE(""https://docs.google.com/spreadsheets/d/1DY4XTNNwjluuxqdfdn6qvOSlMRrZqUtmYcZR0ttFiG4/edit?usp=sharing"",""ลำปาง!Q216"")+IMPORTRANGE(""https://docs.goog"&amp;"le.com/spreadsheets/d/1ICwG78r0OFT8biBlxnBF8r7she7gNSzOvJ958PWT09c/edit?usp=sharing"",""ลำพูน!Q216"")+IMPORTRANGE(""https://docs.google.com/spreadsheets/d/1B0f2xJpZUC6Z0xXnqKlZtEPzsf6L84eP1r1Q15seqRM/edit?usp=sharing"",""สุโขทัย!Q216"")+IMPORTRANGE(""http"&amp;"s://docs.google.com/spreadsheets/d/1v0b9pFQCsKUVExMei7AgY2yQkdeNQvtOssygGsXbiKo/edit?usp=sharing"",""อุตรดิตถ์!Q216"")+IMPORTRANGE(""https://docs.google.com/spreadsheets/d/1UsNK1e-WWiCo2PvGqdNfdme4m17_Ezd3J69EeeiQPD0/edit?usp=sharing"",""อุทัยธานี!Q216"")"),0)</f>
        <v>0</v>
      </c>
      <c r="R216" s="46">
        <f ca="1">IFERROR(__xludf.DUMMYFUNCTION("IMPORTRANGE(""https://docs.google.com/spreadsheets/d/1jTcq05yEiRwXcBMLjiodW9e4biSGYWAHcDj22rKWQ3s/edit?usp=sharing"",""กำแพงเพชร!R216"")+IMPORTRANGE(""https://docs.google.com/spreadsheets/d/1KS0zmDSZPk8KnTAbGN-Xk6MtX1YRZD0ldgdt20K4CRk/edit?usp=sharing"","&amp;"""เชียงราย!R216"")+IMPORTRANGE(""https://docs.google.com/spreadsheets/d/1rEDxBtusbi64tE0zunoIbsTVV16HeL0oJ6trHQeQ7K8/edit?usp=sharing"",""เชียงใหม่!R216"")+IMPORTRANGE(""https://docs.google.com/spreadsheets/d/1W6MnUbDkMi6xHnHko_XkFDO9kkuL6Wqyc-6OCDFjW9I/e"&amp;"dit?usp=sharing"",""ตาก!R216"")+IMPORTRANGE(""https://docs.google.com/spreadsheets/d/1IQAWArduLkta9LpYo4a_ULsyqdta6-6aDDiwpUnQT6c/edit?usp=sharing"",""นครสวรรค์!R216"")+IMPORTRANGE(""https://docs.google.com/spreadsheets/d/10s13Sk5xrltsiR-Zkbmk5DwIaDIKO8Xl"&amp;"bJAfqyT7Gvg/edit?usp=sharing"",""น่าน!R216"")+IMPORTRANGE(""https://docs.google.com/spreadsheets/d/1uu4nAn4Dbi1XREnLKKotUANlKXa7yCgRcgq8HEzQYW8/edit?usp=sharing"",""พะเยา!R216"")+IMPORTRANGE(""https://docs.google.com/spreadsheets/d/1xfJKIQxVOaPDIICqsflNlL"&amp;"u3JacTDk1FP9RH4phX7mI/edit?usp=sharing"",""พิจิตร!R216"")+IMPORTRANGE(""https://docs.google.com/spreadsheets/d/1JtRfZkJMHtEhI5RdRHxYUG4FIZHqKDpNyIuN7A1Q0_k/edit?usp=sharing"",""พิษณุโลก!R216"")+IMPORTRANGE(""https://docs.google.com/spreadsheets/d/1xlcVZWU"&amp;"Nn6SuWm0c307h32SiGkd9BaeQWlAktfD3KO8/edit?usp=sharing"",""เพชรบูรณ์!R216"")+IMPORTRANGE(""https://docs.google.com/spreadsheets/d/1lOVebEIsI9qjGXl6EX66luk7wiuP2tBaryw-wKvv4e0/edit?usp=sharing"",""แพร่!R216"")+IMPORTRANGE(""https://docs.google.com/spreadshe"&amp;"ets/d/1dQrvX0vEcN7Gu0fnZ0B5S90AeR19zth4XlExFBeExMY/edit?usp=sharing"",""แม่ฮ่องสอน!R216"")+IMPORTRANGE(""https://docs.google.com/spreadsheets/d/1DY4XTNNwjluuxqdfdn6qvOSlMRrZqUtmYcZR0ttFiG4/edit?usp=sharing"",""ลำปาง!R216"")+IMPORTRANGE(""https://docs.goog"&amp;"le.com/spreadsheets/d/1ICwG78r0OFT8biBlxnBF8r7she7gNSzOvJ958PWT09c/edit?usp=sharing"",""ลำพูน!R216"")+IMPORTRANGE(""https://docs.google.com/spreadsheets/d/1B0f2xJpZUC6Z0xXnqKlZtEPzsf6L84eP1r1Q15seqRM/edit?usp=sharing"",""สุโขทัย!R216"")+IMPORTRANGE(""http"&amp;"s://docs.google.com/spreadsheets/d/1v0b9pFQCsKUVExMei7AgY2yQkdeNQvtOssygGsXbiKo/edit?usp=sharing"",""อุตรดิตถ์!R216"")+IMPORTRANGE(""https://docs.google.com/spreadsheets/d/1UsNK1e-WWiCo2PvGqdNfdme4m17_Ezd3J69EeeiQPD0/edit?usp=sharing"",""อุทัยธานี!R216"")"),0)</f>
        <v>0</v>
      </c>
      <c r="S216" s="46">
        <f ca="1">IFERROR(__xludf.DUMMYFUNCTION("IMPORTRANGE(""https://docs.google.com/spreadsheets/d/1jTcq05yEiRwXcBMLjiodW9e4biSGYWAHcDj22rKWQ3s/edit?usp=sharing"",""กำแพงเพชร!S216"")+IMPORTRANGE(""https://docs.google.com/spreadsheets/d/1KS0zmDSZPk8KnTAbGN-Xk6MtX1YRZD0ldgdt20K4CRk/edit?usp=sharing"","&amp;"""เชียงราย!S216"")+IMPORTRANGE(""https://docs.google.com/spreadsheets/d/1rEDxBtusbi64tE0zunoIbsTVV16HeL0oJ6trHQeQ7K8/edit?usp=sharing"",""เชียงใหม่!S216"")+IMPORTRANGE(""https://docs.google.com/spreadsheets/d/1W6MnUbDkMi6xHnHko_XkFDO9kkuL6Wqyc-6OCDFjW9I/e"&amp;"dit?usp=sharing"",""ตาก!S216"")+IMPORTRANGE(""https://docs.google.com/spreadsheets/d/1IQAWArduLkta9LpYo4a_ULsyqdta6-6aDDiwpUnQT6c/edit?usp=sharing"",""นครสวรรค์!S216"")+IMPORTRANGE(""https://docs.google.com/spreadsheets/d/10s13Sk5xrltsiR-Zkbmk5DwIaDIKO8Xl"&amp;"bJAfqyT7Gvg/edit?usp=sharing"",""น่าน!S216"")+IMPORTRANGE(""https://docs.google.com/spreadsheets/d/1uu4nAn4Dbi1XREnLKKotUANlKXa7yCgRcgq8HEzQYW8/edit?usp=sharing"",""พะเยา!S216"")+IMPORTRANGE(""https://docs.google.com/spreadsheets/d/1xfJKIQxVOaPDIICqsflNlL"&amp;"u3JacTDk1FP9RH4phX7mI/edit?usp=sharing"",""พิจิตร!S216"")+IMPORTRANGE(""https://docs.google.com/spreadsheets/d/1JtRfZkJMHtEhI5RdRHxYUG4FIZHqKDpNyIuN7A1Q0_k/edit?usp=sharing"",""พิษณุโลก!S216"")+IMPORTRANGE(""https://docs.google.com/spreadsheets/d/1xlcVZWU"&amp;"Nn6SuWm0c307h32SiGkd9BaeQWlAktfD3KO8/edit?usp=sharing"",""เพชรบูรณ์!S216"")+IMPORTRANGE(""https://docs.google.com/spreadsheets/d/1lOVebEIsI9qjGXl6EX66luk7wiuP2tBaryw-wKvv4e0/edit?usp=sharing"",""แพร่!S216"")+IMPORTRANGE(""https://docs.google.com/spreadshe"&amp;"ets/d/1dQrvX0vEcN7Gu0fnZ0B5S90AeR19zth4XlExFBeExMY/edit?usp=sharing"",""แม่ฮ่องสอน!S216"")+IMPORTRANGE(""https://docs.google.com/spreadsheets/d/1DY4XTNNwjluuxqdfdn6qvOSlMRrZqUtmYcZR0ttFiG4/edit?usp=sharing"",""ลำปาง!S216"")+IMPORTRANGE(""https://docs.goog"&amp;"le.com/spreadsheets/d/1ICwG78r0OFT8biBlxnBF8r7she7gNSzOvJ958PWT09c/edit?usp=sharing"",""ลำพูน!S216"")+IMPORTRANGE(""https://docs.google.com/spreadsheets/d/1B0f2xJpZUC6Z0xXnqKlZtEPzsf6L84eP1r1Q15seqRM/edit?usp=sharing"",""สุโขทัย!S216"")+IMPORTRANGE(""http"&amp;"s://docs.google.com/spreadsheets/d/1v0b9pFQCsKUVExMei7AgY2yQkdeNQvtOssygGsXbiKo/edit?usp=sharing"",""อุตรดิตถ์!S216"")+IMPORTRANGE(""https://docs.google.com/spreadsheets/d/1UsNK1e-WWiCo2PvGqdNfdme4m17_Ezd3J69EeeiQPD0/edit?usp=sharing"",""อุทัยธานี!S216"")"),0)</f>
        <v>0</v>
      </c>
      <c r="T216" s="152"/>
      <c r="U216" s="46"/>
    </row>
    <row r="217" spans="1:21" ht="18.75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46">
        <f ca="1">IFERROR(__xludf.DUMMYFUNCTION("IMPORTRANGE(""https://docs.google.com/spreadsheets/d/1jTcq05yEiRwXcBMLjiodW9e4biSGYWAHcDj22rKWQ3s/edit?usp=sharing"",""กำแพงเพชร!L217"")+IMPORTRANGE(""https://docs.google.com/spreadsheets/d/1KS0zmDSZPk8KnTAbGN-Xk6MtX1YRZD0ldgdt20K4CRk/edit?usp=sharing"","&amp;"""เชียงราย!L217"")+IMPORTRANGE(""https://docs.google.com/spreadsheets/d/1rEDxBtusbi64tE0zunoIbsTVV16HeL0oJ6trHQeQ7K8/edit?usp=sharing"",""เชียงใหม่!L217"")+IMPORTRANGE(""https://docs.google.com/spreadsheets/d/1W6MnUbDkMi6xHnHko_XkFDO9kkuL6Wqyc-6OCDFjW9I/e"&amp;"dit?usp=sharing"",""ตาก!L217"")+IMPORTRANGE(""https://docs.google.com/spreadsheets/d/1IQAWArduLkta9LpYo4a_ULsyqdta6-6aDDiwpUnQT6c/edit?usp=sharing"",""นครสวรรค์!L217"")+IMPORTRANGE(""https://docs.google.com/spreadsheets/d/10s13Sk5xrltsiR-Zkbmk5DwIaDIKO8Xl"&amp;"bJAfqyT7Gvg/edit?usp=sharing"",""น่าน!L217"")+IMPORTRANGE(""https://docs.google.com/spreadsheets/d/1uu4nAn4Dbi1XREnLKKotUANlKXa7yCgRcgq8HEzQYW8/edit?usp=sharing"",""พะเยา!L217"")+IMPORTRANGE(""https://docs.google.com/spreadsheets/d/1xfJKIQxVOaPDIICqsflNlL"&amp;"u3JacTDk1FP9RH4phX7mI/edit?usp=sharing"",""พิจิตร!L217"")+IMPORTRANGE(""https://docs.google.com/spreadsheets/d/1JtRfZkJMHtEhI5RdRHxYUG4FIZHqKDpNyIuN7A1Q0_k/edit?usp=sharing"",""พิษณุโลก!L217"")+IMPORTRANGE(""https://docs.google.com/spreadsheets/d/1xlcVZWU"&amp;"Nn6SuWm0c307h32SiGkd9BaeQWlAktfD3KO8/edit?usp=sharing"",""เพชรบูรณ์!L217"")+IMPORTRANGE(""https://docs.google.com/spreadsheets/d/1lOVebEIsI9qjGXl6EX66luk7wiuP2tBaryw-wKvv4e0/edit?usp=sharing"",""แพร่!L217"")+IMPORTRANGE(""https://docs.google.com/spreadshe"&amp;"ets/d/1dQrvX0vEcN7Gu0fnZ0B5S90AeR19zth4XlExFBeExMY/edit?usp=sharing"",""แม่ฮ่องสอน!L217"")+IMPORTRANGE(""https://docs.google.com/spreadsheets/d/1DY4XTNNwjluuxqdfdn6qvOSlMRrZqUtmYcZR0ttFiG4/edit?usp=sharing"",""ลำปาง!L217"")+IMPORTRANGE(""https://docs.goog"&amp;"le.com/spreadsheets/d/1ICwG78r0OFT8biBlxnBF8r7she7gNSzOvJ958PWT09c/edit?usp=sharing"",""ลำพูน!L217"")+IMPORTRANGE(""https://docs.google.com/spreadsheets/d/1B0f2xJpZUC6Z0xXnqKlZtEPzsf6L84eP1r1Q15seqRM/edit?usp=sharing"",""สุโขทัย!L217"")+IMPORTRANGE(""http"&amp;"s://docs.google.com/spreadsheets/d/1v0b9pFQCsKUVExMei7AgY2yQkdeNQvtOssygGsXbiKo/edit?usp=sharing"",""อุตรดิตถ์!L217"")+IMPORTRANGE(""https://docs.google.com/spreadsheets/d/1UsNK1e-WWiCo2PvGqdNfdme4m17_Ezd3J69EeeiQPD0/edit?usp=sharing"",""อุทัยธานี!L217"")"),0)</f>
        <v>0</v>
      </c>
      <c r="M217" s="46">
        <f ca="1">IFERROR(__xludf.DUMMYFUNCTION("IMPORTRANGE(""https://docs.google.com/spreadsheets/d/1jTcq05yEiRwXcBMLjiodW9e4biSGYWAHcDj22rKWQ3s/edit?usp=sharing"",""กำแพงเพชร!M217"")+IMPORTRANGE(""https://docs.google.com/spreadsheets/d/1KS0zmDSZPk8KnTAbGN-Xk6MtX1YRZD0ldgdt20K4CRk/edit?usp=sharing"","&amp;"""เชียงราย!M217"")+IMPORTRANGE(""https://docs.google.com/spreadsheets/d/1rEDxBtusbi64tE0zunoIbsTVV16HeL0oJ6trHQeQ7K8/edit?usp=sharing"",""เชียงใหม่!M217"")+IMPORTRANGE(""https://docs.google.com/spreadsheets/d/1W6MnUbDkMi6xHnHko_XkFDO9kkuL6Wqyc-6OCDFjW9I/e"&amp;"dit?usp=sharing"",""ตาก!M217"")+IMPORTRANGE(""https://docs.google.com/spreadsheets/d/1IQAWArduLkta9LpYo4a_ULsyqdta6-6aDDiwpUnQT6c/edit?usp=sharing"",""นครสวรรค์!M217"")+IMPORTRANGE(""https://docs.google.com/spreadsheets/d/10s13Sk5xrltsiR-Zkbmk5DwIaDIKO8Xl"&amp;"bJAfqyT7Gvg/edit?usp=sharing"",""น่าน!M217"")+IMPORTRANGE(""https://docs.google.com/spreadsheets/d/1uu4nAn4Dbi1XREnLKKotUANlKXa7yCgRcgq8HEzQYW8/edit?usp=sharing"",""พะเยา!M217"")+IMPORTRANGE(""https://docs.google.com/spreadsheets/d/1xfJKIQxVOaPDIICqsflNlL"&amp;"u3JacTDk1FP9RH4phX7mI/edit?usp=sharing"",""พิจิตร!M217"")+IMPORTRANGE(""https://docs.google.com/spreadsheets/d/1JtRfZkJMHtEhI5RdRHxYUG4FIZHqKDpNyIuN7A1Q0_k/edit?usp=sharing"",""พิษณุโลก!M217"")+IMPORTRANGE(""https://docs.google.com/spreadsheets/d/1xlcVZWU"&amp;"Nn6SuWm0c307h32SiGkd9BaeQWlAktfD3KO8/edit?usp=sharing"",""เพชรบูรณ์!M217"")+IMPORTRANGE(""https://docs.google.com/spreadsheets/d/1lOVebEIsI9qjGXl6EX66luk7wiuP2tBaryw-wKvv4e0/edit?usp=sharing"",""แพร่!M217"")+IMPORTRANGE(""https://docs.google.com/spreadshe"&amp;"ets/d/1dQrvX0vEcN7Gu0fnZ0B5S90AeR19zth4XlExFBeExMY/edit?usp=sharing"",""แม่ฮ่องสอน!M217"")+IMPORTRANGE(""https://docs.google.com/spreadsheets/d/1DY4XTNNwjluuxqdfdn6qvOSlMRrZqUtmYcZR0ttFiG4/edit?usp=sharing"",""ลำปาง!M217"")+IMPORTRANGE(""https://docs.goog"&amp;"le.com/spreadsheets/d/1ICwG78r0OFT8biBlxnBF8r7she7gNSzOvJ958PWT09c/edit?usp=sharing"",""ลำพูน!M217"")+IMPORTRANGE(""https://docs.google.com/spreadsheets/d/1B0f2xJpZUC6Z0xXnqKlZtEPzsf6L84eP1r1Q15seqRM/edit?usp=sharing"",""สุโขทัย!M217"")+IMPORTRANGE(""http"&amp;"s://docs.google.com/spreadsheets/d/1v0b9pFQCsKUVExMei7AgY2yQkdeNQvtOssygGsXbiKo/edit?usp=sharing"",""อุตรดิตถ์!M217"")+IMPORTRANGE(""https://docs.google.com/spreadsheets/d/1UsNK1e-WWiCo2PvGqdNfdme4m17_Ezd3J69EeeiQPD0/edit?usp=sharing"",""อุทัยธานี!M217"")"),0)</f>
        <v>0</v>
      </c>
      <c r="N217" s="46">
        <f ca="1">IFERROR(__xludf.DUMMYFUNCTION("IMPORTRANGE(""https://docs.google.com/spreadsheets/d/1jTcq05yEiRwXcBMLjiodW9e4biSGYWAHcDj22rKWQ3s/edit?usp=sharing"",""กำแพงเพชร!N217"")+IMPORTRANGE(""https://docs.google.com/spreadsheets/d/1KS0zmDSZPk8KnTAbGN-Xk6MtX1YRZD0ldgdt20K4CRk/edit?usp=sharing"","&amp;"""เชียงราย!N217"")+IMPORTRANGE(""https://docs.google.com/spreadsheets/d/1rEDxBtusbi64tE0zunoIbsTVV16HeL0oJ6trHQeQ7K8/edit?usp=sharing"",""เชียงใหม่!N217"")+IMPORTRANGE(""https://docs.google.com/spreadsheets/d/1W6MnUbDkMi6xHnHko_XkFDO9kkuL6Wqyc-6OCDFjW9I/e"&amp;"dit?usp=sharing"",""ตาก!N217"")+IMPORTRANGE(""https://docs.google.com/spreadsheets/d/1IQAWArduLkta9LpYo4a_ULsyqdta6-6aDDiwpUnQT6c/edit?usp=sharing"",""นครสวรรค์!N217"")+IMPORTRANGE(""https://docs.google.com/spreadsheets/d/10s13Sk5xrltsiR-Zkbmk5DwIaDIKO8Xl"&amp;"bJAfqyT7Gvg/edit?usp=sharing"",""น่าน!N217"")+IMPORTRANGE(""https://docs.google.com/spreadsheets/d/1uu4nAn4Dbi1XREnLKKotUANlKXa7yCgRcgq8HEzQYW8/edit?usp=sharing"",""พะเยา!N217"")+IMPORTRANGE(""https://docs.google.com/spreadsheets/d/1xfJKIQxVOaPDIICqsflNlL"&amp;"u3JacTDk1FP9RH4phX7mI/edit?usp=sharing"",""พิจิตร!N217"")+IMPORTRANGE(""https://docs.google.com/spreadsheets/d/1JtRfZkJMHtEhI5RdRHxYUG4FIZHqKDpNyIuN7A1Q0_k/edit?usp=sharing"",""พิษณุโลก!N217"")+IMPORTRANGE(""https://docs.google.com/spreadsheets/d/1xlcVZWU"&amp;"Nn6SuWm0c307h32SiGkd9BaeQWlAktfD3KO8/edit?usp=sharing"",""เพชรบูรณ์!N217"")+IMPORTRANGE(""https://docs.google.com/spreadsheets/d/1lOVebEIsI9qjGXl6EX66luk7wiuP2tBaryw-wKvv4e0/edit?usp=sharing"",""แพร่!N217"")+IMPORTRANGE(""https://docs.google.com/spreadshe"&amp;"ets/d/1dQrvX0vEcN7Gu0fnZ0B5S90AeR19zth4XlExFBeExMY/edit?usp=sharing"",""แม่ฮ่องสอน!N217"")+IMPORTRANGE(""https://docs.google.com/spreadsheets/d/1DY4XTNNwjluuxqdfdn6qvOSlMRrZqUtmYcZR0ttFiG4/edit?usp=sharing"",""ลำปาง!N217"")+IMPORTRANGE(""https://docs.goog"&amp;"le.com/spreadsheets/d/1ICwG78r0OFT8biBlxnBF8r7she7gNSzOvJ958PWT09c/edit?usp=sharing"",""ลำพูน!N217"")+IMPORTRANGE(""https://docs.google.com/spreadsheets/d/1B0f2xJpZUC6Z0xXnqKlZtEPzsf6L84eP1r1Q15seqRM/edit?usp=sharing"",""สุโขทัย!N217"")+IMPORTRANGE(""http"&amp;"s://docs.google.com/spreadsheets/d/1v0b9pFQCsKUVExMei7AgY2yQkdeNQvtOssygGsXbiKo/edit?usp=sharing"",""อุตรดิตถ์!N217"")+IMPORTRANGE(""https://docs.google.com/spreadsheets/d/1UsNK1e-WWiCo2PvGqdNfdme4m17_Ezd3J69EeeiQPD0/edit?usp=sharing"",""อุทัยธานี!N217"")"),0)</f>
        <v>0</v>
      </c>
      <c r="O217" s="136"/>
      <c r="P217" s="45"/>
      <c r="Q217" s="46">
        <f ca="1">IFERROR(__xludf.DUMMYFUNCTION("IMPORTRANGE(""https://docs.google.com/spreadsheets/d/1jTcq05yEiRwXcBMLjiodW9e4biSGYWAHcDj22rKWQ3s/edit?usp=sharing"",""กำแพงเพชร!Q217"")+IMPORTRANGE(""https://docs.google.com/spreadsheets/d/1KS0zmDSZPk8KnTAbGN-Xk6MtX1YRZD0ldgdt20K4CRk/edit?usp=sharing"","&amp;"""เชียงราย!Q217"")+IMPORTRANGE(""https://docs.google.com/spreadsheets/d/1rEDxBtusbi64tE0zunoIbsTVV16HeL0oJ6trHQeQ7K8/edit?usp=sharing"",""เชียงใหม่!Q217"")+IMPORTRANGE(""https://docs.google.com/spreadsheets/d/1W6MnUbDkMi6xHnHko_XkFDO9kkuL6Wqyc-6OCDFjW9I/e"&amp;"dit?usp=sharing"",""ตาก!Q217"")+IMPORTRANGE(""https://docs.google.com/spreadsheets/d/1IQAWArduLkta9LpYo4a_ULsyqdta6-6aDDiwpUnQT6c/edit?usp=sharing"",""นครสวรรค์!Q217"")+IMPORTRANGE(""https://docs.google.com/spreadsheets/d/10s13Sk5xrltsiR-Zkbmk5DwIaDIKO8Xl"&amp;"bJAfqyT7Gvg/edit?usp=sharing"",""น่าน!Q217"")+IMPORTRANGE(""https://docs.google.com/spreadsheets/d/1uu4nAn4Dbi1XREnLKKotUANlKXa7yCgRcgq8HEzQYW8/edit?usp=sharing"",""พะเยา!Q217"")+IMPORTRANGE(""https://docs.google.com/spreadsheets/d/1xfJKIQxVOaPDIICqsflNlL"&amp;"u3JacTDk1FP9RH4phX7mI/edit?usp=sharing"",""พิจิตร!Q217"")+IMPORTRANGE(""https://docs.google.com/spreadsheets/d/1JtRfZkJMHtEhI5RdRHxYUG4FIZHqKDpNyIuN7A1Q0_k/edit?usp=sharing"",""พิษณุโลก!Q217"")+IMPORTRANGE(""https://docs.google.com/spreadsheets/d/1xlcVZWU"&amp;"Nn6SuWm0c307h32SiGkd9BaeQWlAktfD3KO8/edit?usp=sharing"",""เพชรบูรณ์!Q217"")+IMPORTRANGE(""https://docs.google.com/spreadsheets/d/1lOVebEIsI9qjGXl6EX66luk7wiuP2tBaryw-wKvv4e0/edit?usp=sharing"",""แพร่!Q217"")+IMPORTRANGE(""https://docs.google.com/spreadshe"&amp;"ets/d/1dQrvX0vEcN7Gu0fnZ0B5S90AeR19zth4XlExFBeExMY/edit?usp=sharing"",""แม่ฮ่องสอน!Q217"")+IMPORTRANGE(""https://docs.google.com/spreadsheets/d/1DY4XTNNwjluuxqdfdn6qvOSlMRrZqUtmYcZR0ttFiG4/edit?usp=sharing"",""ลำปาง!Q217"")+IMPORTRANGE(""https://docs.goog"&amp;"le.com/spreadsheets/d/1ICwG78r0OFT8biBlxnBF8r7she7gNSzOvJ958PWT09c/edit?usp=sharing"",""ลำพูน!Q217"")+IMPORTRANGE(""https://docs.google.com/spreadsheets/d/1B0f2xJpZUC6Z0xXnqKlZtEPzsf6L84eP1r1Q15seqRM/edit?usp=sharing"",""สุโขทัย!Q217"")+IMPORTRANGE(""http"&amp;"s://docs.google.com/spreadsheets/d/1v0b9pFQCsKUVExMei7AgY2yQkdeNQvtOssygGsXbiKo/edit?usp=sharing"",""อุตรดิตถ์!Q217"")+IMPORTRANGE(""https://docs.google.com/spreadsheets/d/1UsNK1e-WWiCo2PvGqdNfdme4m17_Ezd3J69EeeiQPD0/edit?usp=sharing"",""อุทัยธานี!Q217"")"),198800)</f>
        <v>198800</v>
      </c>
      <c r="R217" s="46">
        <f ca="1">IFERROR(__xludf.DUMMYFUNCTION("IMPORTRANGE(""https://docs.google.com/spreadsheets/d/1jTcq05yEiRwXcBMLjiodW9e4biSGYWAHcDj22rKWQ3s/edit?usp=sharing"",""กำแพงเพชร!R217"")+IMPORTRANGE(""https://docs.google.com/spreadsheets/d/1KS0zmDSZPk8KnTAbGN-Xk6MtX1YRZD0ldgdt20K4CRk/edit?usp=sharing"","&amp;"""เชียงราย!R217"")+IMPORTRANGE(""https://docs.google.com/spreadsheets/d/1rEDxBtusbi64tE0zunoIbsTVV16HeL0oJ6trHQeQ7K8/edit?usp=sharing"",""เชียงใหม่!R217"")+IMPORTRANGE(""https://docs.google.com/spreadsheets/d/1W6MnUbDkMi6xHnHko_XkFDO9kkuL6Wqyc-6OCDFjW9I/e"&amp;"dit?usp=sharing"",""ตาก!R217"")+IMPORTRANGE(""https://docs.google.com/spreadsheets/d/1IQAWArduLkta9LpYo4a_ULsyqdta6-6aDDiwpUnQT6c/edit?usp=sharing"",""นครสวรรค์!R217"")+IMPORTRANGE(""https://docs.google.com/spreadsheets/d/10s13Sk5xrltsiR-Zkbmk5DwIaDIKO8Xl"&amp;"bJAfqyT7Gvg/edit?usp=sharing"",""น่าน!R217"")+IMPORTRANGE(""https://docs.google.com/spreadsheets/d/1uu4nAn4Dbi1XREnLKKotUANlKXa7yCgRcgq8HEzQYW8/edit?usp=sharing"",""พะเยา!R217"")+IMPORTRANGE(""https://docs.google.com/spreadsheets/d/1xfJKIQxVOaPDIICqsflNlL"&amp;"u3JacTDk1FP9RH4phX7mI/edit?usp=sharing"",""พิจิตร!R217"")+IMPORTRANGE(""https://docs.google.com/spreadsheets/d/1JtRfZkJMHtEhI5RdRHxYUG4FIZHqKDpNyIuN7A1Q0_k/edit?usp=sharing"",""พิษณุโลก!R217"")+IMPORTRANGE(""https://docs.google.com/spreadsheets/d/1xlcVZWU"&amp;"Nn6SuWm0c307h32SiGkd9BaeQWlAktfD3KO8/edit?usp=sharing"",""เพชรบูรณ์!R217"")+IMPORTRANGE(""https://docs.google.com/spreadsheets/d/1lOVebEIsI9qjGXl6EX66luk7wiuP2tBaryw-wKvv4e0/edit?usp=sharing"",""แพร่!R217"")+IMPORTRANGE(""https://docs.google.com/spreadshe"&amp;"ets/d/1dQrvX0vEcN7Gu0fnZ0B5S90AeR19zth4XlExFBeExMY/edit?usp=sharing"",""แม่ฮ่องสอน!R217"")+IMPORTRANGE(""https://docs.google.com/spreadsheets/d/1DY4XTNNwjluuxqdfdn6qvOSlMRrZqUtmYcZR0ttFiG4/edit?usp=sharing"",""ลำปาง!R217"")+IMPORTRANGE(""https://docs.goog"&amp;"le.com/spreadsheets/d/1ICwG78r0OFT8biBlxnBF8r7she7gNSzOvJ958PWT09c/edit?usp=sharing"",""ลำพูน!R217"")+IMPORTRANGE(""https://docs.google.com/spreadsheets/d/1B0f2xJpZUC6Z0xXnqKlZtEPzsf6L84eP1r1Q15seqRM/edit?usp=sharing"",""สุโขทัย!R217"")+IMPORTRANGE(""http"&amp;"s://docs.google.com/spreadsheets/d/1v0b9pFQCsKUVExMei7AgY2yQkdeNQvtOssygGsXbiKo/edit?usp=sharing"",""อุตรดิตถ์!R217"")+IMPORTRANGE(""https://docs.google.com/spreadsheets/d/1UsNK1e-WWiCo2PvGqdNfdme4m17_Ezd3J69EeeiQPD0/edit?usp=sharing"",""อุทัยธานี!R217"")"),0)</f>
        <v>0</v>
      </c>
      <c r="S217" s="46">
        <f ca="1">IFERROR(__xludf.DUMMYFUNCTION("IMPORTRANGE(""https://docs.google.com/spreadsheets/d/1jTcq05yEiRwXcBMLjiodW9e4biSGYWAHcDj22rKWQ3s/edit?usp=sharing"",""กำแพงเพชร!S217"")+IMPORTRANGE(""https://docs.google.com/spreadsheets/d/1KS0zmDSZPk8KnTAbGN-Xk6MtX1YRZD0ldgdt20K4CRk/edit?usp=sharing"","&amp;"""เชียงราย!S217"")+IMPORTRANGE(""https://docs.google.com/spreadsheets/d/1rEDxBtusbi64tE0zunoIbsTVV16HeL0oJ6trHQeQ7K8/edit?usp=sharing"",""เชียงใหม่!S217"")+IMPORTRANGE(""https://docs.google.com/spreadsheets/d/1W6MnUbDkMi6xHnHko_XkFDO9kkuL6Wqyc-6OCDFjW9I/e"&amp;"dit?usp=sharing"",""ตาก!S217"")+IMPORTRANGE(""https://docs.google.com/spreadsheets/d/1IQAWArduLkta9LpYo4a_ULsyqdta6-6aDDiwpUnQT6c/edit?usp=sharing"",""นครสวรรค์!S217"")+IMPORTRANGE(""https://docs.google.com/spreadsheets/d/10s13Sk5xrltsiR-Zkbmk5DwIaDIKO8Xl"&amp;"bJAfqyT7Gvg/edit?usp=sharing"",""น่าน!S217"")+IMPORTRANGE(""https://docs.google.com/spreadsheets/d/1uu4nAn4Dbi1XREnLKKotUANlKXa7yCgRcgq8HEzQYW8/edit?usp=sharing"",""พะเยา!S217"")+IMPORTRANGE(""https://docs.google.com/spreadsheets/d/1xfJKIQxVOaPDIICqsflNlL"&amp;"u3JacTDk1FP9RH4phX7mI/edit?usp=sharing"",""พิจิตร!S217"")+IMPORTRANGE(""https://docs.google.com/spreadsheets/d/1JtRfZkJMHtEhI5RdRHxYUG4FIZHqKDpNyIuN7A1Q0_k/edit?usp=sharing"",""พิษณุโลก!S217"")+IMPORTRANGE(""https://docs.google.com/spreadsheets/d/1xlcVZWU"&amp;"Nn6SuWm0c307h32SiGkd9BaeQWlAktfD3KO8/edit?usp=sharing"",""เพชรบูรณ์!S217"")+IMPORTRANGE(""https://docs.google.com/spreadsheets/d/1lOVebEIsI9qjGXl6EX66luk7wiuP2tBaryw-wKvv4e0/edit?usp=sharing"",""แพร่!S217"")+IMPORTRANGE(""https://docs.google.com/spreadshe"&amp;"ets/d/1dQrvX0vEcN7Gu0fnZ0B5S90AeR19zth4XlExFBeExMY/edit?usp=sharing"",""แม่ฮ่องสอน!S217"")+IMPORTRANGE(""https://docs.google.com/spreadsheets/d/1DY4XTNNwjluuxqdfdn6qvOSlMRrZqUtmYcZR0ttFiG4/edit?usp=sharing"",""ลำปาง!S217"")+IMPORTRANGE(""https://docs.goog"&amp;"le.com/spreadsheets/d/1ICwG78r0OFT8biBlxnBF8r7she7gNSzOvJ958PWT09c/edit?usp=sharing"",""ลำพูน!S217"")+IMPORTRANGE(""https://docs.google.com/spreadsheets/d/1B0f2xJpZUC6Z0xXnqKlZtEPzsf6L84eP1r1Q15seqRM/edit?usp=sharing"",""สุโขทัย!S217"")+IMPORTRANGE(""http"&amp;"s://docs.google.com/spreadsheets/d/1v0b9pFQCsKUVExMei7AgY2yQkdeNQvtOssygGsXbiKo/edit?usp=sharing"",""อุตรดิตถ์!S217"")+IMPORTRANGE(""https://docs.google.com/spreadsheets/d/1UsNK1e-WWiCo2PvGqdNfdme4m17_Ezd3J69EeeiQPD0/edit?usp=sharing"",""อุทัยธานี!S217"")"),0)</f>
        <v>0</v>
      </c>
      <c r="T217" s="152"/>
      <c r="U217" s="46"/>
    </row>
    <row r="218" spans="1:21" ht="19.5" x14ac:dyDescent="0.3">
      <c r="A218" s="138"/>
      <c r="B218" s="139"/>
      <c r="C218" s="161" t="s">
        <v>18</v>
      </c>
      <c r="D218" s="140" t="s">
        <v>38</v>
      </c>
      <c r="E218" s="141"/>
      <c r="F218" s="141"/>
      <c r="G218" s="142"/>
      <c r="H218" s="143"/>
      <c r="I218" s="135"/>
      <c r="J218" s="44"/>
      <c r="K218" s="45"/>
      <c r="L218" s="45"/>
      <c r="M218" s="45"/>
      <c r="N218" s="45"/>
      <c r="O218" s="136"/>
      <c r="P218" s="136"/>
      <c r="Q218" s="46"/>
      <c r="R218" s="46"/>
      <c r="S218" s="46"/>
      <c r="T218" s="152"/>
      <c r="U218" s="152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66">
        <f ca="1">IFERROR(__xludf.DUMMYFUNCTION("IMPORTRANGE(""https://docs.google.com/spreadsheets/d/1jTcq05yEiRwXcBMLjiodW9e4biSGYWAHcDj22rKWQ3s/edit?usp=sharing"",""กำแพงเพชร!I219"")+IMPORTRANGE(""https://docs.google.com/spreadsheets/d/1KS0zmDSZPk8KnTAbGN-Xk6MtX1YRZD0ldgdt20K4CRk/edit?usp=sharing"","&amp;"""เชียงราย!I219"")+IMPORTRANGE(""https://docs.google.com/spreadsheets/d/1rEDxBtusbi64tE0zunoIbsTVV16HeL0oJ6trHQeQ7K8/edit?usp=sharing"",""เชียงใหม่!I219"")+IMPORTRANGE(""https://docs.google.com/spreadsheets/d/1W6MnUbDkMi6xHnHko_XkFDO9kkuL6Wqyc-6OCDFjW9I/e"&amp;"dit?usp=sharing"",""ตาก!I219"")+IMPORTRANGE(""https://docs.google.com/spreadsheets/d/1IQAWArduLkta9LpYo4a_ULsyqdta6-6aDDiwpUnQT6c/edit?usp=sharing"",""นครสวรรค์!I219"")+IMPORTRANGE(""https://docs.google.com/spreadsheets/d/10s13Sk5xrltsiR-Zkbmk5DwIaDIKO8Xl"&amp;"bJAfqyT7Gvg/edit?usp=sharing"",""น่าน!I219"")+IMPORTRANGE(""https://docs.google.com/spreadsheets/d/1uu4nAn4Dbi1XREnLKKotUANlKXa7yCgRcgq8HEzQYW8/edit?usp=sharing"",""พะเยา!I219"")+IMPORTRANGE(""https://docs.google.com/spreadsheets/d/1xfJKIQxVOaPDIICqsflNlL"&amp;"u3JacTDk1FP9RH4phX7mI/edit?usp=sharing"",""พิจิตร!I219"")+IMPORTRANGE(""https://docs.google.com/spreadsheets/d/1JtRfZkJMHtEhI5RdRHxYUG4FIZHqKDpNyIuN7A1Q0_k/edit?usp=sharing"",""พิษณุโลก!I219"")+IMPORTRANGE(""https://docs.google.com/spreadsheets/d/1xlcVZWU"&amp;"Nn6SuWm0c307h32SiGkd9BaeQWlAktfD3KO8/edit?usp=sharing"",""เพชรบูรณ์!I219"")+IMPORTRANGE(""https://docs.google.com/spreadsheets/d/1lOVebEIsI9qjGXl6EX66luk7wiuP2tBaryw-wKvv4e0/edit?usp=sharing"",""แพร่!I219"")+IMPORTRANGE(""https://docs.google.com/spreadshe"&amp;"ets/d/1dQrvX0vEcN7Gu0fnZ0B5S90AeR19zth4XlExFBeExMY/edit?usp=sharing"",""แม่ฮ่องสอน!I219"")+IMPORTRANGE(""https://docs.google.com/spreadsheets/d/1DY4XTNNwjluuxqdfdn6qvOSlMRrZqUtmYcZR0ttFiG4/edit?usp=sharing"",""ลำปาง!I219"")+IMPORTRANGE(""https://docs.goog"&amp;"le.com/spreadsheets/d/1ICwG78r0OFT8biBlxnBF8r7she7gNSzOvJ958PWT09c/edit?usp=sharing"",""ลำพูน!I219"")+IMPORTRANGE(""https://docs.google.com/spreadsheets/d/1B0f2xJpZUC6Z0xXnqKlZtEPzsf6L84eP1r1Q15seqRM/edit?usp=sharing"",""สุโขทัย!I219"")+IMPORTRANGE(""http"&amp;"s://docs.google.com/spreadsheets/d/1v0b9pFQCsKUVExMei7AgY2yQkdeNQvtOssygGsXbiKo/edit?usp=sharing"",""อุตรดิตถ์!I219"")+IMPORTRANGE(""https://docs.google.com/spreadsheets/d/1UsNK1e-WWiCo2PvGqdNfdme4m17_Ezd3J69EeeiQPD0/edit?usp=sharing"",""อุทัยธานี!I219"")"),4)</f>
        <v>4</v>
      </c>
      <c r="J219" s="166">
        <f ca="1">IFERROR(__xludf.DUMMYFUNCTION("IMPORTRANGE(""https://docs.google.com/spreadsheets/d/1jTcq05yEiRwXcBMLjiodW9e4biSGYWAHcDj22rKWQ3s/edit?usp=sharing"",""กำแพงเพชร!J219"")+IMPORTRANGE(""https://docs.google.com/spreadsheets/d/1KS0zmDSZPk8KnTAbGN-Xk6MtX1YRZD0ldgdt20K4CRk/edit?usp=sharing"","&amp;"""เชียงราย!J219"")+IMPORTRANGE(""https://docs.google.com/spreadsheets/d/1rEDxBtusbi64tE0zunoIbsTVV16HeL0oJ6trHQeQ7K8/edit?usp=sharing"",""เชียงใหม่!J219"")+IMPORTRANGE(""https://docs.google.com/spreadsheets/d/1W6MnUbDkMi6xHnHko_XkFDO9kkuL6Wqyc-6OCDFjW9I/e"&amp;"dit?usp=sharing"",""ตาก!J219"")+IMPORTRANGE(""https://docs.google.com/spreadsheets/d/1IQAWArduLkta9LpYo4a_ULsyqdta6-6aDDiwpUnQT6c/edit?usp=sharing"",""นครสวรรค์!J219"")+IMPORTRANGE(""https://docs.google.com/spreadsheets/d/10s13Sk5xrltsiR-Zkbmk5DwIaDIKO8Xl"&amp;"bJAfqyT7Gvg/edit?usp=sharing"",""น่าน!J219"")+IMPORTRANGE(""https://docs.google.com/spreadsheets/d/1uu4nAn4Dbi1XREnLKKotUANlKXa7yCgRcgq8HEzQYW8/edit?usp=sharing"",""พะเยา!J219"")+IMPORTRANGE(""https://docs.google.com/spreadsheets/d/1xfJKIQxVOaPDIICqsflNlL"&amp;"u3JacTDk1FP9RH4phX7mI/edit?usp=sharing"",""พิจิตร!J219"")+IMPORTRANGE(""https://docs.google.com/spreadsheets/d/1JtRfZkJMHtEhI5RdRHxYUG4FIZHqKDpNyIuN7A1Q0_k/edit?usp=sharing"",""พิษณุโลก!J219"")+IMPORTRANGE(""https://docs.google.com/spreadsheets/d/1xlcVZWU"&amp;"Nn6SuWm0c307h32SiGkd9BaeQWlAktfD3KO8/edit?usp=sharing"",""เพชรบูรณ์!J219"")+IMPORTRANGE(""https://docs.google.com/spreadsheets/d/1lOVebEIsI9qjGXl6EX66luk7wiuP2tBaryw-wKvv4e0/edit?usp=sharing"",""แพร่!J219"")+IMPORTRANGE(""https://docs.google.com/spreadshe"&amp;"ets/d/1dQrvX0vEcN7Gu0fnZ0B5S90AeR19zth4XlExFBeExMY/edit?usp=sharing"",""แม่ฮ่องสอน!J219"")+IMPORTRANGE(""https://docs.google.com/spreadsheets/d/1DY4XTNNwjluuxqdfdn6qvOSlMRrZqUtmYcZR0ttFiG4/edit?usp=sharing"",""ลำปาง!J219"")+IMPORTRANGE(""https://docs.goog"&amp;"le.com/spreadsheets/d/1ICwG78r0OFT8biBlxnBF8r7she7gNSzOvJ958PWT09c/edit?usp=sharing"",""ลำพูน!J219"")+IMPORTRANGE(""https://docs.google.com/spreadsheets/d/1B0f2xJpZUC6Z0xXnqKlZtEPzsf6L84eP1r1Q15seqRM/edit?usp=sharing"",""สุโขทัย!J219"")+IMPORTRANGE(""http"&amp;"s://docs.google.com/spreadsheets/d/1v0b9pFQCsKUVExMei7AgY2yQkdeNQvtOssygGsXbiKo/edit?usp=sharing"",""อุตรดิตถ์!J219"")+IMPORTRANGE(""https://docs.google.com/spreadsheets/d/1UsNK1e-WWiCo2PvGqdNfdme4m17_Ezd3J69EeeiQPD0/edit?usp=sharing"",""อุทัยธานี!J219"")"),0)</f>
        <v>0</v>
      </c>
      <c r="K219" s="46">
        <f t="shared" ref="K219:K221" ca="1" si="179">IF(I219&gt;0,J219*100/I219,0)</f>
        <v>0</v>
      </c>
      <c r="L219" s="45"/>
      <c r="M219" s="45"/>
      <c r="N219" s="45"/>
      <c r="O219" s="45"/>
      <c r="P219" s="45"/>
      <c r="Q219" s="46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66">
        <f ca="1">IFERROR(__xludf.DUMMYFUNCTION("IMPORTRANGE(""https://docs.google.com/spreadsheets/d/1jTcq05yEiRwXcBMLjiodW9e4biSGYWAHcDj22rKWQ3s/edit?usp=sharing"",""กำแพงเพชร!I220"")+IMPORTRANGE(""https://docs.google.com/spreadsheets/d/1KS0zmDSZPk8KnTAbGN-Xk6MtX1YRZD0ldgdt20K4CRk/edit?usp=sharing"","&amp;"""เชียงราย!I220"")+IMPORTRANGE(""https://docs.google.com/spreadsheets/d/1rEDxBtusbi64tE0zunoIbsTVV16HeL0oJ6trHQeQ7K8/edit?usp=sharing"",""เชียงใหม่!I220"")+IMPORTRANGE(""https://docs.google.com/spreadsheets/d/1W6MnUbDkMi6xHnHko_XkFDO9kkuL6Wqyc-6OCDFjW9I/e"&amp;"dit?usp=sharing"",""ตาก!I220"")+IMPORTRANGE(""https://docs.google.com/spreadsheets/d/1IQAWArduLkta9LpYo4a_ULsyqdta6-6aDDiwpUnQT6c/edit?usp=sharing"",""นครสวรรค์!I220"")+IMPORTRANGE(""https://docs.google.com/spreadsheets/d/10s13Sk5xrltsiR-Zkbmk5DwIaDIKO8Xl"&amp;"bJAfqyT7Gvg/edit?usp=sharing"",""น่าน!I220"")+IMPORTRANGE(""https://docs.google.com/spreadsheets/d/1uu4nAn4Dbi1XREnLKKotUANlKXa7yCgRcgq8HEzQYW8/edit?usp=sharing"",""พะเยา!I220"")+IMPORTRANGE(""https://docs.google.com/spreadsheets/d/1xfJKIQxVOaPDIICqsflNlL"&amp;"u3JacTDk1FP9RH4phX7mI/edit?usp=sharing"",""พิจิตร!I220"")+IMPORTRANGE(""https://docs.google.com/spreadsheets/d/1JtRfZkJMHtEhI5RdRHxYUG4FIZHqKDpNyIuN7A1Q0_k/edit?usp=sharing"",""พิษณุโลก!I220"")+IMPORTRANGE(""https://docs.google.com/spreadsheets/d/1xlcVZWU"&amp;"Nn6SuWm0c307h32SiGkd9BaeQWlAktfD3KO8/edit?usp=sharing"",""เพชรบูรณ์!I220"")+IMPORTRANGE(""https://docs.google.com/spreadsheets/d/1lOVebEIsI9qjGXl6EX66luk7wiuP2tBaryw-wKvv4e0/edit?usp=sharing"",""แพร่!I220"")+IMPORTRANGE(""https://docs.google.com/spreadshe"&amp;"ets/d/1dQrvX0vEcN7Gu0fnZ0B5S90AeR19zth4XlExFBeExMY/edit?usp=sharing"",""แม่ฮ่องสอน!I220"")+IMPORTRANGE(""https://docs.google.com/spreadsheets/d/1DY4XTNNwjluuxqdfdn6qvOSlMRrZqUtmYcZR0ttFiG4/edit?usp=sharing"",""ลำปาง!I220"")+IMPORTRANGE(""https://docs.goog"&amp;"le.com/spreadsheets/d/1ICwG78r0OFT8biBlxnBF8r7she7gNSzOvJ958PWT09c/edit?usp=sharing"",""ลำพูน!I220"")+IMPORTRANGE(""https://docs.google.com/spreadsheets/d/1B0f2xJpZUC6Z0xXnqKlZtEPzsf6L84eP1r1Q15seqRM/edit?usp=sharing"",""สุโขทัย!I220"")+IMPORTRANGE(""http"&amp;"s://docs.google.com/spreadsheets/d/1v0b9pFQCsKUVExMei7AgY2yQkdeNQvtOssygGsXbiKo/edit?usp=sharing"",""อุตรดิตถ์!I220"")+IMPORTRANGE(""https://docs.google.com/spreadsheets/d/1UsNK1e-WWiCo2PvGqdNfdme4m17_Ezd3J69EeeiQPD0/edit?usp=sharing"",""อุทัยธานี!I220"")"),4)</f>
        <v>4</v>
      </c>
      <c r="J220" s="166">
        <f ca="1">IFERROR(__xludf.DUMMYFUNCTION("IMPORTRANGE(""https://docs.google.com/spreadsheets/d/1jTcq05yEiRwXcBMLjiodW9e4biSGYWAHcDj22rKWQ3s/edit?usp=sharing"",""กำแพงเพชร!J220"")+IMPORTRANGE(""https://docs.google.com/spreadsheets/d/1KS0zmDSZPk8KnTAbGN-Xk6MtX1YRZD0ldgdt20K4CRk/edit?usp=sharing"","&amp;"""เชียงราย!J220"")+IMPORTRANGE(""https://docs.google.com/spreadsheets/d/1rEDxBtusbi64tE0zunoIbsTVV16HeL0oJ6trHQeQ7K8/edit?usp=sharing"",""เชียงใหม่!J220"")+IMPORTRANGE(""https://docs.google.com/spreadsheets/d/1W6MnUbDkMi6xHnHko_XkFDO9kkuL6Wqyc-6OCDFjW9I/e"&amp;"dit?usp=sharing"",""ตาก!J220"")+IMPORTRANGE(""https://docs.google.com/spreadsheets/d/1IQAWArduLkta9LpYo4a_ULsyqdta6-6aDDiwpUnQT6c/edit?usp=sharing"",""นครสวรรค์!J220"")+IMPORTRANGE(""https://docs.google.com/spreadsheets/d/10s13Sk5xrltsiR-Zkbmk5DwIaDIKO8Xl"&amp;"bJAfqyT7Gvg/edit?usp=sharing"",""น่าน!J220"")+IMPORTRANGE(""https://docs.google.com/spreadsheets/d/1uu4nAn4Dbi1XREnLKKotUANlKXa7yCgRcgq8HEzQYW8/edit?usp=sharing"",""พะเยา!J220"")+IMPORTRANGE(""https://docs.google.com/spreadsheets/d/1xfJKIQxVOaPDIICqsflNlL"&amp;"u3JacTDk1FP9RH4phX7mI/edit?usp=sharing"",""พิจิตร!J220"")+IMPORTRANGE(""https://docs.google.com/spreadsheets/d/1JtRfZkJMHtEhI5RdRHxYUG4FIZHqKDpNyIuN7A1Q0_k/edit?usp=sharing"",""พิษณุโลก!J220"")+IMPORTRANGE(""https://docs.google.com/spreadsheets/d/1xlcVZWU"&amp;"Nn6SuWm0c307h32SiGkd9BaeQWlAktfD3KO8/edit?usp=sharing"",""เพชรบูรณ์!J220"")+IMPORTRANGE(""https://docs.google.com/spreadsheets/d/1lOVebEIsI9qjGXl6EX66luk7wiuP2tBaryw-wKvv4e0/edit?usp=sharing"",""แพร่!J220"")+IMPORTRANGE(""https://docs.google.com/spreadshe"&amp;"ets/d/1dQrvX0vEcN7Gu0fnZ0B5S90AeR19zth4XlExFBeExMY/edit?usp=sharing"",""แม่ฮ่องสอน!J220"")+IMPORTRANGE(""https://docs.google.com/spreadsheets/d/1DY4XTNNwjluuxqdfdn6qvOSlMRrZqUtmYcZR0ttFiG4/edit?usp=sharing"",""ลำปาง!J220"")+IMPORTRANGE(""https://docs.goog"&amp;"le.com/spreadsheets/d/1ICwG78r0OFT8biBlxnBF8r7she7gNSzOvJ958PWT09c/edit?usp=sharing"",""ลำพูน!J220"")+IMPORTRANGE(""https://docs.google.com/spreadsheets/d/1B0f2xJpZUC6Z0xXnqKlZtEPzsf6L84eP1r1Q15seqRM/edit?usp=sharing"",""สุโขทัย!J220"")+IMPORTRANGE(""http"&amp;"s://docs.google.com/spreadsheets/d/1v0b9pFQCsKUVExMei7AgY2yQkdeNQvtOssygGsXbiKo/edit?usp=sharing"",""อุตรดิตถ์!J220"")+IMPORTRANGE(""https://docs.google.com/spreadsheets/d/1UsNK1e-WWiCo2PvGqdNfdme4m17_Ezd3J69EeeiQPD0/edit?usp=sharing"",""อุทัยธานี!J220"")"),0)</f>
        <v>0</v>
      </c>
      <c r="K220" s="46">
        <f t="shared" ca="1" si="179"/>
        <v>0</v>
      </c>
      <c r="L220" s="45"/>
      <c r="M220" s="45"/>
      <c r="N220" s="45"/>
      <c r="O220" s="45"/>
      <c r="P220" s="45"/>
      <c r="Q220" s="46"/>
      <c r="R220" s="46"/>
      <c r="S220" s="46"/>
      <c r="T220" s="46"/>
      <c r="U220" s="46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217">
        <f t="shared" ref="I221:J221" ca="1" si="180">I229</f>
        <v>1024000</v>
      </c>
      <c r="J221" s="217">
        <f t="shared" ca="1" si="180"/>
        <v>0</v>
      </c>
      <c r="K221" s="218">
        <f t="shared" ca="1" si="179"/>
        <v>0</v>
      </c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220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132">
        <f t="shared" ref="L222:N222" ca="1" si="181">L223+L224+L225</f>
        <v>154500</v>
      </c>
      <c r="M222" s="132">
        <f t="shared" ca="1" si="181"/>
        <v>0</v>
      </c>
      <c r="N222" s="132">
        <f t="shared" ca="1" si="181"/>
        <v>0</v>
      </c>
      <c r="O222" s="132">
        <f ca="1">IF(L222&gt;0,N222*100/L222,0)</f>
        <v>0</v>
      </c>
      <c r="P222" s="45"/>
      <c r="Q222" s="46">
        <f t="shared" ref="Q222:S222" ca="1" si="182">Q223+Q224+Q225</f>
        <v>0</v>
      </c>
      <c r="R222" s="46">
        <f t="shared" ca="1" si="182"/>
        <v>0</v>
      </c>
      <c r="S222" s="46">
        <f t="shared" ca="1" si="182"/>
        <v>0</v>
      </c>
      <c r="T222" s="46"/>
      <c r="U222" s="46"/>
    </row>
    <row r="223" spans="1:21" ht="18.75" x14ac:dyDescent="0.25">
      <c r="A223" s="128"/>
      <c r="B223" s="158"/>
      <c r="C223" s="40"/>
      <c r="D223" s="47" t="s">
        <v>86</v>
      </c>
      <c r="E223" s="40"/>
      <c r="F223" s="40"/>
      <c r="G223" s="42"/>
      <c r="H223" s="134" t="s">
        <v>14</v>
      </c>
      <c r="I223" s="135"/>
      <c r="J223" s="135"/>
      <c r="K223" s="136"/>
      <c r="L223" s="46">
        <f ca="1">IFERROR(__xludf.DUMMYFUNCTION("IMPORTRANGE(""https://docs.google.com/spreadsheets/d/1jTcq05yEiRwXcBMLjiodW9e4biSGYWAHcDj22rKWQ3s/edit?usp=sharing"",""กำแพงเพชร!L223"")+IMPORTRANGE(""https://docs.google.com/spreadsheets/d/1KS0zmDSZPk8KnTAbGN-Xk6MtX1YRZD0ldgdt20K4CRk/edit?usp=sharing"","&amp;"""เชียงราย!L223"")+IMPORTRANGE(""https://docs.google.com/spreadsheets/d/1rEDxBtusbi64tE0zunoIbsTVV16HeL0oJ6trHQeQ7K8/edit?usp=sharing"",""เชียงใหม่!L223"")+IMPORTRANGE(""https://docs.google.com/spreadsheets/d/1W6MnUbDkMi6xHnHko_XkFDO9kkuL6Wqyc-6OCDFjW9I/e"&amp;"dit?usp=sharing"",""ตาก!L223"")+IMPORTRANGE(""https://docs.google.com/spreadsheets/d/1IQAWArduLkta9LpYo4a_ULsyqdta6-6aDDiwpUnQT6c/edit?usp=sharing"",""นครสวรรค์!L223"")+IMPORTRANGE(""https://docs.google.com/spreadsheets/d/10s13Sk5xrltsiR-Zkbmk5DwIaDIKO8Xl"&amp;"bJAfqyT7Gvg/edit?usp=sharing"",""น่าน!L223"")+IMPORTRANGE(""https://docs.google.com/spreadsheets/d/1uu4nAn4Dbi1XREnLKKotUANlKXa7yCgRcgq8HEzQYW8/edit?usp=sharing"",""พะเยา!L223"")+IMPORTRANGE(""https://docs.google.com/spreadsheets/d/1xfJKIQxVOaPDIICqsflNlL"&amp;"u3JacTDk1FP9RH4phX7mI/edit?usp=sharing"",""พิจิตร!L223"")+IMPORTRANGE(""https://docs.google.com/spreadsheets/d/1JtRfZkJMHtEhI5RdRHxYUG4FIZHqKDpNyIuN7A1Q0_k/edit?usp=sharing"",""พิษณุโลก!L223"")+IMPORTRANGE(""https://docs.google.com/spreadsheets/d/1xlcVZWU"&amp;"Nn6SuWm0c307h32SiGkd9BaeQWlAktfD3KO8/edit?usp=sharing"",""เพชรบูรณ์!L223"")+IMPORTRANGE(""https://docs.google.com/spreadsheets/d/1lOVebEIsI9qjGXl6EX66luk7wiuP2tBaryw-wKvv4e0/edit?usp=sharing"",""แพร่!L223"")+IMPORTRANGE(""https://docs.google.com/spreadshe"&amp;"ets/d/1dQrvX0vEcN7Gu0fnZ0B5S90AeR19zth4XlExFBeExMY/edit?usp=sharing"",""แม่ฮ่องสอน!L223"")+IMPORTRANGE(""https://docs.google.com/spreadsheets/d/1DY4XTNNwjluuxqdfdn6qvOSlMRrZqUtmYcZR0ttFiG4/edit?usp=sharing"",""ลำปาง!L223"")+IMPORTRANGE(""https://docs.goog"&amp;"le.com/spreadsheets/d/1ICwG78r0OFT8biBlxnBF8r7she7gNSzOvJ958PWT09c/edit?usp=sharing"",""ลำพูน!L223"")+IMPORTRANGE(""https://docs.google.com/spreadsheets/d/1B0f2xJpZUC6Z0xXnqKlZtEPzsf6L84eP1r1Q15seqRM/edit?usp=sharing"",""สุโขทัย!L223"")+IMPORTRANGE(""http"&amp;"s://docs.google.com/spreadsheets/d/1v0b9pFQCsKUVExMei7AgY2yQkdeNQvtOssygGsXbiKo/edit?usp=sharing"",""อุตรดิตถ์!L223"")+IMPORTRANGE(""https://docs.google.com/spreadsheets/d/1UsNK1e-WWiCo2PvGqdNfdme4m17_Ezd3J69EeeiQPD0/edit?usp=sharing"",""อุทัยธานี!L223"")"),42500)</f>
        <v>42500</v>
      </c>
      <c r="M223" s="46">
        <f ca="1">IFERROR(__xludf.DUMMYFUNCTION("IMPORTRANGE(""https://docs.google.com/spreadsheets/d/1jTcq05yEiRwXcBMLjiodW9e4biSGYWAHcDj22rKWQ3s/edit?usp=sharing"",""กำแพงเพชร!M223"")+IMPORTRANGE(""https://docs.google.com/spreadsheets/d/1KS0zmDSZPk8KnTAbGN-Xk6MtX1YRZD0ldgdt20K4CRk/edit?usp=sharing"","&amp;"""เชียงราย!M223"")+IMPORTRANGE(""https://docs.google.com/spreadsheets/d/1rEDxBtusbi64tE0zunoIbsTVV16HeL0oJ6trHQeQ7K8/edit?usp=sharing"",""เชียงใหม่!M223"")+IMPORTRANGE(""https://docs.google.com/spreadsheets/d/1W6MnUbDkMi6xHnHko_XkFDO9kkuL6Wqyc-6OCDFjW9I/e"&amp;"dit?usp=sharing"",""ตาก!M223"")+IMPORTRANGE(""https://docs.google.com/spreadsheets/d/1IQAWArduLkta9LpYo4a_ULsyqdta6-6aDDiwpUnQT6c/edit?usp=sharing"",""นครสวรรค์!M223"")+IMPORTRANGE(""https://docs.google.com/spreadsheets/d/10s13Sk5xrltsiR-Zkbmk5DwIaDIKO8Xl"&amp;"bJAfqyT7Gvg/edit?usp=sharing"",""น่าน!M223"")+IMPORTRANGE(""https://docs.google.com/spreadsheets/d/1uu4nAn4Dbi1XREnLKKotUANlKXa7yCgRcgq8HEzQYW8/edit?usp=sharing"",""พะเยา!M223"")+IMPORTRANGE(""https://docs.google.com/spreadsheets/d/1xfJKIQxVOaPDIICqsflNlL"&amp;"u3JacTDk1FP9RH4phX7mI/edit?usp=sharing"",""พิจิตร!M223"")+IMPORTRANGE(""https://docs.google.com/spreadsheets/d/1JtRfZkJMHtEhI5RdRHxYUG4FIZHqKDpNyIuN7A1Q0_k/edit?usp=sharing"",""พิษณุโลก!M223"")+IMPORTRANGE(""https://docs.google.com/spreadsheets/d/1xlcVZWU"&amp;"Nn6SuWm0c307h32SiGkd9BaeQWlAktfD3KO8/edit?usp=sharing"",""เพชรบูรณ์!M223"")+IMPORTRANGE(""https://docs.google.com/spreadsheets/d/1lOVebEIsI9qjGXl6EX66luk7wiuP2tBaryw-wKvv4e0/edit?usp=sharing"",""แพร่!M223"")+IMPORTRANGE(""https://docs.google.com/spreadshe"&amp;"ets/d/1dQrvX0vEcN7Gu0fnZ0B5S90AeR19zth4XlExFBeExMY/edit?usp=sharing"",""แม่ฮ่องสอน!M223"")+IMPORTRANGE(""https://docs.google.com/spreadsheets/d/1DY4XTNNwjluuxqdfdn6qvOSlMRrZqUtmYcZR0ttFiG4/edit?usp=sharing"",""ลำปาง!M223"")+IMPORTRANGE(""https://docs.goog"&amp;"le.com/spreadsheets/d/1ICwG78r0OFT8biBlxnBF8r7she7gNSzOvJ958PWT09c/edit?usp=sharing"",""ลำพูน!M223"")+IMPORTRANGE(""https://docs.google.com/spreadsheets/d/1B0f2xJpZUC6Z0xXnqKlZtEPzsf6L84eP1r1Q15seqRM/edit?usp=sharing"",""สุโขทัย!M223"")+IMPORTRANGE(""http"&amp;"s://docs.google.com/spreadsheets/d/1v0b9pFQCsKUVExMei7AgY2yQkdeNQvtOssygGsXbiKo/edit?usp=sharing"",""อุตรดิตถ์!M223"")+IMPORTRANGE(""https://docs.google.com/spreadsheets/d/1UsNK1e-WWiCo2PvGqdNfdme4m17_Ezd3J69EeeiQPD0/edit?usp=sharing"",""อุทัยธานี!M223"")"),0)</f>
        <v>0</v>
      </c>
      <c r="N223" s="46">
        <f ca="1">IFERROR(__xludf.DUMMYFUNCTION("IMPORTRANGE(""https://docs.google.com/spreadsheets/d/1jTcq05yEiRwXcBMLjiodW9e4biSGYWAHcDj22rKWQ3s/edit?usp=sharing"",""กำแพงเพชร!N223"")+IMPORTRANGE(""https://docs.google.com/spreadsheets/d/1KS0zmDSZPk8KnTAbGN-Xk6MtX1YRZD0ldgdt20K4CRk/edit?usp=sharing"","&amp;"""เชียงราย!N223"")+IMPORTRANGE(""https://docs.google.com/spreadsheets/d/1rEDxBtusbi64tE0zunoIbsTVV16HeL0oJ6trHQeQ7K8/edit?usp=sharing"",""เชียงใหม่!N223"")+IMPORTRANGE(""https://docs.google.com/spreadsheets/d/1W6MnUbDkMi6xHnHko_XkFDO9kkuL6Wqyc-6OCDFjW9I/e"&amp;"dit?usp=sharing"",""ตาก!N223"")+IMPORTRANGE(""https://docs.google.com/spreadsheets/d/1IQAWArduLkta9LpYo4a_ULsyqdta6-6aDDiwpUnQT6c/edit?usp=sharing"",""นครสวรรค์!N223"")+IMPORTRANGE(""https://docs.google.com/spreadsheets/d/10s13Sk5xrltsiR-Zkbmk5DwIaDIKO8Xl"&amp;"bJAfqyT7Gvg/edit?usp=sharing"",""น่าน!N223"")+IMPORTRANGE(""https://docs.google.com/spreadsheets/d/1uu4nAn4Dbi1XREnLKKotUANlKXa7yCgRcgq8HEzQYW8/edit?usp=sharing"",""พะเยา!N223"")+IMPORTRANGE(""https://docs.google.com/spreadsheets/d/1xfJKIQxVOaPDIICqsflNlL"&amp;"u3JacTDk1FP9RH4phX7mI/edit?usp=sharing"",""พิจิตร!N223"")+IMPORTRANGE(""https://docs.google.com/spreadsheets/d/1JtRfZkJMHtEhI5RdRHxYUG4FIZHqKDpNyIuN7A1Q0_k/edit?usp=sharing"",""พิษณุโลก!N223"")+IMPORTRANGE(""https://docs.google.com/spreadsheets/d/1xlcVZWU"&amp;"Nn6SuWm0c307h32SiGkd9BaeQWlAktfD3KO8/edit?usp=sharing"",""เพชรบูรณ์!N223"")+IMPORTRANGE(""https://docs.google.com/spreadsheets/d/1lOVebEIsI9qjGXl6EX66luk7wiuP2tBaryw-wKvv4e0/edit?usp=sharing"",""แพร่!N223"")+IMPORTRANGE(""https://docs.google.com/spreadshe"&amp;"ets/d/1dQrvX0vEcN7Gu0fnZ0B5S90AeR19zth4XlExFBeExMY/edit?usp=sharing"",""แม่ฮ่องสอน!N223"")+IMPORTRANGE(""https://docs.google.com/spreadsheets/d/1DY4XTNNwjluuxqdfdn6qvOSlMRrZqUtmYcZR0ttFiG4/edit?usp=sharing"",""ลำปาง!N223"")+IMPORTRANGE(""https://docs.goog"&amp;"le.com/spreadsheets/d/1ICwG78r0OFT8biBlxnBF8r7she7gNSzOvJ958PWT09c/edit?usp=sharing"",""ลำพูน!N223"")+IMPORTRANGE(""https://docs.google.com/spreadsheets/d/1B0f2xJpZUC6Z0xXnqKlZtEPzsf6L84eP1r1Q15seqRM/edit?usp=sharing"",""สุโขทัย!N223"")+IMPORTRANGE(""http"&amp;"s://docs.google.com/spreadsheets/d/1v0b9pFQCsKUVExMei7AgY2yQkdeNQvtOssygGsXbiKo/edit?usp=sharing"",""อุตรดิตถ์!N223"")+IMPORTRANGE(""https://docs.google.com/spreadsheets/d/1UsNK1e-WWiCo2PvGqdNfdme4m17_Ezd3J69EeeiQPD0/edit?usp=sharing"",""อุทัยธานี!N223"")"),0)</f>
        <v>0</v>
      </c>
      <c r="O223" s="136"/>
      <c r="P223" s="45"/>
      <c r="Q223" s="46">
        <f ca="1">IFERROR(__xludf.DUMMYFUNCTION("IMPORTRANGE(""https://docs.google.com/spreadsheets/d/1jTcq05yEiRwXcBMLjiodW9e4biSGYWAHcDj22rKWQ3s/edit?usp=sharing"",""กำแพงเพชร!Q223"")+IMPORTRANGE(""https://docs.google.com/spreadsheets/d/1KS0zmDSZPk8KnTAbGN-Xk6MtX1YRZD0ldgdt20K4CRk/edit?usp=sharing"","&amp;"""เชียงราย!Q223"")+IMPORTRANGE(""https://docs.google.com/spreadsheets/d/1rEDxBtusbi64tE0zunoIbsTVV16HeL0oJ6trHQeQ7K8/edit?usp=sharing"",""เชียงใหม่!Q223"")+IMPORTRANGE(""https://docs.google.com/spreadsheets/d/1W6MnUbDkMi6xHnHko_XkFDO9kkuL6Wqyc-6OCDFjW9I/e"&amp;"dit?usp=sharing"",""ตาก!Q223"")+IMPORTRANGE(""https://docs.google.com/spreadsheets/d/1IQAWArduLkta9LpYo4a_ULsyqdta6-6aDDiwpUnQT6c/edit?usp=sharing"",""นครสวรรค์!Q223"")+IMPORTRANGE(""https://docs.google.com/spreadsheets/d/10s13Sk5xrltsiR-Zkbmk5DwIaDIKO8Xl"&amp;"bJAfqyT7Gvg/edit?usp=sharing"",""น่าน!Q223"")+IMPORTRANGE(""https://docs.google.com/spreadsheets/d/1uu4nAn4Dbi1XREnLKKotUANlKXa7yCgRcgq8HEzQYW8/edit?usp=sharing"",""พะเยา!Q223"")+IMPORTRANGE(""https://docs.google.com/spreadsheets/d/1xfJKIQxVOaPDIICqsflNlL"&amp;"u3JacTDk1FP9RH4phX7mI/edit?usp=sharing"",""พิจิตร!Q223"")+IMPORTRANGE(""https://docs.google.com/spreadsheets/d/1JtRfZkJMHtEhI5RdRHxYUG4FIZHqKDpNyIuN7A1Q0_k/edit?usp=sharing"",""พิษณุโลก!Q223"")+IMPORTRANGE(""https://docs.google.com/spreadsheets/d/1xlcVZWU"&amp;"Nn6SuWm0c307h32SiGkd9BaeQWlAktfD3KO8/edit?usp=sharing"",""เพชรบูรณ์!Q223"")+IMPORTRANGE(""https://docs.google.com/spreadsheets/d/1lOVebEIsI9qjGXl6EX66luk7wiuP2tBaryw-wKvv4e0/edit?usp=sharing"",""แพร่!Q223"")+IMPORTRANGE(""https://docs.google.com/spreadshe"&amp;"ets/d/1dQrvX0vEcN7Gu0fnZ0B5S90AeR19zth4XlExFBeExMY/edit?usp=sharing"",""แม่ฮ่องสอน!Q223"")+IMPORTRANGE(""https://docs.google.com/spreadsheets/d/1DY4XTNNwjluuxqdfdn6qvOSlMRrZqUtmYcZR0ttFiG4/edit?usp=sharing"",""ลำปาง!Q223"")+IMPORTRANGE(""https://docs.goog"&amp;"le.com/spreadsheets/d/1ICwG78r0OFT8biBlxnBF8r7she7gNSzOvJ958PWT09c/edit?usp=sharing"",""ลำพูน!Q223"")+IMPORTRANGE(""https://docs.google.com/spreadsheets/d/1B0f2xJpZUC6Z0xXnqKlZtEPzsf6L84eP1r1Q15seqRM/edit?usp=sharing"",""สุโขทัย!Q223"")+IMPORTRANGE(""http"&amp;"s://docs.google.com/spreadsheets/d/1v0b9pFQCsKUVExMei7AgY2yQkdeNQvtOssygGsXbiKo/edit?usp=sharing"",""อุตรดิตถ์!Q223"")+IMPORTRANGE(""https://docs.google.com/spreadsheets/d/1UsNK1e-WWiCo2PvGqdNfdme4m17_Ezd3J69EeeiQPD0/edit?usp=sharing"",""อุทัยธานี!Q223"")"),0)</f>
        <v>0</v>
      </c>
      <c r="R223" s="46">
        <f ca="1">IFERROR(__xludf.DUMMYFUNCTION("IMPORTRANGE(""https://docs.google.com/spreadsheets/d/1jTcq05yEiRwXcBMLjiodW9e4biSGYWAHcDj22rKWQ3s/edit?usp=sharing"",""กำแพงเพชร!R223"")+IMPORTRANGE(""https://docs.google.com/spreadsheets/d/1KS0zmDSZPk8KnTAbGN-Xk6MtX1YRZD0ldgdt20K4CRk/edit?usp=sharing"","&amp;"""เชียงราย!R223"")+IMPORTRANGE(""https://docs.google.com/spreadsheets/d/1rEDxBtusbi64tE0zunoIbsTVV16HeL0oJ6trHQeQ7K8/edit?usp=sharing"",""เชียงใหม่!R223"")+IMPORTRANGE(""https://docs.google.com/spreadsheets/d/1W6MnUbDkMi6xHnHko_XkFDO9kkuL6Wqyc-6OCDFjW9I/e"&amp;"dit?usp=sharing"",""ตาก!R223"")+IMPORTRANGE(""https://docs.google.com/spreadsheets/d/1IQAWArduLkta9LpYo4a_ULsyqdta6-6aDDiwpUnQT6c/edit?usp=sharing"",""นครสวรรค์!R223"")+IMPORTRANGE(""https://docs.google.com/spreadsheets/d/10s13Sk5xrltsiR-Zkbmk5DwIaDIKO8Xl"&amp;"bJAfqyT7Gvg/edit?usp=sharing"",""น่าน!R223"")+IMPORTRANGE(""https://docs.google.com/spreadsheets/d/1uu4nAn4Dbi1XREnLKKotUANlKXa7yCgRcgq8HEzQYW8/edit?usp=sharing"",""พะเยา!R223"")+IMPORTRANGE(""https://docs.google.com/spreadsheets/d/1xfJKIQxVOaPDIICqsflNlL"&amp;"u3JacTDk1FP9RH4phX7mI/edit?usp=sharing"",""พิจิตร!R223"")+IMPORTRANGE(""https://docs.google.com/spreadsheets/d/1JtRfZkJMHtEhI5RdRHxYUG4FIZHqKDpNyIuN7A1Q0_k/edit?usp=sharing"",""พิษณุโลก!R223"")+IMPORTRANGE(""https://docs.google.com/spreadsheets/d/1xlcVZWU"&amp;"Nn6SuWm0c307h32SiGkd9BaeQWlAktfD3KO8/edit?usp=sharing"",""เพชรบูรณ์!R223"")+IMPORTRANGE(""https://docs.google.com/spreadsheets/d/1lOVebEIsI9qjGXl6EX66luk7wiuP2tBaryw-wKvv4e0/edit?usp=sharing"",""แพร่!R223"")+IMPORTRANGE(""https://docs.google.com/spreadshe"&amp;"ets/d/1dQrvX0vEcN7Gu0fnZ0B5S90AeR19zth4XlExFBeExMY/edit?usp=sharing"",""แม่ฮ่องสอน!R223"")+IMPORTRANGE(""https://docs.google.com/spreadsheets/d/1DY4XTNNwjluuxqdfdn6qvOSlMRrZqUtmYcZR0ttFiG4/edit?usp=sharing"",""ลำปาง!R223"")+IMPORTRANGE(""https://docs.goog"&amp;"le.com/spreadsheets/d/1ICwG78r0OFT8biBlxnBF8r7she7gNSzOvJ958PWT09c/edit?usp=sharing"",""ลำพูน!R223"")+IMPORTRANGE(""https://docs.google.com/spreadsheets/d/1B0f2xJpZUC6Z0xXnqKlZtEPzsf6L84eP1r1Q15seqRM/edit?usp=sharing"",""สุโขทัย!R223"")+IMPORTRANGE(""http"&amp;"s://docs.google.com/spreadsheets/d/1v0b9pFQCsKUVExMei7AgY2yQkdeNQvtOssygGsXbiKo/edit?usp=sharing"",""อุตรดิตถ์!R223"")+IMPORTRANGE(""https://docs.google.com/spreadsheets/d/1UsNK1e-WWiCo2PvGqdNfdme4m17_Ezd3J69EeeiQPD0/edit?usp=sharing"",""อุทัยธานี!R223"")"),0)</f>
        <v>0</v>
      </c>
      <c r="S223" s="46">
        <f ca="1">IFERROR(__xludf.DUMMYFUNCTION("IMPORTRANGE(""https://docs.google.com/spreadsheets/d/1jTcq05yEiRwXcBMLjiodW9e4biSGYWAHcDj22rKWQ3s/edit?usp=sharing"",""กำแพงเพชร!S223"")+IMPORTRANGE(""https://docs.google.com/spreadsheets/d/1KS0zmDSZPk8KnTAbGN-Xk6MtX1YRZD0ldgdt20K4CRk/edit?usp=sharing"","&amp;"""เชียงราย!S223"")+IMPORTRANGE(""https://docs.google.com/spreadsheets/d/1rEDxBtusbi64tE0zunoIbsTVV16HeL0oJ6trHQeQ7K8/edit?usp=sharing"",""เชียงใหม่!S223"")+IMPORTRANGE(""https://docs.google.com/spreadsheets/d/1W6MnUbDkMi6xHnHko_XkFDO9kkuL6Wqyc-6OCDFjW9I/e"&amp;"dit?usp=sharing"",""ตาก!S223"")+IMPORTRANGE(""https://docs.google.com/spreadsheets/d/1IQAWArduLkta9LpYo4a_ULsyqdta6-6aDDiwpUnQT6c/edit?usp=sharing"",""นครสวรรค์!S223"")+IMPORTRANGE(""https://docs.google.com/spreadsheets/d/10s13Sk5xrltsiR-Zkbmk5DwIaDIKO8Xl"&amp;"bJAfqyT7Gvg/edit?usp=sharing"",""น่าน!S223"")+IMPORTRANGE(""https://docs.google.com/spreadsheets/d/1uu4nAn4Dbi1XREnLKKotUANlKXa7yCgRcgq8HEzQYW8/edit?usp=sharing"",""พะเยา!S223"")+IMPORTRANGE(""https://docs.google.com/spreadsheets/d/1xfJKIQxVOaPDIICqsflNlL"&amp;"u3JacTDk1FP9RH4phX7mI/edit?usp=sharing"",""พิจิตร!S223"")+IMPORTRANGE(""https://docs.google.com/spreadsheets/d/1JtRfZkJMHtEhI5RdRHxYUG4FIZHqKDpNyIuN7A1Q0_k/edit?usp=sharing"",""พิษณุโลก!S223"")+IMPORTRANGE(""https://docs.google.com/spreadsheets/d/1xlcVZWU"&amp;"Nn6SuWm0c307h32SiGkd9BaeQWlAktfD3KO8/edit?usp=sharing"",""เพชรบูรณ์!S223"")+IMPORTRANGE(""https://docs.google.com/spreadsheets/d/1lOVebEIsI9qjGXl6EX66luk7wiuP2tBaryw-wKvv4e0/edit?usp=sharing"",""แพร่!S223"")+IMPORTRANGE(""https://docs.google.com/spreadshe"&amp;"ets/d/1dQrvX0vEcN7Gu0fnZ0B5S90AeR19zth4XlExFBeExMY/edit?usp=sharing"",""แม่ฮ่องสอน!S223"")+IMPORTRANGE(""https://docs.google.com/spreadsheets/d/1DY4XTNNwjluuxqdfdn6qvOSlMRrZqUtmYcZR0ttFiG4/edit?usp=sharing"",""ลำปาง!S223"")+IMPORTRANGE(""https://docs.goog"&amp;"le.com/spreadsheets/d/1ICwG78r0OFT8biBlxnBF8r7she7gNSzOvJ958PWT09c/edit?usp=sharing"",""ลำพูน!S223"")+IMPORTRANGE(""https://docs.google.com/spreadsheets/d/1B0f2xJpZUC6Z0xXnqKlZtEPzsf6L84eP1r1Q15seqRM/edit?usp=sharing"",""สุโขทัย!S223"")+IMPORTRANGE(""http"&amp;"s://docs.google.com/spreadsheets/d/1v0b9pFQCsKUVExMei7AgY2yQkdeNQvtOssygGsXbiKo/edit?usp=sharing"",""อุตรดิตถ์!S223"")+IMPORTRANGE(""https://docs.google.com/spreadsheets/d/1UsNK1e-WWiCo2PvGqdNfdme4m17_Ezd3J69EeeiQPD0/edit?usp=sharing"",""อุทัยธานี!S223"")"),0)</f>
        <v>0</v>
      </c>
      <c r="T223" s="152"/>
      <c r="U223" s="46"/>
    </row>
    <row r="224" spans="1:21" ht="18.75" x14ac:dyDescent="0.25">
      <c r="A224" s="208"/>
      <c r="B224" s="158"/>
      <c r="C224" s="158"/>
      <c r="D224" s="47" t="s">
        <v>100</v>
      </c>
      <c r="E224" s="40"/>
      <c r="F224" s="40"/>
      <c r="G224" s="42"/>
      <c r="H224" s="134" t="s">
        <v>14</v>
      </c>
      <c r="I224" s="44"/>
      <c r="J224" s="44"/>
      <c r="K224" s="45"/>
      <c r="L224" s="46">
        <f ca="1">IFERROR(__xludf.DUMMYFUNCTION("IMPORTRANGE(""https://docs.google.com/spreadsheets/d/1jTcq05yEiRwXcBMLjiodW9e4biSGYWAHcDj22rKWQ3s/edit?usp=sharing"",""กำแพงเพชร!L224"")+IMPORTRANGE(""https://docs.google.com/spreadsheets/d/1KS0zmDSZPk8KnTAbGN-Xk6MtX1YRZD0ldgdt20K4CRk/edit?usp=sharing"","&amp;"""เชียงราย!L224"")+IMPORTRANGE(""https://docs.google.com/spreadsheets/d/1rEDxBtusbi64tE0zunoIbsTVV16HeL0oJ6trHQeQ7K8/edit?usp=sharing"",""เชียงใหม่!L224"")+IMPORTRANGE(""https://docs.google.com/spreadsheets/d/1W6MnUbDkMi6xHnHko_XkFDO9kkuL6Wqyc-6OCDFjW9I/e"&amp;"dit?usp=sharing"",""ตาก!L224"")+IMPORTRANGE(""https://docs.google.com/spreadsheets/d/1IQAWArduLkta9LpYo4a_ULsyqdta6-6aDDiwpUnQT6c/edit?usp=sharing"",""นครสวรรค์!L224"")+IMPORTRANGE(""https://docs.google.com/spreadsheets/d/10s13Sk5xrltsiR-Zkbmk5DwIaDIKO8Xl"&amp;"bJAfqyT7Gvg/edit?usp=sharing"",""น่าน!L224"")+IMPORTRANGE(""https://docs.google.com/spreadsheets/d/1uu4nAn4Dbi1XREnLKKotUANlKXa7yCgRcgq8HEzQYW8/edit?usp=sharing"",""พะเยา!L224"")+IMPORTRANGE(""https://docs.google.com/spreadsheets/d/1xfJKIQxVOaPDIICqsflNlL"&amp;"u3JacTDk1FP9RH4phX7mI/edit?usp=sharing"",""พิจิตร!L224"")+IMPORTRANGE(""https://docs.google.com/spreadsheets/d/1JtRfZkJMHtEhI5RdRHxYUG4FIZHqKDpNyIuN7A1Q0_k/edit?usp=sharing"",""พิษณุโลก!L224"")+IMPORTRANGE(""https://docs.google.com/spreadsheets/d/1xlcVZWU"&amp;"Nn6SuWm0c307h32SiGkd9BaeQWlAktfD3KO8/edit?usp=sharing"",""เพชรบูรณ์!L224"")+IMPORTRANGE(""https://docs.google.com/spreadsheets/d/1lOVebEIsI9qjGXl6EX66luk7wiuP2tBaryw-wKvv4e0/edit?usp=sharing"",""แพร่!L224"")+IMPORTRANGE(""https://docs.google.com/spreadshe"&amp;"ets/d/1dQrvX0vEcN7Gu0fnZ0B5S90AeR19zth4XlExFBeExMY/edit?usp=sharing"",""แม่ฮ่องสอน!L224"")+IMPORTRANGE(""https://docs.google.com/spreadsheets/d/1DY4XTNNwjluuxqdfdn6qvOSlMRrZqUtmYcZR0ttFiG4/edit?usp=sharing"",""ลำปาง!L224"")+IMPORTRANGE(""https://docs.goog"&amp;"le.com/spreadsheets/d/1ICwG78r0OFT8biBlxnBF8r7she7gNSzOvJ958PWT09c/edit?usp=sharing"",""ลำพูน!L224"")+IMPORTRANGE(""https://docs.google.com/spreadsheets/d/1B0f2xJpZUC6Z0xXnqKlZtEPzsf6L84eP1r1Q15seqRM/edit?usp=sharing"",""สุโขทัย!L224"")+IMPORTRANGE(""http"&amp;"s://docs.google.com/spreadsheets/d/1v0b9pFQCsKUVExMei7AgY2yQkdeNQvtOssygGsXbiKo/edit?usp=sharing"",""อุตรดิตถ์!L224"")+IMPORTRANGE(""https://docs.google.com/spreadsheets/d/1UsNK1e-WWiCo2PvGqdNfdme4m17_Ezd3J69EeeiQPD0/edit?usp=sharing"",""อุทัยธานี!L224"")"),112000)</f>
        <v>112000</v>
      </c>
      <c r="M224" s="46">
        <f ca="1">IFERROR(__xludf.DUMMYFUNCTION("IMPORTRANGE(""https://docs.google.com/spreadsheets/d/1jTcq05yEiRwXcBMLjiodW9e4biSGYWAHcDj22rKWQ3s/edit?usp=sharing"",""กำแพงเพชร!M224"")+IMPORTRANGE(""https://docs.google.com/spreadsheets/d/1KS0zmDSZPk8KnTAbGN-Xk6MtX1YRZD0ldgdt20K4CRk/edit?usp=sharing"","&amp;"""เชียงราย!M224"")+IMPORTRANGE(""https://docs.google.com/spreadsheets/d/1rEDxBtusbi64tE0zunoIbsTVV16HeL0oJ6trHQeQ7K8/edit?usp=sharing"",""เชียงใหม่!M224"")+IMPORTRANGE(""https://docs.google.com/spreadsheets/d/1W6MnUbDkMi6xHnHko_XkFDO9kkuL6Wqyc-6OCDFjW9I/e"&amp;"dit?usp=sharing"",""ตาก!M224"")+IMPORTRANGE(""https://docs.google.com/spreadsheets/d/1IQAWArduLkta9LpYo4a_ULsyqdta6-6aDDiwpUnQT6c/edit?usp=sharing"",""นครสวรรค์!M224"")+IMPORTRANGE(""https://docs.google.com/spreadsheets/d/10s13Sk5xrltsiR-Zkbmk5DwIaDIKO8Xl"&amp;"bJAfqyT7Gvg/edit?usp=sharing"",""น่าน!M224"")+IMPORTRANGE(""https://docs.google.com/spreadsheets/d/1uu4nAn4Dbi1XREnLKKotUANlKXa7yCgRcgq8HEzQYW8/edit?usp=sharing"",""พะเยา!M224"")+IMPORTRANGE(""https://docs.google.com/spreadsheets/d/1xfJKIQxVOaPDIICqsflNlL"&amp;"u3JacTDk1FP9RH4phX7mI/edit?usp=sharing"",""พิจิตร!M224"")+IMPORTRANGE(""https://docs.google.com/spreadsheets/d/1JtRfZkJMHtEhI5RdRHxYUG4FIZHqKDpNyIuN7A1Q0_k/edit?usp=sharing"",""พิษณุโลก!M224"")+IMPORTRANGE(""https://docs.google.com/spreadsheets/d/1xlcVZWU"&amp;"Nn6SuWm0c307h32SiGkd9BaeQWlAktfD3KO8/edit?usp=sharing"",""เพชรบูรณ์!M224"")+IMPORTRANGE(""https://docs.google.com/spreadsheets/d/1lOVebEIsI9qjGXl6EX66luk7wiuP2tBaryw-wKvv4e0/edit?usp=sharing"",""แพร่!M224"")+IMPORTRANGE(""https://docs.google.com/spreadshe"&amp;"ets/d/1dQrvX0vEcN7Gu0fnZ0B5S90AeR19zth4XlExFBeExMY/edit?usp=sharing"",""แม่ฮ่องสอน!M224"")+IMPORTRANGE(""https://docs.google.com/spreadsheets/d/1DY4XTNNwjluuxqdfdn6qvOSlMRrZqUtmYcZR0ttFiG4/edit?usp=sharing"",""ลำปาง!M224"")+IMPORTRANGE(""https://docs.goog"&amp;"le.com/spreadsheets/d/1ICwG78r0OFT8biBlxnBF8r7she7gNSzOvJ958PWT09c/edit?usp=sharing"",""ลำพูน!M224"")+IMPORTRANGE(""https://docs.google.com/spreadsheets/d/1B0f2xJpZUC6Z0xXnqKlZtEPzsf6L84eP1r1Q15seqRM/edit?usp=sharing"",""สุโขทัย!M224"")+IMPORTRANGE(""http"&amp;"s://docs.google.com/spreadsheets/d/1v0b9pFQCsKUVExMei7AgY2yQkdeNQvtOssygGsXbiKo/edit?usp=sharing"",""อุตรดิตถ์!M224"")+IMPORTRANGE(""https://docs.google.com/spreadsheets/d/1UsNK1e-WWiCo2PvGqdNfdme4m17_Ezd3J69EeeiQPD0/edit?usp=sharing"",""อุทัยธานี!M224"")"),0)</f>
        <v>0</v>
      </c>
      <c r="N224" s="46">
        <f ca="1">IFERROR(__xludf.DUMMYFUNCTION("IMPORTRANGE(""https://docs.google.com/spreadsheets/d/1jTcq05yEiRwXcBMLjiodW9e4biSGYWAHcDj22rKWQ3s/edit?usp=sharing"",""กำแพงเพชร!N224"")+IMPORTRANGE(""https://docs.google.com/spreadsheets/d/1KS0zmDSZPk8KnTAbGN-Xk6MtX1YRZD0ldgdt20K4CRk/edit?usp=sharing"","&amp;"""เชียงราย!N224"")+IMPORTRANGE(""https://docs.google.com/spreadsheets/d/1rEDxBtusbi64tE0zunoIbsTVV16HeL0oJ6trHQeQ7K8/edit?usp=sharing"",""เชียงใหม่!N224"")+IMPORTRANGE(""https://docs.google.com/spreadsheets/d/1W6MnUbDkMi6xHnHko_XkFDO9kkuL6Wqyc-6OCDFjW9I/e"&amp;"dit?usp=sharing"",""ตาก!N224"")+IMPORTRANGE(""https://docs.google.com/spreadsheets/d/1IQAWArduLkta9LpYo4a_ULsyqdta6-6aDDiwpUnQT6c/edit?usp=sharing"",""นครสวรรค์!N224"")+IMPORTRANGE(""https://docs.google.com/spreadsheets/d/10s13Sk5xrltsiR-Zkbmk5DwIaDIKO8Xl"&amp;"bJAfqyT7Gvg/edit?usp=sharing"",""น่าน!N224"")+IMPORTRANGE(""https://docs.google.com/spreadsheets/d/1uu4nAn4Dbi1XREnLKKotUANlKXa7yCgRcgq8HEzQYW8/edit?usp=sharing"",""พะเยา!N224"")+IMPORTRANGE(""https://docs.google.com/spreadsheets/d/1xfJKIQxVOaPDIICqsflNlL"&amp;"u3JacTDk1FP9RH4phX7mI/edit?usp=sharing"",""พิจิตร!N224"")+IMPORTRANGE(""https://docs.google.com/spreadsheets/d/1JtRfZkJMHtEhI5RdRHxYUG4FIZHqKDpNyIuN7A1Q0_k/edit?usp=sharing"",""พิษณุโลก!N224"")+IMPORTRANGE(""https://docs.google.com/spreadsheets/d/1xlcVZWU"&amp;"Nn6SuWm0c307h32SiGkd9BaeQWlAktfD3KO8/edit?usp=sharing"",""เพชรบูรณ์!N224"")+IMPORTRANGE(""https://docs.google.com/spreadsheets/d/1lOVebEIsI9qjGXl6EX66luk7wiuP2tBaryw-wKvv4e0/edit?usp=sharing"",""แพร่!N224"")+IMPORTRANGE(""https://docs.google.com/spreadshe"&amp;"ets/d/1dQrvX0vEcN7Gu0fnZ0B5S90AeR19zth4XlExFBeExMY/edit?usp=sharing"",""แม่ฮ่องสอน!N224"")+IMPORTRANGE(""https://docs.google.com/spreadsheets/d/1DY4XTNNwjluuxqdfdn6qvOSlMRrZqUtmYcZR0ttFiG4/edit?usp=sharing"",""ลำปาง!N224"")+IMPORTRANGE(""https://docs.goog"&amp;"le.com/spreadsheets/d/1ICwG78r0OFT8biBlxnBF8r7she7gNSzOvJ958PWT09c/edit?usp=sharing"",""ลำพูน!N224"")+IMPORTRANGE(""https://docs.google.com/spreadsheets/d/1B0f2xJpZUC6Z0xXnqKlZtEPzsf6L84eP1r1Q15seqRM/edit?usp=sharing"",""สุโขทัย!N224"")+IMPORTRANGE(""http"&amp;"s://docs.google.com/spreadsheets/d/1v0b9pFQCsKUVExMei7AgY2yQkdeNQvtOssygGsXbiKo/edit?usp=sharing"",""อุตรดิตถ์!N224"")+IMPORTRANGE(""https://docs.google.com/spreadsheets/d/1UsNK1e-WWiCo2PvGqdNfdme4m17_Ezd3J69EeeiQPD0/edit?usp=sharing"",""อุทัยธานี!N224"")"),0)</f>
        <v>0</v>
      </c>
      <c r="O224" s="136"/>
      <c r="P224" s="45"/>
      <c r="Q224" s="46">
        <f ca="1">IFERROR(__xludf.DUMMYFUNCTION("IMPORTRANGE(""https://docs.google.com/spreadsheets/d/1jTcq05yEiRwXcBMLjiodW9e4biSGYWAHcDj22rKWQ3s/edit?usp=sharing"",""กำแพงเพชร!Q224"")+IMPORTRANGE(""https://docs.google.com/spreadsheets/d/1KS0zmDSZPk8KnTAbGN-Xk6MtX1YRZD0ldgdt20K4CRk/edit?usp=sharing"","&amp;"""เชียงราย!Q224"")+IMPORTRANGE(""https://docs.google.com/spreadsheets/d/1rEDxBtusbi64tE0zunoIbsTVV16HeL0oJ6trHQeQ7K8/edit?usp=sharing"",""เชียงใหม่!Q224"")+IMPORTRANGE(""https://docs.google.com/spreadsheets/d/1W6MnUbDkMi6xHnHko_XkFDO9kkuL6Wqyc-6OCDFjW9I/e"&amp;"dit?usp=sharing"",""ตาก!Q224"")+IMPORTRANGE(""https://docs.google.com/spreadsheets/d/1IQAWArduLkta9LpYo4a_ULsyqdta6-6aDDiwpUnQT6c/edit?usp=sharing"",""นครสวรรค์!Q224"")+IMPORTRANGE(""https://docs.google.com/spreadsheets/d/10s13Sk5xrltsiR-Zkbmk5DwIaDIKO8Xl"&amp;"bJAfqyT7Gvg/edit?usp=sharing"",""น่าน!Q224"")+IMPORTRANGE(""https://docs.google.com/spreadsheets/d/1uu4nAn4Dbi1XREnLKKotUANlKXa7yCgRcgq8HEzQYW8/edit?usp=sharing"",""พะเยา!Q224"")+IMPORTRANGE(""https://docs.google.com/spreadsheets/d/1xfJKIQxVOaPDIICqsflNlL"&amp;"u3JacTDk1FP9RH4phX7mI/edit?usp=sharing"",""พิจิตร!Q224"")+IMPORTRANGE(""https://docs.google.com/spreadsheets/d/1JtRfZkJMHtEhI5RdRHxYUG4FIZHqKDpNyIuN7A1Q0_k/edit?usp=sharing"",""พิษณุโลก!Q224"")+IMPORTRANGE(""https://docs.google.com/spreadsheets/d/1xlcVZWU"&amp;"Nn6SuWm0c307h32SiGkd9BaeQWlAktfD3KO8/edit?usp=sharing"",""เพชรบูรณ์!Q224"")+IMPORTRANGE(""https://docs.google.com/spreadsheets/d/1lOVebEIsI9qjGXl6EX66luk7wiuP2tBaryw-wKvv4e0/edit?usp=sharing"",""แพร่!Q224"")+IMPORTRANGE(""https://docs.google.com/spreadshe"&amp;"ets/d/1dQrvX0vEcN7Gu0fnZ0B5S90AeR19zth4XlExFBeExMY/edit?usp=sharing"",""แม่ฮ่องสอน!Q224"")+IMPORTRANGE(""https://docs.google.com/spreadsheets/d/1DY4XTNNwjluuxqdfdn6qvOSlMRrZqUtmYcZR0ttFiG4/edit?usp=sharing"",""ลำปาง!Q224"")+IMPORTRANGE(""https://docs.goog"&amp;"le.com/spreadsheets/d/1ICwG78r0OFT8biBlxnBF8r7she7gNSzOvJ958PWT09c/edit?usp=sharing"",""ลำพูน!Q224"")+IMPORTRANGE(""https://docs.google.com/spreadsheets/d/1B0f2xJpZUC6Z0xXnqKlZtEPzsf6L84eP1r1Q15seqRM/edit?usp=sharing"",""สุโขทัย!Q224"")+IMPORTRANGE(""http"&amp;"s://docs.google.com/spreadsheets/d/1v0b9pFQCsKUVExMei7AgY2yQkdeNQvtOssygGsXbiKo/edit?usp=sharing"",""อุตรดิตถ์!Q224"")+IMPORTRANGE(""https://docs.google.com/spreadsheets/d/1UsNK1e-WWiCo2PvGqdNfdme4m17_Ezd3J69EeeiQPD0/edit?usp=sharing"",""อุทัยธานี!Q224"")"),0)</f>
        <v>0</v>
      </c>
      <c r="R224" s="46">
        <f ca="1">IFERROR(__xludf.DUMMYFUNCTION("IMPORTRANGE(""https://docs.google.com/spreadsheets/d/1jTcq05yEiRwXcBMLjiodW9e4biSGYWAHcDj22rKWQ3s/edit?usp=sharing"",""กำแพงเพชร!R224"")+IMPORTRANGE(""https://docs.google.com/spreadsheets/d/1KS0zmDSZPk8KnTAbGN-Xk6MtX1YRZD0ldgdt20K4CRk/edit?usp=sharing"","&amp;"""เชียงราย!R224"")+IMPORTRANGE(""https://docs.google.com/spreadsheets/d/1rEDxBtusbi64tE0zunoIbsTVV16HeL0oJ6trHQeQ7K8/edit?usp=sharing"",""เชียงใหม่!R224"")+IMPORTRANGE(""https://docs.google.com/spreadsheets/d/1W6MnUbDkMi6xHnHko_XkFDO9kkuL6Wqyc-6OCDFjW9I/e"&amp;"dit?usp=sharing"",""ตาก!R224"")+IMPORTRANGE(""https://docs.google.com/spreadsheets/d/1IQAWArduLkta9LpYo4a_ULsyqdta6-6aDDiwpUnQT6c/edit?usp=sharing"",""นครสวรรค์!R224"")+IMPORTRANGE(""https://docs.google.com/spreadsheets/d/10s13Sk5xrltsiR-Zkbmk5DwIaDIKO8Xl"&amp;"bJAfqyT7Gvg/edit?usp=sharing"",""น่าน!R224"")+IMPORTRANGE(""https://docs.google.com/spreadsheets/d/1uu4nAn4Dbi1XREnLKKotUANlKXa7yCgRcgq8HEzQYW8/edit?usp=sharing"",""พะเยา!R224"")+IMPORTRANGE(""https://docs.google.com/spreadsheets/d/1xfJKIQxVOaPDIICqsflNlL"&amp;"u3JacTDk1FP9RH4phX7mI/edit?usp=sharing"",""พิจิตร!R224"")+IMPORTRANGE(""https://docs.google.com/spreadsheets/d/1JtRfZkJMHtEhI5RdRHxYUG4FIZHqKDpNyIuN7A1Q0_k/edit?usp=sharing"",""พิษณุโลก!R224"")+IMPORTRANGE(""https://docs.google.com/spreadsheets/d/1xlcVZWU"&amp;"Nn6SuWm0c307h32SiGkd9BaeQWlAktfD3KO8/edit?usp=sharing"",""เพชรบูรณ์!R224"")+IMPORTRANGE(""https://docs.google.com/spreadsheets/d/1lOVebEIsI9qjGXl6EX66luk7wiuP2tBaryw-wKvv4e0/edit?usp=sharing"",""แพร่!R224"")+IMPORTRANGE(""https://docs.google.com/spreadshe"&amp;"ets/d/1dQrvX0vEcN7Gu0fnZ0B5S90AeR19zth4XlExFBeExMY/edit?usp=sharing"",""แม่ฮ่องสอน!R224"")+IMPORTRANGE(""https://docs.google.com/spreadsheets/d/1DY4XTNNwjluuxqdfdn6qvOSlMRrZqUtmYcZR0ttFiG4/edit?usp=sharing"",""ลำปาง!R224"")+IMPORTRANGE(""https://docs.goog"&amp;"le.com/spreadsheets/d/1ICwG78r0OFT8biBlxnBF8r7she7gNSzOvJ958PWT09c/edit?usp=sharing"",""ลำพูน!R224"")+IMPORTRANGE(""https://docs.google.com/spreadsheets/d/1B0f2xJpZUC6Z0xXnqKlZtEPzsf6L84eP1r1Q15seqRM/edit?usp=sharing"",""สุโขทัย!R224"")+IMPORTRANGE(""http"&amp;"s://docs.google.com/spreadsheets/d/1v0b9pFQCsKUVExMei7AgY2yQkdeNQvtOssygGsXbiKo/edit?usp=sharing"",""อุตรดิตถ์!R224"")+IMPORTRANGE(""https://docs.google.com/spreadsheets/d/1UsNK1e-WWiCo2PvGqdNfdme4m17_Ezd3J69EeeiQPD0/edit?usp=sharing"",""อุทัยธานี!R224"")"),0)</f>
        <v>0</v>
      </c>
      <c r="S224" s="46">
        <f ca="1">IFERROR(__xludf.DUMMYFUNCTION("IMPORTRANGE(""https://docs.google.com/spreadsheets/d/1jTcq05yEiRwXcBMLjiodW9e4biSGYWAHcDj22rKWQ3s/edit?usp=sharing"",""กำแพงเพชร!S224"")+IMPORTRANGE(""https://docs.google.com/spreadsheets/d/1KS0zmDSZPk8KnTAbGN-Xk6MtX1YRZD0ldgdt20K4CRk/edit?usp=sharing"","&amp;"""เชียงราย!S224"")+IMPORTRANGE(""https://docs.google.com/spreadsheets/d/1rEDxBtusbi64tE0zunoIbsTVV16HeL0oJ6trHQeQ7K8/edit?usp=sharing"",""เชียงใหม่!S224"")+IMPORTRANGE(""https://docs.google.com/spreadsheets/d/1W6MnUbDkMi6xHnHko_XkFDO9kkuL6Wqyc-6OCDFjW9I/e"&amp;"dit?usp=sharing"",""ตาก!S224"")+IMPORTRANGE(""https://docs.google.com/spreadsheets/d/1IQAWArduLkta9LpYo4a_ULsyqdta6-6aDDiwpUnQT6c/edit?usp=sharing"",""นครสวรรค์!S224"")+IMPORTRANGE(""https://docs.google.com/spreadsheets/d/10s13Sk5xrltsiR-Zkbmk5DwIaDIKO8Xl"&amp;"bJAfqyT7Gvg/edit?usp=sharing"",""น่าน!S224"")+IMPORTRANGE(""https://docs.google.com/spreadsheets/d/1uu4nAn4Dbi1XREnLKKotUANlKXa7yCgRcgq8HEzQYW8/edit?usp=sharing"",""พะเยา!S224"")+IMPORTRANGE(""https://docs.google.com/spreadsheets/d/1xfJKIQxVOaPDIICqsflNlL"&amp;"u3JacTDk1FP9RH4phX7mI/edit?usp=sharing"",""พิจิตร!S224"")+IMPORTRANGE(""https://docs.google.com/spreadsheets/d/1JtRfZkJMHtEhI5RdRHxYUG4FIZHqKDpNyIuN7A1Q0_k/edit?usp=sharing"",""พิษณุโลก!S224"")+IMPORTRANGE(""https://docs.google.com/spreadsheets/d/1xlcVZWU"&amp;"Nn6SuWm0c307h32SiGkd9BaeQWlAktfD3KO8/edit?usp=sharing"",""เพชรบูรณ์!S224"")+IMPORTRANGE(""https://docs.google.com/spreadsheets/d/1lOVebEIsI9qjGXl6EX66luk7wiuP2tBaryw-wKvv4e0/edit?usp=sharing"",""แพร่!S224"")+IMPORTRANGE(""https://docs.google.com/spreadshe"&amp;"ets/d/1dQrvX0vEcN7Gu0fnZ0B5S90AeR19zth4XlExFBeExMY/edit?usp=sharing"",""แม่ฮ่องสอน!S224"")+IMPORTRANGE(""https://docs.google.com/spreadsheets/d/1DY4XTNNwjluuxqdfdn6qvOSlMRrZqUtmYcZR0ttFiG4/edit?usp=sharing"",""ลำปาง!S224"")+IMPORTRANGE(""https://docs.goog"&amp;"le.com/spreadsheets/d/1ICwG78r0OFT8biBlxnBF8r7she7gNSzOvJ958PWT09c/edit?usp=sharing"",""ลำพูน!S224"")+IMPORTRANGE(""https://docs.google.com/spreadsheets/d/1B0f2xJpZUC6Z0xXnqKlZtEPzsf6L84eP1r1Q15seqRM/edit?usp=sharing"",""สุโขทัย!S224"")+IMPORTRANGE(""http"&amp;"s://docs.google.com/spreadsheets/d/1v0b9pFQCsKUVExMei7AgY2yQkdeNQvtOssygGsXbiKo/edit?usp=sharing"",""อุตรดิตถ์!S224"")+IMPORTRANGE(""https://docs.google.com/spreadsheets/d/1UsNK1e-WWiCo2PvGqdNfdme4m17_Ezd3J69EeeiQPD0/edit?usp=sharing"",""อุทัยธานี!S224"")"),0)</f>
        <v>0</v>
      </c>
      <c r="T224" s="152"/>
      <c r="U224" s="46"/>
    </row>
    <row r="225" spans="1:21" ht="18.75" x14ac:dyDescent="0.25">
      <c r="A225" s="227"/>
      <c r="B225" s="228"/>
      <c r="C225" s="228"/>
      <c r="D225" s="229"/>
      <c r="E225" s="229"/>
      <c r="F225" s="229"/>
      <c r="G225" s="230"/>
      <c r="H225" s="231"/>
      <c r="I225" s="232"/>
      <c r="J225" s="232"/>
      <c r="K225" s="233"/>
      <c r="L225" s="233"/>
      <c r="M225" s="233"/>
      <c r="N225" s="233"/>
      <c r="O225" s="233"/>
      <c r="P225" s="233"/>
      <c r="Q225" s="46"/>
      <c r="R225" s="46"/>
      <c r="S225" s="46"/>
      <c r="T225" s="152"/>
      <c r="U225" s="46"/>
    </row>
    <row r="226" spans="1:21" ht="19.5" x14ac:dyDescent="0.3">
      <c r="A226" s="138"/>
      <c r="B226" s="139"/>
      <c r="C226" s="161" t="s">
        <v>18</v>
      </c>
      <c r="D226" s="140" t="s">
        <v>38</v>
      </c>
      <c r="E226" s="141"/>
      <c r="F226" s="141"/>
      <c r="G226" s="142"/>
      <c r="H226" s="143"/>
      <c r="I226" s="135"/>
      <c r="J226" s="135"/>
      <c r="K226" s="136"/>
      <c r="L226" s="136"/>
      <c r="M226" s="136"/>
      <c r="N226" s="136"/>
      <c r="O226" s="136"/>
      <c r="P226" s="136"/>
      <c r="Q226" s="152"/>
      <c r="R226" s="152"/>
      <c r="S226" s="152"/>
      <c r="T226" s="152"/>
      <c r="U226" s="152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136"/>
      <c r="M227" s="136"/>
      <c r="N227" s="136"/>
      <c r="O227" s="136"/>
      <c r="P227" s="136"/>
      <c r="Q227" s="152"/>
      <c r="R227" s="152"/>
      <c r="S227" s="152"/>
      <c r="T227" s="152"/>
      <c r="U227" s="152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66">
        <f ca="1">IFERROR(__xludf.DUMMYFUNCTION("IMPORTRANGE(""https://docs.google.com/spreadsheets/d/1jTcq05yEiRwXcBMLjiodW9e4biSGYWAHcDj22rKWQ3s/edit?usp=sharing"",""กำแพงเพชร!I228"")+IMPORTRANGE(""https://docs.google.com/spreadsheets/d/1KS0zmDSZPk8KnTAbGN-Xk6MtX1YRZD0ldgdt20K4CRk/edit?usp=sharing"","&amp;"""เชียงราย!I228"")+IMPORTRANGE(""https://docs.google.com/spreadsheets/d/1rEDxBtusbi64tE0zunoIbsTVV16HeL0oJ6trHQeQ7K8/edit?usp=sharing"",""เชียงใหม่!I228"")+IMPORTRANGE(""https://docs.google.com/spreadsheets/d/1W6MnUbDkMi6xHnHko_XkFDO9kkuL6Wqyc-6OCDFjW9I/e"&amp;"dit?usp=sharing"",""ตาก!I228"")+IMPORTRANGE(""https://docs.google.com/spreadsheets/d/1IQAWArduLkta9LpYo4a_ULsyqdta6-6aDDiwpUnQT6c/edit?usp=sharing"",""นครสวรรค์!I228"")+IMPORTRANGE(""https://docs.google.com/spreadsheets/d/10s13Sk5xrltsiR-Zkbmk5DwIaDIKO8Xl"&amp;"bJAfqyT7Gvg/edit?usp=sharing"",""น่าน!I228"")+IMPORTRANGE(""https://docs.google.com/spreadsheets/d/1uu4nAn4Dbi1XREnLKKotUANlKXa7yCgRcgq8HEzQYW8/edit?usp=sharing"",""พะเยา!I228"")+IMPORTRANGE(""https://docs.google.com/spreadsheets/d/1xfJKIQxVOaPDIICqsflNlL"&amp;"u3JacTDk1FP9RH4phX7mI/edit?usp=sharing"",""พิจิตร!I228"")+IMPORTRANGE(""https://docs.google.com/spreadsheets/d/1JtRfZkJMHtEhI5RdRHxYUG4FIZHqKDpNyIuN7A1Q0_k/edit?usp=sharing"",""พิษณุโลก!I228"")+IMPORTRANGE(""https://docs.google.com/spreadsheets/d/1xlcVZWU"&amp;"Nn6SuWm0c307h32SiGkd9BaeQWlAktfD3KO8/edit?usp=sharing"",""เพชรบูรณ์!I228"")+IMPORTRANGE(""https://docs.google.com/spreadsheets/d/1lOVebEIsI9qjGXl6EX66luk7wiuP2tBaryw-wKvv4e0/edit?usp=sharing"",""แพร่!I228"")+IMPORTRANGE(""https://docs.google.com/spreadshe"&amp;"ets/d/1dQrvX0vEcN7Gu0fnZ0B5S90AeR19zth4XlExFBeExMY/edit?usp=sharing"",""แม่ฮ่องสอน!I228"")+IMPORTRANGE(""https://docs.google.com/spreadsheets/d/1DY4XTNNwjluuxqdfdn6qvOSlMRrZqUtmYcZR0ttFiG4/edit?usp=sharing"",""ลำปาง!I228"")+IMPORTRANGE(""https://docs.goog"&amp;"le.com/spreadsheets/d/1ICwG78r0OFT8biBlxnBF8r7she7gNSzOvJ958PWT09c/edit?usp=sharing"",""ลำพูน!I228"")+IMPORTRANGE(""https://docs.google.com/spreadsheets/d/1B0f2xJpZUC6Z0xXnqKlZtEPzsf6L84eP1r1Q15seqRM/edit?usp=sharing"",""สุโขทัย!I228"")+IMPORTRANGE(""http"&amp;"s://docs.google.com/spreadsheets/d/1v0b9pFQCsKUVExMei7AgY2yQkdeNQvtOssygGsXbiKo/edit?usp=sharing"",""อุตรดิตถ์!I228"")+IMPORTRANGE(""https://docs.google.com/spreadsheets/d/1UsNK1e-WWiCo2PvGqdNfdme4m17_Ezd3J69EeeiQPD0/edit?usp=sharing"",""อุทัยธานี!I228"")"),1024000)</f>
        <v>1024000</v>
      </c>
      <c r="J228" s="166">
        <f ca="1">IFERROR(__xludf.DUMMYFUNCTION("IMPORTRANGE(""https://docs.google.com/spreadsheets/d/1jTcq05yEiRwXcBMLjiodW9e4biSGYWAHcDj22rKWQ3s/edit?usp=sharing"",""กำแพงเพชร!J228"")+IMPORTRANGE(""https://docs.google.com/spreadsheets/d/1KS0zmDSZPk8KnTAbGN-Xk6MtX1YRZD0ldgdt20K4CRk/edit?usp=sharing"","&amp;"""เชียงราย!J228"")+IMPORTRANGE(""https://docs.google.com/spreadsheets/d/1rEDxBtusbi64tE0zunoIbsTVV16HeL0oJ6trHQeQ7K8/edit?usp=sharing"",""เชียงใหม่!J228"")+IMPORTRANGE(""https://docs.google.com/spreadsheets/d/1W6MnUbDkMi6xHnHko_XkFDO9kkuL6Wqyc-6OCDFjW9I/e"&amp;"dit?usp=sharing"",""ตาก!J228"")+IMPORTRANGE(""https://docs.google.com/spreadsheets/d/1IQAWArduLkta9LpYo4a_ULsyqdta6-6aDDiwpUnQT6c/edit?usp=sharing"",""นครสวรรค์!J228"")+IMPORTRANGE(""https://docs.google.com/spreadsheets/d/10s13Sk5xrltsiR-Zkbmk5DwIaDIKO8Xl"&amp;"bJAfqyT7Gvg/edit?usp=sharing"",""น่าน!J228"")+IMPORTRANGE(""https://docs.google.com/spreadsheets/d/1uu4nAn4Dbi1XREnLKKotUANlKXa7yCgRcgq8HEzQYW8/edit?usp=sharing"",""พะเยา!J228"")+IMPORTRANGE(""https://docs.google.com/spreadsheets/d/1xfJKIQxVOaPDIICqsflNlL"&amp;"u3JacTDk1FP9RH4phX7mI/edit?usp=sharing"",""พิจิตร!J228"")+IMPORTRANGE(""https://docs.google.com/spreadsheets/d/1JtRfZkJMHtEhI5RdRHxYUG4FIZHqKDpNyIuN7A1Q0_k/edit?usp=sharing"",""พิษณุโลก!J228"")+IMPORTRANGE(""https://docs.google.com/spreadsheets/d/1xlcVZWU"&amp;"Nn6SuWm0c307h32SiGkd9BaeQWlAktfD3KO8/edit?usp=sharing"",""เพชรบูรณ์!J228"")+IMPORTRANGE(""https://docs.google.com/spreadsheets/d/1lOVebEIsI9qjGXl6EX66luk7wiuP2tBaryw-wKvv4e0/edit?usp=sharing"",""แพร่!J228"")+IMPORTRANGE(""https://docs.google.com/spreadshe"&amp;"ets/d/1dQrvX0vEcN7Gu0fnZ0B5S90AeR19zth4XlExFBeExMY/edit?usp=sharing"",""แม่ฮ่องสอน!J228"")+IMPORTRANGE(""https://docs.google.com/spreadsheets/d/1DY4XTNNwjluuxqdfdn6qvOSlMRrZqUtmYcZR0ttFiG4/edit?usp=sharing"",""ลำปาง!J228"")+IMPORTRANGE(""https://docs.goog"&amp;"le.com/spreadsheets/d/1ICwG78r0OFT8biBlxnBF8r7she7gNSzOvJ958PWT09c/edit?usp=sharing"",""ลำพูน!J228"")+IMPORTRANGE(""https://docs.google.com/spreadsheets/d/1B0f2xJpZUC6Z0xXnqKlZtEPzsf6L84eP1r1Q15seqRM/edit?usp=sharing"",""สุโขทัย!J228"")+IMPORTRANGE(""http"&amp;"s://docs.google.com/spreadsheets/d/1v0b9pFQCsKUVExMei7AgY2yQkdeNQvtOssygGsXbiKo/edit?usp=sharing"",""อุตรดิตถ์!J228"")+IMPORTRANGE(""https://docs.google.com/spreadsheets/d/1UsNK1e-WWiCo2PvGqdNfdme4m17_Ezd3J69EeeiQPD0/edit?usp=sharing"",""อุทัยธานี!J228"")"),438000)</f>
        <v>438000</v>
      </c>
      <c r="K228" s="152">
        <f t="shared" ref="K228:K231" ca="1" si="183">IF(I228&gt;0,J228*100/I228,0)</f>
        <v>42.7734375</v>
      </c>
      <c r="L228" s="136"/>
      <c r="M228" s="136"/>
      <c r="N228" s="136"/>
      <c r="O228" s="136"/>
      <c r="P228" s="136"/>
      <c r="Q228" s="152"/>
      <c r="R228" s="152"/>
      <c r="S228" s="152"/>
      <c r="T228" s="152"/>
      <c r="U228" s="152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66">
        <f ca="1">IFERROR(__xludf.DUMMYFUNCTION("IMPORTRANGE(""https://docs.google.com/spreadsheets/d/1jTcq05yEiRwXcBMLjiodW9e4biSGYWAHcDj22rKWQ3s/edit?usp=sharing"",""กำแพงเพชร!I229"")+IMPORTRANGE(""https://docs.google.com/spreadsheets/d/1KS0zmDSZPk8KnTAbGN-Xk6MtX1YRZD0ldgdt20K4CRk/edit?usp=sharing"","&amp;"""เชียงราย!I229"")+IMPORTRANGE(""https://docs.google.com/spreadsheets/d/1rEDxBtusbi64tE0zunoIbsTVV16HeL0oJ6trHQeQ7K8/edit?usp=sharing"",""เชียงใหม่!I229"")+IMPORTRANGE(""https://docs.google.com/spreadsheets/d/1W6MnUbDkMi6xHnHko_XkFDO9kkuL6Wqyc-6OCDFjW9I/e"&amp;"dit?usp=sharing"",""ตาก!I229"")+IMPORTRANGE(""https://docs.google.com/spreadsheets/d/1IQAWArduLkta9LpYo4a_ULsyqdta6-6aDDiwpUnQT6c/edit?usp=sharing"",""นครสวรรค์!I229"")+IMPORTRANGE(""https://docs.google.com/spreadsheets/d/10s13Sk5xrltsiR-Zkbmk5DwIaDIKO8Xl"&amp;"bJAfqyT7Gvg/edit?usp=sharing"",""น่าน!I229"")+IMPORTRANGE(""https://docs.google.com/spreadsheets/d/1uu4nAn4Dbi1XREnLKKotUANlKXa7yCgRcgq8HEzQYW8/edit?usp=sharing"",""พะเยา!I229"")+IMPORTRANGE(""https://docs.google.com/spreadsheets/d/1xfJKIQxVOaPDIICqsflNlL"&amp;"u3JacTDk1FP9RH4phX7mI/edit?usp=sharing"",""พิจิตร!I229"")+IMPORTRANGE(""https://docs.google.com/spreadsheets/d/1JtRfZkJMHtEhI5RdRHxYUG4FIZHqKDpNyIuN7A1Q0_k/edit?usp=sharing"",""พิษณุโลก!I229"")+IMPORTRANGE(""https://docs.google.com/spreadsheets/d/1xlcVZWU"&amp;"Nn6SuWm0c307h32SiGkd9BaeQWlAktfD3KO8/edit?usp=sharing"",""เพชรบูรณ์!I229"")+IMPORTRANGE(""https://docs.google.com/spreadsheets/d/1lOVebEIsI9qjGXl6EX66luk7wiuP2tBaryw-wKvv4e0/edit?usp=sharing"",""แพร่!I229"")+IMPORTRANGE(""https://docs.google.com/spreadshe"&amp;"ets/d/1dQrvX0vEcN7Gu0fnZ0B5S90AeR19zth4XlExFBeExMY/edit?usp=sharing"",""แม่ฮ่องสอน!I229"")+IMPORTRANGE(""https://docs.google.com/spreadsheets/d/1DY4XTNNwjluuxqdfdn6qvOSlMRrZqUtmYcZR0ttFiG4/edit?usp=sharing"",""ลำปาง!I229"")+IMPORTRANGE(""https://docs.goog"&amp;"le.com/spreadsheets/d/1ICwG78r0OFT8biBlxnBF8r7she7gNSzOvJ958PWT09c/edit?usp=sharing"",""ลำพูน!I229"")+IMPORTRANGE(""https://docs.google.com/spreadsheets/d/1B0f2xJpZUC6Z0xXnqKlZtEPzsf6L84eP1r1Q15seqRM/edit?usp=sharing"",""สุโขทัย!I229"")+IMPORTRANGE(""http"&amp;"s://docs.google.com/spreadsheets/d/1v0b9pFQCsKUVExMei7AgY2yQkdeNQvtOssygGsXbiKo/edit?usp=sharing"",""อุตรดิตถ์!I229"")+IMPORTRANGE(""https://docs.google.com/spreadsheets/d/1UsNK1e-WWiCo2PvGqdNfdme4m17_Ezd3J69EeeiQPD0/edit?usp=sharing"",""อุทัยธานี!I229"")"),1024000)</f>
        <v>1024000</v>
      </c>
      <c r="J229" s="166">
        <f ca="1">IFERROR(__xludf.DUMMYFUNCTION("IMPORTRANGE(""https://docs.google.com/spreadsheets/d/1jTcq05yEiRwXcBMLjiodW9e4biSGYWAHcDj22rKWQ3s/edit?usp=sharing"",""กำแพงเพชร!J229"")+IMPORTRANGE(""https://docs.google.com/spreadsheets/d/1KS0zmDSZPk8KnTAbGN-Xk6MtX1YRZD0ldgdt20K4CRk/edit?usp=sharing"","&amp;"""เชียงราย!J229"")+IMPORTRANGE(""https://docs.google.com/spreadsheets/d/1rEDxBtusbi64tE0zunoIbsTVV16HeL0oJ6trHQeQ7K8/edit?usp=sharing"",""เชียงใหม่!J229"")+IMPORTRANGE(""https://docs.google.com/spreadsheets/d/1W6MnUbDkMi6xHnHko_XkFDO9kkuL6Wqyc-6OCDFjW9I/e"&amp;"dit?usp=sharing"",""ตาก!J229"")+IMPORTRANGE(""https://docs.google.com/spreadsheets/d/1IQAWArduLkta9LpYo4a_ULsyqdta6-6aDDiwpUnQT6c/edit?usp=sharing"",""นครสวรรค์!J229"")+IMPORTRANGE(""https://docs.google.com/spreadsheets/d/10s13Sk5xrltsiR-Zkbmk5DwIaDIKO8Xl"&amp;"bJAfqyT7Gvg/edit?usp=sharing"",""น่าน!J229"")+IMPORTRANGE(""https://docs.google.com/spreadsheets/d/1uu4nAn4Dbi1XREnLKKotUANlKXa7yCgRcgq8HEzQYW8/edit?usp=sharing"",""พะเยา!J229"")+IMPORTRANGE(""https://docs.google.com/spreadsheets/d/1xfJKIQxVOaPDIICqsflNlL"&amp;"u3JacTDk1FP9RH4phX7mI/edit?usp=sharing"",""พิจิตร!J229"")+IMPORTRANGE(""https://docs.google.com/spreadsheets/d/1JtRfZkJMHtEhI5RdRHxYUG4FIZHqKDpNyIuN7A1Q0_k/edit?usp=sharing"",""พิษณุโลก!J229"")+IMPORTRANGE(""https://docs.google.com/spreadsheets/d/1xlcVZWU"&amp;"Nn6SuWm0c307h32SiGkd9BaeQWlAktfD3KO8/edit?usp=sharing"",""เพชรบูรณ์!J229"")+IMPORTRANGE(""https://docs.google.com/spreadsheets/d/1lOVebEIsI9qjGXl6EX66luk7wiuP2tBaryw-wKvv4e0/edit?usp=sharing"",""แพร่!J229"")+IMPORTRANGE(""https://docs.google.com/spreadshe"&amp;"ets/d/1dQrvX0vEcN7Gu0fnZ0B5S90AeR19zth4XlExFBeExMY/edit?usp=sharing"",""แม่ฮ่องสอน!J229"")+IMPORTRANGE(""https://docs.google.com/spreadsheets/d/1DY4XTNNwjluuxqdfdn6qvOSlMRrZqUtmYcZR0ttFiG4/edit?usp=sharing"",""ลำปาง!J229"")+IMPORTRANGE(""https://docs.goog"&amp;"le.com/spreadsheets/d/1ICwG78r0OFT8biBlxnBF8r7she7gNSzOvJ958PWT09c/edit?usp=sharing"",""ลำพูน!J229"")+IMPORTRANGE(""https://docs.google.com/spreadsheets/d/1B0f2xJpZUC6Z0xXnqKlZtEPzsf6L84eP1r1Q15seqRM/edit?usp=sharing"",""สุโขทัย!J229"")+IMPORTRANGE(""http"&amp;"s://docs.google.com/spreadsheets/d/1v0b9pFQCsKUVExMei7AgY2yQkdeNQvtOssygGsXbiKo/edit?usp=sharing"",""อุตรดิตถ์!J229"")+IMPORTRANGE(""https://docs.google.com/spreadsheets/d/1UsNK1e-WWiCo2PvGqdNfdme4m17_Ezd3J69EeeiQPD0/edit?usp=sharing"",""อุทัยธานี!J229"")"),0)</f>
        <v>0</v>
      </c>
      <c r="K229" s="152">
        <f t="shared" ca="1" si="183"/>
        <v>0</v>
      </c>
      <c r="L229" s="45"/>
      <c r="M229" s="45"/>
      <c r="N229" s="45"/>
      <c r="O229" s="45"/>
      <c r="P229" s="45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66">
        <f ca="1">IFERROR(__xludf.DUMMYFUNCTION("IMPORTRANGE(""https://docs.google.com/spreadsheets/d/1jTcq05yEiRwXcBMLjiodW9e4biSGYWAHcDj22rKWQ3s/edit?usp=sharing"",""กำแพงเพชร!I230"")+IMPORTRANGE(""https://docs.google.com/spreadsheets/d/1KS0zmDSZPk8KnTAbGN-Xk6MtX1YRZD0ldgdt20K4CRk/edit?usp=sharing"","&amp;"""เชียงราย!I230"")+IMPORTRANGE(""https://docs.google.com/spreadsheets/d/1rEDxBtusbi64tE0zunoIbsTVV16HeL0oJ6trHQeQ7K8/edit?usp=sharing"",""เชียงใหม่!I230"")+IMPORTRANGE(""https://docs.google.com/spreadsheets/d/1W6MnUbDkMi6xHnHko_XkFDO9kkuL6Wqyc-6OCDFjW9I/e"&amp;"dit?usp=sharing"",""ตาก!I230"")+IMPORTRANGE(""https://docs.google.com/spreadsheets/d/1IQAWArduLkta9LpYo4a_ULsyqdta6-6aDDiwpUnQT6c/edit?usp=sharing"",""นครสวรรค์!I230"")+IMPORTRANGE(""https://docs.google.com/spreadsheets/d/10s13Sk5xrltsiR-Zkbmk5DwIaDIKO8Xl"&amp;"bJAfqyT7Gvg/edit?usp=sharing"",""น่าน!I230"")+IMPORTRANGE(""https://docs.google.com/spreadsheets/d/1uu4nAn4Dbi1XREnLKKotUANlKXa7yCgRcgq8HEzQYW8/edit?usp=sharing"",""พะเยา!I230"")+IMPORTRANGE(""https://docs.google.com/spreadsheets/d/1xfJKIQxVOaPDIICqsflNlL"&amp;"u3JacTDk1FP9RH4phX7mI/edit?usp=sharing"",""พิจิตร!I230"")+IMPORTRANGE(""https://docs.google.com/spreadsheets/d/1JtRfZkJMHtEhI5RdRHxYUG4FIZHqKDpNyIuN7A1Q0_k/edit?usp=sharing"",""พิษณุโลก!I230"")+IMPORTRANGE(""https://docs.google.com/spreadsheets/d/1xlcVZWU"&amp;"Nn6SuWm0c307h32SiGkd9BaeQWlAktfD3KO8/edit?usp=sharing"",""เพชรบูรณ์!I230"")+IMPORTRANGE(""https://docs.google.com/spreadsheets/d/1lOVebEIsI9qjGXl6EX66luk7wiuP2tBaryw-wKvv4e0/edit?usp=sharing"",""แพร่!I230"")+IMPORTRANGE(""https://docs.google.com/spreadshe"&amp;"ets/d/1dQrvX0vEcN7Gu0fnZ0B5S90AeR19zth4XlExFBeExMY/edit?usp=sharing"",""แม่ฮ่องสอน!I230"")+IMPORTRANGE(""https://docs.google.com/spreadsheets/d/1DY4XTNNwjluuxqdfdn6qvOSlMRrZqUtmYcZR0ttFiG4/edit?usp=sharing"",""ลำปาง!I230"")+IMPORTRANGE(""https://docs.goog"&amp;"le.com/spreadsheets/d/1ICwG78r0OFT8biBlxnBF8r7she7gNSzOvJ958PWT09c/edit?usp=sharing"",""ลำพูน!I230"")+IMPORTRANGE(""https://docs.google.com/spreadsheets/d/1B0f2xJpZUC6Z0xXnqKlZtEPzsf6L84eP1r1Q15seqRM/edit?usp=sharing"",""สุโขทัย!I230"")+IMPORTRANGE(""http"&amp;"s://docs.google.com/spreadsheets/d/1v0b9pFQCsKUVExMei7AgY2yQkdeNQvtOssygGsXbiKo/edit?usp=sharing"",""อุตรดิตถ์!I230"")+IMPORTRANGE(""https://docs.google.com/spreadsheets/d/1UsNK1e-WWiCo2PvGqdNfdme4m17_Ezd3J69EeeiQPD0/edit?usp=sharing"",""อุทัยธานี!I230"")"),0)</f>
        <v>0</v>
      </c>
      <c r="J230" s="166">
        <f ca="1">IFERROR(__xludf.DUMMYFUNCTION("IMPORTRANGE(""https://docs.google.com/spreadsheets/d/1jTcq05yEiRwXcBMLjiodW9e4biSGYWAHcDj22rKWQ3s/edit?usp=sharing"",""กำแพงเพชร!J230"")+IMPORTRANGE(""https://docs.google.com/spreadsheets/d/1KS0zmDSZPk8KnTAbGN-Xk6MtX1YRZD0ldgdt20K4CRk/edit?usp=sharing"","&amp;"""เชียงราย!J230"")+IMPORTRANGE(""https://docs.google.com/spreadsheets/d/1rEDxBtusbi64tE0zunoIbsTVV16HeL0oJ6trHQeQ7K8/edit?usp=sharing"",""เชียงใหม่!J230"")+IMPORTRANGE(""https://docs.google.com/spreadsheets/d/1W6MnUbDkMi6xHnHko_XkFDO9kkuL6Wqyc-6OCDFjW9I/e"&amp;"dit?usp=sharing"",""ตาก!J230"")+IMPORTRANGE(""https://docs.google.com/spreadsheets/d/1IQAWArduLkta9LpYo4a_ULsyqdta6-6aDDiwpUnQT6c/edit?usp=sharing"",""นครสวรรค์!J230"")+IMPORTRANGE(""https://docs.google.com/spreadsheets/d/10s13Sk5xrltsiR-Zkbmk5DwIaDIKO8Xl"&amp;"bJAfqyT7Gvg/edit?usp=sharing"",""น่าน!J230"")+IMPORTRANGE(""https://docs.google.com/spreadsheets/d/1uu4nAn4Dbi1XREnLKKotUANlKXa7yCgRcgq8HEzQYW8/edit?usp=sharing"",""พะเยา!J230"")+IMPORTRANGE(""https://docs.google.com/spreadsheets/d/1xfJKIQxVOaPDIICqsflNlL"&amp;"u3JacTDk1FP9RH4phX7mI/edit?usp=sharing"",""พิจิตร!J230"")+IMPORTRANGE(""https://docs.google.com/spreadsheets/d/1JtRfZkJMHtEhI5RdRHxYUG4FIZHqKDpNyIuN7A1Q0_k/edit?usp=sharing"",""พิษณุโลก!J230"")+IMPORTRANGE(""https://docs.google.com/spreadsheets/d/1xlcVZWU"&amp;"Nn6SuWm0c307h32SiGkd9BaeQWlAktfD3KO8/edit?usp=sharing"",""เพชรบูรณ์!J230"")+IMPORTRANGE(""https://docs.google.com/spreadsheets/d/1lOVebEIsI9qjGXl6EX66luk7wiuP2tBaryw-wKvv4e0/edit?usp=sharing"",""แพร่!J230"")+IMPORTRANGE(""https://docs.google.com/spreadshe"&amp;"ets/d/1dQrvX0vEcN7Gu0fnZ0B5S90AeR19zth4XlExFBeExMY/edit?usp=sharing"",""แม่ฮ่องสอน!J230"")+IMPORTRANGE(""https://docs.google.com/spreadsheets/d/1DY4XTNNwjluuxqdfdn6qvOSlMRrZqUtmYcZR0ttFiG4/edit?usp=sharing"",""ลำปาง!J230"")+IMPORTRANGE(""https://docs.goog"&amp;"le.com/spreadsheets/d/1ICwG78r0OFT8biBlxnBF8r7she7gNSzOvJ958PWT09c/edit?usp=sharing"",""ลำพูน!J230"")+IMPORTRANGE(""https://docs.google.com/spreadsheets/d/1B0f2xJpZUC6Z0xXnqKlZtEPzsf6L84eP1r1Q15seqRM/edit?usp=sharing"",""สุโขทัย!J230"")+IMPORTRANGE(""http"&amp;"s://docs.google.com/spreadsheets/d/1v0b9pFQCsKUVExMei7AgY2yQkdeNQvtOssygGsXbiKo/edit?usp=sharing"",""อุตรดิตถ์!J230"")+IMPORTRANGE(""https://docs.google.com/spreadsheets/d/1UsNK1e-WWiCo2PvGqdNfdme4m17_Ezd3J69EeeiQPD0/edit?usp=sharing"",""อุทัยธานี!J230"")"),0)</f>
        <v>0</v>
      </c>
      <c r="K230" s="152">
        <f t="shared" ca="1" si="183"/>
        <v>0</v>
      </c>
      <c r="L230" s="45"/>
      <c r="M230" s="45"/>
      <c r="N230" s="45"/>
      <c r="O230" s="45"/>
      <c r="P230" s="45"/>
      <c r="Q230" s="46"/>
      <c r="R230" s="46"/>
      <c r="S230" s="46"/>
      <c r="T230" s="46"/>
      <c r="U230" s="46"/>
    </row>
    <row r="231" spans="1:21" ht="19.5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217">
        <f t="shared" ref="I231:J231" si="184">I242+I253</f>
        <v>0</v>
      </c>
      <c r="J231" s="217">
        <f t="shared" si="184"/>
        <v>0</v>
      </c>
      <c r="K231" s="218">
        <f t="shared" si="183"/>
        <v>0</v>
      </c>
      <c r="L231" s="219"/>
      <c r="M231" s="219"/>
      <c r="N231" s="219"/>
      <c r="O231" s="219"/>
      <c r="P231" s="219"/>
      <c r="Q231" s="226"/>
      <c r="R231" s="226"/>
      <c r="S231" s="226"/>
      <c r="T231" s="226"/>
      <c r="U231" s="226"/>
    </row>
    <row r="232" spans="1:21" ht="19.5" x14ac:dyDescent="0.3">
      <c r="A232" s="128"/>
      <c r="B232" s="40"/>
      <c r="C232" s="129" t="s">
        <v>18</v>
      </c>
      <c r="D232" s="13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132">
        <f t="shared" ref="L232:N232" ca="1" si="185">L233+L234+L235+L236</f>
        <v>1055800</v>
      </c>
      <c r="M232" s="132">
        <f t="shared" ca="1" si="185"/>
        <v>0</v>
      </c>
      <c r="N232" s="132">
        <f t="shared" ca="1" si="185"/>
        <v>602706.1</v>
      </c>
      <c r="O232" s="132">
        <f ca="1">IF(L232&gt;0,N232*100/L232,0)</f>
        <v>57.085252888804696</v>
      </c>
      <c r="P232" s="45"/>
      <c r="Q232" s="46">
        <f t="shared" ref="Q232:S232" ca="1" si="186">Q233+Q234+Q235+Q236</f>
        <v>625700</v>
      </c>
      <c r="R232" s="46">
        <f t="shared" ca="1" si="186"/>
        <v>0</v>
      </c>
      <c r="S232" s="46">
        <f t="shared" ca="1" si="186"/>
        <v>528290</v>
      </c>
      <c r="T232" s="46"/>
      <c r="U232" s="46"/>
    </row>
    <row r="233" spans="1:21" ht="18.75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46">
        <f ca="1">IFERROR(__xludf.DUMMYFUNCTION("IMPORTRANGE(""https://docs.google.com/spreadsheets/d/1jTcq05yEiRwXcBMLjiodW9e4biSGYWAHcDj22rKWQ3s/edit?usp=sharing"",""กำแพงเพชร!L233"")+IMPORTRANGE(""https://docs.google.com/spreadsheets/d/1KS0zmDSZPk8KnTAbGN-Xk6MtX1YRZD0ldgdt20K4CRk/edit?usp=sharing"","&amp;"""เชียงราย!L233"")+IMPORTRANGE(""https://docs.google.com/spreadsheets/d/1rEDxBtusbi64tE0zunoIbsTVV16HeL0oJ6trHQeQ7K8/edit?usp=sharing"",""เชียงใหม่!L233"")+IMPORTRANGE(""https://docs.google.com/spreadsheets/d/1W6MnUbDkMi6xHnHko_XkFDO9kkuL6Wqyc-6OCDFjW9I/e"&amp;"dit?usp=sharing"",""ตาก!L233"")+IMPORTRANGE(""https://docs.google.com/spreadsheets/d/1IQAWArduLkta9LpYo4a_ULsyqdta6-6aDDiwpUnQT6c/edit?usp=sharing"",""นครสวรรค์!L233"")+IMPORTRANGE(""https://docs.google.com/spreadsheets/d/10s13Sk5xrltsiR-Zkbmk5DwIaDIKO8Xl"&amp;"bJAfqyT7Gvg/edit?usp=sharing"",""น่าน!L233"")+IMPORTRANGE(""https://docs.google.com/spreadsheets/d/1uu4nAn4Dbi1XREnLKKotUANlKXa7yCgRcgq8HEzQYW8/edit?usp=sharing"",""พะเยา!L233"")+IMPORTRANGE(""https://docs.google.com/spreadsheets/d/1xfJKIQxVOaPDIICqsflNlL"&amp;"u3JacTDk1FP9RH4phX7mI/edit?usp=sharing"",""พิจิตร!L233"")+IMPORTRANGE(""https://docs.google.com/spreadsheets/d/1JtRfZkJMHtEhI5RdRHxYUG4FIZHqKDpNyIuN7A1Q0_k/edit?usp=sharing"",""พิษณุโลก!L233"")+IMPORTRANGE(""https://docs.google.com/spreadsheets/d/1xlcVZWU"&amp;"Nn6SuWm0c307h32SiGkd9BaeQWlAktfD3KO8/edit?usp=sharing"",""เพชรบูรณ์!L233"")+IMPORTRANGE(""https://docs.google.com/spreadsheets/d/1lOVebEIsI9qjGXl6EX66luk7wiuP2tBaryw-wKvv4e0/edit?usp=sharing"",""แพร่!L233"")+IMPORTRANGE(""https://docs.google.com/spreadshe"&amp;"ets/d/1dQrvX0vEcN7Gu0fnZ0B5S90AeR19zth4XlExFBeExMY/edit?usp=sharing"",""แม่ฮ่องสอน!L233"")+IMPORTRANGE(""https://docs.google.com/spreadsheets/d/1DY4XTNNwjluuxqdfdn6qvOSlMRrZqUtmYcZR0ttFiG4/edit?usp=sharing"",""ลำปาง!L233"")+IMPORTRANGE(""https://docs.goog"&amp;"le.com/spreadsheets/d/1ICwG78r0OFT8biBlxnBF8r7she7gNSzOvJ958PWT09c/edit?usp=sharing"",""ลำพูน!L233"")+IMPORTRANGE(""https://docs.google.com/spreadsheets/d/1B0f2xJpZUC6Z0xXnqKlZtEPzsf6L84eP1r1Q15seqRM/edit?usp=sharing"",""สุโขทัย!L233"")+IMPORTRANGE(""http"&amp;"s://docs.google.com/spreadsheets/d/1v0b9pFQCsKUVExMei7AgY2yQkdeNQvtOssygGsXbiKo/edit?usp=sharing"",""อุตรดิตถ์!L233"")+IMPORTRANGE(""https://docs.google.com/spreadsheets/d/1UsNK1e-WWiCo2PvGqdNfdme4m17_Ezd3J69EeeiQPD0/edit?usp=sharing"",""อุทัยธานี!L233"")"),71000)</f>
        <v>71000</v>
      </c>
      <c r="M233" s="46">
        <f ca="1">IFERROR(__xludf.DUMMYFUNCTION("IMPORTRANGE(""https://docs.google.com/spreadsheets/d/1jTcq05yEiRwXcBMLjiodW9e4biSGYWAHcDj22rKWQ3s/edit?usp=sharing"",""กำแพงเพชร!M233"")+IMPORTRANGE(""https://docs.google.com/spreadsheets/d/1KS0zmDSZPk8KnTAbGN-Xk6MtX1YRZD0ldgdt20K4CRk/edit?usp=sharing"","&amp;"""เชียงราย!M233"")+IMPORTRANGE(""https://docs.google.com/spreadsheets/d/1rEDxBtusbi64tE0zunoIbsTVV16HeL0oJ6trHQeQ7K8/edit?usp=sharing"",""เชียงใหม่!M233"")+IMPORTRANGE(""https://docs.google.com/spreadsheets/d/1W6MnUbDkMi6xHnHko_XkFDO9kkuL6Wqyc-6OCDFjW9I/e"&amp;"dit?usp=sharing"",""ตาก!M233"")+IMPORTRANGE(""https://docs.google.com/spreadsheets/d/1IQAWArduLkta9LpYo4a_ULsyqdta6-6aDDiwpUnQT6c/edit?usp=sharing"",""นครสวรรค์!M233"")+IMPORTRANGE(""https://docs.google.com/spreadsheets/d/10s13Sk5xrltsiR-Zkbmk5DwIaDIKO8Xl"&amp;"bJAfqyT7Gvg/edit?usp=sharing"",""น่าน!M233"")+IMPORTRANGE(""https://docs.google.com/spreadsheets/d/1uu4nAn4Dbi1XREnLKKotUANlKXa7yCgRcgq8HEzQYW8/edit?usp=sharing"",""พะเยา!M233"")+IMPORTRANGE(""https://docs.google.com/spreadsheets/d/1xfJKIQxVOaPDIICqsflNlL"&amp;"u3JacTDk1FP9RH4phX7mI/edit?usp=sharing"",""พิจิตร!M233"")+IMPORTRANGE(""https://docs.google.com/spreadsheets/d/1JtRfZkJMHtEhI5RdRHxYUG4FIZHqKDpNyIuN7A1Q0_k/edit?usp=sharing"",""พิษณุโลก!M233"")+IMPORTRANGE(""https://docs.google.com/spreadsheets/d/1xlcVZWU"&amp;"Nn6SuWm0c307h32SiGkd9BaeQWlAktfD3KO8/edit?usp=sharing"",""เพชรบูรณ์!M233"")+IMPORTRANGE(""https://docs.google.com/spreadsheets/d/1lOVebEIsI9qjGXl6EX66luk7wiuP2tBaryw-wKvv4e0/edit?usp=sharing"",""แพร่!M233"")+IMPORTRANGE(""https://docs.google.com/spreadshe"&amp;"ets/d/1dQrvX0vEcN7Gu0fnZ0B5S90AeR19zth4XlExFBeExMY/edit?usp=sharing"",""แม่ฮ่องสอน!M233"")+IMPORTRANGE(""https://docs.google.com/spreadsheets/d/1DY4XTNNwjluuxqdfdn6qvOSlMRrZqUtmYcZR0ttFiG4/edit?usp=sharing"",""ลำปาง!M233"")+IMPORTRANGE(""https://docs.goog"&amp;"le.com/spreadsheets/d/1ICwG78r0OFT8biBlxnBF8r7she7gNSzOvJ958PWT09c/edit?usp=sharing"",""ลำพูน!M233"")+IMPORTRANGE(""https://docs.google.com/spreadsheets/d/1B0f2xJpZUC6Z0xXnqKlZtEPzsf6L84eP1r1Q15seqRM/edit?usp=sharing"",""สุโขทัย!M233"")+IMPORTRANGE(""http"&amp;"s://docs.google.com/spreadsheets/d/1v0b9pFQCsKUVExMei7AgY2yQkdeNQvtOssygGsXbiKo/edit?usp=sharing"",""อุตรดิตถ์!M233"")+IMPORTRANGE(""https://docs.google.com/spreadsheets/d/1UsNK1e-WWiCo2PvGqdNfdme4m17_Ezd3J69EeeiQPD0/edit?usp=sharing"",""อุทัยธานี!M233"")"),0)</f>
        <v>0</v>
      </c>
      <c r="N233" s="46">
        <f ca="1">IFERROR(__xludf.DUMMYFUNCTION("IMPORTRANGE(""https://docs.google.com/spreadsheets/d/1jTcq05yEiRwXcBMLjiodW9e4biSGYWAHcDj22rKWQ3s/edit?usp=sharing"",""กำแพงเพชร!N233"")+IMPORTRANGE(""https://docs.google.com/spreadsheets/d/1KS0zmDSZPk8KnTAbGN-Xk6MtX1YRZD0ldgdt20K4CRk/edit?usp=sharing"","&amp;"""เชียงราย!N233"")+IMPORTRANGE(""https://docs.google.com/spreadsheets/d/1rEDxBtusbi64tE0zunoIbsTVV16HeL0oJ6trHQeQ7K8/edit?usp=sharing"",""เชียงใหม่!N233"")+IMPORTRANGE(""https://docs.google.com/spreadsheets/d/1W6MnUbDkMi6xHnHko_XkFDO9kkuL6Wqyc-6OCDFjW9I/e"&amp;"dit?usp=sharing"",""ตาก!N233"")+IMPORTRANGE(""https://docs.google.com/spreadsheets/d/1IQAWArduLkta9LpYo4a_ULsyqdta6-6aDDiwpUnQT6c/edit?usp=sharing"",""นครสวรรค์!N233"")+IMPORTRANGE(""https://docs.google.com/spreadsheets/d/10s13Sk5xrltsiR-Zkbmk5DwIaDIKO8Xl"&amp;"bJAfqyT7Gvg/edit?usp=sharing"",""น่าน!N233"")+IMPORTRANGE(""https://docs.google.com/spreadsheets/d/1uu4nAn4Dbi1XREnLKKotUANlKXa7yCgRcgq8HEzQYW8/edit?usp=sharing"",""พะเยา!N233"")+IMPORTRANGE(""https://docs.google.com/spreadsheets/d/1xfJKIQxVOaPDIICqsflNlL"&amp;"u3JacTDk1FP9RH4phX7mI/edit?usp=sharing"",""พิจิตร!N233"")+IMPORTRANGE(""https://docs.google.com/spreadsheets/d/1JtRfZkJMHtEhI5RdRHxYUG4FIZHqKDpNyIuN7A1Q0_k/edit?usp=sharing"",""พิษณุโลก!N233"")+IMPORTRANGE(""https://docs.google.com/spreadsheets/d/1xlcVZWU"&amp;"Nn6SuWm0c307h32SiGkd9BaeQWlAktfD3KO8/edit?usp=sharing"",""เพชรบูรณ์!N233"")+IMPORTRANGE(""https://docs.google.com/spreadsheets/d/1lOVebEIsI9qjGXl6EX66luk7wiuP2tBaryw-wKvv4e0/edit?usp=sharing"",""แพร่!N233"")+IMPORTRANGE(""https://docs.google.com/spreadshe"&amp;"ets/d/1dQrvX0vEcN7Gu0fnZ0B5S90AeR19zth4XlExFBeExMY/edit?usp=sharing"",""แม่ฮ่องสอน!N233"")+IMPORTRANGE(""https://docs.google.com/spreadsheets/d/1DY4XTNNwjluuxqdfdn6qvOSlMRrZqUtmYcZR0ttFiG4/edit?usp=sharing"",""ลำปาง!N233"")+IMPORTRANGE(""https://docs.goog"&amp;"le.com/spreadsheets/d/1ICwG78r0OFT8biBlxnBF8r7she7gNSzOvJ958PWT09c/edit?usp=sharing"",""ลำพูน!N233"")+IMPORTRANGE(""https://docs.google.com/spreadsheets/d/1B0f2xJpZUC6Z0xXnqKlZtEPzsf6L84eP1r1Q15seqRM/edit?usp=sharing"",""สุโขทัย!N233"")+IMPORTRANGE(""http"&amp;"s://docs.google.com/spreadsheets/d/1v0b9pFQCsKUVExMei7AgY2yQkdeNQvtOssygGsXbiKo/edit?usp=sharing"",""อุตรดิตถ์!N233"")+IMPORTRANGE(""https://docs.google.com/spreadsheets/d/1UsNK1e-WWiCo2PvGqdNfdme4m17_Ezd3J69EeeiQPD0/edit?usp=sharing"",""อุทัยธานี!N233"")"),41430)</f>
        <v>41430</v>
      </c>
      <c r="O233" s="45"/>
      <c r="P233" s="45"/>
      <c r="Q233" s="46">
        <f ca="1">IFERROR(__xludf.DUMMYFUNCTION("IMPORTRANGE(""https://docs.google.com/spreadsheets/d/1jTcq05yEiRwXcBMLjiodW9e4biSGYWAHcDj22rKWQ3s/edit?usp=sharing"",""กำแพงเพชร!Q233"")+IMPORTRANGE(""https://docs.google.com/spreadsheets/d/1KS0zmDSZPk8KnTAbGN-Xk6MtX1YRZD0ldgdt20K4CRk/edit?usp=sharing"","&amp;"""เชียงราย!Q233"")+IMPORTRANGE(""https://docs.google.com/spreadsheets/d/1rEDxBtusbi64tE0zunoIbsTVV16HeL0oJ6trHQeQ7K8/edit?usp=sharing"",""เชียงใหม่!Q233"")+IMPORTRANGE(""https://docs.google.com/spreadsheets/d/1W6MnUbDkMi6xHnHko_XkFDO9kkuL6Wqyc-6OCDFjW9I/e"&amp;"dit?usp=sharing"",""ตาก!Q233"")+IMPORTRANGE(""https://docs.google.com/spreadsheets/d/1IQAWArduLkta9LpYo4a_ULsyqdta6-6aDDiwpUnQT6c/edit?usp=sharing"",""นครสวรรค์!Q233"")+IMPORTRANGE(""https://docs.google.com/spreadsheets/d/10s13Sk5xrltsiR-Zkbmk5DwIaDIKO8Xl"&amp;"bJAfqyT7Gvg/edit?usp=sharing"",""น่าน!Q233"")+IMPORTRANGE(""https://docs.google.com/spreadsheets/d/1uu4nAn4Dbi1XREnLKKotUANlKXa7yCgRcgq8HEzQYW8/edit?usp=sharing"",""พะเยา!Q233"")+IMPORTRANGE(""https://docs.google.com/spreadsheets/d/1xfJKIQxVOaPDIICqsflNlL"&amp;"u3JacTDk1FP9RH4phX7mI/edit?usp=sharing"",""พิจิตร!Q233"")+IMPORTRANGE(""https://docs.google.com/spreadsheets/d/1JtRfZkJMHtEhI5RdRHxYUG4FIZHqKDpNyIuN7A1Q0_k/edit?usp=sharing"",""พิษณุโลก!Q233"")+IMPORTRANGE(""https://docs.google.com/spreadsheets/d/1xlcVZWU"&amp;"Nn6SuWm0c307h32SiGkd9BaeQWlAktfD3KO8/edit?usp=sharing"",""เพชรบูรณ์!Q233"")+IMPORTRANGE(""https://docs.google.com/spreadsheets/d/1lOVebEIsI9qjGXl6EX66luk7wiuP2tBaryw-wKvv4e0/edit?usp=sharing"",""แพร่!Q233"")+IMPORTRANGE(""https://docs.google.com/spreadshe"&amp;"ets/d/1dQrvX0vEcN7Gu0fnZ0B5S90AeR19zth4XlExFBeExMY/edit?usp=sharing"",""แม่ฮ่องสอน!Q233"")+IMPORTRANGE(""https://docs.google.com/spreadsheets/d/1DY4XTNNwjluuxqdfdn6qvOSlMRrZqUtmYcZR0ttFiG4/edit?usp=sharing"",""ลำปาง!Q233"")+IMPORTRANGE(""https://docs.goog"&amp;"le.com/spreadsheets/d/1ICwG78r0OFT8biBlxnBF8r7she7gNSzOvJ958PWT09c/edit?usp=sharing"",""ลำพูน!Q233"")+IMPORTRANGE(""https://docs.google.com/spreadsheets/d/1B0f2xJpZUC6Z0xXnqKlZtEPzsf6L84eP1r1Q15seqRM/edit?usp=sharing"",""สุโขทัย!Q233"")+IMPORTRANGE(""http"&amp;"s://docs.google.com/spreadsheets/d/1v0b9pFQCsKUVExMei7AgY2yQkdeNQvtOssygGsXbiKo/edit?usp=sharing"",""อุตรดิตถ์!Q233"")+IMPORTRANGE(""https://docs.google.com/spreadsheets/d/1UsNK1e-WWiCo2PvGqdNfdme4m17_Ezd3J69EeeiQPD0/edit?usp=sharing"",""อุทัยธานี!Q233"")"),0)</f>
        <v>0</v>
      </c>
      <c r="R233" s="46">
        <f ca="1">IFERROR(__xludf.DUMMYFUNCTION("IMPORTRANGE(""https://docs.google.com/spreadsheets/d/1jTcq05yEiRwXcBMLjiodW9e4biSGYWAHcDj22rKWQ3s/edit?usp=sharing"",""กำแพงเพชร!R233"")+IMPORTRANGE(""https://docs.google.com/spreadsheets/d/1KS0zmDSZPk8KnTAbGN-Xk6MtX1YRZD0ldgdt20K4CRk/edit?usp=sharing"","&amp;"""เชียงราย!R233"")+IMPORTRANGE(""https://docs.google.com/spreadsheets/d/1rEDxBtusbi64tE0zunoIbsTVV16HeL0oJ6trHQeQ7K8/edit?usp=sharing"",""เชียงใหม่!R233"")+IMPORTRANGE(""https://docs.google.com/spreadsheets/d/1W6MnUbDkMi6xHnHko_XkFDO9kkuL6Wqyc-6OCDFjW9I/e"&amp;"dit?usp=sharing"",""ตาก!R233"")+IMPORTRANGE(""https://docs.google.com/spreadsheets/d/1IQAWArduLkta9LpYo4a_ULsyqdta6-6aDDiwpUnQT6c/edit?usp=sharing"",""นครสวรรค์!R233"")+IMPORTRANGE(""https://docs.google.com/spreadsheets/d/10s13Sk5xrltsiR-Zkbmk5DwIaDIKO8Xl"&amp;"bJAfqyT7Gvg/edit?usp=sharing"",""น่าน!R233"")+IMPORTRANGE(""https://docs.google.com/spreadsheets/d/1uu4nAn4Dbi1XREnLKKotUANlKXa7yCgRcgq8HEzQYW8/edit?usp=sharing"",""พะเยา!R233"")+IMPORTRANGE(""https://docs.google.com/spreadsheets/d/1xfJKIQxVOaPDIICqsflNlL"&amp;"u3JacTDk1FP9RH4phX7mI/edit?usp=sharing"",""พิจิตร!R233"")+IMPORTRANGE(""https://docs.google.com/spreadsheets/d/1JtRfZkJMHtEhI5RdRHxYUG4FIZHqKDpNyIuN7A1Q0_k/edit?usp=sharing"",""พิษณุโลก!R233"")+IMPORTRANGE(""https://docs.google.com/spreadsheets/d/1xlcVZWU"&amp;"Nn6SuWm0c307h32SiGkd9BaeQWlAktfD3KO8/edit?usp=sharing"",""เพชรบูรณ์!R233"")+IMPORTRANGE(""https://docs.google.com/spreadsheets/d/1lOVebEIsI9qjGXl6EX66luk7wiuP2tBaryw-wKvv4e0/edit?usp=sharing"",""แพร่!R233"")+IMPORTRANGE(""https://docs.google.com/spreadshe"&amp;"ets/d/1dQrvX0vEcN7Gu0fnZ0B5S90AeR19zth4XlExFBeExMY/edit?usp=sharing"",""แม่ฮ่องสอน!R233"")+IMPORTRANGE(""https://docs.google.com/spreadsheets/d/1DY4XTNNwjluuxqdfdn6qvOSlMRrZqUtmYcZR0ttFiG4/edit?usp=sharing"",""ลำปาง!R233"")+IMPORTRANGE(""https://docs.goog"&amp;"le.com/spreadsheets/d/1ICwG78r0OFT8biBlxnBF8r7she7gNSzOvJ958PWT09c/edit?usp=sharing"",""ลำพูน!R233"")+IMPORTRANGE(""https://docs.google.com/spreadsheets/d/1B0f2xJpZUC6Z0xXnqKlZtEPzsf6L84eP1r1Q15seqRM/edit?usp=sharing"",""สุโขทัย!R233"")+IMPORTRANGE(""http"&amp;"s://docs.google.com/spreadsheets/d/1v0b9pFQCsKUVExMei7AgY2yQkdeNQvtOssygGsXbiKo/edit?usp=sharing"",""อุตรดิตถ์!R233"")+IMPORTRANGE(""https://docs.google.com/spreadsheets/d/1UsNK1e-WWiCo2PvGqdNfdme4m17_Ezd3J69EeeiQPD0/edit?usp=sharing"",""อุทัยธานี!R233"")"),0)</f>
        <v>0</v>
      </c>
      <c r="S233" s="46">
        <f ca="1">IFERROR(__xludf.DUMMYFUNCTION("IMPORTRANGE(""https://docs.google.com/spreadsheets/d/1jTcq05yEiRwXcBMLjiodW9e4biSGYWAHcDj22rKWQ3s/edit?usp=sharing"",""กำแพงเพชร!S233"")+IMPORTRANGE(""https://docs.google.com/spreadsheets/d/1KS0zmDSZPk8KnTAbGN-Xk6MtX1YRZD0ldgdt20K4CRk/edit?usp=sharing"","&amp;"""เชียงราย!S233"")+IMPORTRANGE(""https://docs.google.com/spreadsheets/d/1rEDxBtusbi64tE0zunoIbsTVV16HeL0oJ6trHQeQ7K8/edit?usp=sharing"",""เชียงใหม่!S233"")+IMPORTRANGE(""https://docs.google.com/spreadsheets/d/1W6MnUbDkMi6xHnHko_XkFDO9kkuL6Wqyc-6OCDFjW9I/e"&amp;"dit?usp=sharing"",""ตาก!S233"")+IMPORTRANGE(""https://docs.google.com/spreadsheets/d/1IQAWArduLkta9LpYo4a_ULsyqdta6-6aDDiwpUnQT6c/edit?usp=sharing"",""นครสวรรค์!S233"")+IMPORTRANGE(""https://docs.google.com/spreadsheets/d/10s13Sk5xrltsiR-Zkbmk5DwIaDIKO8Xl"&amp;"bJAfqyT7Gvg/edit?usp=sharing"",""น่าน!S233"")+IMPORTRANGE(""https://docs.google.com/spreadsheets/d/1uu4nAn4Dbi1XREnLKKotUANlKXa7yCgRcgq8HEzQYW8/edit?usp=sharing"",""พะเยา!S233"")+IMPORTRANGE(""https://docs.google.com/spreadsheets/d/1xfJKIQxVOaPDIICqsflNlL"&amp;"u3JacTDk1FP9RH4phX7mI/edit?usp=sharing"",""พิจิตร!S233"")+IMPORTRANGE(""https://docs.google.com/spreadsheets/d/1JtRfZkJMHtEhI5RdRHxYUG4FIZHqKDpNyIuN7A1Q0_k/edit?usp=sharing"",""พิษณุโลก!S233"")+IMPORTRANGE(""https://docs.google.com/spreadsheets/d/1xlcVZWU"&amp;"Nn6SuWm0c307h32SiGkd9BaeQWlAktfD3KO8/edit?usp=sharing"",""เพชรบูรณ์!S233"")+IMPORTRANGE(""https://docs.google.com/spreadsheets/d/1lOVebEIsI9qjGXl6EX66luk7wiuP2tBaryw-wKvv4e0/edit?usp=sharing"",""แพร่!S233"")+IMPORTRANGE(""https://docs.google.com/spreadshe"&amp;"ets/d/1dQrvX0vEcN7Gu0fnZ0B5S90AeR19zth4XlExFBeExMY/edit?usp=sharing"",""แม่ฮ่องสอน!S233"")+IMPORTRANGE(""https://docs.google.com/spreadsheets/d/1DY4XTNNwjluuxqdfdn6qvOSlMRrZqUtmYcZR0ttFiG4/edit?usp=sharing"",""ลำปาง!S233"")+IMPORTRANGE(""https://docs.goog"&amp;"le.com/spreadsheets/d/1ICwG78r0OFT8biBlxnBF8r7she7gNSzOvJ958PWT09c/edit?usp=sharing"",""ลำพูน!S233"")+IMPORTRANGE(""https://docs.google.com/spreadsheets/d/1B0f2xJpZUC6Z0xXnqKlZtEPzsf6L84eP1r1Q15seqRM/edit?usp=sharing"",""สุโขทัย!S233"")+IMPORTRANGE(""http"&amp;"s://docs.google.com/spreadsheets/d/1v0b9pFQCsKUVExMei7AgY2yQkdeNQvtOssygGsXbiKo/edit?usp=sharing"",""อุตรดิตถ์!S233"")+IMPORTRANGE(""https://docs.google.com/spreadsheets/d/1UsNK1e-WWiCo2PvGqdNfdme4m17_Ezd3J69EeeiQPD0/edit?usp=sharing"",""อุทัยธานี!S233"")"),0)</f>
        <v>0</v>
      </c>
      <c r="T233" s="46"/>
      <c r="U233" s="46"/>
    </row>
    <row r="234" spans="1:21" ht="18.75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46">
        <f ca="1">IFERROR(__xludf.DUMMYFUNCTION("IMPORTRANGE(""https://docs.google.com/spreadsheets/d/1jTcq05yEiRwXcBMLjiodW9e4biSGYWAHcDj22rKWQ3s/edit?usp=sharing"",""กำแพงเพชร!L234"")+IMPORTRANGE(""https://docs.google.com/spreadsheets/d/1KS0zmDSZPk8KnTAbGN-Xk6MtX1YRZD0ldgdt20K4CRk/edit?usp=sharing"","&amp;"""เชียงราย!L234"")+IMPORTRANGE(""https://docs.google.com/spreadsheets/d/1rEDxBtusbi64tE0zunoIbsTVV16HeL0oJ6trHQeQ7K8/edit?usp=sharing"",""เชียงใหม่!L234"")+IMPORTRANGE(""https://docs.google.com/spreadsheets/d/1W6MnUbDkMi6xHnHko_XkFDO9kkuL6Wqyc-6OCDFjW9I/e"&amp;"dit?usp=sharing"",""ตาก!L234"")+IMPORTRANGE(""https://docs.google.com/spreadsheets/d/1IQAWArduLkta9LpYo4a_ULsyqdta6-6aDDiwpUnQT6c/edit?usp=sharing"",""นครสวรรค์!L234"")+IMPORTRANGE(""https://docs.google.com/spreadsheets/d/10s13Sk5xrltsiR-Zkbmk5DwIaDIKO8Xl"&amp;"bJAfqyT7Gvg/edit?usp=sharing"",""น่าน!L234"")+IMPORTRANGE(""https://docs.google.com/spreadsheets/d/1uu4nAn4Dbi1XREnLKKotUANlKXa7yCgRcgq8HEzQYW8/edit?usp=sharing"",""พะเยา!L234"")+IMPORTRANGE(""https://docs.google.com/spreadsheets/d/1xfJKIQxVOaPDIICqsflNlL"&amp;"u3JacTDk1FP9RH4phX7mI/edit?usp=sharing"",""พิจิตร!L234"")+IMPORTRANGE(""https://docs.google.com/spreadsheets/d/1JtRfZkJMHtEhI5RdRHxYUG4FIZHqKDpNyIuN7A1Q0_k/edit?usp=sharing"",""พิษณุโลก!L234"")+IMPORTRANGE(""https://docs.google.com/spreadsheets/d/1xlcVZWU"&amp;"Nn6SuWm0c307h32SiGkd9BaeQWlAktfD3KO8/edit?usp=sharing"",""เพชรบูรณ์!L234"")+IMPORTRANGE(""https://docs.google.com/spreadsheets/d/1lOVebEIsI9qjGXl6EX66luk7wiuP2tBaryw-wKvv4e0/edit?usp=sharing"",""แพร่!L234"")+IMPORTRANGE(""https://docs.google.com/spreadshe"&amp;"ets/d/1dQrvX0vEcN7Gu0fnZ0B5S90AeR19zth4XlExFBeExMY/edit?usp=sharing"",""แม่ฮ่องสอน!L234"")+IMPORTRANGE(""https://docs.google.com/spreadsheets/d/1DY4XTNNwjluuxqdfdn6qvOSlMRrZqUtmYcZR0ttFiG4/edit?usp=sharing"",""ลำปาง!L234"")+IMPORTRANGE(""https://docs.goog"&amp;"le.com/spreadsheets/d/1ICwG78r0OFT8biBlxnBF8r7she7gNSzOvJ958PWT09c/edit?usp=sharing"",""ลำพูน!L234"")+IMPORTRANGE(""https://docs.google.com/spreadsheets/d/1B0f2xJpZUC6Z0xXnqKlZtEPzsf6L84eP1r1Q15seqRM/edit?usp=sharing"",""สุโขทัย!L234"")+IMPORTRANGE(""http"&amp;"s://docs.google.com/spreadsheets/d/1v0b9pFQCsKUVExMei7AgY2yQkdeNQvtOssygGsXbiKo/edit?usp=sharing"",""อุตรดิตถ์!L234"")+IMPORTRANGE(""https://docs.google.com/spreadsheets/d/1UsNK1e-WWiCo2PvGqdNfdme4m17_Ezd3J69EeeiQPD0/edit?usp=sharing"",""อุทัยธานี!L234"")"),615300)</f>
        <v>615300</v>
      </c>
      <c r="M234" s="46">
        <f ca="1">IFERROR(__xludf.DUMMYFUNCTION("IMPORTRANGE(""https://docs.google.com/spreadsheets/d/1jTcq05yEiRwXcBMLjiodW9e4biSGYWAHcDj22rKWQ3s/edit?usp=sharing"",""กำแพงเพชร!M234"")+IMPORTRANGE(""https://docs.google.com/spreadsheets/d/1KS0zmDSZPk8KnTAbGN-Xk6MtX1YRZD0ldgdt20K4CRk/edit?usp=sharing"","&amp;"""เชียงราย!M234"")+IMPORTRANGE(""https://docs.google.com/spreadsheets/d/1rEDxBtusbi64tE0zunoIbsTVV16HeL0oJ6trHQeQ7K8/edit?usp=sharing"",""เชียงใหม่!M234"")+IMPORTRANGE(""https://docs.google.com/spreadsheets/d/1W6MnUbDkMi6xHnHko_XkFDO9kkuL6Wqyc-6OCDFjW9I/e"&amp;"dit?usp=sharing"",""ตาก!M234"")+IMPORTRANGE(""https://docs.google.com/spreadsheets/d/1IQAWArduLkta9LpYo4a_ULsyqdta6-6aDDiwpUnQT6c/edit?usp=sharing"",""นครสวรรค์!M234"")+IMPORTRANGE(""https://docs.google.com/spreadsheets/d/10s13Sk5xrltsiR-Zkbmk5DwIaDIKO8Xl"&amp;"bJAfqyT7Gvg/edit?usp=sharing"",""น่าน!M234"")+IMPORTRANGE(""https://docs.google.com/spreadsheets/d/1uu4nAn4Dbi1XREnLKKotUANlKXa7yCgRcgq8HEzQYW8/edit?usp=sharing"",""พะเยา!M234"")+IMPORTRANGE(""https://docs.google.com/spreadsheets/d/1xfJKIQxVOaPDIICqsflNlL"&amp;"u3JacTDk1FP9RH4phX7mI/edit?usp=sharing"",""พิจิตร!M234"")+IMPORTRANGE(""https://docs.google.com/spreadsheets/d/1JtRfZkJMHtEhI5RdRHxYUG4FIZHqKDpNyIuN7A1Q0_k/edit?usp=sharing"",""พิษณุโลก!M234"")+IMPORTRANGE(""https://docs.google.com/spreadsheets/d/1xlcVZWU"&amp;"Nn6SuWm0c307h32SiGkd9BaeQWlAktfD3KO8/edit?usp=sharing"",""เพชรบูรณ์!M234"")+IMPORTRANGE(""https://docs.google.com/spreadsheets/d/1lOVebEIsI9qjGXl6EX66luk7wiuP2tBaryw-wKvv4e0/edit?usp=sharing"",""แพร่!M234"")+IMPORTRANGE(""https://docs.google.com/spreadshe"&amp;"ets/d/1dQrvX0vEcN7Gu0fnZ0B5S90AeR19zth4XlExFBeExMY/edit?usp=sharing"",""แม่ฮ่องสอน!M234"")+IMPORTRANGE(""https://docs.google.com/spreadsheets/d/1DY4XTNNwjluuxqdfdn6qvOSlMRrZqUtmYcZR0ttFiG4/edit?usp=sharing"",""ลำปาง!M234"")+IMPORTRANGE(""https://docs.goog"&amp;"le.com/spreadsheets/d/1ICwG78r0OFT8biBlxnBF8r7she7gNSzOvJ958PWT09c/edit?usp=sharing"",""ลำพูน!M234"")+IMPORTRANGE(""https://docs.google.com/spreadsheets/d/1B0f2xJpZUC6Z0xXnqKlZtEPzsf6L84eP1r1Q15seqRM/edit?usp=sharing"",""สุโขทัย!M234"")+IMPORTRANGE(""http"&amp;"s://docs.google.com/spreadsheets/d/1v0b9pFQCsKUVExMei7AgY2yQkdeNQvtOssygGsXbiKo/edit?usp=sharing"",""อุตรดิตถ์!M234"")+IMPORTRANGE(""https://docs.google.com/spreadsheets/d/1UsNK1e-WWiCo2PvGqdNfdme4m17_Ezd3J69EeeiQPD0/edit?usp=sharing"",""อุทัยธานี!M234"")"),0)</f>
        <v>0</v>
      </c>
      <c r="N234" s="46">
        <f ca="1">IFERROR(__xludf.DUMMYFUNCTION("IMPORTRANGE(""https://docs.google.com/spreadsheets/d/1jTcq05yEiRwXcBMLjiodW9e4biSGYWAHcDj22rKWQ3s/edit?usp=sharing"",""กำแพงเพชร!N234"")+IMPORTRANGE(""https://docs.google.com/spreadsheets/d/1KS0zmDSZPk8KnTAbGN-Xk6MtX1YRZD0ldgdt20K4CRk/edit?usp=sharing"","&amp;"""เชียงราย!N234"")+IMPORTRANGE(""https://docs.google.com/spreadsheets/d/1rEDxBtusbi64tE0zunoIbsTVV16HeL0oJ6trHQeQ7K8/edit?usp=sharing"",""เชียงใหม่!N234"")+IMPORTRANGE(""https://docs.google.com/spreadsheets/d/1W6MnUbDkMi6xHnHko_XkFDO9kkuL6Wqyc-6OCDFjW9I/e"&amp;"dit?usp=sharing"",""ตาก!N234"")+IMPORTRANGE(""https://docs.google.com/spreadsheets/d/1IQAWArduLkta9LpYo4a_ULsyqdta6-6aDDiwpUnQT6c/edit?usp=sharing"",""นครสวรรค์!N234"")+IMPORTRANGE(""https://docs.google.com/spreadsheets/d/10s13Sk5xrltsiR-Zkbmk5DwIaDIKO8Xl"&amp;"bJAfqyT7Gvg/edit?usp=sharing"",""น่าน!N234"")+IMPORTRANGE(""https://docs.google.com/spreadsheets/d/1uu4nAn4Dbi1XREnLKKotUANlKXa7yCgRcgq8HEzQYW8/edit?usp=sharing"",""พะเยา!N234"")+IMPORTRANGE(""https://docs.google.com/spreadsheets/d/1xfJKIQxVOaPDIICqsflNlL"&amp;"u3JacTDk1FP9RH4phX7mI/edit?usp=sharing"",""พิจิตร!N234"")+IMPORTRANGE(""https://docs.google.com/spreadsheets/d/1JtRfZkJMHtEhI5RdRHxYUG4FIZHqKDpNyIuN7A1Q0_k/edit?usp=sharing"",""พิษณุโลก!N234"")+IMPORTRANGE(""https://docs.google.com/spreadsheets/d/1xlcVZWU"&amp;"Nn6SuWm0c307h32SiGkd9BaeQWlAktfD3KO8/edit?usp=sharing"",""เพชรบูรณ์!N234"")+IMPORTRANGE(""https://docs.google.com/spreadsheets/d/1lOVebEIsI9qjGXl6EX66luk7wiuP2tBaryw-wKvv4e0/edit?usp=sharing"",""แพร่!N234"")+IMPORTRANGE(""https://docs.google.com/spreadshe"&amp;"ets/d/1dQrvX0vEcN7Gu0fnZ0B5S90AeR19zth4XlExFBeExMY/edit?usp=sharing"",""แม่ฮ่องสอน!N234"")+IMPORTRANGE(""https://docs.google.com/spreadsheets/d/1DY4XTNNwjluuxqdfdn6qvOSlMRrZqUtmYcZR0ttFiG4/edit?usp=sharing"",""ลำปาง!N234"")+IMPORTRANGE(""https://docs.goog"&amp;"le.com/spreadsheets/d/1ICwG78r0OFT8biBlxnBF8r7she7gNSzOvJ958PWT09c/edit?usp=sharing"",""ลำพูน!N234"")+IMPORTRANGE(""https://docs.google.com/spreadsheets/d/1B0f2xJpZUC6Z0xXnqKlZtEPzsf6L84eP1r1Q15seqRM/edit?usp=sharing"",""สุโขทัย!N234"")+IMPORTRANGE(""http"&amp;"s://docs.google.com/spreadsheets/d/1v0b9pFQCsKUVExMei7AgY2yQkdeNQvtOssygGsXbiKo/edit?usp=sharing"",""อุตรดิตถ์!N234"")+IMPORTRANGE(""https://docs.google.com/spreadsheets/d/1UsNK1e-WWiCo2PvGqdNfdme4m17_Ezd3J69EeeiQPD0/edit?usp=sharing"",""อุทัยธานี!N234"")"),448016.7)</f>
        <v>448016.7</v>
      </c>
      <c r="O234" s="45"/>
      <c r="P234" s="45"/>
      <c r="Q234" s="46">
        <f ca="1">IFERROR(__xludf.DUMMYFUNCTION("IMPORTRANGE(""https://docs.google.com/spreadsheets/d/1jTcq05yEiRwXcBMLjiodW9e4biSGYWAHcDj22rKWQ3s/edit?usp=sharing"",""กำแพงเพชร!Q234"")+IMPORTRANGE(""https://docs.google.com/spreadsheets/d/1KS0zmDSZPk8KnTAbGN-Xk6MtX1YRZD0ldgdt20K4CRk/edit?usp=sharing"","&amp;"""เชียงราย!Q234"")+IMPORTRANGE(""https://docs.google.com/spreadsheets/d/1rEDxBtusbi64tE0zunoIbsTVV16HeL0oJ6trHQeQ7K8/edit?usp=sharing"",""เชียงใหม่!Q234"")+IMPORTRANGE(""https://docs.google.com/spreadsheets/d/1W6MnUbDkMi6xHnHko_XkFDO9kkuL6Wqyc-6OCDFjW9I/e"&amp;"dit?usp=sharing"",""ตาก!Q234"")+IMPORTRANGE(""https://docs.google.com/spreadsheets/d/1IQAWArduLkta9LpYo4a_ULsyqdta6-6aDDiwpUnQT6c/edit?usp=sharing"",""นครสวรรค์!Q234"")+IMPORTRANGE(""https://docs.google.com/spreadsheets/d/10s13Sk5xrltsiR-Zkbmk5DwIaDIKO8Xl"&amp;"bJAfqyT7Gvg/edit?usp=sharing"",""น่าน!Q234"")+IMPORTRANGE(""https://docs.google.com/spreadsheets/d/1uu4nAn4Dbi1XREnLKKotUANlKXa7yCgRcgq8HEzQYW8/edit?usp=sharing"",""พะเยา!Q234"")+IMPORTRANGE(""https://docs.google.com/spreadsheets/d/1xfJKIQxVOaPDIICqsflNlL"&amp;"u3JacTDk1FP9RH4phX7mI/edit?usp=sharing"",""พิจิตร!Q234"")+IMPORTRANGE(""https://docs.google.com/spreadsheets/d/1JtRfZkJMHtEhI5RdRHxYUG4FIZHqKDpNyIuN7A1Q0_k/edit?usp=sharing"",""พิษณุโลก!Q234"")+IMPORTRANGE(""https://docs.google.com/spreadsheets/d/1xlcVZWU"&amp;"Nn6SuWm0c307h32SiGkd9BaeQWlAktfD3KO8/edit?usp=sharing"",""เพชรบูรณ์!Q234"")+IMPORTRANGE(""https://docs.google.com/spreadsheets/d/1lOVebEIsI9qjGXl6EX66luk7wiuP2tBaryw-wKvv4e0/edit?usp=sharing"",""แพร่!Q234"")+IMPORTRANGE(""https://docs.google.com/spreadshe"&amp;"ets/d/1dQrvX0vEcN7Gu0fnZ0B5S90AeR19zth4XlExFBeExMY/edit?usp=sharing"",""แม่ฮ่องสอน!Q234"")+IMPORTRANGE(""https://docs.google.com/spreadsheets/d/1DY4XTNNwjluuxqdfdn6qvOSlMRrZqUtmYcZR0ttFiG4/edit?usp=sharing"",""ลำปาง!Q234"")+IMPORTRANGE(""https://docs.goog"&amp;"le.com/spreadsheets/d/1ICwG78r0OFT8biBlxnBF8r7she7gNSzOvJ958PWT09c/edit?usp=sharing"",""ลำพูน!Q234"")+IMPORTRANGE(""https://docs.google.com/spreadsheets/d/1B0f2xJpZUC6Z0xXnqKlZtEPzsf6L84eP1r1Q15seqRM/edit?usp=sharing"",""สุโขทัย!Q234"")+IMPORTRANGE(""http"&amp;"s://docs.google.com/spreadsheets/d/1v0b9pFQCsKUVExMei7AgY2yQkdeNQvtOssygGsXbiKo/edit?usp=sharing"",""อุตรดิตถ์!Q234"")+IMPORTRANGE(""https://docs.google.com/spreadsheets/d/1UsNK1e-WWiCo2PvGqdNfdme4m17_Ezd3J69EeeiQPD0/edit?usp=sharing"",""อุทัยธานี!Q234"")"),0)</f>
        <v>0</v>
      </c>
      <c r="R234" s="46">
        <f ca="1">IFERROR(__xludf.DUMMYFUNCTION("IMPORTRANGE(""https://docs.google.com/spreadsheets/d/1jTcq05yEiRwXcBMLjiodW9e4biSGYWAHcDj22rKWQ3s/edit?usp=sharing"",""กำแพงเพชร!R234"")+IMPORTRANGE(""https://docs.google.com/spreadsheets/d/1KS0zmDSZPk8KnTAbGN-Xk6MtX1YRZD0ldgdt20K4CRk/edit?usp=sharing"","&amp;"""เชียงราย!R234"")+IMPORTRANGE(""https://docs.google.com/spreadsheets/d/1rEDxBtusbi64tE0zunoIbsTVV16HeL0oJ6trHQeQ7K8/edit?usp=sharing"",""เชียงใหม่!R234"")+IMPORTRANGE(""https://docs.google.com/spreadsheets/d/1W6MnUbDkMi6xHnHko_XkFDO9kkuL6Wqyc-6OCDFjW9I/e"&amp;"dit?usp=sharing"",""ตาก!R234"")+IMPORTRANGE(""https://docs.google.com/spreadsheets/d/1IQAWArduLkta9LpYo4a_ULsyqdta6-6aDDiwpUnQT6c/edit?usp=sharing"",""นครสวรรค์!R234"")+IMPORTRANGE(""https://docs.google.com/spreadsheets/d/10s13Sk5xrltsiR-Zkbmk5DwIaDIKO8Xl"&amp;"bJAfqyT7Gvg/edit?usp=sharing"",""น่าน!R234"")+IMPORTRANGE(""https://docs.google.com/spreadsheets/d/1uu4nAn4Dbi1XREnLKKotUANlKXa7yCgRcgq8HEzQYW8/edit?usp=sharing"",""พะเยา!R234"")+IMPORTRANGE(""https://docs.google.com/spreadsheets/d/1xfJKIQxVOaPDIICqsflNlL"&amp;"u3JacTDk1FP9RH4phX7mI/edit?usp=sharing"",""พิจิตร!R234"")+IMPORTRANGE(""https://docs.google.com/spreadsheets/d/1JtRfZkJMHtEhI5RdRHxYUG4FIZHqKDpNyIuN7A1Q0_k/edit?usp=sharing"",""พิษณุโลก!R234"")+IMPORTRANGE(""https://docs.google.com/spreadsheets/d/1xlcVZWU"&amp;"Nn6SuWm0c307h32SiGkd9BaeQWlAktfD3KO8/edit?usp=sharing"",""เพชรบูรณ์!R234"")+IMPORTRANGE(""https://docs.google.com/spreadsheets/d/1lOVebEIsI9qjGXl6EX66luk7wiuP2tBaryw-wKvv4e0/edit?usp=sharing"",""แพร่!R234"")+IMPORTRANGE(""https://docs.google.com/spreadshe"&amp;"ets/d/1dQrvX0vEcN7Gu0fnZ0B5S90AeR19zth4XlExFBeExMY/edit?usp=sharing"",""แม่ฮ่องสอน!R234"")+IMPORTRANGE(""https://docs.google.com/spreadsheets/d/1DY4XTNNwjluuxqdfdn6qvOSlMRrZqUtmYcZR0ttFiG4/edit?usp=sharing"",""ลำปาง!R234"")+IMPORTRANGE(""https://docs.goog"&amp;"le.com/spreadsheets/d/1ICwG78r0OFT8biBlxnBF8r7she7gNSzOvJ958PWT09c/edit?usp=sharing"",""ลำพูน!R234"")+IMPORTRANGE(""https://docs.google.com/spreadsheets/d/1B0f2xJpZUC6Z0xXnqKlZtEPzsf6L84eP1r1Q15seqRM/edit?usp=sharing"",""สุโขทัย!R234"")+IMPORTRANGE(""http"&amp;"s://docs.google.com/spreadsheets/d/1v0b9pFQCsKUVExMei7AgY2yQkdeNQvtOssygGsXbiKo/edit?usp=sharing"",""อุตรดิตถ์!R234"")+IMPORTRANGE(""https://docs.google.com/spreadsheets/d/1UsNK1e-WWiCo2PvGqdNfdme4m17_Ezd3J69EeeiQPD0/edit?usp=sharing"",""อุทัยธานี!R234"")"),0)</f>
        <v>0</v>
      </c>
      <c r="S234" s="46">
        <f ca="1">IFERROR(__xludf.DUMMYFUNCTION("IMPORTRANGE(""https://docs.google.com/spreadsheets/d/1jTcq05yEiRwXcBMLjiodW9e4biSGYWAHcDj22rKWQ3s/edit?usp=sharing"",""กำแพงเพชร!S234"")+IMPORTRANGE(""https://docs.google.com/spreadsheets/d/1KS0zmDSZPk8KnTAbGN-Xk6MtX1YRZD0ldgdt20K4CRk/edit?usp=sharing"","&amp;"""เชียงราย!S234"")+IMPORTRANGE(""https://docs.google.com/spreadsheets/d/1rEDxBtusbi64tE0zunoIbsTVV16HeL0oJ6trHQeQ7K8/edit?usp=sharing"",""เชียงใหม่!S234"")+IMPORTRANGE(""https://docs.google.com/spreadsheets/d/1W6MnUbDkMi6xHnHko_XkFDO9kkuL6Wqyc-6OCDFjW9I/e"&amp;"dit?usp=sharing"",""ตาก!S234"")+IMPORTRANGE(""https://docs.google.com/spreadsheets/d/1IQAWArduLkta9LpYo4a_ULsyqdta6-6aDDiwpUnQT6c/edit?usp=sharing"",""นครสวรรค์!S234"")+IMPORTRANGE(""https://docs.google.com/spreadsheets/d/10s13Sk5xrltsiR-Zkbmk5DwIaDIKO8Xl"&amp;"bJAfqyT7Gvg/edit?usp=sharing"",""น่าน!S234"")+IMPORTRANGE(""https://docs.google.com/spreadsheets/d/1uu4nAn4Dbi1XREnLKKotUANlKXa7yCgRcgq8HEzQYW8/edit?usp=sharing"",""พะเยา!S234"")+IMPORTRANGE(""https://docs.google.com/spreadsheets/d/1xfJKIQxVOaPDIICqsflNlL"&amp;"u3JacTDk1FP9RH4phX7mI/edit?usp=sharing"",""พิจิตร!S234"")+IMPORTRANGE(""https://docs.google.com/spreadsheets/d/1JtRfZkJMHtEhI5RdRHxYUG4FIZHqKDpNyIuN7A1Q0_k/edit?usp=sharing"",""พิษณุโลก!S234"")+IMPORTRANGE(""https://docs.google.com/spreadsheets/d/1xlcVZWU"&amp;"Nn6SuWm0c307h32SiGkd9BaeQWlAktfD3KO8/edit?usp=sharing"",""เพชรบูรณ์!S234"")+IMPORTRANGE(""https://docs.google.com/spreadsheets/d/1lOVebEIsI9qjGXl6EX66luk7wiuP2tBaryw-wKvv4e0/edit?usp=sharing"",""แพร่!S234"")+IMPORTRANGE(""https://docs.google.com/spreadshe"&amp;"ets/d/1dQrvX0vEcN7Gu0fnZ0B5S90AeR19zth4XlExFBeExMY/edit?usp=sharing"",""แม่ฮ่องสอน!S234"")+IMPORTRANGE(""https://docs.google.com/spreadsheets/d/1DY4XTNNwjluuxqdfdn6qvOSlMRrZqUtmYcZR0ttFiG4/edit?usp=sharing"",""ลำปาง!S234"")+IMPORTRANGE(""https://docs.goog"&amp;"le.com/spreadsheets/d/1ICwG78r0OFT8biBlxnBF8r7she7gNSzOvJ958PWT09c/edit?usp=sharing"",""ลำพูน!S234"")+IMPORTRANGE(""https://docs.google.com/spreadsheets/d/1B0f2xJpZUC6Z0xXnqKlZtEPzsf6L84eP1r1Q15seqRM/edit?usp=sharing"",""สุโขทัย!S234"")+IMPORTRANGE(""http"&amp;"s://docs.google.com/spreadsheets/d/1v0b9pFQCsKUVExMei7AgY2yQkdeNQvtOssygGsXbiKo/edit?usp=sharing"",""อุตรดิตถ์!S234"")+IMPORTRANGE(""https://docs.google.com/spreadsheets/d/1UsNK1e-WWiCo2PvGqdNfdme4m17_Ezd3J69EeeiQPD0/edit?usp=sharing"",""อุทัยธานี!S234"")"),0)</f>
        <v>0</v>
      </c>
      <c r="T234" s="46"/>
      <c r="U234" s="46"/>
    </row>
    <row r="235" spans="1:21" ht="18.75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46">
        <f ca="1">IFERROR(__xludf.DUMMYFUNCTION("IMPORTRANGE(""https://docs.google.com/spreadsheets/d/1jTcq05yEiRwXcBMLjiodW9e4biSGYWAHcDj22rKWQ3s/edit?usp=sharing"",""กำแพงเพชร!L235"")+IMPORTRANGE(""https://docs.google.com/spreadsheets/d/1KS0zmDSZPk8KnTAbGN-Xk6MtX1YRZD0ldgdt20K4CRk/edit?usp=sharing"","&amp;"""เชียงราย!L235"")+IMPORTRANGE(""https://docs.google.com/spreadsheets/d/1rEDxBtusbi64tE0zunoIbsTVV16HeL0oJ6trHQeQ7K8/edit?usp=sharing"",""เชียงใหม่!L235"")+IMPORTRANGE(""https://docs.google.com/spreadsheets/d/1W6MnUbDkMi6xHnHko_XkFDO9kkuL6Wqyc-6OCDFjW9I/e"&amp;"dit?usp=sharing"",""ตาก!L235"")+IMPORTRANGE(""https://docs.google.com/spreadsheets/d/1IQAWArduLkta9LpYo4a_ULsyqdta6-6aDDiwpUnQT6c/edit?usp=sharing"",""นครสวรรค์!L235"")+IMPORTRANGE(""https://docs.google.com/spreadsheets/d/10s13Sk5xrltsiR-Zkbmk5DwIaDIKO8Xl"&amp;"bJAfqyT7Gvg/edit?usp=sharing"",""น่าน!L235"")+IMPORTRANGE(""https://docs.google.com/spreadsheets/d/1uu4nAn4Dbi1XREnLKKotUANlKXa7yCgRcgq8HEzQYW8/edit?usp=sharing"",""พะเยา!L235"")+IMPORTRANGE(""https://docs.google.com/spreadsheets/d/1xfJKIQxVOaPDIICqsflNlL"&amp;"u3JacTDk1FP9RH4phX7mI/edit?usp=sharing"",""พิจิตร!L235"")+IMPORTRANGE(""https://docs.google.com/spreadsheets/d/1JtRfZkJMHtEhI5RdRHxYUG4FIZHqKDpNyIuN7A1Q0_k/edit?usp=sharing"",""พิษณุโลก!L235"")+IMPORTRANGE(""https://docs.google.com/spreadsheets/d/1xlcVZWU"&amp;"Nn6SuWm0c307h32SiGkd9BaeQWlAktfD3KO8/edit?usp=sharing"",""เพชรบูรณ์!L235"")+IMPORTRANGE(""https://docs.google.com/spreadsheets/d/1lOVebEIsI9qjGXl6EX66luk7wiuP2tBaryw-wKvv4e0/edit?usp=sharing"",""แพร่!L235"")+IMPORTRANGE(""https://docs.google.com/spreadshe"&amp;"ets/d/1dQrvX0vEcN7Gu0fnZ0B5S90AeR19zth4XlExFBeExMY/edit?usp=sharing"",""แม่ฮ่องสอน!L235"")+IMPORTRANGE(""https://docs.google.com/spreadsheets/d/1DY4XTNNwjluuxqdfdn6qvOSlMRrZqUtmYcZR0ttFiG4/edit?usp=sharing"",""ลำปาง!L235"")+IMPORTRANGE(""https://docs.goog"&amp;"le.com/spreadsheets/d/1ICwG78r0OFT8biBlxnBF8r7she7gNSzOvJ958PWT09c/edit?usp=sharing"",""ลำพูน!L235"")+IMPORTRANGE(""https://docs.google.com/spreadsheets/d/1B0f2xJpZUC6Z0xXnqKlZtEPzsf6L84eP1r1Q15seqRM/edit?usp=sharing"",""สุโขทัย!L235"")+IMPORTRANGE(""http"&amp;"s://docs.google.com/spreadsheets/d/1v0b9pFQCsKUVExMei7AgY2yQkdeNQvtOssygGsXbiKo/edit?usp=sharing"",""อุตรดิตถ์!L235"")+IMPORTRANGE(""https://docs.google.com/spreadsheets/d/1UsNK1e-WWiCo2PvGqdNfdme4m17_Ezd3J69EeeiQPD0/edit?usp=sharing"",""อุทัยธานี!L235"")"),102500)</f>
        <v>102500</v>
      </c>
      <c r="M235" s="46">
        <f ca="1">IFERROR(__xludf.DUMMYFUNCTION("IMPORTRANGE(""https://docs.google.com/spreadsheets/d/1jTcq05yEiRwXcBMLjiodW9e4biSGYWAHcDj22rKWQ3s/edit?usp=sharing"",""กำแพงเพชร!M235"")+IMPORTRANGE(""https://docs.google.com/spreadsheets/d/1KS0zmDSZPk8KnTAbGN-Xk6MtX1YRZD0ldgdt20K4CRk/edit?usp=sharing"","&amp;"""เชียงราย!M235"")+IMPORTRANGE(""https://docs.google.com/spreadsheets/d/1rEDxBtusbi64tE0zunoIbsTVV16HeL0oJ6trHQeQ7K8/edit?usp=sharing"",""เชียงใหม่!M235"")+IMPORTRANGE(""https://docs.google.com/spreadsheets/d/1W6MnUbDkMi6xHnHko_XkFDO9kkuL6Wqyc-6OCDFjW9I/e"&amp;"dit?usp=sharing"",""ตาก!M235"")+IMPORTRANGE(""https://docs.google.com/spreadsheets/d/1IQAWArduLkta9LpYo4a_ULsyqdta6-6aDDiwpUnQT6c/edit?usp=sharing"",""นครสวรรค์!M235"")+IMPORTRANGE(""https://docs.google.com/spreadsheets/d/10s13Sk5xrltsiR-Zkbmk5DwIaDIKO8Xl"&amp;"bJAfqyT7Gvg/edit?usp=sharing"",""น่าน!M235"")+IMPORTRANGE(""https://docs.google.com/spreadsheets/d/1uu4nAn4Dbi1XREnLKKotUANlKXa7yCgRcgq8HEzQYW8/edit?usp=sharing"",""พะเยา!M235"")+IMPORTRANGE(""https://docs.google.com/spreadsheets/d/1xfJKIQxVOaPDIICqsflNlL"&amp;"u3JacTDk1FP9RH4phX7mI/edit?usp=sharing"",""พิจิตร!M235"")+IMPORTRANGE(""https://docs.google.com/spreadsheets/d/1JtRfZkJMHtEhI5RdRHxYUG4FIZHqKDpNyIuN7A1Q0_k/edit?usp=sharing"",""พิษณุโลก!M235"")+IMPORTRANGE(""https://docs.google.com/spreadsheets/d/1xlcVZWU"&amp;"Nn6SuWm0c307h32SiGkd9BaeQWlAktfD3KO8/edit?usp=sharing"",""เพชรบูรณ์!M235"")+IMPORTRANGE(""https://docs.google.com/spreadsheets/d/1lOVebEIsI9qjGXl6EX66luk7wiuP2tBaryw-wKvv4e0/edit?usp=sharing"",""แพร่!M235"")+IMPORTRANGE(""https://docs.google.com/spreadshe"&amp;"ets/d/1dQrvX0vEcN7Gu0fnZ0B5S90AeR19zth4XlExFBeExMY/edit?usp=sharing"",""แม่ฮ่องสอน!M235"")+IMPORTRANGE(""https://docs.google.com/spreadsheets/d/1DY4XTNNwjluuxqdfdn6qvOSlMRrZqUtmYcZR0ttFiG4/edit?usp=sharing"",""ลำปาง!M235"")+IMPORTRANGE(""https://docs.goog"&amp;"le.com/spreadsheets/d/1ICwG78r0OFT8biBlxnBF8r7she7gNSzOvJ958PWT09c/edit?usp=sharing"",""ลำพูน!M235"")+IMPORTRANGE(""https://docs.google.com/spreadsheets/d/1B0f2xJpZUC6Z0xXnqKlZtEPzsf6L84eP1r1Q15seqRM/edit?usp=sharing"",""สุโขทัย!M235"")+IMPORTRANGE(""http"&amp;"s://docs.google.com/spreadsheets/d/1v0b9pFQCsKUVExMei7AgY2yQkdeNQvtOssygGsXbiKo/edit?usp=sharing"",""อุตรดิตถ์!M235"")+IMPORTRANGE(""https://docs.google.com/spreadsheets/d/1UsNK1e-WWiCo2PvGqdNfdme4m17_Ezd3J69EeeiQPD0/edit?usp=sharing"",""อุทัยธานี!M235"")"),0)</f>
        <v>0</v>
      </c>
      <c r="N235" s="46">
        <f ca="1">IFERROR(__xludf.DUMMYFUNCTION("IMPORTRANGE(""https://docs.google.com/spreadsheets/d/1jTcq05yEiRwXcBMLjiodW9e4biSGYWAHcDj22rKWQ3s/edit?usp=sharing"",""กำแพงเพชร!N235"")+IMPORTRANGE(""https://docs.google.com/spreadsheets/d/1KS0zmDSZPk8KnTAbGN-Xk6MtX1YRZD0ldgdt20K4CRk/edit?usp=sharing"","&amp;"""เชียงราย!N235"")+IMPORTRANGE(""https://docs.google.com/spreadsheets/d/1rEDxBtusbi64tE0zunoIbsTVV16HeL0oJ6trHQeQ7K8/edit?usp=sharing"",""เชียงใหม่!N235"")+IMPORTRANGE(""https://docs.google.com/spreadsheets/d/1W6MnUbDkMi6xHnHko_XkFDO9kkuL6Wqyc-6OCDFjW9I/e"&amp;"dit?usp=sharing"",""ตาก!N235"")+IMPORTRANGE(""https://docs.google.com/spreadsheets/d/1IQAWArduLkta9LpYo4a_ULsyqdta6-6aDDiwpUnQT6c/edit?usp=sharing"",""นครสวรรค์!N235"")+IMPORTRANGE(""https://docs.google.com/spreadsheets/d/10s13Sk5xrltsiR-Zkbmk5DwIaDIKO8Xl"&amp;"bJAfqyT7Gvg/edit?usp=sharing"",""น่าน!N235"")+IMPORTRANGE(""https://docs.google.com/spreadsheets/d/1uu4nAn4Dbi1XREnLKKotUANlKXa7yCgRcgq8HEzQYW8/edit?usp=sharing"",""พะเยา!N235"")+IMPORTRANGE(""https://docs.google.com/spreadsheets/d/1xfJKIQxVOaPDIICqsflNlL"&amp;"u3JacTDk1FP9RH4phX7mI/edit?usp=sharing"",""พิจิตร!N235"")+IMPORTRANGE(""https://docs.google.com/spreadsheets/d/1JtRfZkJMHtEhI5RdRHxYUG4FIZHqKDpNyIuN7A1Q0_k/edit?usp=sharing"",""พิษณุโลก!N235"")+IMPORTRANGE(""https://docs.google.com/spreadsheets/d/1xlcVZWU"&amp;"Nn6SuWm0c307h32SiGkd9BaeQWlAktfD3KO8/edit?usp=sharing"",""เพชรบูรณ์!N235"")+IMPORTRANGE(""https://docs.google.com/spreadsheets/d/1lOVebEIsI9qjGXl6EX66luk7wiuP2tBaryw-wKvv4e0/edit?usp=sharing"",""แพร่!N235"")+IMPORTRANGE(""https://docs.google.com/spreadshe"&amp;"ets/d/1dQrvX0vEcN7Gu0fnZ0B5S90AeR19zth4XlExFBeExMY/edit?usp=sharing"",""แม่ฮ่องสอน!N235"")+IMPORTRANGE(""https://docs.google.com/spreadsheets/d/1DY4XTNNwjluuxqdfdn6qvOSlMRrZqUtmYcZR0ttFiG4/edit?usp=sharing"",""ลำปาง!N235"")+IMPORTRANGE(""https://docs.goog"&amp;"le.com/spreadsheets/d/1ICwG78r0OFT8biBlxnBF8r7she7gNSzOvJ958PWT09c/edit?usp=sharing"",""ลำพูน!N235"")+IMPORTRANGE(""https://docs.google.com/spreadsheets/d/1B0f2xJpZUC6Z0xXnqKlZtEPzsf6L84eP1r1Q15seqRM/edit?usp=sharing"",""สุโขทัย!N235"")+IMPORTRANGE(""http"&amp;"s://docs.google.com/spreadsheets/d/1v0b9pFQCsKUVExMei7AgY2yQkdeNQvtOssygGsXbiKo/edit?usp=sharing"",""อุตรดิตถ์!N235"")+IMPORTRANGE(""https://docs.google.com/spreadsheets/d/1UsNK1e-WWiCo2PvGqdNfdme4m17_Ezd3J69EeeiQPD0/edit?usp=sharing"",""อุทัยธานี!N235"")"),74445)</f>
        <v>74445</v>
      </c>
      <c r="O235" s="45"/>
      <c r="P235" s="45"/>
      <c r="Q235" s="46">
        <f ca="1">IFERROR(__xludf.DUMMYFUNCTION("IMPORTRANGE(""https://docs.google.com/spreadsheets/d/1jTcq05yEiRwXcBMLjiodW9e4biSGYWAHcDj22rKWQ3s/edit?usp=sharing"",""กำแพงเพชร!Q235"")+IMPORTRANGE(""https://docs.google.com/spreadsheets/d/1KS0zmDSZPk8KnTAbGN-Xk6MtX1YRZD0ldgdt20K4CRk/edit?usp=sharing"","&amp;"""เชียงราย!Q235"")+IMPORTRANGE(""https://docs.google.com/spreadsheets/d/1rEDxBtusbi64tE0zunoIbsTVV16HeL0oJ6trHQeQ7K8/edit?usp=sharing"",""เชียงใหม่!Q235"")+IMPORTRANGE(""https://docs.google.com/spreadsheets/d/1W6MnUbDkMi6xHnHko_XkFDO9kkuL6Wqyc-6OCDFjW9I/e"&amp;"dit?usp=sharing"",""ตาก!Q235"")+IMPORTRANGE(""https://docs.google.com/spreadsheets/d/1IQAWArduLkta9LpYo4a_ULsyqdta6-6aDDiwpUnQT6c/edit?usp=sharing"",""นครสวรรค์!Q235"")+IMPORTRANGE(""https://docs.google.com/spreadsheets/d/10s13Sk5xrltsiR-Zkbmk5DwIaDIKO8Xl"&amp;"bJAfqyT7Gvg/edit?usp=sharing"",""น่าน!Q235"")+IMPORTRANGE(""https://docs.google.com/spreadsheets/d/1uu4nAn4Dbi1XREnLKKotUANlKXa7yCgRcgq8HEzQYW8/edit?usp=sharing"",""พะเยา!Q235"")+IMPORTRANGE(""https://docs.google.com/spreadsheets/d/1xfJKIQxVOaPDIICqsflNlL"&amp;"u3JacTDk1FP9RH4phX7mI/edit?usp=sharing"",""พิจิตร!Q235"")+IMPORTRANGE(""https://docs.google.com/spreadsheets/d/1JtRfZkJMHtEhI5RdRHxYUG4FIZHqKDpNyIuN7A1Q0_k/edit?usp=sharing"",""พิษณุโลก!Q235"")+IMPORTRANGE(""https://docs.google.com/spreadsheets/d/1xlcVZWU"&amp;"Nn6SuWm0c307h32SiGkd9BaeQWlAktfD3KO8/edit?usp=sharing"",""เพชรบูรณ์!Q235"")+IMPORTRANGE(""https://docs.google.com/spreadsheets/d/1lOVebEIsI9qjGXl6EX66luk7wiuP2tBaryw-wKvv4e0/edit?usp=sharing"",""แพร่!Q235"")+IMPORTRANGE(""https://docs.google.com/spreadshe"&amp;"ets/d/1dQrvX0vEcN7Gu0fnZ0B5S90AeR19zth4XlExFBeExMY/edit?usp=sharing"",""แม่ฮ่องสอน!Q235"")+IMPORTRANGE(""https://docs.google.com/spreadsheets/d/1DY4XTNNwjluuxqdfdn6qvOSlMRrZqUtmYcZR0ttFiG4/edit?usp=sharing"",""ลำปาง!Q235"")+IMPORTRANGE(""https://docs.goog"&amp;"le.com/spreadsheets/d/1ICwG78r0OFT8biBlxnBF8r7she7gNSzOvJ958PWT09c/edit?usp=sharing"",""ลำพูน!Q235"")+IMPORTRANGE(""https://docs.google.com/spreadsheets/d/1B0f2xJpZUC6Z0xXnqKlZtEPzsf6L84eP1r1Q15seqRM/edit?usp=sharing"",""สุโขทัย!Q235"")+IMPORTRANGE(""http"&amp;"s://docs.google.com/spreadsheets/d/1v0b9pFQCsKUVExMei7AgY2yQkdeNQvtOssygGsXbiKo/edit?usp=sharing"",""อุตรดิตถ์!Q235"")+IMPORTRANGE(""https://docs.google.com/spreadsheets/d/1UsNK1e-WWiCo2PvGqdNfdme4m17_Ezd3J69EeeiQPD0/edit?usp=sharing"",""อุทัยธานี!Q235"")"),625700)</f>
        <v>625700</v>
      </c>
      <c r="R235" s="46">
        <f ca="1">IFERROR(__xludf.DUMMYFUNCTION("IMPORTRANGE(""https://docs.google.com/spreadsheets/d/1jTcq05yEiRwXcBMLjiodW9e4biSGYWAHcDj22rKWQ3s/edit?usp=sharing"",""กำแพงเพชร!R235"")+IMPORTRANGE(""https://docs.google.com/spreadsheets/d/1KS0zmDSZPk8KnTAbGN-Xk6MtX1YRZD0ldgdt20K4CRk/edit?usp=sharing"","&amp;"""เชียงราย!R235"")+IMPORTRANGE(""https://docs.google.com/spreadsheets/d/1rEDxBtusbi64tE0zunoIbsTVV16HeL0oJ6trHQeQ7K8/edit?usp=sharing"",""เชียงใหม่!R235"")+IMPORTRANGE(""https://docs.google.com/spreadsheets/d/1W6MnUbDkMi6xHnHko_XkFDO9kkuL6Wqyc-6OCDFjW9I/e"&amp;"dit?usp=sharing"",""ตาก!R235"")+IMPORTRANGE(""https://docs.google.com/spreadsheets/d/1IQAWArduLkta9LpYo4a_ULsyqdta6-6aDDiwpUnQT6c/edit?usp=sharing"",""นครสวรรค์!R235"")+IMPORTRANGE(""https://docs.google.com/spreadsheets/d/10s13Sk5xrltsiR-Zkbmk5DwIaDIKO8Xl"&amp;"bJAfqyT7Gvg/edit?usp=sharing"",""น่าน!R235"")+IMPORTRANGE(""https://docs.google.com/spreadsheets/d/1uu4nAn4Dbi1XREnLKKotUANlKXa7yCgRcgq8HEzQYW8/edit?usp=sharing"",""พะเยา!R235"")+IMPORTRANGE(""https://docs.google.com/spreadsheets/d/1xfJKIQxVOaPDIICqsflNlL"&amp;"u3JacTDk1FP9RH4phX7mI/edit?usp=sharing"",""พิจิตร!R235"")+IMPORTRANGE(""https://docs.google.com/spreadsheets/d/1JtRfZkJMHtEhI5RdRHxYUG4FIZHqKDpNyIuN7A1Q0_k/edit?usp=sharing"",""พิษณุโลก!R235"")+IMPORTRANGE(""https://docs.google.com/spreadsheets/d/1xlcVZWU"&amp;"Nn6SuWm0c307h32SiGkd9BaeQWlAktfD3KO8/edit?usp=sharing"",""เพชรบูรณ์!R235"")+IMPORTRANGE(""https://docs.google.com/spreadsheets/d/1lOVebEIsI9qjGXl6EX66luk7wiuP2tBaryw-wKvv4e0/edit?usp=sharing"",""แพร่!R235"")+IMPORTRANGE(""https://docs.google.com/spreadshe"&amp;"ets/d/1dQrvX0vEcN7Gu0fnZ0B5S90AeR19zth4XlExFBeExMY/edit?usp=sharing"",""แม่ฮ่องสอน!R235"")+IMPORTRANGE(""https://docs.google.com/spreadsheets/d/1DY4XTNNwjluuxqdfdn6qvOSlMRrZqUtmYcZR0ttFiG4/edit?usp=sharing"",""ลำปาง!R235"")+IMPORTRANGE(""https://docs.goog"&amp;"le.com/spreadsheets/d/1ICwG78r0OFT8biBlxnBF8r7she7gNSzOvJ958PWT09c/edit?usp=sharing"",""ลำพูน!R235"")+IMPORTRANGE(""https://docs.google.com/spreadsheets/d/1B0f2xJpZUC6Z0xXnqKlZtEPzsf6L84eP1r1Q15seqRM/edit?usp=sharing"",""สุโขทัย!R235"")+IMPORTRANGE(""http"&amp;"s://docs.google.com/spreadsheets/d/1v0b9pFQCsKUVExMei7AgY2yQkdeNQvtOssygGsXbiKo/edit?usp=sharing"",""อุตรดิตถ์!R235"")+IMPORTRANGE(""https://docs.google.com/spreadsheets/d/1UsNK1e-WWiCo2PvGqdNfdme4m17_Ezd3J69EeeiQPD0/edit?usp=sharing"",""อุทัยธานี!R235"")"),0)</f>
        <v>0</v>
      </c>
      <c r="S235" s="46">
        <f ca="1">IFERROR(__xludf.DUMMYFUNCTION("IMPORTRANGE(""https://docs.google.com/spreadsheets/d/1jTcq05yEiRwXcBMLjiodW9e4biSGYWAHcDj22rKWQ3s/edit?usp=sharing"",""กำแพงเพชร!S235"")+IMPORTRANGE(""https://docs.google.com/spreadsheets/d/1KS0zmDSZPk8KnTAbGN-Xk6MtX1YRZD0ldgdt20K4CRk/edit?usp=sharing"","&amp;"""เชียงราย!S235"")+IMPORTRANGE(""https://docs.google.com/spreadsheets/d/1rEDxBtusbi64tE0zunoIbsTVV16HeL0oJ6trHQeQ7K8/edit?usp=sharing"",""เชียงใหม่!S235"")+IMPORTRANGE(""https://docs.google.com/spreadsheets/d/1W6MnUbDkMi6xHnHko_XkFDO9kkuL6Wqyc-6OCDFjW9I/e"&amp;"dit?usp=sharing"",""ตาก!S235"")+IMPORTRANGE(""https://docs.google.com/spreadsheets/d/1IQAWArduLkta9LpYo4a_ULsyqdta6-6aDDiwpUnQT6c/edit?usp=sharing"",""นครสวรรค์!S235"")+IMPORTRANGE(""https://docs.google.com/spreadsheets/d/10s13Sk5xrltsiR-Zkbmk5DwIaDIKO8Xl"&amp;"bJAfqyT7Gvg/edit?usp=sharing"",""น่าน!S235"")+IMPORTRANGE(""https://docs.google.com/spreadsheets/d/1uu4nAn4Dbi1XREnLKKotUANlKXa7yCgRcgq8HEzQYW8/edit?usp=sharing"",""พะเยา!S235"")+IMPORTRANGE(""https://docs.google.com/spreadsheets/d/1xfJKIQxVOaPDIICqsflNlL"&amp;"u3JacTDk1FP9RH4phX7mI/edit?usp=sharing"",""พิจิตร!S235"")+IMPORTRANGE(""https://docs.google.com/spreadsheets/d/1JtRfZkJMHtEhI5RdRHxYUG4FIZHqKDpNyIuN7A1Q0_k/edit?usp=sharing"",""พิษณุโลก!S235"")+IMPORTRANGE(""https://docs.google.com/spreadsheets/d/1xlcVZWU"&amp;"Nn6SuWm0c307h32SiGkd9BaeQWlAktfD3KO8/edit?usp=sharing"",""เพชรบูรณ์!S235"")+IMPORTRANGE(""https://docs.google.com/spreadsheets/d/1lOVebEIsI9qjGXl6EX66luk7wiuP2tBaryw-wKvv4e0/edit?usp=sharing"",""แพร่!S235"")+IMPORTRANGE(""https://docs.google.com/spreadshe"&amp;"ets/d/1dQrvX0vEcN7Gu0fnZ0B5S90AeR19zth4XlExFBeExMY/edit?usp=sharing"",""แม่ฮ่องสอน!S235"")+IMPORTRANGE(""https://docs.google.com/spreadsheets/d/1DY4XTNNwjluuxqdfdn6qvOSlMRrZqUtmYcZR0ttFiG4/edit?usp=sharing"",""ลำปาง!S235"")+IMPORTRANGE(""https://docs.goog"&amp;"le.com/spreadsheets/d/1ICwG78r0OFT8biBlxnBF8r7she7gNSzOvJ958PWT09c/edit?usp=sharing"",""ลำพูน!S235"")+IMPORTRANGE(""https://docs.google.com/spreadsheets/d/1B0f2xJpZUC6Z0xXnqKlZtEPzsf6L84eP1r1Q15seqRM/edit?usp=sharing"",""สุโขทัย!S235"")+IMPORTRANGE(""http"&amp;"s://docs.google.com/spreadsheets/d/1v0b9pFQCsKUVExMei7AgY2yQkdeNQvtOssygGsXbiKo/edit?usp=sharing"",""อุตรดิตถ์!S235"")+IMPORTRANGE(""https://docs.google.com/spreadsheets/d/1UsNK1e-WWiCo2PvGqdNfdme4m17_Ezd3J69EeeiQPD0/edit?usp=sharing"",""อุทัยธานี!S235"")"),528290)</f>
        <v>528290</v>
      </c>
      <c r="T235" s="46"/>
      <c r="U235" s="46"/>
    </row>
    <row r="236" spans="1:21" ht="18.75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46">
        <f ca="1">IFERROR(__xludf.DUMMYFUNCTION("IMPORTRANGE(""https://docs.google.com/spreadsheets/d/1jTcq05yEiRwXcBMLjiodW9e4biSGYWAHcDj22rKWQ3s/edit?usp=sharing"",""กำแพงเพชร!L236"")+IMPORTRANGE(""https://docs.google.com/spreadsheets/d/1KS0zmDSZPk8KnTAbGN-Xk6MtX1YRZD0ldgdt20K4CRk/edit?usp=sharing"","&amp;"""เชียงราย!L236"")+IMPORTRANGE(""https://docs.google.com/spreadsheets/d/1rEDxBtusbi64tE0zunoIbsTVV16HeL0oJ6trHQeQ7K8/edit?usp=sharing"",""เชียงใหม่!L236"")+IMPORTRANGE(""https://docs.google.com/spreadsheets/d/1W6MnUbDkMi6xHnHko_XkFDO9kkuL6Wqyc-6OCDFjW9I/e"&amp;"dit?usp=sharing"",""ตาก!L236"")+IMPORTRANGE(""https://docs.google.com/spreadsheets/d/1IQAWArduLkta9LpYo4a_ULsyqdta6-6aDDiwpUnQT6c/edit?usp=sharing"",""นครสวรรค์!L236"")+IMPORTRANGE(""https://docs.google.com/spreadsheets/d/10s13Sk5xrltsiR-Zkbmk5DwIaDIKO8Xl"&amp;"bJAfqyT7Gvg/edit?usp=sharing"",""น่าน!L236"")+IMPORTRANGE(""https://docs.google.com/spreadsheets/d/1uu4nAn4Dbi1XREnLKKotUANlKXa7yCgRcgq8HEzQYW8/edit?usp=sharing"",""พะเยา!L236"")+IMPORTRANGE(""https://docs.google.com/spreadsheets/d/1xfJKIQxVOaPDIICqsflNlL"&amp;"u3JacTDk1FP9RH4phX7mI/edit?usp=sharing"",""พิจิตร!L236"")+IMPORTRANGE(""https://docs.google.com/spreadsheets/d/1JtRfZkJMHtEhI5RdRHxYUG4FIZHqKDpNyIuN7A1Q0_k/edit?usp=sharing"",""พิษณุโลก!L236"")+IMPORTRANGE(""https://docs.google.com/spreadsheets/d/1xlcVZWU"&amp;"Nn6SuWm0c307h32SiGkd9BaeQWlAktfD3KO8/edit?usp=sharing"",""เพชรบูรณ์!L236"")+IMPORTRANGE(""https://docs.google.com/spreadsheets/d/1lOVebEIsI9qjGXl6EX66luk7wiuP2tBaryw-wKvv4e0/edit?usp=sharing"",""แพร่!L236"")+IMPORTRANGE(""https://docs.google.com/spreadshe"&amp;"ets/d/1dQrvX0vEcN7Gu0fnZ0B5S90AeR19zth4XlExFBeExMY/edit?usp=sharing"",""แม่ฮ่องสอน!L236"")+IMPORTRANGE(""https://docs.google.com/spreadsheets/d/1DY4XTNNwjluuxqdfdn6qvOSlMRrZqUtmYcZR0ttFiG4/edit?usp=sharing"",""ลำปาง!L236"")+IMPORTRANGE(""https://docs.goog"&amp;"le.com/spreadsheets/d/1ICwG78r0OFT8biBlxnBF8r7she7gNSzOvJ958PWT09c/edit?usp=sharing"",""ลำพูน!L236"")+IMPORTRANGE(""https://docs.google.com/spreadsheets/d/1B0f2xJpZUC6Z0xXnqKlZtEPzsf6L84eP1r1Q15seqRM/edit?usp=sharing"",""สุโขทัย!L236"")+IMPORTRANGE(""http"&amp;"s://docs.google.com/spreadsheets/d/1v0b9pFQCsKUVExMei7AgY2yQkdeNQvtOssygGsXbiKo/edit?usp=sharing"",""อุตรดิตถ์!L236"")+IMPORTRANGE(""https://docs.google.com/spreadsheets/d/1UsNK1e-WWiCo2PvGqdNfdme4m17_Ezd3J69EeeiQPD0/edit?usp=sharing"",""อุทัยธานี!L236"")"),267000)</f>
        <v>267000</v>
      </c>
      <c r="M236" s="46">
        <f ca="1">IFERROR(__xludf.DUMMYFUNCTION("IMPORTRANGE(""https://docs.google.com/spreadsheets/d/1jTcq05yEiRwXcBMLjiodW9e4biSGYWAHcDj22rKWQ3s/edit?usp=sharing"",""กำแพงเพชร!M236"")+IMPORTRANGE(""https://docs.google.com/spreadsheets/d/1KS0zmDSZPk8KnTAbGN-Xk6MtX1YRZD0ldgdt20K4CRk/edit?usp=sharing"","&amp;"""เชียงราย!M236"")+IMPORTRANGE(""https://docs.google.com/spreadsheets/d/1rEDxBtusbi64tE0zunoIbsTVV16HeL0oJ6trHQeQ7K8/edit?usp=sharing"",""เชียงใหม่!M236"")+IMPORTRANGE(""https://docs.google.com/spreadsheets/d/1W6MnUbDkMi6xHnHko_XkFDO9kkuL6Wqyc-6OCDFjW9I/e"&amp;"dit?usp=sharing"",""ตาก!M236"")+IMPORTRANGE(""https://docs.google.com/spreadsheets/d/1IQAWArduLkta9LpYo4a_ULsyqdta6-6aDDiwpUnQT6c/edit?usp=sharing"",""นครสวรรค์!M236"")+IMPORTRANGE(""https://docs.google.com/spreadsheets/d/10s13Sk5xrltsiR-Zkbmk5DwIaDIKO8Xl"&amp;"bJAfqyT7Gvg/edit?usp=sharing"",""น่าน!M236"")+IMPORTRANGE(""https://docs.google.com/spreadsheets/d/1uu4nAn4Dbi1XREnLKKotUANlKXa7yCgRcgq8HEzQYW8/edit?usp=sharing"",""พะเยา!M236"")+IMPORTRANGE(""https://docs.google.com/spreadsheets/d/1xfJKIQxVOaPDIICqsflNlL"&amp;"u3JacTDk1FP9RH4phX7mI/edit?usp=sharing"",""พิจิตร!M236"")+IMPORTRANGE(""https://docs.google.com/spreadsheets/d/1JtRfZkJMHtEhI5RdRHxYUG4FIZHqKDpNyIuN7A1Q0_k/edit?usp=sharing"",""พิษณุโลก!M236"")+IMPORTRANGE(""https://docs.google.com/spreadsheets/d/1xlcVZWU"&amp;"Nn6SuWm0c307h32SiGkd9BaeQWlAktfD3KO8/edit?usp=sharing"",""เพชรบูรณ์!M236"")+IMPORTRANGE(""https://docs.google.com/spreadsheets/d/1lOVebEIsI9qjGXl6EX66luk7wiuP2tBaryw-wKvv4e0/edit?usp=sharing"",""แพร่!M236"")+IMPORTRANGE(""https://docs.google.com/spreadshe"&amp;"ets/d/1dQrvX0vEcN7Gu0fnZ0B5S90AeR19zth4XlExFBeExMY/edit?usp=sharing"",""แม่ฮ่องสอน!M236"")+IMPORTRANGE(""https://docs.google.com/spreadsheets/d/1DY4XTNNwjluuxqdfdn6qvOSlMRrZqUtmYcZR0ttFiG4/edit?usp=sharing"",""ลำปาง!M236"")+IMPORTRANGE(""https://docs.goog"&amp;"le.com/spreadsheets/d/1ICwG78r0OFT8biBlxnBF8r7she7gNSzOvJ958PWT09c/edit?usp=sharing"",""ลำพูน!M236"")+IMPORTRANGE(""https://docs.google.com/spreadsheets/d/1B0f2xJpZUC6Z0xXnqKlZtEPzsf6L84eP1r1Q15seqRM/edit?usp=sharing"",""สุโขทัย!M236"")+IMPORTRANGE(""http"&amp;"s://docs.google.com/spreadsheets/d/1v0b9pFQCsKUVExMei7AgY2yQkdeNQvtOssygGsXbiKo/edit?usp=sharing"",""อุตรดิตถ์!M236"")+IMPORTRANGE(""https://docs.google.com/spreadsheets/d/1UsNK1e-WWiCo2PvGqdNfdme4m17_Ezd3J69EeeiQPD0/edit?usp=sharing"",""อุทัยธานี!M236"")"),0)</f>
        <v>0</v>
      </c>
      <c r="N236" s="46">
        <f ca="1">IFERROR(__xludf.DUMMYFUNCTION("IMPORTRANGE(""https://docs.google.com/spreadsheets/d/1jTcq05yEiRwXcBMLjiodW9e4biSGYWAHcDj22rKWQ3s/edit?usp=sharing"",""กำแพงเพชร!N236"")+IMPORTRANGE(""https://docs.google.com/spreadsheets/d/1KS0zmDSZPk8KnTAbGN-Xk6MtX1YRZD0ldgdt20K4CRk/edit?usp=sharing"","&amp;"""เชียงราย!N236"")+IMPORTRANGE(""https://docs.google.com/spreadsheets/d/1rEDxBtusbi64tE0zunoIbsTVV16HeL0oJ6trHQeQ7K8/edit?usp=sharing"",""เชียงใหม่!N236"")+IMPORTRANGE(""https://docs.google.com/spreadsheets/d/1W6MnUbDkMi6xHnHko_XkFDO9kkuL6Wqyc-6OCDFjW9I/e"&amp;"dit?usp=sharing"",""ตาก!N236"")+IMPORTRANGE(""https://docs.google.com/spreadsheets/d/1IQAWArduLkta9LpYo4a_ULsyqdta6-6aDDiwpUnQT6c/edit?usp=sharing"",""นครสวรรค์!N236"")+IMPORTRANGE(""https://docs.google.com/spreadsheets/d/10s13Sk5xrltsiR-Zkbmk5DwIaDIKO8Xl"&amp;"bJAfqyT7Gvg/edit?usp=sharing"",""น่าน!N236"")+IMPORTRANGE(""https://docs.google.com/spreadsheets/d/1uu4nAn4Dbi1XREnLKKotUANlKXa7yCgRcgq8HEzQYW8/edit?usp=sharing"",""พะเยา!N236"")+IMPORTRANGE(""https://docs.google.com/spreadsheets/d/1xfJKIQxVOaPDIICqsflNlL"&amp;"u3JacTDk1FP9RH4phX7mI/edit?usp=sharing"",""พิจิตร!N236"")+IMPORTRANGE(""https://docs.google.com/spreadsheets/d/1JtRfZkJMHtEhI5RdRHxYUG4FIZHqKDpNyIuN7A1Q0_k/edit?usp=sharing"",""พิษณุโลก!N236"")+IMPORTRANGE(""https://docs.google.com/spreadsheets/d/1xlcVZWU"&amp;"Nn6SuWm0c307h32SiGkd9BaeQWlAktfD3KO8/edit?usp=sharing"",""เพชรบูรณ์!N236"")+IMPORTRANGE(""https://docs.google.com/spreadsheets/d/1lOVebEIsI9qjGXl6EX66luk7wiuP2tBaryw-wKvv4e0/edit?usp=sharing"",""แพร่!N236"")+IMPORTRANGE(""https://docs.google.com/spreadshe"&amp;"ets/d/1dQrvX0vEcN7Gu0fnZ0B5S90AeR19zth4XlExFBeExMY/edit?usp=sharing"",""แม่ฮ่องสอน!N236"")+IMPORTRANGE(""https://docs.google.com/spreadsheets/d/1DY4XTNNwjluuxqdfdn6qvOSlMRrZqUtmYcZR0ttFiG4/edit?usp=sharing"",""ลำปาง!N236"")+IMPORTRANGE(""https://docs.goog"&amp;"le.com/spreadsheets/d/1ICwG78r0OFT8biBlxnBF8r7she7gNSzOvJ958PWT09c/edit?usp=sharing"",""ลำพูน!N236"")+IMPORTRANGE(""https://docs.google.com/spreadsheets/d/1B0f2xJpZUC6Z0xXnqKlZtEPzsf6L84eP1r1Q15seqRM/edit?usp=sharing"",""สุโขทัย!N236"")+IMPORTRANGE(""http"&amp;"s://docs.google.com/spreadsheets/d/1v0b9pFQCsKUVExMei7AgY2yQkdeNQvtOssygGsXbiKo/edit?usp=sharing"",""อุตรดิตถ์!N236"")+IMPORTRANGE(""https://docs.google.com/spreadsheets/d/1UsNK1e-WWiCo2PvGqdNfdme4m17_Ezd3J69EeeiQPD0/edit?usp=sharing"",""อุทัยธานี!N236"")"),38814.4)</f>
        <v>38814.400000000001</v>
      </c>
      <c r="O236" s="45"/>
      <c r="P236" s="45"/>
      <c r="Q236" s="46">
        <f ca="1">IFERROR(__xludf.DUMMYFUNCTION("IMPORTRANGE(""https://docs.google.com/spreadsheets/d/1jTcq05yEiRwXcBMLjiodW9e4biSGYWAHcDj22rKWQ3s/edit?usp=sharing"",""กำแพงเพชร!Q236"")+IMPORTRANGE(""https://docs.google.com/spreadsheets/d/1KS0zmDSZPk8KnTAbGN-Xk6MtX1YRZD0ldgdt20K4CRk/edit?usp=sharing"","&amp;"""เชียงราย!Q236"")+IMPORTRANGE(""https://docs.google.com/spreadsheets/d/1rEDxBtusbi64tE0zunoIbsTVV16HeL0oJ6trHQeQ7K8/edit?usp=sharing"",""เชียงใหม่!Q236"")+IMPORTRANGE(""https://docs.google.com/spreadsheets/d/1W6MnUbDkMi6xHnHko_XkFDO9kkuL6Wqyc-6OCDFjW9I/e"&amp;"dit?usp=sharing"",""ตาก!Q236"")+IMPORTRANGE(""https://docs.google.com/spreadsheets/d/1IQAWArduLkta9LpYo4a_ULsyqdta6-6aDDiwpUnQT6c/edit?usp=sharing"",""นครสวรรค์!Q236"")+IMPORTRANGE(""https://docs.google.com/spreadsheets/d/10s13Sk5xrltsiR-Zkbmk5DwIaDIKO8Xl"&amp;"bJAfqyT7Gvg/edit?usp=sharing"",""น่าน!Q236"")+IMPORTRANGE(""https://docs.google.com/spreadsheets/d/1uu4nAn4Dbi1XREnLKKotUANlKXa7yCgRcgq8HEzQYW8/edit?usp=sharing"",""พะเยา!Q236"")+IMPORTRANGE(""https://docs.google.com/spreadsheets/d/1xfJKIQxVOaPDIICqsflNlL"&amp;"u3JacTDk1FP9RH4phX7mI/edit?usp=sharing"",""พิจิตร!Q236"")+IMPORTRANGE(""https://docs.google.com/spreadsheets/d/1JtRfZkJMHtEhI5RdRHxYUG4FIZHqKDpNyIuN7A1Q0_k/edit?usp=sharing"",""พิษณุโลก!Q236"")+IMPORTRANGE(""https://docs.google.com/spreadsheets/d/1xlcVZWU"&amp;"Nn6SuWm0c307h32SiGkd9BaeQWlAktfD3KO8/edit?usp=sharing"",""เพชรบูรณ์!Q236"")+IMPORTRANGE(""https://docs.google.com/spreadsheets/d/1lOVebEIsI9qjGXl6EX66luk7wiuP2tBaryw-wKvv4e0/edit?usp=sharing"",""แพร่!Q236"")+IMPORTRANGE(""https://docs.google.com/spreadshe"&amp;"ets/d/1dQrvX0vEcN7Gu0fnZ0B5S90AeR19zth4XlExFBeExMY/edit?usp=sharing"",""แม่ฮ่องสอน!Q236"")+IMPORTRANGE(""https://docs.google.com/spreadsheets/d/1DY4XTNNwjluuxqdfdn6qvOSlMRrZqUtmYcZR0ttFiG4/edit?usp=sharing"",""ลำปาง!Q236"")+IMPORTRANGE(""https://docs.goog"&amp;"le.com/spreadsheets/d/1ICwG78r0OFT8biBlxnBF8r7she7gNSzOvJ958PWT09c/edit?usp=sharing"",""ลำพูน!Q236"")+IMPORTRANGE(""https://docs.google.com/spreadsheets/d/1B0f2xJpZUC6Z0xXnqKlZtEPzsf6L84eP1r1Q15seqRM/edit?usp=sharing"",""สุโขทัย!Q236"")+IMPORTRANGE(""http"&amp;"s://docs.google.com/spreadsheets/d/1v0b9pFQCsKUVExMei7AgY2yQkdeNQvtOssygGsXbiKo/edit?usp=sharing"",""อุตรดิตถ์!Q236"")+IMPORTRANGE(""https://docs.google.com/spreadsheets/d/1UsNK1e-WWiCo2PvGqdNfdme4m17_Ezd3J69EeeiQPD0/edit?usp=sharing"",""อุทัยธานี!Q236"")"),0)</f>
        <v>0</v>
      </c>
      <c r="R236" s="46">
        <f ca="1">IFERROR(__xludf.DUMMYFUNCTION("IMPORTRANGE(""https://docs.google.com/spreadsheets/d/1jTcq05yEiRwXcBMLjiodW9e4biSGYWAHcDj22rKWQ3s/edit?usp=sharing"",""กำแพงเพชร!R236"")+IMPORTRANGE(""https://docs.google.com/spreadsheets/d/1KS0zmDSZPk8KnTAbGN-Xk6MtX1YRZD0ldgdt20K4CRk/edit?usp=sharing"","&amp;"""เชียงราย!R236"")+IMPORTRANGE(""https://docs.google.com/spreadsheets/d/1rEDxBtusbi64tE0zunoIbsTVV16HeL0oJ6trHQeQ7K8/edit?usp=sharing"",""เชียงใหม่!R236"")+IMPORTRANGE(""https://docs.google.com/spreadsheets/d/1W6MnUbDkMi6xHnHko_XkFDO9kkuL6Wqyc-6OCDFjW9I/e"&amp;"dit?usp=sharing"",""ตาก!R236"")+IMPORTRANGE(""https://docs.google.com/spreadsheets/d/1IQAWArduLkta9LpYo4a_ULsyqdta6-6aDDiwpUnQT6c/edit?usp=sharing"",""นครสวรรค์!R236"")+IMPORTRANGE(""https://docs.google.com/spreadsheets/d/10s13Sk5xrltsiR-Zkbmk5DwIaDIKO8Xl"&amp;"bJAfqyT7Gvg/edit?usp=sharing"",""น่าน!R236"")+IMPORTRANGE(""https://docs.google.com/spreadsheets/d/1uu4nAn4Dbi1XREnLKKotUANlKXa7yCgRcgq8HEzQYW8/edit?usp=sharing"",""พะเยา!R236"")+IMPORTRANGE(""https://docs.google.com/spreadsheets/d/1xfJKIQxVOaPDIICqsflNlL"&amp;"u3JacTDk1FP9RH4phX7mI/edit?usp=sharing"",""พิจิตร!R236"")+IMPORTRANGE(""https://docs.google.com/spreadsheets/d/1JtRfZkJMHtEhI5RdRHxYUG4FIZHqKDpNyIuN7A1Q0_k/edit?usp=sharing"",""พิษณุโลก!R236"")+IMPORTRANGE(""https://docs.google.com/spreadsheets/d/1xlcVZWU"&amp;"Nn6SuWm0c307h32SiGkd9BaeQWlAktfD3KO8/edit?usp=sharing"",""เพชรบูรณ์!R236"")+IMPORTRANGE(""https://docs.google.com/spreadsheets/d/1lOVebEIsI9qjGXl6EX66luk7wiuP2tBaryw-wKvv4e0/edit?usp=sharing"",""แพร่!R236"")+IMPORTRANGE(""https://docs.google.com/spreadshe"&amp;"ets/d/1dQrvX0vEcN7Gu0fnZ0B5S90AeR19zth4XlExFBeExMY/edit?usp=sharing"",""แม่ฮ่องสอน!R236"")+IMPORTRANGE(""https://docs.google.com/spreadsheets/d/1DY4XTNNwjluuxqdfdn6qvOSlMRrZqUtmYcZR0ttFiG4/edit?usp=sharing"",""ลำปาง!R236"")+IMPORTRANGE(""https://docs.goog"&amp;"le.com/spreadsheets/d/1ICwG78r0OFT8biBlxnBF8r7she7gNSzOvJ958PWT09c/edit?usp=sharing"",""ลำพูน!R236"")+IMPORTRANGE(""https://docs.google.com/spreadsheets/d/1B0f2xJpZUC6Z0xXnqKlZtEPzsf6L84eP1r1Q15seqRM/edit?usp=sharing"",""สุโขทัย!R236"")+IMPORTRANGE(""http"&amp;"s://docs.google.com/spreadsheets/d/1v0b9pFQCsKUVExMei7AgY2yQkdeNQvtOssygGsXbiKo/edit?usp=sharing"",""อุตรดิตถ์!R236"")+IMPORTRANGE(""https://docs.google.com/spreadsheets/d/1UsNK1e-WWiCo2PvGqdNfdme4m17_Ezd3J69EeeiQPD0/edit?usp=sharing"",""อุทัยธานี!R236"")"),0)</f>
        <v>0</v>
      </c>
      <c r="S236" s="46">
        <f ca="1">IFERROR(__xludf.DUMMYFUNCTION("IMPORTRANGE(""https://docs.google.com/spreadsheets/d/1jTcq05yEiRwXcBMLjiodW9e4biSGYWAHcDj22rKWQ3s/edit?usp=sharing"",""กำแพงเพชร!S236"")+IMPORTRANGE(""https://docs.google.com/spreadsheets/d/1KS0zmDSZPk8KnTAbGN-Xk6MtX1YRZD0ldgdt20K4CRk/edit?usp=sharing"","&amp;"""เชียงราย!S236"")+IMPORTRANGE(""https://docs.google.com/spreadsheets/d/1rEDxBtusbi64tE0zunoIbsTVV16HeL0oJ6trHQeQ7K8/edit?usp=sharing"",""เชียงใหม่!S236"")+IMPORTRANGE(""https://docs.google.com/spreadsheets/d/1W6MnUbDkMi6xHnHko_XkFDO9kkuL6Wqyc-6OCDFjW9I/e"&amp;"dit?usp=sharing"",""ตาก!S236"")+IMPORTRANGE(""https://docs.google.com/spreadsheets/d/1IQAWArduLkta9LpYo4a_ULsyqdta6-6aDDiwpUnQT6c/edit?usp=sharing"",""นครสวรรค์!S236"")+IMPORTRANGE(""https://docs.google.com/spreadsheets/d/10s13Sk5xrltsiR-Zkbmk5DwIaDIKO8Xl"&amp;"bJAfqyT7Gvg/edit?usp=sharing"",""น่าน!S236"")+IMPORTRANGE(""https://docs.google.com/spreadsheets/d/1uu4nAn4Dbi1XREnLKKotUANlKXa7yCgRcgq8HEzQYW8/edit?usp=sharing"",""พะเยา!S236"")+IMPORTRANGE(""https://docs.google.com/spreadsheets/d/1xfJKIQxVOaPDIICqsflNlL"&amp;"u3JacTDk1FP9RH4phX7mI/edit?usp=sharing"",""พิจิตร!S236"")+IMPORTRANGE(""https://docs.google.com/spreadsheets/d/1JtRfZkJMHtEhI5RdRHxYUG4FIZHqKDpNyIuN7A1Q0_k/edit?usp=sharing"",""พิษณุโลก!S236"")+IMPORTRANGE(""https://docs.google.com/spreadsheets/d/1xlcVZWU"&amp;"Nn6SuWm0c307h32SiGkd9BaeQWlAktfD3KO8/edit?usp=sharing"",""เพชรบูรณ์!S236"")+IMPORTRANGE(""https://docs.google.com/spreadsheets/d/1lOVebEIsI9qjGXl6EX66luk7wiuP2tBaryw-wKvv4e0/edit?usp=sharing"",""แพร่!S236"")+IMPORTRANGE(""https://docs.google.com/spreadshe"&amp;"ets/d/1dQrvX0vEcN7Gu0fnZ0B5S90AeR19zth4XlExFBeExMY/edit?usp=sharing"",""แม่ฮ่องสอน!S236"")+IMPORTRANGE(""https://docs.google.com/spreadsheets/d/1DY4XTNNwjluuxqdfdn6qvOSlMRrZqUtmYcZR0ttFiG4/edit?usp=sharing"",""ลำปาง!S236"")+IMPORTRANGE(""https://docs.goog"&amp;"le.com/spreadsheets/d/1ICwG78r0OFT8biBlxnBF8r7she7gNSzOvJ958PWT09c/edit?usp=sharing"",""ลำพูน!S236"")+IMPORTRANGE(""https://docs.google.com/spreadsheets/d/1B0f2xJpZUC6Z0xXnqKlZtEPzsf6L84eP1r1Q15seqRM/edit?usp=sharing"",""สุโขทัย!S236"")+IMPORTRANGE(""http"&amp;"s://docs.google.com/spreadsheets/d/1v0b9pFQCsKUVExMei7AgY2yQkdeNQvtOssygGsXbiKo/edit?usp=sharing"",""อุตรดิตถ์!S236"")+IMPORTRANGE(""https://docs.google.com/spreadsheets/d/1UsNK1e-WWiCo2PvGqdNfdme4m17_Ezd3J69EeeiQPD0/edit?usp=sharing"",""อุทัยธานี!S236"")"),0)</f>
        <v>0</v>
      </c>
      <c r="T236" s="46"/>
      <c r="U236" s="46"/>
    </row>
    <row r="237" spans="1:21" ht="19.5" x14ac:dyDescent="0.3">
      <c r="A237" s="138"/>
      <c r="B237" s="139"/>
      <c r="C237" s="161" t="s">
        <v>18</v>
      </c>
      <c r="D237" s="140" t="s">
        <v>38</v>
      </c>
      <c r="E237" s="141"/>
      <c r="F237" s="141"/>
      <c r="G237" s="142"/>
      <c r="H237" s="143"/>
      <c r="I237" s="135"/>
      <c r="J237" s="44"/>
      <c r="K237" s="45"/>
      <c r="L237" s="45"/>
      <c r="M237" s="45"/>
      <c r="N237" s="45"/>
      <c r="O237" s="136"/>
      <c r="P237" s="136"/>
      <c r="Q237" s="46"/>
      <c r="R237" s="46"/>
      <c r="S237" s="46"/>
      <c r="T237" s="152"/>
      <c r="U237" s="152"/>
    </row>
    <row r="238" spans="1:21" ht="18.75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66">
        <f ca="1">IFERROR(__xludf.DUMMYFUNCTION("IMPORTRANGE(""https://docs.google.com/spreadsheets/d/1jTcq05yEiRwXcBMLjiodW9e4biSGYWAHcDj22rKWQ3s/edit?usp=sharing"",""กำแพงเพชร!I238"")+IMPORTRANGE(""https://docs.google.com/spreadsheets/d/1KS0zmDSZPk8KnTAbGN-Xk6MtX1YRZD0ldgdt20K4CRk/edit?usp=sharing"","&amp;"""เชียงราย!I238"")+IMPORTRANGE(""https://docs.google.com/spreadsheets/d/1rEDxBtusbi64tE0zunoIbsTVV16HeL0oJ6trHQeQ7K8/edit?usp=sharing"",""เชียงใหม่!I238"")+IMPORTRANGE(""https://docs.google.com/spreadsheets/d/1W6MnUbDkMi6xHnHko_XkFDO9kkuL6Wqyc-6OCDFjW9I/e"&amp;"dit?usp=sharing"",""ตาก!I238"")+IMPORTRANGE(""https://docs.google.com/spreadsheets/d/1IQAWArduLkta9LpYo4a_ULsyqdta6-6aDDiwpUnQT6c/edit?usp=sharing"",""นครสวรรค์!I238"")+IMPORTRANGE(""https://docs.google.com/spreadsheets/d/10s13Sk5xrltsiR-Zkbmk5DwIaDIKO8Xl"&amp;"bJAfqyT7Gvg/edit?usp=sharing"",""น่าน!I238"")+IMPORTRANGE(""https://docs.google.com/spreadsheets/d/1uu4nAn4Dbi1XREnLKKotUANlKXa7yCgRcgq8HEzQYW8/edit?usp=sharing"",""พะเยา!I238"")+IMPORTRANGE(""https://docs.google.com/spreadsheets/d/1xfJKIQxVOaPDIICqsflNlL"&amp;"u3JacTDk1FP9RH4phX7mI/edit?usp=sharing"",""พิจิตร!I238"")+IMPORTRANGE(""https://docs.google.com/spreadsheets/d/1JtRfZkJMHtEhI5RdRHxYUG4FIZHqKDpNyIuN7A1Q0_k/edit?usp=sharing"",""พิษณุโลก!I238"")+IMPORTRANGE(""https://docs.google.com/spreadsheets/d/1xlcVZWU"&amp;"Nn6SuWm0c307h32SiGkd9BaeQWlAktfD3KO8/edit?usp=sharing"",""เพชรบูรณ์!I238"")+IMPORTRANGE(""https://docs.google.com/spreadsheets/d/1lOVebEIsI9qjGXl6EX66luk7wiuP2tBaryw-wKvv4e0/edit?usp=sharing"",""แพร่!I238"")+IMPORTRANGE(""https://docs.google.com/spreadshe"&amp;"ets/d/1dQrvX0vEcN7Gu0fnZ0B5S90AeR19zth4XlExFBeExMY/edit?usp=sharing"",""แม่ฮ่องสอน!I238"")+IMPORTRANGE(""https://docs.google.com/spreadsheets/d/1DY4XTNNwjluuxqdfdn6qvOSlMRrZqUtmYcZR0ttFiG4/edit?usp=sharing"",""ลำปาง!I238"")+IMPORTRANGE(""https://docs.goog"&amp;"le.com/spreadsheets/d/1ICwG78r0OFT8biBlxnBF8r7she7gNSzOvJ958PWT09c/edit?usp=sharing"",""ลำพูน!I238"")+IMPORTRANGE(""https://docs.google.com/spreadsheets/d/1B0f2xJpZUC6Z0xXnqKlZtEPzsf6L84eP1r1Q15seqRM/edit?usp=sharing"",""สุโขทัย!I238"")+IMPORTRANGE(""http"&amp;"s://docs.google.com/spreadsheets/d/1v0b9pFQCsKUVExMei7AgY2yQkdeNQvtOssygGsXbiKo/edit?usp=sharing"",""อุตรดิตถ์!I238"")+IMPORTRANGE(""https://docs.google.com/spreadsheets/d/1UsNK1e-WWiCo2PvGqdNfdme4m17_Ezd3J69EeeiQPD0/edit?usp=sharing"",""อุทัยธานี!I238"")"),270)</f>
        <v>270</v>
      </c>
      <c r="J238" s="166">
        <f ca="1">IFERROR(__xludf.DUMMYFUNCTION("IMPORTRANGE(""https://docs.google.com/spreadsheets/d/1jTcq05yEiRwXcBMLjiodW9e4biSGYWAHcDj22rKWQ3s/edit?usp=sharing"",""กำแพงเพชร!J238"")+IMPORTRANGE(""https://docs.google.com/spreadsheets/d/1KS0zmDSZPk8KnTAbGN-Xk6MtX1YRZD0ldgdt20K4CRk/edit?usp=sharing"","&amp;"""เชียงราย!J238"")+IMPORTRANGE(""https://docs.google.com/spreadsheets/d/1rEDxBtusbi64tE0zunoIbsTVV16HeL0oJ6trHQeQ7K8/edit?usp=sharing"",""เชียงใหม่!J238"")+IMPORTRANGE(""https://docs.google.com/spreadsheets/d/1W6MnUbDkMi6xHnHko_XkFDO9kkuL6Wqyc-6OCDFjW9I/e"&amp;"dit?usp=sharing"",""ตาก!J238"")+IMPORTRANGE(""https://docs.google.com/spreadsheets/d/1IQAWArduLkta9LpYo4a_ULsyqdta6-6aDDiwpUnQT6c/edit?usp=sharing"",""นครสวรรค์!J238"")+IMPORTRANGE(""https://docs.google.com/spreadsheets/d/10s13Sk5xrltsiR-Zkbmk5DwIaDIKO8Xl"&amp;"bJAfqyT7Gvg/edit?usp=sharing"",""น่าน!J238"")+IMPORTRANGE(""https://docs.google.com/spreadsheets/d/1uu4nAn4Dbi1XREnLKKotUANlKXa7yCgRcgq8HEzQYW8/edit?usp=sharing"",""พะเยา!J238"")+IMPORTRANGE(""https://docs.google.com/spreadsheets/d/1xfJKIQxVOaPDIICqsflNlL"&amp;"u3JacTDk1FP9RH4phX7mI/edit?usp=sharing"",""พิจิตร!J238"")+IMPORTRANGE(""https://docs.google.com/spreadsheets/d/1JtRfZkJMHtEhI5RdRHxYUG4FIZHqKDpNyIuN7A1Q0_k/edit?usp=sharing"",""พิษณุโลก!J238"")+IMPORTRANGE(""https://docs.google.com/spreadsheets/d/1xlcVZWU"&amp;"Nn6SuWm0c307h32SiGkd9BaeQWlAktfD3KO8/edit?usp=sharing"",""เพชรบูรณ์!J238"")+IMPORTRANGE(""https://docs.google.com/spreadsheets/d/1lOVebEIsI9qjGXl6EX66luk7wiuP2tBaryw-wKvv4e0/edit?usp=sharing"",""แพร่!J238"")+IMPORTRANGE(""https://docs.google.com/spreadshe"&amp;"ets/d/1dQrvX0vEcN7Gu0fnZ0B5S90AeR19zth4XlExFBeExMY/edit?usp=sharing"",""แม่ฮ่องสอน!J238"")+IMPORTRANGE(""https://docs.google.com/spreadsheets/d/1DY4XTNNwjluuxqdfdn6qvOSlMRrZqUtmYcZR0ttFiG4/edit?usp=sharing"",""ลำปาง!J238"")+IMPORTRANGE(""https://docs.goog"&amp;"le.com/spreadsheets/d/1ICwG78r0OFT8biBlxnBF8r7she7gNSzOvJ958PWT09c/edit?usp=sharing"",""ลำพูน!J238"")+IMPORTRANGE(""https://docs.google.com/spreadsheets/d/1B0f2xJpZUC6Z0xXnqKlZtEPzsf6L84eP1r1Q15seqRM/edit?usp=sharing"",""สุโขทัย!J238"")+IMPORTRANGE(""http"&amp;"s://docs.google.com/spreadsheets/d/1v0b9pFQCsKUVExMei7AgY2yQkdeNQvtOssygGsXbiKo/edit?usp=sharing"",""อุตรดิตถ์!J238"")+IMPORTRANGE(""https://docs.google.com/spreadsheets/d/1UsNK1e-WWiCo2PvGqdNfdme4m17_Ezd3J69EeeiQPD0/edit?usp=sharing"",""อุทัยธานี!J238"")"),320)</f>
        <v>320</v>
      </c>
      <c r="K238" s="46">
        <f ca="1">IF(I238&gt;0,J238*100/I238,0)</f>
        <v>118.51851851851852</v>
      </c>
      <c r="L238" s="45"/>
      <c r="M238" s="45"/>
      <c r="N238" s="45"/>
      <c r="O238" s="45"/>
      <c r="P238" s="45"/>
      <c r="Q238" s="46"/>
      <c r="R238" s="46"/>
      <c r="S238" s="46"/>
      <c r="T238" s="46"/>
      <c r="U238" s="46"/>
    </row>
    <row r="239" spans="1:21" ht="18.75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45"/>
      <c r="M239" s="45"/>
      <c r="N239" s="45"/>
      <c r="O239" s="136"/>
      <c r="P239" s="136"/>
      <c r="Q239" s="46"/>
      <c r="R239" s="46"/>
      <c r="S239" s="46"/>
      <c r="T239" s="152"/>
      <c r="U239" s="152"/>
    </row>
    <row r="240" spans="1:21" ht="18.75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v>0</v>
      </c>
      <c r="J240" s="166">
        <f ca="1">IFERROR(__xludf.DUMMYFUNCTION("IMPORTRANGE(""https://docs.google.com/spreadsheets/d/1jTcq05yEiRwXcBMLjiodW9e4biSGYWAHcDj22rKWQ3s/edit?usp=sharing"",""กำแพงเพชร!J240"")+IMPORTRANGE(""https://docs.google.com/spreadsheets/d/1KS0zmDSZPk8KnTAbGN-Xk6MtX1YRZD0ldgdt20K4CRk/edit?usp=sharing"","&amp;"""เชียงราย!J240"")+IMPORTRANGE(""https://docs.google.com/spreadsheets/d/1rEDxBtusbi64tE0zunoIbsTVV16HeL0oJ6trHQeQ7K8/edit?usp=sharing"",""เชียงใหม่!J240"")+IMPORTRANGE(""https://docs.google.com/spreadsheets/d/1W6MnUbDkMi6xHnHko_XkFDO9kkuL6Wqyc-6OCDFjW9I/e"&amp;"dit?usp=sharing"",""ตาก!J240"")+IMPORTRANGE(""https://docs.google.com/spreadsheets/d/1IQAWArduLkta9LpYo4a_ULsyqdta6-6aDDiwpUnQT6c/edit?usp=sharing"",""นครสวรรค์!J240"")+IMPORTRANGE(""https://docs.google.com/spreadsheets/d/10s13Sk5xrltsiR-Zkbmk5DwIaDIKO8Xl"&amp;"bJAfqyT7Gvg/edit?usp=sharing"",""น่าน!J240"")+IMPORTRANGE(""https://docs.google.com/spreadsheets/d/1uu4nAn4Dbi1XREnLKKotUANlKXa7yCgRcgq8HEzQYW8/edit?usp=sharing"",""พะเยา!J240"")+IMPORTRANGE(""https://docs.google.com/spreadsheets/d/1xfJKIQxVOaPDIICqsflNlL"&amp;"u3JacTDk1FP9RH4phX7mI/edit?usp=sharing"",""พิจิตร!J240"")+IMPORTRANGE(""https://docs.google.com/spreadsheets/d/1JtRfZkJMHtEhI5RdRHxYUG4FIZHqKDpNyIuN7A1Q0_k/edit?usp=sharing"",""พิษณุโลก!J240"")+IMPORTRANGE(""https://docs.google.com/spreadsheets/d/1xlcVZWU"&amp;"Nn6SuWm0c307h32SiGkd9BaeQWlAktfD3KO8/edit?usp=sharing"",""เพชรบูรณ์!J240"")+IMPORTRANGE(""https://docs.google.com/spreadsheets/d/1lOVebEIsI9qjGXl6EX66luk7wiuP2tBaryw-wKvv4e0/edit?usp=sharing"",""แพร่!J240"")+IMPORTRANGE(""https://docs.google.com/spreadshe"&amp;"ets/d/1dQrvX0vEcN7Gu0fnZ0B5S90AeR19zth4XlExFBeExMY/edit?usp=sharing"",""แม่ฮ่องสอน!J240"")+IMPORTRANGE(""https://docs.google.com/spreadsheets/d/1DY4XTNNwjluuxqdfdn6qvOSlMRrZqUtmYcZR0ttFiG4/edit?usp=sharing"",""ลำปาง!J240"")+IMPORTRANGE(""https://docs.goog"&amp;"le.com/spreadsheets/d/1ICwG78r0OFT8biBlxnBF8r7she7gNSzOvJ958PWT09c/edit?usp=sharing"",""ลำพูน!J240"")+IMPORTRANGE(""https://docs.google.com/spreadsheets/d/1B0f2xJpZUC6Z0xXnqKlZtEPzsf6L84eP1r1Q15seqRM/edit?usp=sharing"",""สุโขทัย!J240"")+IMPORTRANGE(""http"&amp;"s://docs.google.com/spreadsheets/d/1v0b9pFQCsKUVExMei7AgY2yQkdeNQvtOssygGsXbiKo/edit?usp=sharing"",""อุตรดิตถ์!J240"")+IMPORTRANGE(""https://docs.google.com/spreadsheets/d/1UsNK1e-WWiCo2PvGqdNfdme4m17_Ezd3J69EeeiQPD0/edit?usp=sharing"",""อุทัยธานี!J240"")"),160)</f>
        <v>160</v>
      </c>
      <c r="K240" s="46">
        <f t="shared" ref="K240:K241" si="187">IF(I240&gt;0,J240*100/I240,0)</f>
        <v>0</v>
      </c>
      <c r="L240" s="45"/>
      <c r="M240" s="45"/>
      <c r="N240" s="45"/>
      <c r="O240" s="45"/>
      <c r="P240" s="45"/>
      <c r="Q240" s="46"/>
      <c r="R240" s="46"/>
      <c r="S240" s="46"/>
      <c r="T240" s="46"/>
      <c r="U240" s="46"/>
    </row>
    <row r="241" spans="1:21" ht="18.75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v>0</v>
      </c>
      <c r="J241" s="166">
        <f ca="1">IFERROR(__xludf.DUMMYFUNCTION("IMPORTRANGE(""https://docs.google.com/spreadsheets/d/1jTcq05yEiRwXcBMLjiodW9e4biSGYWAHcDj22rKWQ3s/edit?usp=sharing"",""กำแพงเพชร!J241"")+IMPORTRANGE(""https://docs.google.com/spreadsheets/d/1KS0zmDSZPk8KnTAbGN-Xk6MtX1YRZD0ldgdt20K4CRk/edit?usp=sharing"","&amp;"""เชียงราย!J241"")+IMPORTRANGE(""https://docs.google.com/spreadsheets/d/1rEDxBtusbi64tE0zunoIbsTVV16HeL0oJ6trHQeQ7K8/edit?usp=sharing"",""เชียงใหม่!J241"")+IMPORTRANGE(""https://docs.google.com/spreadsheets/d/1W6MnUbDkMi6xHnHko_XkFDO9kkuL6Wqyc-6OCDFjW9I/e"&amp;"dit?usp=sharing"",""ตาก!J241"")+IMPORTRANGE(""https://docs.google.com/spreadsheets/d/1IQAWArduLkta9LpYo4a_ULsyqdta6-6aDDiwpUnQT6c/edit?usp=sharing"",""นครสวรรค์!J241"")+IMPORTRANGE(""https://docs.google.com/spreadsheets/d/10s13Sk5xrltsiR-Zkbmk5DwIaDIKO8Xl"&amp;"bJAfqyT7Gvg/edit?usp=sharing"",""น่าน!J241"")+IMPORTRANGE(""https://docs.google.com/spreadsheets/d/1uu4nAn4Dbi1XREnLKKotUANlKXa7yCgRcgq8HEzQYW8/edit?usp=sharing"",""พะเยา!J241"")+IMPORTRANGE(""https://docs.google.com/spreadsheets/d/1xfJKIQxVOaPDIICqsflNlL"&amp;"u3JacTDk1FP9RH4phX7mI/edit?usp=sharing"",""พิจิตร!J241"")+IMPORTRANGE(""https://docs.google.com/spreadsheets/d/1JtRfZkJMHtEhI5RdRHxYUG4FIZHqKDpNyIuN7A1Q0_k/edit?usp=sharing"",""พิษณุโลก!J241"")+IMPORTRANGE(""https://docs.google.com/spreadsheets/d/1xlcVZWU"&amp;"Nn6SuWm0c307h32SiGkd9BaeQWlAktfD3KO8/edit?usp=sharing"",""เพชรบูรณ์!J241"")+IMPORTRANGE(""https://docs.google.com/spreadsheets/d/1lOVebEIsI9qjGXl6EX66luk7wiuP2tBaryw-wKvv4e0/edit?usp=sharing"",""แพร่!J241"")+IMPORTRANGE(""https://docs.google.com/spreadshe"&amp;"ets/d/1dQrvX0vEcN7Gu0fnZ0B5S90AeR19zth4XlExFBeExMY/edit?usp=sharing"",""แม่ฮ่องสอน!J241"")+IMPORTRANGE(""https://docs.google.com/spreadsheets/d/1DY4XTNNwjluuxqdfdn6qvOSlMRrZqUtmYcZR0ttFiG4/edit?usp=sharing"",""ลำปาง!J241"")+IMPORTRANGE(""https://docs.goog"&amp;"le.com/spreadsheets/d/1ICwG78r0OFT8biBlxnBF8r7she7gNSzOvJ958PWT09c/edit?usp=sharing"",""ลำพูน!J241"")+IMPORTRANGE(""https://docs.google.com/spreadsheets/d/1B0f2xJpZUC6Z0xXnqKlZtEPzsf6L84eP1r1Q15seqRM/edit?usp=sharing"",""สุโขทัย!J241"")+IMPORTRANGE(""http"&amp;"s://docs.google.com/spreadsheets/d/1v0b9pFQCsKUVExMei7AgY2yQkdeNQvtOssygGsXbiKo/edit?usp=sharing"",""อุตรดิตถ์!J241"")+IMPORTRANGE(""https://docs.google.com/spreadsheets/d/1UsNK1e-WWiCo2PvGqdNfdme4m17_Ezd3J69EeeiQPD0/edit?usp=sharing"",""อุทัยธานี!J241"")"),1)</f>
        <v>1</v>
      </c>
      <c r="K241" s="46">
        <f t="shared" si="187"/>
        <v>0</v>
      </c>
      <c r="L241" s="45"/>
      <c r="M241" s="45"/>
      <c r="N241" s="45"/>
      <c r="O241" s="45"/>
      <c r="P241" s="45"/>
      <c r="Q241" s="46"/>
      <c r="R241" s="46"/>
      <c r="S241" s="46"/>
      <c r="T241" s="46"/>
      <c r="U241" s="46"/>
    </row>
    <row r="242" spans="1:21" ht="19.5" x14ac:dyDescent="0.3">
      <c r="A242" s="227"/>
      <c r="B242" s="228"/>
      <c r="C242" s="235" t="s">
        <v>111</v>
      </c>
      <c r="D242" s="229"/>
      <c r="E242" s="229"/>
      <c r="F242" s="229"/>
      <c r="G242" s="230"/>
      <c r="H242" s="236" t="s">
        <v>35</v>
      </c>
      <c r="I242" s="232"/>
      <c r="J242" s="232"/>
      <c r="K242" s="233"/>
      <c r="L242" s="233"/>
      <c r="M242" s="233"/>
      <c r="N242" s="233"/>
      <c r="O242" s="233"/>
      <c r="P242" s="233"/>
      <c r="Q242" s="219"/>
      <c r="R242" s="219"/>
      <c r="S242" s="219"/>
      <c r="T242" s="219"/>
      <c r="U242" s="219"/>
    </row>
    <row r="243" spans="1:21" ht="19.5" x14ac:dyDescent="0.3">
      <c r="A243" s="237"/>
      <c r="B243" s="229"/>
      <c r="C243" s="235" t="s">
        <v>18</v>
      </c>
      <c r="D243" s="238" t="s">
        <v>19</v>
      </c>
      <c r="E243" s="229"/>
      <c r="F243" s="229"/>
      <c r="G243" s="230"/>
      <c r="H243" s="239" t="s">
        <v>14</v>
      </c>
      <c r="I243" s="232"/>
      <c r="J243" s="232"/>
      <c r="K243" s="233"/>
      <c r="L243" s="233"/>
      <c r="M243" s="233"/>
      <c r="N243" s="233"/>
      <c r="O243" s="233"/>
      <c r="P243" s="233"/>
      <c r="Q243" s="45"/>
      <c r="R243" s="45"/>
      <c r="S243" s="45"/>
      <c r="T243" s="45"/>
      <c r="U243" s="45"/>
    </row>
    <row r="244" spans="1:21" ht="18.75" x14ac:dyDescent="0.25">
      <c r="A244" s="237"/>
      <c r="B244" s="228"/>
      <c r="C244" s="229"/>
      <c r="D244" s="240" t="s">
        <v>86</v>
      </c>
      <c r="E244" s="229"/>
      <c r="F244" s="229"/>
      <c r="G244" s="230"/>
      <c r="H244" s="241" t="s">
        <v>14</v>
      </c>
      <c r="I244" s="232"/>
      <c r="J244" s="232"/>
      <c r="K244" s="233"/>
      <c r="L244" s="233"/>
      <c r="M244" s="233"/>
      <c r="N244" s="233"/>
      <c r="O244" s="233"/>
      <c r="P244" s="233"/>
      <c r="Q244" s="45"/>
      <c r="R244" s="45"/>
      <c r="S244" s="45"/>
      <c r="T244" s="45"/>
      <c r="U244" s="45"/>
    </row>
    <row r="245" spans="1:21" ht="18.75" x14ac:dyDescent="0.25">
      <c r="A245" s="227"/>
      <c r="B245" s="228"/>
      <c r="C245" s="228"/>
      <c r="D245" s="240" t="s">
        <v>88</v>
      </c>
      <c r="E245" s="229"/>
      <c r="F245" s="229"/>
      <c r="G245" s="230"/>
      <c r="H245" s="241" t="s">
        <v>14</v>
      </c>
      <c r="I245" s="232"/>
      <c r="J245" s="232"/>
      <c r="K245" s="233"/>
      <c r="L245" s="233"/>
      <c r="M245" s="233"/>
      <c r="N245" s="233"/>
      <c r="O245" s="233"/>
      <c r="P245" s="233"/>
      <c r="Q245" s="45"/>
      <c r="R245" s="45"/>
      <c r="S245" s="45"/>
      <c r="T245" s="45"/>
      <c r="U245" s="45"/>
    </row>
    <row r="246" spans="1:21" ht="18.75" x14ac:dyDescent="0.25">
      <c r="A246" s="227"/>
      <c r="B246" s="228"/>
      <c r="C246" s="228"/>
      <c r="D246" s="240" t="s">
        <v>106</v>
      </c>
      <c r="E246" s="229"/>
      <c r="F246" s="229"/>
      <c r="G246" s="230"/>
      <c r="H246" s="241" t="s">
        <v>14</v>
      </c>
      <c r="I246" s="232"/>
      <c r="J246" s="232"/>
      <c r="K246" s="233"/>
      <c r="L246" s="233"/>
      <c r="M246" s="233"/>
      <c r="N246" s="233"/>
      <c r="O246" s="233"/>
      <c r="P246" s="233"/>
      <c r="Q246" s="45"/>
      <c r="R246" s="45"/>
      <c r="S246" s="45"/>
      <c r="T246" s="45"/>
      <c r="U246" s="45"/>
    </row>
    <row r="247" spans="1:21" ht="18.75" x14ac:dyDescent="0.25">
      <c r="A247" s="227"/>
      <c r="B247" s="228"/>
      <c r="C247" s="228"/>
      <c r="D247" s="240" t="s">
        <v>107</v>
      </c>
      <c r="E247" s="229"/>
      <c r="F247" s="229"/>
      <c r="G247" s="230"/>
      <c r="H247" s="241" t="s">
        <v>14</v>
      </c>
      <c r="I247" s="232"/>
      <c r="J247" s="232"/>
      <c r="K247" s="233"/>
      <c r="L247" s="233"/>
      <c r="M247" s="233"/>
      <c r="N247" s="233"/>
      <c r="O247" s="233"/>
      <c r="P247" s="233"/>
      <c r="Q247" s="45"/>
      <c r="R247" s="45"/>
      <c r="S247" s="45"/>
      <c r="T247" s="45"/>
      <c r="U247" s="45"/>
    </row>
    <row r="248" spans="1:21" ht="19.5" x14ac:dyDescent="0.3">
      <c r="A248" s="227"/>
      <c r="B248" s="228"/>
      <c r="C248" s="242" t="s">
        <v>18</v>
      </c>
      <c r="D248" s="243" t="s">
        <v>38</v>
      </c>
      <c r="E248" s="229"/>
      <c r="F248" s="229"/>
      <c r="G248" s="230"/>
      <c r="H248" s="230"/>
      <c r="I248" s="232"/>
      <c r="J248" s="232"/>
      <c r="K248" s="233"/>
      <c r="L248" s="233"/>
      <c r="M248" s="233"/>
      <c r="N248" s="233"/>
      <c r="O248" s="233"/>
      <c r="P248" s="233"/>
      <c r="Q248" s="45"/>
      <c r="R248" s="45"/>
      <c r="S248" s="45"/>
      <c r="T248" s="136"/>
      <c r="U248" s="136"/>
    </row>
    <row r="249" spans="1:21" ht="18.75" x14ac:dyDescent="0.25">
      <c r="A249" s="227"/>
      <c r="B249" s="228"/>
      <c r="C249" s="228"/>
      <c r="D249" s="240" t="s">
        <v>108</v>
      </c>
      <c r="E249" s="229"/>
      <c r="F249" s="229"/>
      <c r="G249" s="230"/>
      <c r="H249" s="244" t="s">
        <v>35</v>
      </c>
      <c r="I249" s="232"/>
      <c r="J249" s="232"/>
      <c r="K249" s="233"/>
      <c r="L249" s="233"/>
      <c r="M249" s="233"/>
      <c r="N249" s="233"/>
      <c r="O249" s="233"/>
      <c r="P249" s="233"/>
      <c r="Q249" s="45"/>
      <c r="R249" s="45"/>
      <c r="S249" s="45"/>
      <c r="T249" s="45"/>
      <c r="U249" s="45"/>
    </row>
    <row r="250" spans="1:21" ht="18.75" x14ac:dyDescent="0.25">
      <c r="A250" s="227"/>
      <c r="B250" s="228"/>
      <c r="C250" s="228"/>
      <c r="D250" s="245" t="s">
        <v>43</v>
      </c>
      <c r="E250" s="229"/>
      <c r="F250" s="229"/>
      <c r="G250" s="230"/>
      <c r="H250" s="230"/>
      <c r="I250" s="232"/>
      <c r="J250" s="232"/>
      <c r="K250" s="233"/>
      <c r="L250" s="233"/>
      <c r="M250" s="233"/>
      <c r="N250" s="233"/>
      <c r="O250" s="233"/>
      <c r="P250" s="233"/>
      <c r="Q250" s="45"/>
      <c r="R250" s="45"/>
      <c r="S250" s="45"/>
      <c r="T250" s="136"/>
      <c r="U250" s="136"/>
    </row>
    <row r="251" spans="1:21" ht="18.75" x14ac:dyDescent="0.25">
      <c r="A251" s="227"/>
      <c r="B251" s="228"/>
      <c r="C251" s="228"/>
      <c r="D251" s="228"/>
      <c r="E251" s="246" t="s">
        <v>109</v>
      </c>
      <c r="F251" s="229"/>
      <c r="G251" s="230"/>
      <c r="H251" s="244" t="s">
        <v>35</v>
      </c>
      <c r="I251" s="232"/>
      <c r="J251" s="232"/>
      <c r="K251" s="233"/>
      <c r="L251" s="233"/>
      <c r="M251" s="233"/>
      <c r="N251" s="233"/>
      <c r="O251" s="233"/>
      <c r="P251" s="233"/>
      <c r="Q251" s="45"/>
      <c r="R251" s="45"/>
      <c r="S251" s="45"/>
      <c r="T251" s="45"/>
      <c r="U251" s="45"/>
    </row>
    <row r="252" spans="1:21" ht="18.75" x14ac:dyDescent="0.25">
      <c r="A252" s="227"/>
      <c r="B252" s="228"/>
      <c r="C252" s="228"/>
      <c r="D252" s="228"/>
      <c r="E252" s="246" t="s">
        <v>110</v>
      </c>
      <c r="F252" s="229"/>
      <c r="G252" s="230"/>
      <c r="H252" s="244" t="s">
        <v>61</v>
      </c>
      <c r="I252" s="232"/>
      <c r="J252" s="232"/>
      <c r="K252" s="233"/>
      <c r="L252" s="233"/>
      <c r="M252" s="233"/>
      <c r="N252" s="233"/>
      <c r="O252" s="233"/>
      <c r="P252" s="233"/>
      <c r="Q252" s="45"/>
      <c r="R252" s="45"/>
      <c r="S252" s="45"/>
      <c r="T252" s="45"/>
      <c r="U252" s="45"/>
    </row>
    <row r="253" spans="1:21" ht="19.5" x14ac:dyDescent="0.3">
      <c r="A253" s="227"/>
      <c r="B253" s="228"/>
      <c r="C253" s="235" t="s">
        <v>112</v>
      </c>
      <c r="D253" s="229"/>
      <c r="E253" s="229"/>
      <c r="F253" s="229"/>
      <c r="G253" s="230"/>
      <c r="H253" s="236" t="s">
        <v>35</v>
      </c>
      <c r="I253" s="232"/>
      <c r="J253" s="232"/>
      <c r="K253" s="233"/>
      <c r="L253" s="233"/>
      <c r="M253" s="233"/>
      <c r="N253" s="233"/>
      <c r="O253" s="233"/>
      <c r="P253" s="233"/>
      <c r="Q253" s="219"/>
      <c r="R253" s="219"/>
      <c r="S253" s="219"/>
      <c r="T253" s="219"/>
      <c r="U253" s="219"/>
    </row>
    <row r="254" spans="1:21" ht="19.5" x14ac:dyDescent="0.3">
      <c r="A254" s="237"/>
      <c r="B254" s="229"/>
      <c r="C254" s="235" t="s">
        <v>18</v>
      </c>
      <c r="D254" s="243" t="s">
        <v>19</v>
      </c>
      <c r="E254" s="229"/>
      <c r="F254" s="229"/>
      <c r="G254" s="230"/>
      <c r="H254" s="239" t="s">
        <v>14</v>
      </c>
      <c r="I254" s="232"/>
      <c r="J254" s="232"/>
      <c r="K254" s="233"/>
      <c r="L254" s="233"/>
      <c r="M254" s="233"/>
      <c r="N254" s="233"/>
      <c r="O254" s="233"/>
      <c r="P254" s="233"/>
      <c r="Q254" s="45"/>
      <c r="R254" s="45"/>
      <c r="S254" s="45"/>
      <c r="T254" s="45"/>
      <c r="U254" s="45"/>
    </row>
    <row r="255" spans="1:21" ht="18.75" x14ac:dyDescent="0.25">
      <c r="A255" s="237"/>
      <c r="B255" s="228"/>
      <c r="C255" s="229"/>
      <c r="D255" s="240" t="s">
        <v>86</v>
      </c>
      <c r="E255" s="229"/>
      <c r="F255" s="229"/>
      <c r="G255" s="230"/>
      <c r="H255" s="241" t="s">
        <v>14</v>
      </c>
      <c r="I255" s="232"/>
      <c r="J255" s="232"/>
      <c r="K255" s="233"/>
      <c r="L255" s="233"/>
      <c r="M255" s="233"/>
      <c r="N255" s="233"/>
      <c r="O255" s="233"/>
      <c r="P255" s="233"/>
      <c r="Q255" s="45"/>
      <c r="R255" s="45"/>
      <c r="S255" s="45"/>
      <c r="T255" s="45"/>
      <c r="U255" s="45"/>
    </row>
    <row r="256" spans="1:21" ht="18.75" x14ac:dyDescent="0.25">
      <c r="A256" s="227"/>
      <c r="B256" s="228"/>
      <c r="C256" s="228"/>
      <c r="D256" s="240" t="s">
        <v>88</v>
      </c>
      <c r="E256" s="229"/>
      <c r="F256" s="229"/>
      <c r="G256" s="230"/>
      <c r="H256" s="241" t="s">
        <v>14</v>
      </c>
      <c r="I256" s="232"/>
      <c r="J256" s="232"/>
      <c r="K256" s="233"/>
      <c r="L256" s="233"/>
      <c r="M256" s="233"/>
      <c r="N256" s="233"/>
      <c r="O256" s="233"/>
      <c r="P256" s="233"/>
      <c r="Q256" s="45"/>
      <c r="R256" s="45"/>
      <c r="S256" s="45"/>
      <c r="T256" s="45"/>
      <c r="U256" s="45"/>
    </row>
    <row r="257" spans="1:21" ht="18.75" x14ac:dyDescent="0.25">
      <c r="A257" s="227"/>
      <c r="B257" s="228"/>
      <c r="C257" s="228"/>
      <c r="D257" s="240" t="s">
        <v>106</v>
      </c>
      <c r="E257" s="229"/>
      <c r="F257" s="229"/>
      <c r="G257" s="230"/>
      <c r="H257" s="241" t="s">
        <v>14</v>
      </c>
      <c r="I257" s="232"/>
      <c r="J257" s="232"/>
      <c r="K257" s="233"/>
      <c r="L257" s="233"/>
      <c r="M257" s="233"/>
      <c r="N257" s="233"/>
      <c r="O257" s="233"/>
      <c r="P257" s="233"/>
      <c r="Q257" s="45"/>
      <c r="R257" s="45"/>
      <c r="S257" s="45"/>
      <c r="T257" s="45"/>
      <c r="U257" s="45"/>
    </row>
    <row r="258" spans="1:21" ht="18.75" x14ac:dyDescent="0.25">
      <c r="A258" s="227"/>
      <c r="B258" s="228"/>
      <c r="C258" s="228"/>
      <c r="D258" s="240" t="s">
        <v>107</v>
      </c>
      <c r="E258" s="229"/>
      <c r="F258" s="229"/>
      <c r="G258" s="230"/>
      <c r="H258" s="241" t="s">
        <v>14</v>
      </c>
      <c r="I258" s="232"/>
      <c r="J258" s="232"/>
      <c r="K258" s="233"/>
      <c r="L258" s="233"/>
      <c r="M258" s="233"/>
      <c r="N258" s="233"/>
      <c r="O258" s="233"/>
      <c r="P258" s="233"/>
      <c r="Q258" s="45"/>
      <c r="R258" s="45"/>
      <c r="S258" s="45"/>
      <c r="T258" s="45"/>
      <c r="U258" s="45"/>
    </row>
    <row r="259" spans="1:21" ht="19.5" x14ac:dyDescent="0.3">
      <c r="A259" s="227"/>
      <c r="B259" s="228"/>
      <c r="C259" s="242" t="s">
        <v>18</v>
      </c>
      <c r="D259" s="243" t="s">
        <v>38</v>
      </c>
      <c r="E259" s="229"/>
      <c r="F259" s="229"/>
      <c r="G259" s="230"/>
      <c r="H259" s="230"/>
      <c r="I259" s="232"/>
      <c r="J259" s="232"/>
      <c r="K259" s="233"/>
      <c r="L259" s="233"/>
      <c r="M259" s="233"/>
      <c r="N259" s="233"/>
      <c r="O259" s="233"/>
      <c r="P259" s="233"/>
      <c r="Q259" s="45"/>
      <c r="R259" s="45"/>
      <c r="S259" s="45"/>
      <c r="T259" s="136"/>
      <c r="U259" s="136"/>
    </row>
    <row r="260" spans="1:21" ht="18.75" x14ac:dyDescent="0.25">
      <c r="A260" s="227"/>
      <c r="B260" s="228"/>
      <c r="C260" s="228"/>
      <c r="D260" s="240" t="s">
        <v>108</v>
      </c>
      <c r="E260" s="229"/>
      <c r="F260" s="229"/>
      <c r="G260" s="230"/>
      <c r="H260" s="244" t="s">
        <v>35</v>
      </c>
      <c r="I260" s="232"/>
      <c r="J260" s="232"/>
      <c r="K260" s="233"/>
      <c r="L260" s="233"/>
      <c r="M260" s="233"/>
      <c r="N260" s="233"/>
      <c r="O260" s="233"/>
      <c r="P260" s="233"/>
      <c r="Q260" s="45"/>
      <c r="R260" s="45"/>
      <c r="S260" s="45"/>
      <c r="T260" s="45"/>
      <c r="U260" s="45"/>
    </row>
    <row r="261" spans="1:21" ht="18.75" x14ac:dyDescent="0.25">
      <c r="A261" s="227"/>
      <c r="B261" s="228"/>
      <c r="C261" s="228"/>
      <c r="D261" s="245" t="s">
        <v>43</v>
      </c>
      <c r="E261" s="229"/>
      <c r="F261" s="229"/>
      <c r="G261" s="230"/>
      <c r="H261" s="230"/>
      <c r="I261" s="232"/>
      <c r="J261" s="232"/>
      <c r="K261" s="233"/>
      <c r="L261" s="233"/>
      <c r="M261" s="233"/>
      <c r="N261" s="233"/>
      <c r="O261" s="233"/>
      <c r="P261" s="233"/>
      <c r="Q261" s="45"/>
      <c r="R261" s="45"/>
      <c r="S261" s="45"/>
      <c r="T261" s="136"/>
      <c r="U261" s="136"/>
    </row>
    <row r="262" spans="1:21" ht="18.75" x14ac:dyDescent="0.25">
      <c r="A262" s="227"/>
      <c r="B262" s="228"/>
      <c r="C262" s="228"/>
      <c r="D262" s="228"/>
      <c r="E262" s="246" t="s">
        <v>109</v>
      </c>
      <c r="F262" s="229"/>
      <c r="G262" s="230"/>
      <c r="H262" s="244" t="s">
        <v>35</v>
      </c>
      <c r="I262" s="232"/>
      <c r="J262" s="232"/>
      <c r="K262" s="233"/>
      <c r="L262" s="233"/>
      <c r="M262" s="233"/>
      <c r="N262" s="233"/>
      <c r="O262" s="233"/>
      <c r="P262" s="233"/>
      <c r="Q262" s="45"/>
      <c r="R262" s="45"/>
      <c r="S262" s="45"/>
      <c r="T262" s="45"/>
      <c r="U262" s="45"/>
    </row>
    <row r="263" spans="1:21" ht="18.75" x14ac:dyDescent="0.25">
      <c r="A263" s="227"/>
      <c r="B263" s="228"/>
      <c r="C263" s="228"/>
      <c r="D263" s="228"/>
      <c r="E263" s="246" t="s">
        <v>110</v>
      </c>
      <c r="F263" s="229"/>
      <c r="G263" s="230"/>
      <c r="H263" s="244" t="s">
        <v>61</v>
      </c>
      <c r="I263" s="232"/>
      <c r="J263" s="232"/>
      <c r="K263" s="233"/>
      <c r="L263" s="233"/>
      <c r="M263" s="233"/>
      <c r="N263" s="233"/>
      <c r="O263" s="233"/>
      <c r="P263" s="233"/>
      <c r="Q263" s="45"/>
      <c r="R263" s="45"/>
      <c r="S263" s="45"/>
      <c r="T263" s="45"/>
      <c r="U263" s="45"/>
    </row>
    <row r="264" spans="1:21" ht="19.5" x14ac:dyDescent="0.3">
      <c r="A264" s="195" t="s">
        <v>113</v>
      </c>
      <c r="B264" s="196"/>
      <c r="C264" s="196"/>
      <c r="D264" s="197"/>
      <c r="E264" s="197"/>
      <c r="F264" s="197"/>
      <c r="G264" s="198"/>
      <c r="H264" s="198"/>
      <c r="I264" s="199"/>
      <c r="J264" s="199"/>
      <c r="K264" s="200"/>
      <c r="L264" s="200"/>
      <c r="M264" s="200"/>
      <c r="N264" s="200"/>
      <c r="O264" s="200"/>
      <c r="P264" s="200"/>
      <c r="Q264" s="200"/>
      <c r="R264" s="200"/>
      <c r="S264" s="200"/>
      <c r="T264" s="200"/>
      <c r="U264" s="200"/>
    </row>
    <row r="265" spans="1:21" ht="19.5" x14ac:dyDescent="0.3">
      <c r="A265" s="201"/>
      <c r="B265" s="202" t="s">
        <v>114</v>
      </c>
      <c r="C265" s="203"/>
      <c r="D265" s="141"/>
      <c r="E265" s="141"/>
      <c r="F265" s="141"/>
      <c r="G265" s="142"/>
      <c r="H265" s="204" t="s">
        <v>35</v>
      </c>
      <c r="I265" s="205">
        <f ca="1">IFERROR(__xludf.DUMMYFUNCTION("IMPORTRANGE(""https://docs.google.com/spreadsheets/d/1jTcq05yEiRwXcBMLjiodW9e4biSGYWAHcDj22rKWQ3s/edit?usp=sharing"",""กำแพงเพชร!I265"")+IMPORTRANGE(""https://docs.google.com/spreadsheets/d/1KS0zmDSZPk8KnTAbGN-Xk6MtX1YRZD0ldgdt20K4CRk/edit?usp=sharing"","&amp;"""เชียงราย!I265"")+IMPORTRANGE(""https://docs.google.com/spreadsheets/d/1rEDxBtusbi64tE0zunoIbsTVV16HeL0oJ6trHQeQ7K8/edit?usp=sharing"",""เชียงใหม่!I265"")+IMPORTRANGE(""https://docs.google.com/spreadsheets/d/1W6MnUbDkMi6xHnHko_XkFDO9kkuL6Wqyc-6OCDFjW9I/e"&amp;"dit?usp=sharing"",""ตาก!I265"")+IMPORTRANGE(""https://docs.google.com/spreadsheets/d/1IQAWArduLkta9LpYo4a_ULsyqdta6-6aDDiwpUnQT6c/edit?usp=sharing"",""นครสวรรค์!I265"")+IMPORTRANGE(""https://docs.google.com/spreadsheets/d/10s13Sk5xrltsiR-Zkbmk5DwIaDIKO8Xl"&amp;"bJAfqyT7Gvg/edit?usp=sharing"",""น่าน!I265"")+IMPORTRANGE(""https://docs.google.com/spreadsheets/d/1uu4nAn4Dbi1XREnLKKotUANlKXa7yCgRcgq8HEzQYW8/edit?usp=sharing"",""พะเยา!I265"")+IMPORTRANGE(""https://docs.google.com/spreadsheets/d/1xfJKIQxVOaPDIICqsflNlL"&amp;"u3JacTDk1FP9RH4phX7mI/edit?usp=sharing"",""พิจิตร!I265"")+IMPORTRANGE(""https://docs.google.com/spreadsheets/d/1JtRfZkJMHtEhI5RdRHxYUG4FIZHqKDpNyIuN7A1Q0_k/edit?usp=sharing"",""พิษณุโลก!I265"")+IMPORTRANGE(""https://docs.google.com/spreadsheets/d/1xlcVZWU"&amp;"Nn6SuWm0c307h32SiGkd9BaeQWlAktfD3KO8/edit?usp=sharing"",""เพชรบูรณ์!I265"")+IMPORTRANGE(""https://docs.google.com/spreadsheets/d/1lOVebEIsI9qjGXl6EX66luk7wiuP2tBaryw-wKvv4e0/edit?usp=sharing"",""แพร่!I265"")+IMPORTRANGE(""https://docs.google.com/spreadshe"&amp;"ets/d/1dQrvX0vEcN7Gu0fnZ0B5S90AeR19zth4XlExFBeExMY/edit?usp=sharing"",""แม่ฮ่องสอน!I265"")+IMPORTRANGE(""https://docs.google.com/spreadsheets/d/1DY4XTNNwjluuxqdfdn6qvOSlMRrZqUtmYcZR0ttFiG4/edit?usp=sharing"",""ลำปาง!I265"")+IMPORTRANGE(""https://docs.goog"&amp;"le.com/spreadsheets/d/1ICwG78r0OFT8biBlxnBF8r7she7gNSzOvJ958PWT09c/edit?usp=sharing"",""ลำพูน!I265"")+IMPORTRANGE(""https://docs.google.com/spreadsheets/d/1B0f2xJpZUC6Z0xXnqKlZtEPzsf6L84eP1r1Q15seqRM/edit?usp=sharing"",""สุโขทัย!I265"")+IMPORTRANGE(""http"&amp;"s://docs.google.com/spreadsheets/d/1v0b9pFQCsKUVExMei7AgY2yQkdeNQvtOssygGsXbiKo/edit?usp=sharing"",""อุตรดิตถ์!I265"")+IMPORTRANGE(""https://docs.google.com/spreadsheets/d/1UsNK1e-WWiCo2PvGqdNfdme4m17_Ezd3J69EeeiQPD0/edit?usp=sharing"",""อุทัยธานี!I265"")"),384)</f>
        <v>384</v>
      </c>
      <c r="J265" s="205">
        <f ca="1">IFERROR(__xludf.DUMMYFUNCTION("IMPORTRANGE(""https://docs.google.com/spreadsheets/d/1jTcq05yEiRwXcBMLjiodW9e4biSGYWAHcDj22rKWQ3s/edit?usp=sharing"",""กำแพงเพชร!J265"")+IMPORTRANGE(""https://docs.google.com/spreadsheets/d/1KS0zmDSZPk8KnTAbGN-Xk6MtX1YRZD0ldgdt20K4CRk/edit?usp=sharing"","&amp;"""เชียงราย!J265"")+IMPORTRANGE(""https://docs.google.com/spreadsheets/d/1rEDxBtusbi64tE0zunoIbsTVV16HeL0oJ6trHQeQ7K8/edit?usp=sharing"",""เชียงใหม่!J265"")+IMPORTRANGE(""https://docs.google.com/spreadsheets/d/1W6MnUbDkMi6xHnHko_XkFDO9kkuL6Wqyc-6OCDFjW9I/e"&amp;"dit?usp=sharing"",""ตาก!J265"")+IMPORTRANGE(""https://docs.google.com/spreadsheets/d/1IQAWArduLkta9LpYo4a_ULsyqdta6-6aDDiwpUnQT6c/edit?usp=sharing"",""นครสวรรค์!J265"")+IMPORTRANGE(""https://docs.google.com/spreadsheets/d/10s13Sk5xrltsiR-Zkbmk5DwIaDIKO8Xl"&amp;"bJAfqyT7Gvg/edit?usp=sharing"",""น่าน!J265"")+IMPORTRANGE(""https://docs.google.com/spreadsheets/d/1uu4nAn4Dbi1XREnLKKotUANlKXa7yCgRcgq8HEzQYW8/edit?usp=sharing"",""พะเยา!J265"")+IMPORTRANGE(""https://docs.google.com/spreadsheets/d/1xfJKIQxVOaPDIICqsflNlL"&amp;"u3JacTDk1FP9RH4phX7mI/edit?usp=sharing"",""พิจิตร!J265"")+IMPORTRANGE(""https://docs.google.com/spreadsheets/d/1JtRfZkJMHtEhI5RdRHxYUG4FIZHqKDpNyIuN7A1Q0_k/edit?usp=sharing"",""พิษณุโลก!J265"")+IMPORTRANGE(""https://docs.google.com/spreadsheets/d/1xlcVZWU"&amp;"Nn6SuWm0c307h32SiGkd9BaeQWlAktfD3KO8/edit?usp=sharing"",""เพชรบูรณ์!J265"")+IMPORTRANGE(""https://docs.google.com/spreadsheets/d/1lOVebEIsI9qjGXl6EX66luk7wiuP2tBaryw-wKvv4e0/edit?usp=sharing"",""แพร่!J265"")+IMPORTRANGE(""https://docs.google.com/spreadshe"&amp;"ets/d/1dQrvX0vEcN7Gu0fnZ0B5S90AeR19zth4XlExFBeExMY/edit?usp=sharing"",""แม่ฮ่องสอน!J265"")+IMPORTRANGE(""https://docs.google.com/spreadsheets/d/1DY4XTNNwjluuxqdfdn6qvOSlMRrZqUtmYcZR0ttFiG4/edit?usp=sharing"",""ลำปาง!J265"")+IMPORTRANGE(""https://docs.goog"&amp;"le.com/spreadsheets/d/1ICwG78r0OFT8biBlxnBF8r7she7gNSzOvJ958PWT09c/edit?usp=sharing"",""ลำพูน!J265"")+IMPORTRANGE(""https://docs.google.com/spreadsheets/d/1B0f2xJpZUC6Z0xXnqKlZtEPzsf6L84eP1r1Q15seqRM/edit?usp=sharing"",""สุโขทัย!J265"")+IMPORTRANGE(""http"&amp;"s://docs.google.com/spreadsheets/d/1v0b9pFQCsKUVExMei7AgY2yQkdeNQvtOssygGsXbiKo/edit?usp=sharing"",""อุตรดิตถ์!J265"")+IMPORTRANGE(""https://docs.google.com/spreadsheets/d/1UsNK1e-WWiCo2PvGqdNfdme4m17_Ezd3J69EeeiQPD0/edit?usp=sharing"",""อุทัยธานี!J265"")"),202)</f>
        <v>202</v>
      </c>
      <c r="K265" s="206">
        <f ca="1">IF(I265&gt;0,J265*100/I265,0)</f>
        <v>52.604166666666664</v>
      </c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</row>
    <row r="266" spans="1:21" ht="19.5" x14ac:dyDescent="0.3">
      <c r="A266" s="128"/>
      <c r="B266" s="40"/>
      <c r="C266" s="129" t="s">
        <v>18</v>
      </c>
      <c r="D266" s="130" t="s">
        <v>19</v>
      </c>
      <c r="E266" s="40"/>
      <c r="F266" s="40"/>
      <c r="G266" s="42"/>
      <c r="H266" s="131" t="s">
        <v>14</v>
      </c>
      <c r="I266" s="44"/>
      <c r="J266" s="44"/>
      <c r="K266" s="45"/>
      <c r="L266" s="132">
        <f t="shared" ref="L266:N266" ca="1" si="188">L267+L268</f>
        <v>0</v>
      </c>
      <c r="M266" s="132">
        <f t="shared" ca="1" si="188"/>
        <v>85000</v>
      </c>
      <c r="N266" s="132">
        <f t="shared" ca="1" si="188"/>
        <v>25000</v>
      </c>
      <c r="O266" s="132">
        <f t="shared" ref="O266:O274" ca="1" si="189">IF(L266&gt;0,N266*100/L266,0)</f>
        <v>0</v>
      </c>
      <c r="P266" s="132">
        <f t="shared" ref="P266:P274" ca="1" si="190">IF(M266&gt;0,N266*100/M266,0)</f>
        <v>29.411764705882351</v>
      </c>
      <c r="Q266" s="132">
        <f t="shared" ref="Q266:S266" ca="1" si="191">Q267+Q268</f>
        <v>875120</v>
      </c>
      <c r="R266" s="132">
        <f t="shared" ca="1" si="191"/>
        <v>875120</v>
      </c>
      <c r="S266" s="132">
        <f t="shared" ca="1" si="191"/>
        <v>309897.5</v>
      </c>
      <c r="T266" s="132">
        <f t="shared" ref="T266:T274" ca="1" si="192">IF(Q266&gt;0,S266*100/Q266,0)</f>
        <v>35.412000639912243</v>
      </c>
      <c r="U266" s="132">
        <f t="shared" ref="U266:U274" ca="1" si="193">IF(R266&gt;0,S266*100/R266,0)</f>
        <v>35.412000639912243</v>
      </c>
    </row>
    <row r="267" spans="1:21" ht="18.75" x14ac:dyDescent="0.25">
      <c r="A267" s="128"/>
      <c r="B267" s="40"/>
      <c r="C267" s="40"/>
      <c r="D267" s="40"/>
      <c r="E267" s="47" t="s">
        <v>20</v>
      </c>
      <c r="F267" s="40"/>
      <c r="G267" s="42"/>
      <c r="H267" s="133" t="s">
        <v>14</v>
      </c>
      <c r="I267" s="44"/>
      <c r="J267" s="44"/>
      <c r="K267" s="45"/>
      <c r="L267" s="46">
        <f t="shared" ref="L267:N267" ca="1" si="194">L270+L273</f>
        <v>0</v>
      </c>
      <c r="M267" s="46">
        <f t="shared" ca="1" si="194"/>
        <v>0</v>
      </c>
      <c r="N267" s="46">
        <f t="shared" ca="1" si="194"/>
        <v>0</v>
      </c>
      <c r="O267" s="46">
        <f t="shared" ca="1" si="189"/>
        <v>0</v>
      </c>
      <c r="P267" s="46">
        <f t="shared" ca="1" si="190"/>
        <v>0</v>
      </c>
      <c r="Q267" s="48">
        <f t="shared" ref="Q267:S267" ca="1" si="195">Q270+Q273</f>
        <v>0</v>
      </c>
      <c r="R267" s="48">
        <f t="shared" ca="1" si="195"/>
        <v>0</v>
      </c>
      <c r="S267" s="48">
        <f t="shared" ca="1" si="195"/>
        <v>0</v>
      </c>
      <c r="T267" s="48">
        <f t="shared" ca="1" si="192"/>
        <v>0</v>
      </c>
      <c r="U267" s="48">
        <f t="shared" ca="1" si="193"/>
        <v>0</v>
      </c>
    </row>
    <row r="268" spans="1:21" ht="18.75" x14ac:dyDescent="0.25">
      <c r="A268" s="128"/>
      <c r="B268" s="40"/>
      <c r="C268" s="40"/>
      <c r="D268" s="40"/>
      <c r="E268" s="47" t="s">
        <v>21</v>
      </c>
      <c r="F268" s="40"/>
      <c r="G268" s="42"/>
      <c r="H268" s="133" t="s">
        <v>14</v>
      </c>
      <c r="I268" s="44"/>
      <c r="J268" s="44"/>
      <c r="K268" s="45"/>
      <c r="L268" s="46">
        <f t="shared" ref="L268:N268" ca="1" si="196">L271+L274</f>
        <v>0</v>
      </c>
      <c r="M268" s="46">
        <f t="shared" ca="1" si="196"/>
        <v>85000</v>
      </c>
      <c r="N268" s="46">
        <f t="shared" ca="1" si="196"/>
        <v>25000</v>
      </c>
      <c r="O268" s="46">
        <f t="shared" ca="1" si="189"/>
        <v>0</v>
      </c>
      <c r="P268" s="46">
        <f t="shared" ca="1" si="190"/>
        <v>29.411764705882351</v>
      </c>
      <c r="Q268" s="46">
        <f t="shared" ref="Q268:S268" ca="1" si="197">Q271+Q274</f>
        <v>875120</v>
      </c>
      <c r="R268" s="46">
        <f t="shared" ca="1" si="197"/>
        <v>875120</v>
      </c>
      <c r="S268" s="46">
        <f t="shared" ca="1" si="197"/>
        <v>309897.5</v>
      </c>
      <c r="T268" s="46">
        <f t="shared" ca="1" si="192"/>
        <v>35.412000639912243</v>
      </c>
      <c r="U268" s="46">
        <f t="shared" ca="1" si="193"/>
        <v>35.412000639912243</v>
      </c>
    </row>
    <row r="269" spans="1:21" ht="18.75" x14ac:dyDescent="0.25">
      <c r="A269" s="128"/>
      <c r="B269" s="40"/>
      <c r="C269" s="40"/>
      <c r="D269" s="41" t="s">
        <v>22</v>
      </c>
      <c r="E269" s="40"/>
      <c r="F269" s="40"/>
      <c r="G269" s="42"/>
      <c r="H269" s="134" t="s">
        <v>14</v>
      </c>
      <c r="I269" s="135"/>
      <c r="J269" s="135"/>
      <c r="K269" s="136"/>
      <c r="L269" s="46">
        <f t="shared" ref="L269:N269" ca="1" si="198">L270+L271</f>
        <v>0</v>
      </c>
      <c r="M269" s="46">
        <f t="shared" ca="1" si="198"/>
        <v>85000</v>
      </c>
      <c r="N269" s="46">
        <f t="shared" ca="1" si="198"/>
        <v>25000</v>
      </c>
      <c r="O269" s="46">
        <f t="shared" ca="1" si="189"/>
        <v>0</v>
      </c>
      <c r="P269" s="46">
        <f t="shared" ca="1" si="190"/>
        <v>29.411764705882351</v>
      </c>
      <c r="Q269" s="46">
        <f t="shared" ref="Q269:S269" ca="1" si="199">Q270+Q271</f>
        <v>875120</v>
      </c>
      <c r="R269" s="46">
        <f t="shared" ca="1" si="199"/>
        <v>875120</v>
      </c>
      <c r="S269" s="46">
        <f t="shared" ca="1" si="199"/>
        <v>309897.5</v>
      </c>
      <c r="T269" s="46">
        <f t="shared" ca="1" si="192"/>
        <v>35.412000639912243</v>
      </c>
      <c r="U269" s="46">
        <f t="shared" ca="1" si="193"/>
        <v>35.412000639912243</v>
      </c>
    </row>
    <row r="270" spans="1:21" ht="18.75" x14ac:dyDescent="0.25">
      <c r="A270" s="128"/>
      <c r="B270" s="40"/>
      <c r="C270" s="40"/>
      <c r="D270" s="40"/>
      <c r="E270" s="47" t="s">
        <v>36</v>
      </c>
      <c r="F270" s="40"/>
      <c r="G270" s="42"/>
      <c r="H270" s="134" t="s">
        <v>14</v>
      </c>
      <c r="I270" s="135"/>
      <c r="J270" s="135"/>
      <c r="K270" s="136"/>
      <c r="L270" s="46">
        <f ca="1">IFERROR(__xludf.DUMMYFUNCTION("IMPORTRANGE(""https://docs.google.com/spreadsheets/d/1jTcq05yEiRwXcBMLjiodW9e4biSGYWAHcDj22rKWQ3s/edit?usp=sharing"",""กำแพงเพชร!L270"")+IMPORTRANGE(""https://docs.google.com/spreadsheets/d/1KS0zmDSZPk8KnTAbGN-Xk6MtX1YRZD0ldgdt20K4CRk/edit?usp=sharing"","&amp;"""เชียงราย!L270"")+IMPORTRANGE(""https://docs.google.com/spreadsheets/d/1rEDxBtusbi64tE0zunoIbsTVV16HeL0oJ6trHQeQ7K8/edit?usp=sharing"",""เชียงใหม่!L270"")+IMPORTRANGE(""https://docs.google.com/spreadsheets/d/1W6MnUbDkMi6xHnHko_XkFDO9kkuL6Wqyc-6OCDFjW9I/e"&amp;"dit?usp=sharing"",""ตาก!L270"")+IMPORTRANGE(""https://docs.google.com/spreadsheets/d/1IQAWArduLkta9LpYo4a_ULsyqdta6-6aDDiwpUnQT6c/edit?usp=sharing"",""นครสวรรค์!L270"")+IMPORTRANGE(""https://docs.google.com/spreadsheets/d/10s13Sk5xrltsiR-Zkbmk5DwIaDIKO8Xl"&amp;"bJAfqyT7Gvg/edit?usp=sharing"",""น่าน!L270"")+IMPORTRANGE(""https://docs.google.com/spreadsheets/d/1uu4nAn4Dbi1XREnLKKotUANlKXa7yCgRcgq8HEzQYW8/edit?usp=sharing"",""พะเยา!L270"")+IMPORTRANGE(""https://docs.google.com/spreadsheets/d/1xfJKIQxVOaPDIICqsflNlL"&amp;"u3JacTDk1FP9RH4phX7mI/edit?usp=sharing"",""พิจิตร!L270"")+IMPORTRANGE(""https://docs.google.com/spreadsheets/d/1JtRfZkJMHtEhI5RdRHxYUG4FIZHqKDpNyIuN7A1Q0_k/edit?usp=sharing"",""พิษณุโลก!L270"")+IMPORTRANGE(""https://docs.google.com/spreadsheets/d/1xlcVZWU"&amp;"Nn6SuWm0c307h32SiGkd9BaeQWlAktfD3KO8/edit?usp=sharing"",""เพชรบูรณ์!L270"")+IMPORTRANGE(""https://docs.google.com/spreadsheets/d/1lOVebEIsI9qjGXl6EX66luk7wiuP2tBaryw-wKvv4e0/edit?usp=sharing"",""แพร่!L270"")+IMPORTRANGE(""https://docs.google.com/spreadshe"&amp;"ets/d/1dQrvX0vEcN7Gu0fnZ0B5S90AeR19zth4XlExFBeExMY/edit?usp=sharing"",""แม่ฮ่องสอน!L270"")+IMPORTRANGE(""https://docs.google.com/spreadsheets/d/1DY4XTNNwjluuxqdfdn6qvOSlMRrZqUtmYcZR0ttFiG4/edit?usp=sharing"",""ลำปาง!L270"")+IMPORTRANGE(""https://docs.goog"&amp;"le.com/spreadsheets/d/1ICwG78r0OFT8biBlxnBF8r7she7gNSzOvJ958PWT09c/edit?usp=sharing"",""ลำพูน!L270"")+IMPORTRANGE(""https://docs.google.com/spreadsheets/d/1B0f2xJpZUC6Z0xXnqKlZtEPzsf6L84eP1r1Q15seqRM/edit?usp=sharing"",""สุโขทัย!L270"")+IMPORTRANGE(""http"&amp;"s://docs.google.com/spreadsheets/d/1v0b9pFQCsKUVExMei7AgY2yQkdeNQvtOssygGsXbiKo/edit?usp=sharing"",""อุตรดิตถ์!L270"")+IMPORTRANGE(""https://docs.google.com/spreadsheets/d/1UsNK1e-WWiCo2PvGqdNfdme4m17_Ezd3J69EeeiQPD0/edit?usp=sharing"",""อุทัยธานี!L270"")"),0)</f>
        <v>0</v>
      </c>
      <c r="M270" s="46">
        <f ca="1">IFERROR(__xludf.DUMMYFUNCTION("IMPORTRANGE(""https://docs.google.com/spreadsheets/d/1jTcq05yEiRwXcBMLjiodW9e4biSGYWAHcDj22rKWQ3s/edit?usp=sharing"",""กำแพงเพชร!M270"")+IMPORTRANGE(""https://docs.google.com/spreadsheets/d/1KS0zmDSZPk8KnTAbGN-Xk6MtX1YRZD0ldgdt20K4CRk/edit?usp=sharing"","&amp;"""เชียงราย!M270"")+IMPORTRANGE(""https://docs.google.com/spreadsheets/d/1rEDxBtusbi64tE0zunoIbsTVV16HeL0oJ6trHQeQ7K8/edit?usp=sharing"",""เชียงใหม่!M270"")+IMPORTRANGE(""https://docs.google.com/spreadsheets/d/1W6MnUbDkMi6xHnHko_XkFDO9kkuL6Wqyc-6OCDFjW9I/e"&amp;"dit?usp=sharing"",""ตาก!M270"")+IMPORTRANGE(""https://docs.google.com/spreadsheets/d/1IQAWArduLkta9LpYo4a_ULsyqdta6-6aDDiwpUnQT6c/edit?usp=sharing"",""นครสวรรค์!M270"")+IMPORTRANGE(""https://docs.google.com/spreadsheets/d/10s13Sk5xrltsiR-Zkbmk5DwIaDIKO8Xl"&amp;"bJAfqyT7Gvg/edit?usp=sharing"",""น่าน!M270"")+IMPORTRANGE(""https://docs.google.com/spreadsheets/d/1uu4nAn4Dbi1XREnLKKotUANlKXa7yCgRcgq8HEzQYW8/edit?usp=sharing"",""พะเยา!M270"")+IMPORTRANGE(""https://docs.google.com/spreadsheets/d/1xfJKIQxVOaPDIICqsflNlL"&amp;"u3JacTDk1FP9RH4phX7mI/edit?usp=sharing"",""พิจิตร!M270"")+IMPORTRANGE(""https://docs.google.com/spreadsheets/d/1JtRfZkJMHtEhI5RdRHxYUG4FIZHqKDpNyIuN7A1Q0_k/edit?usp=sharing"",""พิษณุโลก!M270"")+IMPORTRANGE(""https://docs.google.com/spreadsheets/d/1xlcVZWU"&amp;"Nn6SuWm0c307h32SiGkd9BaeQWlAktfD3KO8/edit?usp=sharing"",""เพชรบูรณ์!M270"")+IMPORTRANGE(""https://docs.google.com/spreadsheets/d/1lOVebEIsI9qjGXl6EX66luk7wiuP2tBaryw-wKvv4e0/edit?usp=sharing"",""แพร่!M270"")+IMPORTRANGE(""https://docs.google.com/spreadshe"&amp;"ets/d/1dQrvX0vEcN7Gu0fnZ0B5S90AeR19zth4XlExFBeExMY/edit?usp=sharing"",""แม่ฮ่องสอน!M270"")+IMPORTRANGE(""https://docs.google.com/spreadsheets/d/1DY4XTNNwjluuxqdfdn6qvOSlMRrZqUtmYcZR0ttFiG4/edit?usp=sharing"",""ลำปาง!M270"")+IMPORTRANGE(""https://docs.goog"&amp;"le.com/spreadsheets/d/1ICwG78r0OFT8biBlxnBF8r7she7gNSzOvJ958PWT09c/edit?usp=sharing"",""ลำพูน!M270"")+IMPORTRANGE(""https://docs.google.com/spreadsheets/d/1B0f2xJpZUC6Z0xXnqKlZtEPzsf6L84eP1r1Q15seqRM/edit?usp=sharing"",""สุโขทัย!M270"")+IMPORTRANGE(""http"&amp;"s://docs.google.com/spreadsheets/d/1v0b9pFQCsKUVExMei7AgY2yQkdeNQvtOssygGsXbiKo/edit?usp=sharing"",""อุตรดิตถ์!M270"")+IMPORTRANGE(""https://docs.google.com/spreadsheets/d/1UsNK1e-WWiCo2PvGqdNfdme4m17_Ezd3J69EeeiQPD0/edit?usp=sharing"",""อุทัยธานี!M270"")"),0)</f>
        <v>0</v>
      </c>
      <c r="N270" s="46">
        <f ca="1">IFERROR(__xludf.DUMMYFUNCTION("IMPORTRANGE(""https://docs.google.com/spreadsheets/d/1jTcq05yEiRwXcBMLjiodW9e4biSGYWAHcDj22rKWQ3s/edit?usp=sharing"",""กำแพงเพชร!N270"")+IMPORTRANGE(""https://docs.google.com/spreadsheets/d/1KS0zmDSZPk8KnTAbGN-Xk6MtX1YRZD0ldgdt20K4CRk/edit?usp=sharing"","&amp;"""เชียงราย!N270"")+IMPORTRANGE(""https://docs.google.com/spreadsheets/d/1rEDxBtusbi64tE0zunoIbsTVV16HeL0oJ6trHQeQ7K8/edit?usp=sharing"",""เชียงใหม่!N270"")+IMPORTRANGE(""https://docs.google.com/spreadsheets/d/1W6MnUbDkMi6xHnHko_XkFDO9kkuL6Wqyc-6OCDFjW9I/e"&amp;"dit?usp=sharing"",""ตาก!N270"")+IMPORTRANGE(""https://docs.google.com/spreadsheets/d/1IQAWArduLkta9LpYo4a_ULsyqdta6-6aDDiwpUnQT6c/edit?usp=sharing"",""นครสวรรค์!N270"")+IMPORTRANGE(""https://docs.google.com/spreadsheets/d/10s13Sk5xrltsiR-Zkbmk5DwIaDIKO8Xl"&amp;"bJAfqyT7Gvg/edit?usp=sharing"",""น่าน!N270"")+IMPORTRANGE(""https://docs.google.com/spreadsheets/d/1uu4nAn4Dbi1XREnLKKotUANlKXa7yCgRcgq8HEzQYW8/edit?usp=sharing"",""พะเยา!N270"")+IMPORTRANGE(""https://docs.google.com/spreadsheets/d/1xfJKIQxVOaPDIICqsflNlL"&amp;"u3JacTDk1FP9RH4phX7mI/edit?usp=sharing"",""พิจิตร!N270"")+IMPORTRANGE(""https://docs.google.com/spreadsheets/d/1JtRfZkJMHtEhI5RdRHxYUG4FIZHqKDpNyIuN7A1Q0_k/edit?usp=sharing"",""พิษณุโลก!N270"")+IMPORTRANGE(""https://docs.google.com/spreadsheets/d/1xlcVZWU"&amp;"Nn6SuWm0c307h32SiGkd9BaeQWlAktfD3KO8/edit?usp=sharing"",""เพชรบูรณ์!N270"")+IMPORTRANGE(""https://docs.google.com/spreadsheets/d/1lOVebEIsI9qjGXl6EX66luk7wiuP2tBaryw-wKvv4e0/edit?usp=sharing"",""แพร่!N270"")+IMPORTRANGE(""https://docs.google.com/spreadshe"&amp;"ets/d/1dQrvX0vEcN7Gu0fnZ0B5S90AeR19zth4XlExFBeExMY/edit?usp=sharing"",""แม่ฮ่องสอน!N270"")+IMPORTRANGE(""https://docs.google.com/spreadsheets/d/1DY4XTNNwjluuxqdfdn6qvOSlMRrZqUtmYcZR0ttFiG4/edit?usp=sharing"",""ลำปาง!N270"")+IMPORTRANGE(""https://docs.goog"&amp;"le.com/spreadsheets/d/1ICwG78r0OFT8biBlxnBF8r7she7gNSzOvJ958PWT09c/edit?usp=sharing"",""ลำพูน!N270"")+IMPORTRANGE(""https://docs.google.com/spreadsheets/d/1B0f2xJpZUC6Z0xXnqKlZtEPzsf6L84eP1r1Q15seqRM/edit?usp=sharing"",""สุโขทัย!N270"")+IMPORTRANGE(""http"&amp;"s://docs.google.com/spreadsheets/d/1v0b9pFQCsKUVExMei7AgY2yQkdeNQvtOssygGsXbiKo/edit?usp=sharing"",""อุตรดิตถ์!N270"")+IMPORTRANGE(""https://docs.google.com/spreadsheets/d/1UsNK1e-WWiCo2PvGqdNfdme4m17_Ezd3J69EeeiQPD0/edit?usp=sharing"",""อุทัยธานี!N270"")"),0)</f>
        <v>0</v>
      </c>
      <c r="O270" s="46">
        <f t="shared" ca="1" si="189"/>
        <v>0</v>
      </c>
      <c r="P270" s="46">
        <f t="shared" ca="1" si="190"/>
        <v>0</v>
      </c>
      <c r="Q270" s="48">
        <f ca="1">IFERROR(__xludf.DUMMYFUNCTION("IMPORTRANGE(""https://docs.google.com/spreadsheets/d/1jTcq05yEiRwXcBMLjiodW9e4biSGYWAHcDj22rKWQ3s/edit?usp=sharing"",""กำแพงเพชร!Q270"")+IMPORTRANGE(""https://docs.google.com/spreadsheets/d/1KS0zmDSZPk8KnTAbGN-Xk6MtX1YRZD0ldgdt20K4CRk/edit?usp=sharing"","&amp;"""เชียงราย!Q270"")+IMPORTRANGE(""https://docs.google.com/spreadsheets/d/1rEDxBtusbi64tE0zunoIbsTVV16HeL0oJ6trHQeQ7K8/edit?usp=sharing"",""เชียงใหม่!Q270"")+IMPORTRANGE(""https://docs.google.com/spreadsheets/d/1W6MnUbDkMi6xHnHko_XkFDO9kkuL6Wqyc-6OCDFjW9I/e"&amp;"dit?usp=sharing"",""ตาก!Q270"")+IMPORTRANGE(""https://docs.google.com/spreadsheets/d/1IQAWArduLkta9LpYo4a_ULsyqdta6-6aDDiwpUnQT6c/edit?usp=sharing"",""นครสวรรค์!Q270"")+IMPORTRANGE(""https://docs.google.com/spreadsheets/d/10s13Sk5xrltsiR-Zkbmk5DwIaDIKO8Xl"&amp;"bJAfqyT7Gvg/edit?usp=sharing"",""น่าน!Q270"")+IMPORTRANGE(""https://docs.google.com/spreadsheets/d/1uu4nAn4Dbi1XREnLKKotUANlKXa7yCgRcgq8HEzQYW8/edit?usp=sharing"",""พะเยา!Q270"")+IMPORTRANGE(""https://docs.google.com/spreadsheets/d/1xfJKIQxVOaPDIICqsflNlL"&amp;"u3JacTDk1FP9RH4phX7mI/edit?usp=sharing"",""พิจิตร!Q270"")+IMPORTRANGE(""https://docs.google.com/spreadsheets/d/1JtRfZkJMHtEhI5RdRHxYUG4FIZHqKDpNyIuN7A1Q0_k/edit?usp=sharing"",""พิษณุโลก!Q270"")+IMPORTRANGE(""https://docs.google.com/spreadsheets/d/1xlcVZWU"&amp;"Nn6SuWm0c307h32SiGkd9BaeQWlAktfD3KO8/edit?usp=sharing"",""เพชรบูรณ์!Q270"")+IMPORTRANGE(""https://docs.google.com/spreadsheets/d/1lOVebEIsI9qjGXl6EX66luk7wiuP2tBaryw-wKvv4e0/edit?usp=sharing"",""แพร่!Q270"")+IMPORTRANGE(""https://docs.google.com/spreadshe"&amp;"ets/d/1dQrvX0vEcN7Gu0fnZ0B5S90AeR19zth4XlExFBeExMY/edit?usp=sharing"",""แม่ฮ่องสอน!Q270"")+IMPORTRANGE(""https://docs.google.com/spreadsheets/d/1DY4XTNNwjluuxqdfdn6qvOSlMRrZqUtmYcZR0ttFiG4/edit?usp=sharing"",""ลำปาง!Q270"")+IMPORTRANGE(""https://docs.goog"&amp;"le.com/spreadsheets/d/1ICwG78r0OFT8biBlxnBF8r7she7gNSzOvJ958PWT09c/edit?usp=sharing"",""ลำพูน!Q270"")+IMPORTRANGE(""https://docs.google.com/spreadsheets/d/1B0f2xJpZUC6Z0xXnqKlZtEPzsf6L84eP1r1Q15seqRM/edit?usp=sharing"",""สุโขทัย!Q270"")+IMPORTRANGE(""http"&amp;"s://docs.google.com/spreadsheets/d/1v0b9pFQCsKUVExMei7AgY2yQkdeNQvtOssygGsXbiKo/edit?usp=sharing"",""อุตรดิตถ์!Q270"")+IMPORTRANGE(""https://docs.google.com/spreadsheets/d/1UsNK1e-WWiCo2PvGqdNfdme4m17_Ezd3J69EeeiQPD0/edit?usp=sharing"",""อุทัยธานี!Q270"")"),0)</f>
        <v>0</v>
      </c>
      <c r="R270" s="48">
        <f ca="1">IFERROR(__xludf.DUMMYFUNCTION("IMPORTRANGE(""https://docs.google.com/spreadsheets/d/1jTcq05yEiRwXcBMLjiodW9e4biSGYWAHcDj22rKWQ3s/edit?usp=sharing"",""กำแพงเพชร!R270"")+IMPORTRANGE(""https://docs.google.com/spreadsheets/d/1KS0zmDSZPk8KnTAbGN-Xk6MtX1YRZD0ldgdt20K4CRk/edit?usp=sharing"","&amp;"""เชียงราย!R270"")+IMPORTRANGE(""https://docs.google.com/spreadsheets/d/1rEDxBtusbi64tE0zunoIbsTVV16HeL0oJ6trHQeQ7K8/edit?usp=sharing"",""เชียงใหม่!R270"")+IMPORTRANGE(""https://docs.google.com/spreadsheets/d/1W6MnUbDkMi6xHnHko_XkFDO9kkuL6Wqyc-6OCDFjW9I/e"&amp;"dit?usp=sharing"",""ตาก!R270"")+IMPORTRANGE(""https://docs.google.com/spreadsheets/d/1IQAWArduLkta9LpYo4a_ULsyqdta6-6aDDiwpUnQT6c/edit?usp=sharing"",""นครสวรรค์!R270"")+IMPORTRANGE(""https://docs.google.com/spreadsheets/d/10s13Sk5xrltsiR-Zkbmk5DwIaDIKO8Xl"&amp;"bJAfqyT7Gvg/edit?usp=sharing"",""น่าน!R270"")+IMPORTRANGE(""https://docs.google.com/spreadsheets/d/1uu4nAn4Dbi1XREnLKKotUANlKXa7yCgRcgq8HEzQYW8/edit?usp=sharing"",""พะเยา!R270"")+IMPORTRANGE(""https://docs.google.com/spreadsheets/d/1xfJKIQxVOaPDIICqsflNlL"&amp;"u3JacTDk1FP9RH4phX7mI/edit?usp=sharing"",""พิจิตร!R270"")+IMPORTRANGE(""https://docs.google.com/spreadsheets/d/1JtRfZkJMHtEhI5RdRHxYUG4FIZHqKDpNyIuN7A1Q0_k/edit?usp=sharing"",""พิษณุโลก!R270"")+IMPORTRANGE(""https://docs.google.com/spreadsheets/d/1xlcVZWU"&amp;"Nn6SuWm0c307h32SiGkd9BaeQWlAktfD3KO8/edit?usp=sharing"",""เพชรบูรณ์!R270"")+IMPORTRANGE(""https://docs.google.com/spreadsheets/d/1lOVebEIsI9qjGXl6EX66luk7wiuP2tBaryw-wKvv4e0/edit?usp=sharing"",""แพร่!R270"")+IMPORTRANGE(""https://docs.google.com/spreadshe"&amp;"ets/d/1dQrvX0vEcN7Gu0fnZ0B5S90AeR19zth4XlExFBeExMY/edit?usp=sharing"",""แม่ฮ่องสอน!R270"")+IMPORTRANGE(""https://docs.google.com/spreadsheets/d/1DY4XTNNwjluuxqdfdn6qvOSlMRrZqUtmYcZR0ttFiG4/edit?usp=sharing"",""ลำปาง!R270"")+IMPORTRANGE(""https://docs.goog"&amp;"le.com/spreadsheets/d/1ICwG78r0OFT8biBlxnBF8r7she7gNSzOvJ958PWT09c/edit?usp=sharing"",""ลำพูน!R270"")+IMPORTRANGE(""https://docs.google.com/spreadsheets/d/1B0f2xJpZUC6Z0xXnqKlZtEPzsf6L84eP1r1Q15seqRM/edit?usp=sharing"",""สุโขทัย!R270"")+IMPORTRANGE(""http"&amp;"s://docs.google.com/spreadsheets/d/1v0b9pFQCsKUVExMei7AgY2yQkdeNQvtOssygGsXbiKo/edit?usp=sharing"",""อุตรดิตถ์!R270"")+IMPORTRANGE(""https://docs.google.com/spreadsheets/d/1UsNK1e-WWiCo2PvGqdNfdme4m17_Ezd3J69EeeiQPD0/edit?usp=sharing"",""อุทัยธานี!R270"")"),0)</f>
        <v>0</v>
      </c>
      <c r="S270" s="48">
        <f ca="1">IFERROR(__xludf.DUMMYFUNCTION("IMPORTRANGE(""https://docs.google.com/spreadsheets/d/1jTcq05yEiRwXcBMLjiodW9e4biSGYWAHcDj22rKWQ3s/edit?usp=sharing"",""กำแพงเพชร!S270"")+IMPORTRANGE(""https://docs.google.com/spreadsheets/d/1KS0zmDSZPk8KnTAbGN-Xk6MtX1YRZD0ldgdt20K4CRk/edit?usp=sharing"","&amp;"""เชียงราย!S270"")+IMPORTRANGE(""https://docs.google.com/spreadsheets/d/1rEDxBtusbi64tE0zunoIbsTVV16HeL0oJ6trHQeQ7K8/edit?usp=sharing"",""เชียงใหม่!S270"")+IMPORTRANGE(""https://docs.google.com/spreadsheets/d/1W6MnUbDkMi6xHnHko_XkFDO9kkuL6Wqyc-6OCDFjW9I/e"&amp;"dit?usp=sharing"",""ตาก!S270"")+IMPORTRANGE(""https://docs.google.com/spreadsheets/d/1IQAWArduLkta9LpYo4a_ULsyqdta6-6aDDiwpUnQT6c/edit?usp=sharing"",""นครสวรรค์!S270"")+IMPORTRANGE(""https://docs.google.com/spreadsheets/d/10s13Sk5xrltsiR-Zkbmk5DwIaDIKO8Xl"&amp;"bJAfqyT7Gvg/edit?usp=sharing"",""น่าน!S270"")+IMPORTRANGE(""https://docs.google.com/spreadsheets/d/1uu4nAn4Dbi1XREnLKKotUANlKXa7yCgRcgq8HEzQYW8/edit?usp=sharing"",""พะเยา!S270"")+IMPORTRANGE(""https://docs.google.com/spreadsheets/d/1xfJKIQxVOaPDIICqsflNlL"&amp;"u3JacTDk1FP9RH4phX7mI/edit?usp=sharing"",""พิจิตร!S270"")+IMPORTRANGE(""https://docs.google.com/spreadsheets/d/1JtRfZkJMHtEhI5RdRHxYUG4FIZHqKDpNyIuN7A1Q0_k/edit?usp=sharing"",""พิษณุโลก!S270"")+IMPORTRANGE(""https://docs.google.com/spreadsheets/d/1xlcVZWU"&amp;"Nn6SuWm0c307h32SiGkd9BaeQWlAktfD3KO8/edit?usp=sharing"",""เพชรบูรณ์!S270"")+IMPORTRANGE(""https://docs.google.com/spreadsheets/d/1lOVebEIsI9qjGXl6EX66luk7wiuP2tBaryw-wKvv4e0/edit?usp=sharing"",""แพร่!S270"")+IMPORTRANGE(""https://docs.google.com/spreadshe"&amp;"ets/d/1dQrvX0vEcN7Gu0fnZ0B5S90AeR19zth4XlExFBeExMY/edit?usp=sharing"",""แม่ฮ่องสอน!S270"")+IMPORTRANGE(""https://docs.google.com/spreadsheets/d/1DY4XTNNwjluuxqdfdn6qvOSlMRrZqUtmYcZR0ttFiG4/edit?usp=sharing"",""ลำปาง!S270"")+IMPORTRANGE(""https://docs.goog"&amp;"le.com/spreadsheets/d/1ICwG78r0OFT8biBlxnBF8r7she7gNSzOvJ958PWT09c/edit?usp=sharing"",""ลำพูน!S270"")+IMPORTRANGE(""https://docs.google.com/spreadsheets/d/1B0f2xJpZUC6Z0xXnqKlZtEPzsf6L84eP1r1Q15seqRM/edit?usp=sharing"",""สุโขทัย!S270"")+IMPORTRANGE(""http"&amp;"s://docs.google.com/spreadsheets/d/1v0b9pFQCsKUVExMei7AgY2yQkdeNQvtOssygGsXbiKo/edit?usp=sharing"",""อุตรดิตถ์!S270"")+IMPORTRANGE(""https://docs.google.com/spreadsheets/d/1UsNK1e-WWiCo2PvGqdNfdme4m17_Ezd3J69EeeiQPD0/edit?usp=sharing"",""อุทัยธานี!S270"")"),0)</f>
        <v>0</v>
      </c>
      <c r="T270" s="48">
        <f t="shared" ca="1" si="192"/>
        <v>0</v>
      </c>
      <c r="U270" s="48">
        <f t="shared" ca="1" si="193"/>
        <v>0</v>
      </c>
    </row>
    <row r="271" spans="1:21" ht="18.75" x14ac:dyDescent="0.25">
      <c r="A271" s="128"/>
      <c r="B271" s="40"/>
      <c r="C271" s="40"/>
      <c r="D271" s="40"/>
      <c r="E271" s="47" t="s">
        <v>37</v>
      </c>
      <c r="F271" s="40"/>
      <c r="G271" s="42"/>
      <c r="H271" s="134" t="s">
        <v>14</v>
      </c>
      <c r="I271" s="135"/>
      <c r="J271" s="135"/>
      <c r="K271" s="136"/>
      <c r="L271" s="46">
        <f ca="1">IFERROR(__xludf.DUMMYFUNCTION("IMPORTRANGE(""https://docs.google.com/spreadsheets/d/1jTcq05yEiRwXcBMLjiodW9e4biSGYWAHcDj22rKWQ3s/edit?usp=sharing"",""กำแพงเพชร!L271"")+IMPORTRANGE(""https://docs.google.com/spreadsheets/d/1KS0zmDSZPk8KnTAbGN-Xk6MtX1YRZD0ldgdt20K4CRk/edit?usp=sharing"","&amp;"""เชียงราย!L271"")+IMPORTRANGE(""https://docs.google.com/spreadsheets/d/1rEDxBtusbi64tE0zunoIbsTVV16HeL0oJ6trHQeQ7K8/edit?usp=sharing"",""เชียงใหม่!L271"")+IMPORTRANGE(""https://docs.google.com/spreadsheets/d/1W6MnUbDkMi6xHnHko_XkFDO9kkuL6Wqyc-6OCDFjW9I/e"&amp;"dit?usp=sharing"",""ตาก!L271"")+IMPORTRANGE(""https://docs.google.com/spreadsheets/d/1IQAWArduLkta9LpYo4a_ULsyqdta6-6aDDiwpUnQT6c/edit?usp=sharing"",""นครสวรรค์!L271"")+IMPORTRANGE(""https://docs.google.com/spreadsheets/d/10s13Sk5xrltsiR-Zkbmk5DwIaDIKO8Xl"&amp;"bJAfqyT7Gvg/edit?usp=sharing"",""น่าน!L271"")+IMPORTRANGE(""https://docs.google.com/spreadsheets/d/1uu4nAn4Dbi1XREnLKKotUANlKXa7yCgRcgq8HEzQYW8/edit?usp=sharing"",""พะเยา!L271"")+IMPORTRANGE(""https://docs.google.com/spreadsheets/d/1xfJKIQxVOaPDIICqsflNlL"&amp;"u3JacTDk1FP9RH4phX7mI/edit?usp=sharing"",""พิจิตร!L271"")+IMPORTRANGE(""https://docs.google.com/spreadsheets/d/1JtRfZkJMHtEhI5RdRHxYUG4FIZHqKDpNyIuN7A1Q0_k/edit?usp=sharing"",""พิษณุโลก!L271"")+IMPORTRANGE(""https://docs.google.com/spreadsheets/d/1xlcVZWU"&amp;"Nn6SuWm0c307h32SiGkd9BaeQWlAktfD3KO8/edit?usp=sharing"",""เพชรบูรณ์!L271"")+IMPORTRANGE(""https://docs.google.com/spreadsheets/d/1lOVebEIsI9qjGXl6EX66luk7wiuP2tBaryw-wKvv4e0/edit?usp=sharing"",""แพร่!L271"")+IMPORTRANGE(""https://docs.google.com/spreadshe"&amp;"ets/d/1dQrvX0vEcN7Gu0fnZ0B5S90AeR19zth4XlExFBeExMY/edit?usp=sharing"",""แม่ฮ่องสอน!L271"")+IMPORTRANGE(""https://docs.google.com/spreadsheets/d/1DY4XTNNwjluuxqdfdn6qvOSlMRrZqUtmYcZR0ttFiG4/edit?usp=sharing"",""ลำปาง!L271"")+IMPORTRANGE(""https://docs.goog"&amp;"le.com/spreadsheets/d/1ICwG78r0OFT8biBlxnBF8r7she7gNSzOvJ958PWT09c/edit?usp=sharing"",""ลำพูน!L271"")+IMPORTRANGE(""https://docs.google.com/spreadsheets/d/1B0f2xJpZUC6Z0xXnqKlZtEPzsf6L84eP1r1Q15seqRM/edit?usp=sharing"",""สุโขทัย!L271"")+IMPORTRANGE(""http"&amp;"s://docs.google.com/spreadsheets/d/1v0b9pFQCsKUVExMei7AgY2yQkdeNQvtOssygGsXbiKo/edit?usp=sharing"",""อุตรดิตถ์!L271"")+IMPORTRANGE(""https://docs.google.com/spreadsheets/d/1UsNK1e-WWiCo2PvGqdNfdme4m17_Ezd3J69EeeiQPD0/edit?usp=sharing"",""อุทัยธานี!L271"")"),0)</f>
        <v>0</v>
      </c>
      <c r="M271" s="46">
        <f ca="1">IFERROR(__xludf.DUMMYFUNCTION("IMPORTRANGE(""https://docs.google.com/spreadsheets/d/1jTcq05yEiRwXcBMLjiodW9e4biSGYWAHcDj22rKWQ3s/edit?usp=sharing"",""กำแพงเพชร!M271"")+IMPORTRANGE(""https://docs.google.com/spreadsheets/d/1KS0zmDSZPk8KnTAbGN-Xk6MtX1YRZD0ldgdt20K4CRk/edit?usp=sharing"","&amp;"""เชียงราย!M271"")+IMPORTRANGE(""https://docs.google.com/spreadsheets/d/1rEDxBtusbi64tE0zunoIbsTVV16HeL0oJ6trHQeQ7K8/edit?usp=sharing"",""เชียงใหม่!M271"")+IMPORTRANGE(""https://docs.google.com/spreadsheets/d/1W6MnUbDkMi6xHnHko_XkFDO9kkuL6Wqyc-6OCDFjW9I/e"&amp;"dit?usp=sharing"",""ตาก!M271"")+IMPORTRANGE(""https://docs.google.com/spreadsheets/d/1IQAWArduLkta9LpYo4a_ULsyqdta6-6aDDiwpUnQT6c/edit?usp=sharing"",""นครสวรรค์!M271"")+IMPORTRANGE(""https://docs.google.com/spreadsheets/d/10s13Sk5xrltsiR-Zkbmk5DwIaDIKO8Xl"&amp;"bJAfqyT7Gvg/edit?usp=sharing"",""น่าน!M271"")+IMPORTRANGE(""https://docs.google.com/spreadsheets/d/1uu4nAn4Dbi1XREnLKKotUANlKXa7yCgRcgq8HEzQYW8/edit?usp=sharing"",""พะเยา!M271"")+IMPORTRANGE(""https://docs.google.com/spreadsheets/d/1xfJKIQxVOaPDIICqsflNlL"&amp;"u3JacTDk1FP9RH4phX7mI/edit?usp=sharing"",""พิจิตร!M271"")+IMPORTRANGE(""https://docs.google.com/spreadsheets/d/1JtRfZkJMHtEhI5RdRHxYUG4FIZHqKDpNyIuN7A1Q0_k/edit?usp=sharing"",""พิษณุโลก!M271"")+IMPORTRANGE(""https://docs.google.com/spreadsheets/d/1xlcVZWU"&amp;"Nn6SuWm0c307h32SiGkd9BaeQWlAktfD3KO8/edit?usp=sharing"",""เพชรบูรณ์!M271"")+IMPORTRANGE(""https://docs.google.com/spreadsheets/d/1lOVebEIsI9qjGXl6EX66luk7wiuP2tBaryw-wKvv4e0/edit?usp=sharing"",""แพร่!M271"")+IMPORTRANGE(""https://docs.google.com/spreadshe"&amp;"ets/d/1dQrvX0vEcN7Gu0fnZ0B5S90AeR19zth4XlExFBeExMY/edit?usp=sharing"",""แม่ฮ่องสอน!M271"")+IMPORTRANGE(""https://docs.google.com/spreadsheets/d/1DY4XTNNwjluuxqdfdn6qvOSlMRrZqUtmYcZR0ttFiG4/edit?usp=sharing"",""ลำปาง!M271"")+IMPORTRANGE(""https://docs.goog"&amp;"le.com/spreadsheets/d/1ICwG78r0OFT8biBlxnBF8r7she7gNSzOvJ958PWT09c/edit?usp=sharing"",""ลำพูน!M271"")+IMPORTRANGE(""https://docs.google.com/spreadsheets/d/1B0f2xJpZUC6Z0xXnqKlZtEPzsf6L84eP1r1Q15seqRM/edit?usp=sharing"",""สุโขทัย!M271"")+IMPORTRANGE(""http"&amp;"s://docs.google.com/spreadsheets/d/1v0b9pFQCsKUVExMei7AgY2yQkdeNQvtOssygGsXbiKo/edit?usp=sharing"",""อุตรดิตถ์!M271"")+IMPORTRANGE(""https://docs.google.com/spreadsheets/d/1UsNK1e-WWiCo2PvGqdNfdme4m17_Ezd3J69EeeiQPD0/edit?usp=sharing"",""อุทัยธานี!M271"")"),85000)</f>
        <v>85000</v>
      </c>
      <c r="N271" s="46">
        <f ca="1">IFERROR(__xludf.DUMMYFUNCTION("IMPORTRANGE(""https://docs.google.com/spreadsheets/d/1jTcq05yEiRwXcBMLjiodW9e4biSGYWAHcDj22rKWQ3s/edit?usp=sharing"",""กำแพงเพชร!N271"")+IMPORTRANGE(""https://docs.google.com/spreadsheets/d/1KS0zmDSZPk8KnTAbGN-Xk6MtX1YRZD0ldgdt20K4CRk/edit?usp=sharing"","&amp;"""เชียงราย!N271"")+IMPORTRANGE(""https://docs.google.com/spreadsheets/d/1rEDxBtusbi64tE0zunoIbsTVV16HeL0oJ6trHQeQ7K8/edit?usp=sharing"",""เชียงใหม่!N271"")+IMPORTRANGE(""https://docs.google.com/spreadsheets/d/1W6MnUbDkMi6xHnHko_XkFDO9kkuL6Wqyc-6OCDFjW9I/e"&amp;"dit?usp=sharing"",""ตาก!N271"")+IMPORTRANGE(""https://docs.google.com/spreadsheets/d/1IQAWArduLkta9LpYo4a_ULsyqdta6-6aDDiwpUnQT6c/edit?usp=sharing"",""นครสวรรค์!N271"")+IMPORTRANGE(""https://docs.google.com/spreadsheets/d/10s13Sk5xrltsiR-Zkbmk5DwIaDIKO8Xl"&amp;"bJAfqyT7Gvg/edit?usp=sharing"",""น่าน!N271"")+IMPORTRANGE(""https://docs.google.com/spreadsheets/d/1uu4nAn4Dbi1XREnLKKotUANlKXa7yCgRcgq8HEzQYW8/edit?usp=sharing"",""พะเยา!N271"")+IMPORTRANGE(""https://docs.google.com/spreadsheets/d/1xfJKIQxVOaPDIICqsflNlL"&amp;"u3JacTDk1FP9RH4phX7mI/edit?usp=sharing"",""พิจิตร!N271"")+IMPORTRANGE(""https://docs.google.com/spreadsheets/d/1JtRfZkJMHtEhI5RdRHxYUG4FIZHqKDpNyIuN7A1Q0_k/edit?usp=sharing"",""พิษณุโลก!N271"")+IMPORTRANGE(""https://docs.google.com/spreadsheets/d/1xlcVZWU"&amp;"Nn6SuWm0c307h32SiGkd9BaeQWlAktfD3KO8/edit?usp=sharing"",""เพชรบูรณ์!N271"")+IMPORTRANGE(""https://docs.google.com/spreadsheets/d/1lOVebEIsI9qjGXl6EX66luk7wiuP2tBaryw-wKvv4e0/edit?usp=sharing"",""แพร่!N271"")+IMPORTRANGE(""https://docs.google.com/spreadshe"&amp;"ets/d/1dQrvX0vEcN7Gu0fnZ0B5S90AeR19zth4XlExFBeExMY/edit?usp=sharing"",""แม่ฮ่องสอน!N271"")+IMPORTRANGE(""https://docs.google.com/spreadsheets/d/1DY4XTNNwjluuxqdfdn6qvOSlMRrZqUtmYcZR0ttFiG4/edit?usp=sharing"",""ลำปาง!N271"")+IMPORTRANGE(""https://docs.goog"&amp;"le.com/spreadsheets/d/1ICwG78r0OFT8biBlxnBF8r7she7gNSzOvJ958PWT09c/edit?usp=sharing"",""ลำพูน!N271"")+IMPORTRANGE(""https://docs.google.com/spreadsheets/d/1B0f2xJpZUC6Z0xXnqKlZtEPzsf6L84eP1r1Q15seqRM/edit?usp=sharing"",""สุโขทัย!N271"")+IMPORTRANGE(""http"&amp;"s://docs.google.com/spreadsheets/d/1v0b9pFQCsKUVExMei7AgY2yQkdeNQvtOssygGsXbiKo/edit?usp=sharing"",""อุตรดิตถ์!N271"")+IMPORTRANGE(""https://docs.google.com/spreadsheets/d/1UsNK1e-WWiCo2PvGqdNfdme4m17_Ezd3J69EeeiQPD0/edit?usp=sharing"",""อุทัยธานี!N271"")"),25000)</f>
        <v>25000</v>
      </c>
      <c r="O271" s="46">
        <f t="shared" ca="1" si="189"/>
        <v>0</v>
      </c>
      <c r="P271" s="46">
        <f t="shared" ca="1" si="190"/>
        <v>29.411764705882351</v>
      </c>
      <c r="Q271" s="46">
        <f ca="1">IFERROR(__xludf.DUMMYFUNCTION("IMPORTRANGE(""https://docs.google.com/spreadsheets/d/1jTcq05yEiRwXcBMLjiodW9e4biSGYWAHcDj22rKWQ3s/edit?usp=sharing"",""กำแพงเพชร!Q271"")+IMPORTRANGE(""https://docs.google.com/spreadsheets/d/1KS0zmDSZPk8KnTAbGN-Xk6MtX1YRZD0ldgdt20K4CRk/edit?usp=sharing"","&amp;"""เชียงราย!Q271"")+IMPORTRANGE(""https://docs.google.com/spreadsheets/d/1rEDxBtusbi64tE0zunoIbsTVV16HeL0oJ6trHQeQ7K8/edit?usp=sharing"",""เชียงใหม่!Q271"")+IMPORTRANGE(""https://docs.google.com/spreadsheets/d/1W6MnUbDkMi6xHnHko_XkFDO9kkuL6Wqyc-6OCDFjW9I/e"&amp;"dit?usp=sharing"",""ตาก!Q271"")+IMPORTRANGE(""https://docs.google.com/spreadsheets/d/1IQAWArduLkta9LpYo4a_ULsyqdta6-6aDDiwpUnQT6c/edit?usp=sharing"",""นครสวรรค์!Q271"")+IMPORTRANGE(""https://docs.google.com/spreadsheets/d/10s13Sk5xrltsiR-Zkbmk5DwIaDIKO8Xl"&amp;"bJAfqyT7Gvg/edit?usp=sharing"",""น่าน!Q271"")+IMPORTRANGE(""https://docs.google.com/spreadsheets/d/1uu4nAn4Dbi1XREnLKKotUANlKXa7yCgRcgq8HEzQYW8/edit?usp=sharing"",""พะเยา!Q271"")+IMPORTRANGE(""https://docs.google.com/spreadsheets/d/1xfJKIQxVOaPDIICqsflNlL"&amp;"u3JacTDk1FP9RH4phX7mI/edit?usp=sharing"",""พิจิตร!Q271"")+IMPORTRANGE(""https://docs.google.com/spreadsheets/d/1JtRfZkJMHtEhI5RdRHxYUG4FIZHqKDpNyIuN7A1Q0_k/edit?usp=sharing"",""พิษณุโลก!Q271"")+IMPORTRANGE(""https://docs.google.com/spreadsheets/d/1xlcVZWU"&amp;"Nn6SuWm0c307h32SiGkd9BaeQWlAktfD3KO8/edit?usp=sharing"",""เพชรบูรณ์!Q271"")+IMPORTRANGE(""https://docs.google.com/spreadsheets/d/1lOVebEIsI9qjGXl6EX66luk7wiuP2tBaryw-wKvv4e0/edit?usp=sharing"",""แพร่!Q271"")+IMPORTRANGE(""https://docs.google.com/spreadshe"&amp;"ets/d/1dQrvX0vEcN7Gu0fnZ0B5S90AeR19zth4XlExFBeExMY/edit?usp=sharing"",""แม่ฮ่องสอน!Q271"")+IMPORTRANGE(""https://docs.google.com/spreadsheets/d/1DY4XTNNwjluuxqdfdn6qvOSlMRrZqUtmYcZR0ttFiG4/edit?usp=sharing"",""ลำปาง!Q271"")+IMPORTRANGE(""https://docs.goog"&amp;"le.com/spreadsheets/d/1ICwG78r0OFT8biBlxnBF8r7she7gNSzOvJ958PWT09c/edit?usp=sharing"",""ลำพูน!Q271"")+IMPORTRANGE(""https://docs.google.com/spreadsheets/d/1B0f2xJpZUC6Z0xXnqKlZtEPzsf6L84eP1r1Q15seqRM/edit?usp=sharing"",""สุโขทัย!Q271"")+IMPORTRANGE(""http"&amp;"s://docs.google.com/spreadsheets/d/1v0b9pFQCsKUVExMei7AgY2yQkdeNQvtOssygGsXbiKo/edit?usp=sharing"",""อุตรดิตถ์!Q271"")+IMPORTRANGE(""https://docs.google.com/spreadsheets/d/1UsNK1e-WWiCo2PvGqdNfdme4m17_Ezd3J69EeeiQPD0/edit?usp=sharing"",""อุทัยธานี!Q271"")"),875120)</f>
        <v>875120</v>
      </c>
      <c r="R271" s="46">
        <f ca="1">IFERROR(__xludf.DUMMYFUNCTION("IMPORTRANGE(""https://docs.google.com/spreadsheets/d/1jTcq05yEiRwXcBMLjiodW9e4biSGYWAHcDj22rKWQ3s/edit?usp=sharing"",""กำแพงเพชร!R271"")+IMPORTRANGE(""https://docs.google.com/spreadsheets/d/1KS0zmDSZPk8KnTAbGN-Xk6MtX1YRZD0ldgdt20K4CRk/edit?usp=sharing"","&amp;"""เชียงราย!R271"")+IMPORTRANGE(""https://docs.google.com/spreadsheets/d/1rEDxBtusbi64tE0zunoIbsTVV16HeL0oJ6trHQeQ7K8/edit?usp=sharing"",""เชียงใหม่!R271"")+IMPORTRANGE(""https://docs.google.com/spreadsheets/d/1W6MnUbDkMi6xHnHko_XkFDO9kkuL6Wqyc-6OCDFjW9I/e"&amp;"dit?usp=sharing"",""ตาก!R271"")+IMPORTRANGE(""https://docs.google.com/spreadsheets/d/1IQAWArduLkta9LpYo4a_ULsyqdta6-6aDDiwpUnQT6c/edit?usp=sharing"",""นครสวรรค์!R271"")+IMPORTRANGE(""https://docs.google.com/spreadsheets/d/10s13Sk5xrltsiR-Zkbmk5DwIaDIKO8Xl"&amp;"bJAfqyT7Gvg/edit?usp=sharing"",""น่าน!R271"")+IMPORTRANGE(""https://docs.google.com/spreadsheets/d/1uu4nAn4Dbi1XREnLKKotUANlKXa7yCgRcgq8HEzQYW8/edit?usp=sharing"",""พะเยา!R271"")+IMPORTRANGE(""https://docs.google.com/spreadsheets/d/1xfJKIQxVOaPDIICqsflNlL"&amp;"u3JacTDk1FP9RH4phX7mI/edit?usp=sharing"",""พิจิตร!R271"")+IMPORTRANGE(""https://docs.google.com/spreadsheets/d/1JtRfZkJMHtEhI5RdRHxYUG4FIZHqKDpNyIuN7A1Q0_k/edit?usp=sharing"",""พิษณุโลก!R271"")+IMPORTRANGE(""https://docs.google.com/spreadsheets/d/1xlcVZWU"&amp;"Nn6SuWm0c307h32SiGkd9BaeQWlAktfD3KO8/edit?usp=sharing"",""เพชรบูรณ์!R271"")+IMPORTRANGE(""https://docs.google.com/spreadsheets/d/1lOVebEIsI9qjGXl6EX66luk7wiuP2tBaryw-wKvv4e0/edit?usp=sharing"",""แพร่!R271"")+IMPORTRANGE(""https://docs.google.com/spreadshe"&amp;"ets/d/1dQrvX0vEcN7Gu0fnZ0B5S90AeR19zth4XlExFBeExMY/edit?usp=sharing"",""แม่ฮ่องสอน!R271"")+IMPORTRANGE(""https://docs.google.com/spreadsheets/d/1DY4XTNNwjluuxqdfdn6qvOSlMRrZqUtmYcZR0ttFiG4/edit?usp=sharing"",""ลำปาง!R271"")+IMPORTRANGE(""https://docs.goog"&amp;"le.com/spreadsheets/d/1ICwG78r0OFT8biBlxnBF8r7she7gNSzOvJ958PWT09c/edit?usp=sharing"",""ลำพูน!R271"")+IMPORTRANGE(""https://docs.google.com/spreadsheets/d/1B0f2xJpZUC6Z0xXnqKlZtEPzsf6L84eP1r1Q15seqRM/edit?usp=sharing"",""สุโขทัย!R271"")+IMPORTRANGE(""http"&amp;"s://docs.google.com/spreadsheets/d/1v0b9pFQCsKUVExMei7AgY2yQkdeNQvtOssygGsXbiKo/edit?usp=sharing"",""อุตรดิตถ์!R271"")+IMPORTRANGE(""https://docs.google.com/spreadsheets/d/1UsNK1e-WWiCo2PvGqdNfdme4m17_Ezd3J69EeeiQPD0/edit?usp=sharing"",""อุทัยธานี!R271"")"),875120)</f>
        <v>875120</v>
      </c>
      <c r="S271" s="46">
        <f ca="1">IFERROR(__xludf.DUMMYFUNCTION("IMPORTRANGE(""https://docs.google.com/spreadsheets/d/1jTcq05yEiRwXcBMLjiodW9e4biSGYWAHcDj22rKWQ3s/edit?usp=sharing"",""กำแพงเพชร!S271"")+IMPORTRANGE(""https://docs.google.com/spreadsheets/d/1KS0zmDSZPk8KnTAbGN-Xk6MtX1YRZD0ldgdt20K4CRk/edit?usp=sharing"","&amp;"""เชียงราย!S271"")+IMPORTRANGE(""https://docs.google.com/spreadsheets/d/1rEDxBtusbi64tE0zunoIbsTVV16HeL0oJ6trHQeQ7K8/edit?usp=sharing"",""เชียงใหม่!S271"")+IMPORTRANGE(""https://docs.google.com/spreadsheets/d/1W6MnUbDkMi6xHnHko_XkFDO9kkuL6Wqyc-6OCDFjW9I/e"&amp;"dit?usp=sharing"",""ตาก!S271"")+IMPORTRANGE(""https://docs.google.com/spreadsheets/d/1IQAWArduLkta9LpYo4a_ULsyqdta6-6aDDiwpUnQT6c/edit?usp=sharing"",""นครสวรรค์!S271"")+IMPORTRANGE(""https://docs.google.com/spreadsheets/d/10s13Sk5xrltsiR-Zkbmk5DwIaDIKO8Xl"&amp;"bJAfqyT7Gvg/edit?usp=sharing"",""น่าน!S271"")+IMPORTRANGE(""https://docs.google.com/spreadsheets/d/1uu4nAn4Dbi1XREnLKKotUANlKXa7yCgRcgq8HEzQYW8/edit?usp=sharing"",""พะเยา!S271"")+IMPORTRANGE(""https://docs.google.com/spreadsheets/d/1xfJKIQxVOaPDIICqsflNlL"&amp;"u3JacTDk1FP9RH4phX7mI/edit?usp=sharing"",""พิจิตร!S271"")+IMPORTRANGE(""https://docs.google.com/spreadsheets/d/1JtRfZkJMHtEhI5RdRHxYUG4FIZHqKDpNyIuN7A1Q0_k/edit?usp=sharing"",""พิษณุโลก!S271"")+IMPORTRANGE(""https://docs.google.com/spreadsheets/d/1xlcVZWU"&amp;"Nn6SuWm0c307h32SiGkd9BaeQWlAktfD3KO8/edit?usp=sharing"",""เพชรบูรณ์!S271"")+IMPORTRANGE(""https://docs.google.com/spreadsheets/d/1lOVebEIsI9qjGXl6EX66luk7wiuP2tBaryw-wKvv4e0/edit?usp=sharing"",""แพร่!S271"")+IMPORTRANGE(""https://docs.google.com/spreadshe"&amp;"ets/d/1dQrvX0vEcN7Gu0fnZ0B5S90AeR19zth4XlExFBeExMY/edit?usp=sharing"",""แม่ฮ่องสอน!S271"")+IMPORTRANGE(""https://docs.google.com/spreadsheets/d/1DY4XTNNwjluuxqdfdn6qvOSlMRrZqUtmYcZR0ttFiG4/edit?usp=sharing"",""ลำปาง!S271"")+IMPORTRANGE(""https://docs.goog"&amp;"le.com/spreadsheets/d/1ICwG78r0OFT8biBlxnBF8r7she7gNSzOvJ958PWT09c/edit?usp=sharing"",""ลำพูน!S271"")+IMPORTRANGE(""https://docs.google.com/spreadsheets/d/1B0f2xJpZUC6Z0xXnqKlZtEPzsf6L84eP1r1Q15seqRM/edit?usp=sharing"",""สุโขทัย!S271"")+IMPORTRANGE(""http"&amp;"s://docs.google.com/spreadsheets/d/1v0b9pFQCsKUVExMei7AgY2yQkdeNQvtOssygGsXbiKo/edit?usp=sharing"",""อุตรดิตถ์!S271"")+IMPORTRANGE(""https://docs.google.com/spreadsheets/d/1UsNK1e-WWiCo2PvGqdNfdme4m17_Ezd3J69EeeiQPD0/edit?usp=sharing"",""อุทัยธานี!S271"")"),309897.5)</f>
        <v>309897.5</v>
      </c>
      <c r="T271" s="46">
        <f t="shared" ca="1" si="192"/>
        <v>35.412000639912243</v>
      </c>
      <c r="U271" s="46">
        <f t="shared" ca="1" si="193"/>
        <v>35.412000639912243</v>
      </c>
    </row>
    <row r="272" spans="1:21" ht="18.75" x14ac:dyDescent="0.25">
      <c r="A272" s="128"/>
      <c r="B272" s="40"/>
      <c r="C272" s="40"/>
      <c r="D272" s="41" t="s">
        <v>23</v>
      </c>
      <c r="E272" s="40"/>
      <c r="F272" s="40"/>
      <c r="G272" s="42"/>
      <c r="H272" s="137" t="s">
        <v>14</v>
      </c>
      <c r="I272" s="135"/>
      <c r="J272" s="135"/>
      <c r="K272" s="136"/>
      <c r="L272" s="46">
        <f t="shared" ref="L272:N272" ca="1" si="200">L273+L274</f>
        <v>0</v>
      </c>
      <c r="M272" s="46">
        <f t="shared" ca="1" si="200"/>
        <v>0</v>
      </c>
      <c r="N272" s="46">
        <f t="shared" ca="1" si="200"/>
        <v>0</v>
      </c>
      <c r="O272" s="46">
        <f t="shared" ca="1" si="189"/>
        <v>0</v>
      </c>
      <c r="P272" s="46">
        <f t="shared" ca="1" si="190"/>
        <v>0</v>
      </c>
      <c r="Q272" s="46">
        <f t="shared" ref="Q272:S272" ca="1" si="201">Q273+Q274</f>
        <v>0</v>
      </c>
      <c r="R272" s="46">
        <f t="shared" ca="1" si="201"/>
        <v>0</v>
      </c>
      <c r="S272" s="46">
        <f t="shared" ca="1" si="201"/>
        <v>0</v>
      </c>
      <c r="T272" s="46">
        <f t="shared" ca="1" si="192"/>
        <v>0</v>
      </c>
      <c r="U272" s="46">
        <f t="shared" ca="1" si="193"/>
        <v>0</v>
      </c>
    </row>
    <row r="273" spans="1:21" ht="18.75" x14ac:dyDescent="0.25">
      <c r="A273" s="128"/>
      <c r="B273" s="40"/>
      <c r="C273" s="40"/>
      <c r="D273" s="40"/>
      <c r="E273" s="47" t="s">
        <v>20</v>
      </c>
      <c r="F273" s="40"/>
      <c r="G273" s="42"/>
      <c r="H273" s="134" t="s">
        <v>14</v>
      </c>
      <c r="I273" s="135"/>
      <c r="J273" s="135"/>
      <c r="K273" s="136"/>
      <c r="L273" s="46">
        <f ca="1">IFERROR(__xludf.DUMMYFUNCTION("IMPORTRANGE(""https://docs.google.com/spreadsheets/d/1jTcq05yEiRwXcBMLjiodW9e4biSGYWAHcDj22rKWQ3s/edit?usp=sharing"",""กำแพงเพชร!L273"")+IMPORTRANGE(""https://docs.google.com/spreadsheets/d/1KS0zmDSZPk8KnTAbGN-Xk6MtX1YRZD0ldgdt20K4CRk/edit?usp=sharing"","&amp;"""เชียงราย!L273"")+IMPORTRANGE(""https://docs.google.com/spreadsheets/d/1rEDxBtusbi64tE0zunoIbsTVV16HeL0oJ6trHQeQ7K8/edit?usp=sharing"",""เชียงใหม่!L273"")+IMPORTRANGE(""https://docs.google.com/spreadsheets/d/1W6MnUbDkMi6xHnHko_XkFDO9kkuL6Wqyc-6OCDFjW9I/e"&amp;"dit?usp=sharing"",""ตาก!L273"")+IMPORTRANGE(""https://docs.google.com/spreadsheets/d/1IQAWArduLkta9LpYo4a_ULsyqdta6-6aDDiwpUnQT6c/edit?usp=sharing"",""นครสวรรค์!L273"")+IMPORTRANGE(""https://docs.google.com/spreadsheets/d/10s13Sk5xrltsiR-Zkbmk5DwIaDIKO8Xl"&amp;"bJAfqyT7Gvg/edit?usp=sharing"",""น่าน!L273"")+IMPORTRANGE(""https://docs.google.com/spreadsheets/d/1uu4nAn4Dbi1XREnLKKotUANlKXa7yCgRcgq8HEzQYW8/edit?usp=sharing"",""พะเยา!L273"")+IMPORTRANGE(""https://docs.google.com/spreadsheets/d/1xfJKIQxVOaPDIICqsflNlL"&amp;"u3JacTDk1FP9RH4phX7mI/edit?usp=sharing"",""พิจิตร!L273"")+IMPORTRANGE(""https://docs.google.com/spreadsheets/d/1JtRfZkJMHtEhI5RdRHxYUG4FIZHqKDpNyIuN7A1Q0_k/edit?usp=sharing"",""พิษณุโลก!L273"")+IMPORTRANGE(""https://docs.google.com/spreadsheets/d/1xlcVZWU"&amp;"Nn6SuWm0c307h32SiGkd9BaeQWlAktfD3KO8/edit?usp=sharing"",""เพชรบูรณ์!L273"")+IMPORTRANGE(""https://docs.google.com/spreadsheets/d/1lOVebEIsI9qjGXl6EX66luk7wiuP2tBaryw-wKvv4e0/edit?usp=sharing"",""แพร่!L273"")+IMPORTRANGE(""https://docs.google.com/spreadshe"&amp;"ets/d/1dQrvX0vEcN7Gu0fnZ0B5S90AeR19zth4XlExFBeExMY/edit?usp=sharing"",""แม่ฮ่องสอน!L273"")+IMPORTRANGE(""https://docs.google.com/spreadsheets/d/1DY4XTNNwjluuxqdfdn6qvOSlMRrZqUtmYcZR0ttFiG4/edit?usp=sharing"",""ลำปาง!L273"")+IMPORTRANGE(""https://docs.goog"&amp;"le.com/spreadsheets/d/1ICwG78r0OFT8biBlxnBF8r7she7gNSzOvJ958PWT09c/edit?usp=sharing"",""ลำพูน!L273"")+IMPORTRANGE(""https://docs.google.com/spreadsheets/d/1B0f2xJpZUC6Z0xXnqKlZtEPzsf6L84eP1r1Q15seqRM/edit?usp=sharing"",""สุโขทัย!L273"")+IMPORTRANGE(""http"&amp;"s://docs.google.com/spreadsheets/d/1v0b9pFQCsKUVExMei7AgY2yQkdeNQvtOssygGsXbiKo/edit?usp=sharing"",""อุตรดิตถ์!L273"")+IMPORTRANGE(""https://docs.google.com/spreadsheets/d/1UsNK1e-WWiCo2PvGqdNfdme4m17_Ezd3J69EeeiQPD0/edit?usp=sharing"",""อุทัยธานี!L273"")"),0)</f>
        <v>0</v>
      </c>
      <c r="M273" s="46">
        <f ca="1">IFERROR(__xludf.DUMMYFUNCTION("IMPORTRANGE(""https://docs.google.com/spreadsheets/d/1jTcq05yEiRwXcBMLjiodW9e4biSGYWAHcDj22rKWQ3s/edit?usp=sharing"",""กำแพงเพชร!M273"")+IMPORTRANGE(""https://docs.google.com/spreadsheets/d/1KS0zmDSZPk8KnTAbGN-Xk6MtX1YRZD0ldgdt20K4CRk/edit?usp=sharing"","&amp;"""เชียงราย!M273"")+IMPORTRANGE(""https://docs.google.com/spreadsheets/d/1rEDxBtusbi64tE0zunoIbsTVV16HeL0oJ6trHQeQ7K8/edit?usp=sharing"",""เชียงใหม่!M273"")+IMPORTRANGE(""https://docs.google.com/spreadsheets/d/1W6MnUbDkMi6xHnHko_XkFDO9kkuL6Wqyc-6OCDFjW9I/e"&amp;"dit?usp=sharing"",""ตาก!M273"")+IMPORTRANGE(""https://docs.google.com/spreadsheets/d/1IQAWArduLkta9LpYo4a_ULsyqdta6-6aDDiwpUnQT6c/edit?usp=sharing"",""นครสวรรค์!M273"")+IMPORTRANGE(""https://docs.google.com/spreadsheets/d/10s13Sk5xrltsiR-Zkbmk5DwIaDIKO8Xl"&amp;"bJAfqyT7Gvg/edit?usp=sharing"",""น่าน!M273"")+IMPORTRANGE(""https://docs.google.com/spreadsheets/d/1uu4nAn4Dbi1XREnLKKotUANlKXa7yCgRcgq8HEzQYW8/edit?usp=sharing"",""พะเยา!M273"")+IMPORTRANGE(""https://docs.google.com/spreadsheets/d/1xfJKIQxVOaPDIICqsflNlL"&amp;"u3JacTDk1FP9RH4phX7mI/edit?usp=sharing"",""พิจิตร!M273"")+IMPORTRANGE(""https://docs.google.com/spreadsheets/d/1JtRfZkJMHtEhI5RdRHxYUG4FIZHqKDpNyIuN7A1Q0_k/edit?usp=sharing"",""พิษณุโลก!M273"")+IMPORTRANGE(""https://docs.google.com/spreadsheets/d/1xlcVZWU"&amp;"Nn6SuWm0c307h32SiGkd9BaeQWlAktfD3KO8/edit?usp=sharing"",""เพชรบูรณ์!M273"")+IMPORTRANGE(""https://docs.google.com/spreadsheets/d/1lOVebEIsI9qjGXl6EX66luk7wiuP2tBaryw-wKvv4e0/edit?usp=sharing"",""แพร่!M273"")+IMPORTRANGE(""https://docs.google.com/spreadshe"&amp;"ets/d/1dQrvX0vEcN7Gu0fnZ0B5S90AeR19zth4XlExFBeExMY/edit?usp=sharing"",""แม่ฮ่องสอน!M273"")+IMPORTRANGE(""https://docs.google.com/spreadsheets/d/1DY4XTNNwjluuxqdfdn6qvOSlMRrZqUtmYcZR0ttFiG4/edit?usp=sharing"",""ลำปาง!M273"")+IMPORTRANGE(""https://docs.goog"&amp;"le.com/spreadsheets/d/1ICwG78r0OFT8biBlxnBF8r7she7gNSzOvJ958PWT09c/edit?usp=sharing"",""ลำพูน!M273"")+IMPORTRANGE(""https://docs.google.com/spreadsheets/d/1B0f2xJpZUC6Z0xXnqKlZtEPzsf6L84eP1r1Q15seqRM/edit?usp=sharing"",""สุโขทัย!M273"")+IMPORTRANGE(""http"&amp;"s://docs.google.com/spreadsheets/d/1v0b9pFQCsKUVExMei7AgY2yQkdeNQvtOssygGsXbiKo/edit?usp=sharing"",""อุตรดิตถ์!M273"")+IMPORTRANGE(""https://docs.google.com/spreadsheets/d/1UsNK1e-WWiCo2PvGqdNfdme4m17_Ezd3J69EeeiQPD0/edit?usp=sharing"",""อุทัยธานี!M273"")"),0)</f>
        <v>0</v>
      </c>
      <c r="N273" s="46">
        <f ca="1">IFERROR(__xludf.DUMMYFUNCTION("IMPORTRANGE(""https://docs.google.com/spreadsheets/d/1jTcq05yEiRwXcBMLjiodW9e4biSGYWAHcDj22rKWQ3s/edit?usp=sharing"",""กำแพงเพชร!N273"")+IMPORTRANGE(""https://docs.google.com/spreadsheets/d/1KS0zmDSZPk8KnTAbGN-Xk6MtX1YRZD0ldgdt20K4CRk/edit?usp=sharing"","&amp;"""เชียงราย!N273"")+IMPORTRANGE(""https://docs.google.com/spreadsheets/d/1rEDxBtusbi64tE0zunoIbsTVV16HeL0oJ6trHQeQ7K8/edit?usp=sharing"",""เชียงใหม่!N273"")+IMPORTRANGE(""https://docs.google.com/spreadsheets/d/1W6MnUbDkMi6xHnHko_XkFDO9kkuL6Wqyc-6OCDFjW9I/e"&amp;"dit?usp=sharing"",""ตาก!N273"")+IMPORTRANGE(""https://docs.google.com/spreadsheets/d/1IQAWArduLkta9LpYo4a_ULsyqdta6-6aDDiwpUnQT6c/edit?usp=sharing"",""นครสวรรค์!N273"")+IMPORTRANGE(""https://docs.google.com/spreadsheets/d/10s13Sk5xrltsiR-Zkbmk5DwIaDIKO8Xl"&amp;"bJAfqyT7Gvg/edit?usp=sharing"",""น่าน!N273"")+IMPORTRANGE(""https://docs.google.com/spreadsheets/d/1uu4nAn4Dbi1XREnLKKotUANlKXa7yCgRcgq8HEzQYW8/edit?usp=sharing"",""พะเยา!N273"")+IMPORTRANGE(""https://docs.google.com/spreadsheets/d/1xfJKIQxVOaPDIICqsflNlL"&amp;"u3JacTDk1FP9RH4phX7mI/edit?usp=sharing"",""พิจิตร!N273"")+IMPORTRANGE(""https://docs.google.com/spreadsheets/d/1JtRfZkJMHtEhI5RdRHxYUG4FIZHqKDpNyIuN7A1Q0_k/edit?usp=sharing"",""พิษณุโลก!N273"")+IMPORTRANGE(""https://docs.google.com/spreadsheets/d/1xlcVZWU"&amp;"Nn6SuWm0c307h32SiGkd9BaeQWlAktfD3KO8/edit?usp=sharing"",""เพชรบูรณ์!N273"")+IMPORTRANGE(""https://docs.google.com/spreadsheets/d/1lOVebEIsI9qjGXl6EX66luk7wiuP2tBaryw-wKvv4e0/edit?usp=sharing"",""แพร่!N273"")+IMPORTRANGE(""https://docs.google.com/spreadshe"&amp;"ets/d/1dQrvX0vEcN7Gu0fnZ0B5S90AeR19zth4XlExFBeExMY/edit?usp=sharing"",""แม่ฮ่องสอน!N273"")+IMPORTRANGE(""https://docs.google.com/spreadsheets/d/1DY4XTNNwjluuxqdfdn6qvOSlMRrZqUtmYcZR0ttFiG4/edit?usp=sharing"",""ลำปาง!N273"")+IMPORTRANGE(""https://docs.goog"&amp;"le.com/spreadsheets/d/1ICwG78r0OFT8biBlxnBF8r7she7gNSzOvJ958PWT09c/edit?usp=sharing"",""ลำพูน!N273"")+IMPORTRANGE(""https://docs.google.com/spreadsheets/d/1B0f2xJpZUC6Z0xXnqKlZtEPzsf6L84eP1r1Q15seqRM/edit?usp=sharing"",""สุโขทัย!N273"")+IMPORTRANGE(""http"&amp;"s://docs.google.com/spreadsheets/d/1v0b9pFQCsKUVExMei7AgY2yQkdeNQvtOssygGsXbiKo/edit?usp=sharing"",""อุตรดิตถ์!N273"")+IMPORTRANGE(""https://docs.google.com/spreadsheets/d/1UsNK1e-WWiCo2PvGqdNfdme4m17_Ezd3J69EeeiQPD0/edit?usp=sharing"",""อุทัยธานี!N273"")"),0)</f>
        <v>0</v>
      </c>
      <c r="O273" s="46">
        <f t="shared" ca="1" si="189"/>
        <v>0</v>
      </c>
      <c r="P273" s="46">
        <f t="shared" ca="1" si="190"/>
        <v>0</v>
      </c>
      <c r="Q273" s="48">
        <f ca="1">IFERROR(__xludf.DUMMYFUNCTION("IMPORTRANGE(""https://docs.google.com/spreadsheets/d/1jTcq05yEiRwXcBMLjiodW9e4biSGYWAHcDj22rKWQ3s/edit?usp=sharing"",""กำแพงเพชร!Q273"")+IMPORTRANGE(""https://docs.google.com/spreadsheets/d/1KS0zmDSZPk8KnTAbGN-Xk6MtX1YRZD0ldgdt20K4CRk/edit?usp=sharing"","&amp;"""เชียงราย!Q273"")+IMPORTRANGE(""https://docs.google.com/spreadsheets/d/1rEDxBtusbi64tE0zunoIbsTVV16HeL0oJ6trHQeQ7K8/edit?usp=sharing"",""เชียงใหม่!Q273"")+IMPORTRANGE(""https://docs.google.com/spreadsheets/d/1W6MnUbDkMi6xHnHko_XkFDO9kkuL6Wqyc-6OCDFjW9I/e"&amp;"dit?usp=sharing"",""ตาก!Q273"")+IMPORTRANGE(""https://docs.google.com/spreadsheets/d/1IQAWArduLkta9LpYo4a_ULsyqdta6-6aDDiwpUnQT6c/edit?usp=sharing"",""นครสวรรค์!Q273"")+IMPORTRANGE(""https://docs.google.com/spreadsheets/d/10s13Sk5xrltsiR-Zkbmk5DwIaDIKO8Xl"&amp;"bJAfqyT7Gvg/edit?usp=sharing"",""น่าน!Q273"")+IMPORTRANGE(""https://docs.google.com/spreadsheets/d/1uu4nAn4Dbi1XREnLKKotUANlKXa7yCgRcgq8HEzQYW8/edit?usp=sharing"",""พะเยา!Q273"")+IMPORTRANGE(""https://docs.google.com/spreadsheets/d/1xfJKIQxVOaPDIICqsflNlL"&amp;"u3JacTDk1FP9RH4phX7mI/edit?usp=sharing"",""พิจิตร!Q273"")+IMPORTRANGE(""https://docs.google.com/spreadsheets/d/1JtRfZkJMHtEhI5RdRHxYUG4FIZHqKDpNyIuN7A1Q0_k/edit?usp=sharing"",""พิษณุโลก!Q273"")+IMPORTRANGE(""https://docs.google.com/spreadsheets/d/1xlcVZWU"&amp;"Nn6SuWm0c307h32SiGkd9BaeQWlAktfD3KO8/edit?usp=sharing"",""เพชรบูรณ์!Q273"")+IMPORTRANGE(""https://docs.google.com/spreadsheets/d/1lOVebEIsI9qjGXl6EX66luk7wiuP2tBaryw-wKvv4e0/edit?usp=sharing"",""แพร่!Q273"")+IMPORTRANGE(""https://docs.google.com/spreadshe"&amp;"ets/d/1dQrvX0vEcN7Gu0fnZ0B5S90AeR19zth4XlExFBeExMY/edit?usp=sharing"",""แม่ฮ่องสอน!Q273"")+IMPORTRANGE(""https://docs.google.com/spreadsheets/d/1DY4XTNNwjluuxqdfdn6qvOSlMRrZqUtmYcZR0ttFiG4/edit?usp=sharing"",""ลำปาง!Q273"")+IMPORTRANGE(""https://docs.goog"&amp;"le.com/spreadsheets/d/1ICwG78r0OFT8biBlxnBF8r7she7gNSzOvJ958PWT09c/edit?usp=sharing"",""ลำพูน!Q273"")+IMPORTRANGE(""https://docs.google.com/spreadsheets/d/1B0f2xJpZUC6Z0xXnqKlZtEPzsf6L84eP1r1Q15seqRM/edit?usp=sharing"",""สุโขทัย!Q273"")+IMPORTRANGE(""http"&amp;"s://docs.google.com/spreadsheets/d/1v0b9pFQCsKUVExMei7AgY2yQkdeNQvtOssygGsXbiKo/edit?usp=sharing"",""อุตรดิตถ์!Q273"")+IMPORTRANGE(""https://docs.google.com/spreadsheets/d/1UsNK1e-WWiCo2PvGqdNfdme4m17_Ezd3J69EeeiQPD0/edit?usp=sharing"",""อุทัยธานี!Q273"")"),0)</f>
        <v>0</v>
      </c>
      <c r="R273" s="48">
        <f ca="1">IFERROR(__xludf.DUMMYFUNCTION("IMPORTRANGE(""https://docs.google.com/spreadsheets/d/1jTcq05yEiRwXcBMLjiodW9e4biSGYWAHcDj22rKWQ3s/edit?usp=sharing"",""กำแพงเพชร!R273"")+IMPORTRANGE(""https://docs.google.com/spreadsheets/d/1KS0zmDSZPk8KnTAbGN-Xk6MtX1YRZD0ldgdt20K4CRk/edit?usp=sharing"","&amp;"""เชียงราย!R273"")+IMPORTRANGE(""https://docs.google.com/spreadsheets/d/1rEDxBtusbi64tE0zunoIbsTVV16HeL0oJ6trHQeQ7K8/edit?usp=sharing"",""เชียงใหม่!R273"")+IMPORTRANGE(""https://docs.google.com/spreadsheets/d/1W6MnUbDkMi6xHnHko_XkFDO9kkuL6Wqyc-6OCDFjW9I/e"&amp;"dit?usp=sharing"",""ตาก!R273"")+IMPORTRANGE(""https://docs.google.com/spreadsheets/d/1IQAWArduLkta9LpYo4a_ULsyqdta6-6aDDiwpUnQT6c/edit?usp=sharing"",""นครสวรรค์!R273"")+IMPORTRANGE(""https://docs.google.com/spreadsheets/d/10s13Sk5xrltsiR-Zkbmk5DwIaDIKO8Xl"&amp;"bJAfqyT7Gvg/edit?usp=sharing"",""น่าน!R273"")+IMPORTRANGE(""https://docs.google.com/spreadsheets/d/1uu4nAn4Dbi1XREnLKKotUANlKXa7yCgRcgq8HEzQYW8/edit?usp=sharing"",""พะเยา!R273"")+IMPORTRANGE(""https://docs.google.com/spreadsheets/d/1xfJKIQxVOaPDIICqsflNlL"&amp;"u3JacTDk1FP9RH4phX7mI/edit?usp=sharing"",""พิจิตร!R273"")+IMPORTRANGE(""https://docs.google.com/spreadsheets/d/1JtRfZkJMHtEhI5RdRHxYUG4FIZHqKDpNyIuN7A1Q0_k/edit?usp=sharing"",""พิษณุโลก!R273"")+IMPORTRANGE(""https://docs.google.com/spreadsheets/d/1xlcVZWU"&amp;"Nn6SuWm0c307h32SiGkd9BaeQWlAktfD3KO8/edit?usp=sharing"",""เพชรบูรณ์!R273"")+IMPORTRANGE(""https://docs.google.com/spreadsheets/d/1lOVebEIsI9qjGXl6EX66luk7wiuP2tBaryw-wKvv4e0/edit?usp=sharing"",""แพร่!R273"")+IMPORTRANGE(""https://docs.google.com/spreadshe"&amp;"ets/d/1dQrvX0vEcN7Gu0fnZ0B5S90AeR19zth4XlExFBeExMY/edit?usp=sharing"",""แม่ฮ่องสอน!R273"")+IMPORTRANGE(""https://docs.google.com/spreadsheets/d/1DY4XTNNwjluuxqdfdn6qvOSlMRrZqUtmYcZR0ttFiG4/edit?usp=sharing"",""ลำปาง!R273"")+IMPORTRANGE(""https://docs.goog"&amp;"le.com/spreadsheets/d/1ICwG78r0OFT8biBlxnBF8r7she7gNSzOvJ958PWT09c/edit?usp=sharing"",""ลำพูน!R273"")+IMPORTRANGE(""https://docs.google.com/spreadsheets/d/1B0f2xJpZUC6Z0xXnqKlZtEPzsf6L84eP1r1Q15seqRM/edit?usp=sharing"",""สุโขทัย!R273"")+IMPORTRANGE(""http"&amp;"s://docs.google.com/spreadsheets/d/1v0b9pFQCsKUVExMei7AgY2yQkdeNQvtOssygGsXbiKo/edit?usp=sharing"",""อุตรดิตถ์!R273"")+IMPORTRANGE(""https://docs.google.com/spreadsheets/d/1UsNK1e-WWiCo2PvGqdNfdme4m17_Ezd3J69EeeiQPD0/edit?usp=sharing"",""อุทัยธานี!R273"")"),0)</f>
        <v>0</v>
      </c>
      <c r="S273" s="48">
        <f ca="1">IFERROR(__xludf.DUMMYFUNCTION("IMPORTRANGE(""https://docs.google.com/spreadsheets/d/1jTcq05yEiRwXcBMLjiodW9e4biSGYWAHcDj22rKWQ3s/edit?usp=sharing"",""กำแพงเพชร!S273"")+IMPORTRANGE(""https://docs.google.com/spreadsheets/d/1KS0zmDSZPk8KnTAbGN-Xk6MtX1YRZD0ldgdt20K4CRk/edit?usp=sharing"","&amp;"""เชียงราย!S273"")+IMPORTRANGE(""https://docs.google.com/spreadsheets/d/1rEDxBtusbi64tE0zunoIbsTVV16HeL0oJ6trHQeQ7K8/edit?usp=sharing"",""เชียงใหม่!S273"")+IMPORTRANGE(""https://docs.google.com/spreadsheets/d/1W6MnUbDkMi6xHnHko_XkFDO9kkuL6Wqyc-6OCDFjW9I/e"&amp;"dit?usp=sharing"",""ตาก!S273"")+IMPORTRANGE(""https://docs.google.com/spreadsheets/d/1IQAWArduLkta9LpYo4a_ULsyqdta6-6aDDiwpUnQT6c/edit?usp=sharing"",""นครสวรรค์!S273"")+IMPORTRANGE(""https://docs.google.com/spreadsheets/d/10s13Sk5xrltsiR-Zkbmk5DwIaDIKO8Xl"&amp;"bJAfqyT7Gvg/edit?usp=sharing"",""น่าน!S273"")+IMPORTRANGE(""https://docs.google.com/spreadsheets/d/1uu4nAn4Dbi1XREnLKKotUANlKXa7yCgRcgq8HEzQYW8/edit?usp=sharing"",""พะเยา!S273"")+IMPORTRANGE(""https://docs.google.com/spreadsheets/d/1xfJKIQxVOaPDIICqsflNlL"&amp;"u3JacTDk1FP9RH4phX7mI/edit?usp=sharing"",""พิจิตร!S273"")+IMPORTRANGE(""https://docs.google.com/spreadsheets/d/1JtRfZkJMHtEhI5RdRHxYUG4FIZHqKDpNyIuN7A1Q0_k/edit?usp=sharing"",""พิษณุโลก!S273"")+IMPORTRANGE(""https://docs.google.com/spreadsheets/d/1xlcVZWU"&amp;"Nn6SuWm0c307h32SiGkd9BaeQWlAktfD3KO8/edit?usp=sharing"",""เพชรบูรณ์!S273"")+IMPORTRANGE(""https://docs.google.com/spreadsheets/d/1lOVebEIsI9qjGXl6EX66luk7wiuP2tBaryw-wKvv4e0/edit?usp=sharing"",""แพร่!S273"")+IMPORTRANGE(""https://docs.google.com/spreadshe"&amp;"ets/d/1dQrvX0vEcN7Gu0fnZ0B5S90AeR19zth4XlExFBeExMY/edit?usp=sharing"",""แม่ฮ่องสอน!S273"")+IMPORTRANGE(""https://docs.google.com/spreadsheets/d/1DY4XTNNwjluuxqdfdn6qvOSlMRrZqUtmYcZR0ttFiG4/edit?usp=sharing"",""ลำปาง!S273"")+IMPORTRANGE(""https://docs.goog"&amp;"le.com/spreadsheets/d/1ICwG78r0OFT8biBlxnBF8r7she7gNSzOvJ958PWT09c/edit?usp=sharing"",""ลำพูน!S273"")+IMPORTRANGE(""https://docs.google.com/spreadsheets/d/1B0f2xJpZUC6Z0xXnqKlZtEPzsf6L84eP1r1Q15seqRM/edit?usp=sharing"",""สุโขทัย!S273"")+IMPORTRANGE(""http"&amp;"s://docs.google.com/spreadsheets/d/1v0b9pFQCsKUVExMei7AgY2yQkdeNQvtOssygGsXbiKo/edit?usp=sharing"",""อุตรดิตถ์!S273"")+IMPORTRANGE(""https://docs.google.com/spreadsheets/d/1UsNK1e-WWiCo2PvGqdNfdme4m17_Ezd3J69EeeiQPD0/edit?usp=sharing"",""อุทัยธานี!S273"")"),0)</f>
        <v>0</v>
      </c>
      <c r="T273" s="48">
        <f t="shared" ca="1" si="192"/>
        <v>0</v>
      </c>
      <c r="U273" s="48">
        <f t="shared" ca="1" si="193"/>
        <v>0</v>
      </c>
    </row>
    <row r="274" spans="1:21" ht="18.75" x14ac:dyDescent="0.25">
      <c r="A274" s="128"/>
      <c r="B274" s="40"/>
      <c r="C274" s="40"/>
      <c r="D274" s="40"/>
      <c r="E274" s="47" t="s">
        <v>21</v>
      </c>
      <c r="F274" s="40"/>
      <c r="G274" s="42"/>
      <c r="H274" s="137" t="s">
        <v>14</v>
      </c>
      <c r="I274" s="135"/>
      <c r="J274" s="135"/>
      <c r="K274" s="136"/>
      <c r="L274" s="46">
        <f ca="1">IFERROR(__xludf.DUMMYFUNCTION("IMPORTRANGE(""https://docs.google.com/spreadsheets/d/1jTcq05yEiRwXcBMLjiodW9e4biSGYWAHcDj22rKWQ3s/edit?usp=sharing"",""กำแพงเพชร!L274"")+IMPORTRANGE(""https://docs.google.com/spreadsheets/d/1KS0zmDSZPk8KnTAbGN-Xk6MtX1YRZD0ldgdt20K4CRk/edit?usp=sharing"","&amp;"""เชียงราย!L274"")+IMPORTRANGE(""https://docs.google.com/spreadsheets/d/1rEDxBtusbi64tE0zunoIbsTVV16HeL0oJ6trHQeQ7K8/edit?usp=sharing"",""เชียงใหม่!L274"")+IMPORTRANGE(""https://docs.google.com/spreadsheets/d/1W6MnUbDkMi6xHnHko_XkFDO9kkuL6Wqyc-6OCDFjW9I/e"&amp;"dit?usp=sharing"",""ตาก!L274"")+IMPORTRANGE(""https://docs.google.com/spreadsheets/d/1IQAWArduLkta9LpYo4a_ULsyqdta6-6aDDiwpUnQT6c/edit?usp=sharing"",""นครสวรรค์!L274"")+IMPORTRANGE(""https://docs.google.com/spreadsheets/d/10s13Sk5xrltsiR-Zkbmk5DwIaDIKO8Xl"&amp;"bJAfqyT7Gvg/edit?usp=sharing"",""น่าน!L274"")+IMPORTRANGE(""https://docs.google.com/spreadsheets/d/1uu4nAn4Dbi1XREnLKKotUANlKXa7yCgRcgq8HEzQYW8/edit?usp=sharing"",""พะเยา!L274"")+IMPORTRANGE(""https://docs.google.com/spreadsheets/d/1xfJKIQxVOaPDIICqsflNlL"&amp;"u3JacTDk1FP9RH4phX7mI/edit?usp=sharing"",""พิจิตร!L274"")+IMPORTRANGE(""https://docs.google.com/spreadsheets/d/1JtRfZkJMHtEhI5RdRHxYUG4FIZHqKDpNyIuN7A1Q0_k/edit?usp=sharing"",""พิษณุโลก!L274"")+IMPORTRANGE(""https://docs.google.com/spreadsheets/d/1xlcVZWU"&amp;"Nn6SuWm0c307h32SiGkd9BaeQWlAktfD3KO8/edit?usp=sharing"",""เพชรบูรณ์!L274"")+IMPORTRANGE(""https://docs.google.com/spreadsheets/d/1lOVebEIsI9qjGXl6EX66luk7wiuP2tBaryw-wKvv4e0/edit?usp=sharing"",""แพร่!L274"")+IMPORTRANGE(""https://docs.google.com/spreadshe"&amp;"ets/d/1dQrvX0vEcN7Gu0fnZ0B5S90AeR19zth4XlExFBeExMY/edit?usp=sharing"",""แม่ฮ่องสอน!L274"")+IMPORTRANGE(""https://docs.google.com/spreadsheets/d/1DY4XTNNwjluuxqdfdn6qvOSlMRrZqUtmYcZR0ttFiG4/edit?usp=sharing"",""ลำปาง!L274"")+IMPORTRANGE(""https://docs.goog"&amp;"le.com/spreadsheets/d/1ICwG78r0OFT8biBlxnBF8r7she7gNSzOvJ958PWT09c/edit?usp=sharing"",""ลำพูน!L274"")+IMPORTRANGE(""https://docs.google.com/spreadsheets/d/1B0f2xJpZUC6Z0xXnqKlZtEPzsf6L84eP1r1Q15seqRM/edit?usp=sharing"",""สุโขทัย!L274"")+IMPORTRANGE(""http"&amp;"s://docs.google.com/spreadsheets/d/1v0b9pFQCsKUVExMei7AgY2yQkdeNQvtOssygGsXbiKo/edit?usp=sharing"",""อุตรดิตถ์!L274"")+IMPORTRANGE(""https://docs.google.com/spreadsheets/d/1UsNK1e-WWiCo2PvGqdNfdme4m17_Ezd3J69EeeiQPD0/edit?usp=sharing"",""อุทัยธานี!L274"")"),0)</f>
        <v>0</v>
      </c>
      <c r="M274" s="46">
        <f ca="1">IFERROR(__xludf.DUMMYFUNCTION("IMPORTRANGE(""https://docs.google.com/spreadsheets/d/1jTcq05yEiRwXcBMLjiodW9e4biSGYWAHcDj22rKWQ3s/edit?usp=sharing"",""กำแพงเพชร!M274"")+IMPORTRANGE(""https://docs.google.com/spreadsheets/d/1KS0zmDSZPk8KnTAbGN-Xk6MtX1YRZD0ldgdt20K4CRk/edit?usp=sharing"","&amp;"""เชียงราย!M274"")+IMPORTRANGE(""https://docs.google.com/spreadsheets/d/1rEDxBtusbi64tE0zunoIbsTVV16HeL0oJ6trHQeQ7K8/edit?usp=sharing"",""เชียงใหม่!M274"")+IMPORTRANGE(""https://docs.google.com/spreadsheets/d/1W6MnUbDkMi6xHnHko_XkFDO9kkuL6Wqyc-6OCDFjW9I/e"&amp;"dit?usp=sharing"",""ตาก!M274"")+IMPORTRANGE(""https://docs.google.com/spreadsheets/d/1IQAWArduLkta9LpYo4a_ULsyqdta6-6aDDiwpUnQT6c/edit?usp=sharing"",""นครสวรรค์!M274"")+IMPORTRANGE(""https://docs.google.com/spreadsheets/d/10s13Sk5xrltsiR-Zkbmk5DwIaDIKO8Xl"&amp;"bJAfqyT7Gvg/edit?usp=sharing"",""น่าน!M274"")+IMPORTRANGE(""https://docs.google.com/spreadsheets/d/1uu4nAn4Dbi1XREnLKKotUANlKXa7yCgRcgq8HEzQYW8/edit?usp=sharing"",""พะเยา!M274"")+IMPORTRANGE(""https://docs.google.com/spreadsheets/d/1xfJKIQxVOaPDIICqsflNlL"&amp;"u3JacTDk1FP9RH4phX7mI/edit?usp=sharing"",""พิจิตร!M274"")+IMPORTRANGE(""https://docs.google.com/spreadsheets/d/1JtRfZkJMHtEhI5RdRHxYUG4FIZHqKDpNyIuN7A1Q0_k/edit?usp=sharing"",""พิษณุโลก!M274"")+IMPORTRANGE(""https://docs.google.com/spreadsheets/d/1xlcVZWU"&amp;"Nn6SuWm0c307h32SiGkd9BaeQWlAktfD3KO8/edit?usp=sharing"",""เพชรบูรณ์!M274"")+IMPORTRANGE(""https://docs.google.com/spreadsheets/d/1lOVebEIsI9qjGXl6EX66luk7wiuP2tBaryw-wKvv4e0/edit?usp=sharing"",""แพร่!M274"")+IMPORTRANGE(""https://docs.google.com/spreadshe"&amp;"ets/d/1dQrvX0vEcN7Gu0fnZ0B5S90AeR19zth4XlExFBeExMY/edit?usp=sharing"",""แม่ฮ่องสอน!M274"")+IMPORTRANGE(""https://docs.google.com/spreadsheets/d/1DY4XTNNwjluuxqdfdn6qvOSlMRrZqUtmYcZR0ttFiG4/edit?usp=sharing"",""ลำปาง!M274"")+IMPORTRANGE(""https://docs.goog"&amp;"le.com/spreadsheets/d/1ICwG78r0OFT8biBlxnBF8r7she7gNSzOvJ958PWT09c/edit?usp=sharing"",""ลำพูน!M274"")+IMPORTRANGE(""https://docs.google.com/spreadsheets/d/1B0f2xJpZUC6Z0xXnqKlZtEPzsf6L84eP1r1Q15seqRM/edit?usp=sharing"",""สุโขทัย!M274"")+IMPORTRANGE(""http"&amp;"s://docs.google.com/spreadsheets/d/1v0b9pFQCsKUVExMei7AgY2yQkdeNQvtOssygGsXbiKo/edit?usp=sharing"",""อุตรดิตถ์!M274"")+IMPORTRANGE(""https://docs.google.com/spreadsheets/d/1UsNK1e-WWiCo2PvGqdNfdme4m17_Ezd3J69EeeiQPD0/edit?usp=sharing"",""อุทัยธานี!M274"")"),0)</f>
        <v>0</v>
      </c>
      <c r="N274" s="46">
        <f ca="1">IFERROR(__xludf.DUMMYFUNCTION("IMPORTRANGE(""https://docs.google.com/spreadsheets/d/1jTcq05yEiRwXcBMLjiodW9e4biSGYWAHcDj22rKWQ3s/edit?usp=sharing"",""กำแพงเพชร!N274"")+IMPORTRANGE(""https://docs.google.com/spreadsheets/d/1KS0zmDSZPk8KnTAbGN-Xk6MtX1YRZD0ldgdt20K4CRk/edit?usp=sharing"","&amp;"""เชียงราย!N274"")+IMPORTRANGE(""https://docs.google.com/spreadsheets/d/1rEDxBtusbi64tE0zunoIbsTVV16HeL0oJ6trHQeQ7K8/edit?usp=sharing"",""เชียงใหม่!N274"")+IMPORTRANGE(""https://docs.google.com/spreadsheets/d/1W6MnUbDkMi6xHnHko_XkFDO9kkuL6Wqyc-6OCDFjW9I/e"&amp;"dit?usp=sharing"",""ตาก!N274"")+IMPORTRANGE(""https://docs.google.com/spreadsheets/d/1IQAWArduLkta9LpYo4a_ULsyqdta6-6aDDiwpUnQT6c/edit?usp=sharing"",""นครสวรรค์!N274"")+IMPORTRANGE(""https://docs.google.com/spreadsheets/d/10s13Sk5xrltsiR-Zkbmk5DwIaDIKO8Xl"&amp;"bJAfqyT7Gvg/edit?usp=sharing"",""น่าน!N274"")+IMPORTRANGE(""https://docs.google.com/spreadsheets/d/1uu4nAn4Dbi1XREnLKKotUANlKXa7yCgRcgq8HEzQYW8/edit?usp=sharing"",""พะเยา!N274"")+IMPORTRANGE(""https://docs.google.com/spreadsheets/d/1xfJKIQxVOaPDIICqsflNlL"&amp;"u3JacTDk1FP9RH4phX7mI/edit?usp=sharing"",""พิจิตร!N274"")+IMPORTRANGE(""https://docs.google.com/spreadsheets/d/1JtRfZkJMHtEhI5RdRHxYUG4FIZHqKDpNyIuN7A1Q0_k/edit?usp=sharing"",""พิษณุโลก!N274"")+IMPORTRANGE(""https://docs.google.com/spreadsheets/d/1xlcVZWU"&amp;"Nn6SuWm0c307h32SiGkd9BaeQWlAktfD3KO8/edit?usp=sharing"",""เพชรบูรณ์!N274"")+IMPORTRANGE(""https://docs.google.com/spreadsheets/d/1lOVebEIsI9qjGXl6EX66luk7wiuP2tBaryw-wKvv4e0/edit?usp=sharing"",""แพร่!N274"")+IMPORTRANGE(""https://docs.google.com/spreadshe"&amp;"ets/d/1dQrvX0vEcN7Gu0fnZ0B5S90AeR19zth4XlExFBeExMY/edit?usp=sharing"",""แม่ฮ่องสอน!N274"")+IMPORTRANGE(""https://docs.google.com/spreadsheets/d/1DY4XTNNwjluuxqdfdn6qvOSlMRrZqUtmYcZR0ttFiG4/edit?usp=sharing"",""ลำปาง!N274"")+IMPORTRANGE(""https://docs.goog"&amp;"le.com/spreadsheets/d/1ICwG78r0OFT8biBlxnBF8r7she7gNSzOvJ958PWT09c/edit?usp=sharing"",""ลำพูน!N274"")+IMPORTRANGE(""https://docs.google.com/spreadsheets/d/1B0f2xJpZUC6Z0xXnqKlZtEPzsf6L84eP1r1Q15seqRM/edit?usp=sharing"",""สุโขทัย!N274"")+IMPORTRANGE(""http"&amp;"s://docs.google.com/spreadsheets/d/1v0b9pFQCsKUVExMei7AgY2yQkdeNQvtOssygGsXbiKo/edit?usp=sharing"",""อุตรดิตถ์!N274"")+IMPORTRANGE(""https://docs.google.com/spreadsheets/d/1UsNK1e-WWiCo2PvGqdNfdme4m17_Ezd3J69EeeiQPD0/edit?usp=sharing"",""อุทัยธานี!N274"")"),0)</f>
        <v>0</v>
      </c>
      <c r="O274" s="46">
        <f t="shared" ca="1" si="189"/>
        <v>0</v>
      </c>
      <c r="P274" s="46">
        <f t="shared" ca="1" si="190"/>
        <v>0</v>
      </c>
      <c r="Q274" s="46">
        <f ca="1">IFERROR(__xludf.DUMMYFUNCTION("IMPORTRANGE(""https://docs.google.com/spreadsheets/d/1jTcq05yEiRwXcBMLjiodW9e4biSGYWAHcDj22rKWQ3s/edit?usp=sharing"",""กำแพงเพชร!Q274"")+IMPORTRANGE(""https://docs.google.com/spreadsheets/d/1KS0zmDSZPk8KnTAbGN-Xk6MtX1YRZD0ldgdt20K4CRk/edit?usp=sharing"","&amp;"""เชียงราย!Q274"")+IMPORTRANGE(""https://docs.google.com/spreadsheets/d/1rEDxBtusbi64tE0zunoIbsTVV16HeL0oJ6trHQeQ7K8/edit?usp=sharing"",""เชียงใหม่!Q274"")+IMPORTRANGE(""https://docs.google.com/spreadsheets/d/1W6MnUbDkMi6xHnHko_XkFDO9kkuL6Wqyc-6OCDFjW9I/e"&amp;"dit?usp=sharing"",""ตาก!Q274"")+IMPORTRANGE(""https://docs.google.com/spreadsheets/d/1IQAWArduLkta9LpYo4a_ULsyqdta6-6aDDiwpUnQT6c/edit?usp=sharing"",""นครสวรรค์!Q274"")+IMPORTRANGE(""https://docs.google.com/spreadsheets/d/10s13Sk5xrltsiR-Zkbmk5DwIaDIKO8Xl"&amp;"bJAfqyT7Gvg/edit?usp=sharing"",""น่าน!Q274"")+IMPORTRANGE(""https://docs.google.com/spreadsheets/d/1uu4nAn4Dbi1XREnLKKotUANlKXa7yCgRcgq8HEzQYW8/edit?usp=sharing"",""พะเยา!Q274"")+IMPORTRANGE(""https://docs.google.com/spreadsheets/d/1xfJKIQxVOaPDIICqsflNlL"&amp;"u3JacTDk1FP9RH4phX7mI/edit?usp=sharing"",""พิจิตร!Q274"")+IMPORTRANGE(""https://docs.google.com/spreadsheets/d/1JtRfZkJMHtEhI5RdRHxYUG4FIZHqKDpNyIuN7A1Q0_k/edit?usp=sharing"",""พิษณุโลก!Q274"")+IMPORTRANGE(""https://docs.google.com/spreadsheets/d/1xlcVZWU"&amp;"Nn6SuWm0c307h32SiGkd9BaeQWlAktfD3KO8/edit?usp=sharing"",""เพชรบูรณ์!Q274"")+IMPORTRANGE(""https://docs.google.com/spreadsheets/d/1lOVebEIsI9qjGXl6EX66luk7wiuP2tBaryw-wKvv4e0/edit?usp=sharing"",""แพร่!Q274"")+IMPORTRANGE(""https://docs.google.com/spreadshe"&amp;"ets/d/1dQrvX0vEcN7Gu0fnZ0B5S90AeR19zth4XlExFBeExMY/edit?usp=sharing"",""แม่ฮ่องสอน!Q274"")+IMPORTRANGE(""https://docs.google.com/spreadsheets/d/1DY4XTNNwjluuxqdfdn6qvOSlMRrZqUtmYcZR0ttFiG4/edit?usp=sharing"",""ลำปาง!Q274"")+IMPORTRANGE(""https://docs.goog"&amp;"le.com/spreadsheets/d/1ICwG78r0OFT8biBlxnBF8r7she7gNSzOvJ958PWT09c/edit?usp=sharing"",""ลำพูน!Q274"")+IMPORTRANGE(""https://docs.google.com/spreadsheets/d/1B0f2xJpZUC6Z0xXnqKlZtEPzsf6L84eP1r1Q15seqRM/edit?usp=sharing"",""สุโขทัย!Q274"")+IMPORTRANGE(""http"&amp;"s://docs.google.com/spreadsheets/d/1v0b9pFQCsKUVExMei7AgY2yQkdeNQvtOssygGsXbiKo/edit?usp=sharing"",""อุตรดิตถ์!Q274"")+IMPORTRANGE(""https://docs.google.com/spreadsheets/d/1UsNK1e-WWiCo2PvGqdNfdme4m17_Ezd3J69EeeiQPD0/edit?usp=sharing"",""อุทัยธานี!Q274"")"),0)</f>
        <v>0</v>
      </c>
      <c r="R274" s="46">
        <f ca="1">IFERROR(__xludf.DUMMYFUNCTION("IMPORTRANGE(""https://docs.google.com/spreadsheets/d/1jTcq05yEiRwXcBMLjiodW9e4biSGYWAHcDj22rKWQ3s/edit?usp=sharing"",""กำแพงเพชร!R274"")+IMPORTRANGE(""https://docs.google.com/spreadsheets/d/1KS0zmDSZPk8KnTAbGN-Xk6MtX1YRZD0ldgdt20K4CRk/edit?usp=sharing"","&amp;"""เชียงราย!R274"")+IMPORTRANGE(""https://docs.google.com/spreadsheets/d/1rEDxBtusbi64tE0zunoIbsTVV16HeL0oJ6trHQeQ7K8/edit?usp=sharing"",""เชียงใหม่!R274"")+IMPORTRANGE(""https://docs.google.com/spreadsheets/d/1W6MnUbDkMi6xHnHko_XkFDO9kkuL6Wqyc-6OCDFjW9I/e"&amp;"dit?usp=sharing"",""ตาก!R274"")+IMPORTRANGE(""https://docs.google.com/spreadsheets/d/1IQAWArduLkta9LpYo4a_ULsyqdta6-6aDDiwpUnQT6c/edit?usp=sharing"",""นครสวรรค์!R274"")+IMPORTRANGE(""https://docs.google.com/spreadsheets/d/10s13Sk5xrltsiR-Zkbmk5DwIaDIKO8Xl"&amp;"bJAfqyT7Gvg/edit?usp=sharing"",""น่าน!R274"")+IMPORTRANGE(""https://docs.google.com/spreadsheets/d/1uu4nAn4Dbi1XREnLKKotUANlKXa7yCgRcgq8HEzQYW8/edit?usp=sharing"",""พะเยา!R274"")+IMPORTRANGE(""https://docs.google.com/spreadsheets/d/1xfJKIQxVOaPDIICqsflNlL"&amp;"u3JacTDk1FP9RH4phX7mI/edit?usp=sharing"",""พิจิตร!R274"")+IMPORTRANGE(""https://docs.google.com/spreadsheets/d/1JtRfZkJMHtEhI5RdRHxYUG4FIZHqKDpNyIuN7A1Q0_k/edit?usp=sharing"",""พิษณุโลก!R274"")+IMPORTRANGE(""https://docs.google.com/spreadsheets/d/1xlcVZWU"&amp;"Nn6SuWm0c307h32SiGkd9BaeQWlAktfD3KO8/edit?usp=sharing"",""เพชรบูรณ์!R274"")+IMPORTRANGE(""https://docs.google.com/spreadsheets/d/1lOVebEIsI9qjGXl6EX66luk7wiuP2tBaryw-wKvv4e0/edit?usp=sharing"",""แพร่!R274"")+IMPORTRANGE(""https://docs.google.com/spreadshe"&amp;"ets/d/1dQrvX0vEcN7Gu0fnZ0B5S90AeR19zth4XlExFBeExMY/edit?usp=sharing"",""แม่ฮ่องสอน!R274"")+IMPORTRANGE(""https://docs.google.com/spreadsheets/d/1DY4XTNNwjluuxqdfdn6qvOSlMRrZqUtmYcZR0ttFiG4/edit?usp=sharing"",""ลำปาง!R274"")+IMPORTRANGE(""https://docs.goog"&amp;"le.com/spreadsheets/d/1ICwG78r0OFT8biBlxnBF8r7she7gNSzOvJ958PWT09c/edit?usp=sharing"",""ลำพูน!R274"")+IMPORTRANGE(""https://docs.google.com/spreadsheets/d/1B0f2xJpZUC6Z0xXnqKlZtEPzsf6L84eP1r1Q15seqRM/edit?usp=sharing"",""สุโขทัย!R274"")+IMPORTRANGE(""http"&amp;"s://docs.google.com/spreadsheets/d/1v0b9pFQCsKUVExMei7AgY2yQkdeNQvtOssygGsXbiKo/edit?usp=sharing"",""อุตรดิตถ์!R274"")+IMPORTRANGE(""https://docs.google.com/spreadsheets/d/1UsNK1e-WWiCo2PvGqdNfdme4m17_Ezd3J69EeeiQPD0/edit?usp=sharing"",""อุทัยธานี!R274"")"),0)</f>
        <v>0</v>
      </c>
      <c r="S274" s="46">
        <f ca="1">IFERROR(__xludf.DUMMYFUNCTION("IMPORTRANGE(""https://docs.google.com/spreadsheets/d/1jTcq05yEiRwXcBMLjiodW9e4biSGYWAHcDj22rKWQ3s/edit?usp=sharing"",""กำแพงเพชร!S274"")+IMPORTRANGE(""https://docs.google.com/spreadsheets/d/1KS0zmDSZPk8KnTAbGN-Xk6MtX1YRZD0ldgdt20K4CRk/edit?usp=sharing"","&amp;"""เชียงราย!S274"")+IMPORTRANGE(""https://docs.google.com/spreadsheets/d/1rEDxBtusbi64tE0zunoIbsTVV16HeL0oJ6trHQeQ7K8/edit?usp=sharing"",""เชียงใหม่!S274"")+IMPORTRANGE(""https://docs.google.com/spreadsheets/d/1W6MnUbDkMi6xHnHko_XkFDO9kkuL6Wqyc-6OCDFjW9I/e"&amp;"dit?usp=sharing"",""ตาก!S274"")+IMPORTRANGE(""https://docs.google.com/spreadsheets/d/1IQAWArduLkta9LpYo4a_ULsyqdta6-6aDDiwpUnQT6c/edit?usp=sharing"",""นครสวรรค์!S274"")+IMPORTRANGE(""https://docs.google.com/spreadsheets/d/10s13Sk5xrltsiR-Zkbmk5DwIaDIKO8Xl"&amp;"bJAfqyT7Gvg/edit?usp=sharing"",""น่าน!S274"")+IMPORTRANGE(""https://docs.google.com/spreadsheets/d/1uu4nAn4Dbi1XREnLKKotUANlKXa7yCgRcgq8HEzQYW8/edit?usp=sharing"",""พะเยา!S274"")+IMPORTRANGE(""https://docs.google.com/spreadsheets/d/1xfJKIQxVOaPDIICqsflNlL"&amp;"u3JacTDk1FP9RH4phX7mI/edit?usp=sharing"",""พิจิตร!S274"")+IMPORTRANGE(""https://docs.google.com/spreadsheets/d/1JtRfZkJMHtEhI5RdRHxYUG4FIZHqKDpNyIuN7A1Q0_k/edit?usp=sharing"",""พิษณุโลก!S274"")+IMPORTRANGE(""https://docs.google.com/spreadsheets/d/1xlcVZWU"&amp;"Nn6SuWm0c307h32SiGkd9BaeQWlAktfD3KO8/edit?usp=sharing"",""เพชรบูรณ์!S274"")+IMPORTRANGE(""https://docs.google.com/spreadsheets/d/1lOVebEIsI9qjGXl6EX66luk7wiuP2tBaryw-wKvv4e0/edit?usp=sharing"",""แพร่!S274"")+IMPORTRANGE(""https://docs.google.com/spreadshe"&amp;"ets/d/1dQrvX0vEcN7Gu0fnZ0B5S90AeR19zth4XlExFBeExMY/edit?usp=sharing"",""แม่ฮ่องสอน!S274"")+IMPORTRANGE(""https://docs.google.com/spreadsheets/d/1DY4XTNNwjluuxqdfdn6qvOSlMRrZqUtmYcZR0ttFiG4/edit?usp=sharing"",""ลำปาง!S274"")+IMPORTRANGE(""https://docs.goog"&amp;"le.com/spreadsheets/d/1ICwG78r0OFT8biBlxnBF8r7she7gNSzOvJ958PWT09c/edit?usp=sharing"",""ลำพูน!S274"")+IMPORTRANGE(""https://docs.google.com/spreadsheets/d/1B0f2xJpZUC6Z0xXnqKlZtEPzsf6L84eP1r1Q15seqRM/edit?usp=sharing"",""สุโขทัย!S274"")+IMPORTRANGE(""http"&amp;"s://docs.google.com/spreadsheets/d/1v0b9pFQCsKUVExMei7AgY2yQkdeNQvtOssygGsXbiKo/edit?usp=sharing"",""อุตรดิตถ์!S274"")+IMPORTRANGE(""https://docs.google.com/spreadsheets/d/1UsNK1e-WWiCo2PvGqdNfdme4m17_Ezd3J69EeeiQPD0/edit?usp=sharing"",""อุทัยธานี!S274"")"),0)</f>
        <v>0</v>
      </c>
      <c r="T274" s="46">
        <f t="shared" ca="1" si="192"/>
        <v>0</v>
      </c>
      <c r="U274" s="46">
        <f t="shared" ca="1" si="193"/>
        <v>0</v>
      </c>
    </row>
    <row r="275" spans="1:21" ht="19.5" x14ac:dyDescent="0.3">
      <c r="A275" s="138"/>
      <c r="B275" s="139"/>
      <c r="C275" s="47" t="s">
        <v>18</v>
      </c>
      <c r="D275" s="140" t="s">
        <v>38</v>
      </c>
      <c r="E275" s="141"/>
      <c r="F275" s="141"/>
      <c r="G275" s="142"/>
      <c r="H275" s="143"/>
      <c r="I275" s="135"/>
      <c r="J275" s="135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</row>
    <row r="276" spans="1:21" ht="18.75" x14ac:dyDescent="0.25">
      <c r="A276" s="247"/>
      <c r="B276" s="158"/>
      <c r="C276" s="158"/>
      <c r="D276" s="248" t="s">
        <v>115</v>
      </c>
      <c r="E276" s="40"/>
      <c r="F276" s="40"/>
      <c r="G276" s="42"/>
      <c r="H276" s="133" t="s">
        <v>35</v>
      </c>
      <c r="I276" s="166">
        <f ca="1">IFERROR(__xludf.DUMMYFUNCTION("IMPORTRANGE(""https://docs.google.com/spreadsheets/d/1jTcq05yEiRwXcBMLjiodW9e4biSGYWAHcDj22rKWQ3s/edit?usp=sharing"",""กำแพงเพชร!I276"")+IMPORTRANGE(""https://docs.google.com/spreadsheets/d/1KS0zmDSZPk8KnTAbGN-Xk6MtX1YRZD0ldgdt20K4CRk/edit?usp=sharing"","&amp;"""เชียงราย!I276"")+IMPORTRANGE(""https://docs.google.com/spreadsheets/d/1rEDxBtusbi64tE0zunoIbsTVV16HeL0oJ6trHQeQ7K8/edit?usp=sharing"",""เชียงใหม่!I276"")+IMPORTRANGE(""https://docs.google.com/spreadsheets/d/1W6MnUbDkMi6xHnHko_XkFDO9kkuL6Wqyc-6OCDFjW9I/e"&amp;"dit?usp=sharing"",""ตาก!I276"")+IMPORTRANGE(""https://docs.google.com/spreadsheets/d/1IQAWArduLkta9LpYo4a_ULsyqdta6-6aDDiwpUnQT6c/edit?usp=sharing"",""นครสวรรค์!I276"")+IMPORTRANGE(""https://docs.google.com/spreadsheets/d/10s13Sk5xrltsiR-Zkbmk5DwIaDIKO8Xl"&amp;"bJAfqyT7Gvg/edit?usp=sharing"",""น่าน!I276"")+IMPORTRANGE(""https://docs.google.com/spreadsheets/d/1uu4nAn4Dbi1XREnLKKotUANlKXa7yCgRcgq8HEzQYW8/edit?usp=sharing"",""พะเยา!I276"")+IMPORTRANGE(""https://docs.google.com/spreadsheets/d/1xfJKIQxVOaPDIICqsflNlL"&amp;"u3JacTDk1FP9RH4phX7mI/edit?usp=sharing"",""พิจิตร!I276"")+IMPORTRANGE(""https://docs.google.com/spreadsheets/d/1JtRfZkJMHtEhI5RdRHxYUG4FIZHqKDpNyIuN7A1Q0_k/edit?usp=sharing"",""พิษณุโลก!I276"")+IMPORTRANGE(""https://docs.google.com/spreadsheets/d/1xlcVZWU"&amp;"Nn6SuWm0c307h32SiGkd9BaeQWlAktfD3KO8/edit?usp=sharing"",""เพชรบูรณ์!I276"")+IMPORTRANGE(""https://docs.google.com/spreadsheets/d/1lOVebEIsI9qjGXl6EX66luk7wiuP2tBaryw-wKvv4e0/edit?usp=sharing"",""แพร่!I276"")+IMPORTRANGE(""https://docs.google.com/spreadshe"&amp;"ets/d/1dQrvX0vEcN7Gu0fnZ0B5S90AeR19zth4XlExFBeExMY/edit?usp=sharing"",""แม่ฮ่องสอน!I276"")+IMPORTRANGE(""https://docs.google.com/spreadsheets/d/1DY4XTNNwjluuxqdfdn6qvOSlMRrZqUtmYcZR0ttFiG4/edit?usp=sharing"",""ลำปาง!I276"")+IMPORTRANGE(""https://docs.goog"&amp;"le.com/spreadsheets/d/1ICwG78r0OFT8biBlxnBF8r7she7gNSzOvJ958PWT09c/edit?usp=sharing"",""ลำพูน!I276"")+IMPORTRANGE(""https://docs.google.com/spreadsheets/d/1B0f2xJpZUC6Z0xXnqKlZtEPzsf6L84eP1r1Q15seqRM/edit?usp=sharing"",""สุโขทัย!I276"")+IMPORTRANGE(""http"&amp;"s://docs.google.com/spreadsheets/d/1v0b9pFQCsKUVExMei7AgY2yQkdeNQvtOssygGsXbiKo/edit?usp=sharing"",""อุตรดิตถ์!I276"")+IMPORTRANGE(""https://docs.google.com/spreadsheets/d/1UsNK1e-WWiCo2PvGqdNfdme4m17_Ezd3J69EeeiQPD0/edit?usp=sharing"",""อุทัยธานี!I276"")"),384)</f>
        <v>384</v>
      </c>
      <c r="J276" s="166">
        <f ca="1">IFERROR(__xludf.DUMMYFUNCTION("IMPORTRANGE(""https://docs.google.com/spreadsheets/d/1jTcq05yEiRwXcBMLjiodW9e4biSGYWAHcDj22rKWQ3s/edit?usp=sharing"",""กำแพงเพชร!J276"")+IMPORTRANGE(""https://docs.google.com/spreadsheets/d/1KS0zmDSZPk8KnTAbGN-Xk6MtX1YRZD0ldgdt20K4CRk/edit?usp=sharing"","&amp;"""เชียงราย!J276"")+IMPORTRANGE(""https://docs.google.com/spreadsheets/d/1rEDxBtusbi64tE0zunoIbsTVV16HeL0oJ6trHQeQ7K8/edit?usp=sharing"",""เชียงใหม่!J276"")+IMPORTRANGE(""https://docs.google.com/spreadsheets/d/1W6MnUbDkMi6xHnHko_XkFDO9kkuL6Wqyc-6OCDFjW9I/e"&amp;"dit?usp=sharing"",""ตาก!J276"")+IMPORTRANGE(""https://docs.google.com/spreadsheets/d/1IQAWArduLkta9LpYo4a_ULsyqdta6-6aDDiwpUnQT6c/edit?usp=sharing"",""นครสวรรค์!J276"")+IMPORTRANGE(""https://docs.google.com/spreadsheets/d/10s13Sk5xrltsiR-Zkbmk5DwIaDIKO8Xl"&amp;"bJAfqyT7Gvg/edit?usp=sharing"",""น่าน!J276"")+IMPORTRANGE(""https://docs.google.com/spreadsheets/d/1uu4nAn4Dbi1XREnLKKotUANlKXa7yCgRcgq8HEzQYW8/edit?usp=sharing"",""พะเยา!J276"")+IMPORTRANGE(""https://docs.google.com/spreadsheets/d/1xfJKIQxVOaPDIICqsflNlL"&amp;"u3JacTDk1FP9RH4phX7mI/edit?usp=sharing"",""พิจิตร!J276"")+IMPORTRANGE(""https://docs.google.com/spreadsheets/d/1JtRfZkJMHtEhI5RdRHxYUG4FIZHqKDpNyIuN7A1Q0_k/edit?usp=sharing"",""พิษณุโลก!J276"")+IMPORTRANGE(""https://docs.google.com/spreadsheets/d/1xlcVZWU"&amp;"Nn6SuWm0c307h32SiGkd9BaeQWlAktfD3KO8/edit?usp=sharing"",""เพชรบูรณ์!J276"")+IMPORTRANGE(""https://docs.google.com/spreadsheets/d/1lOVebEIsI9qjGXl6EX66luk7wiuP2tBaryw-wKvv4e0/edit?usp=sharing"",""แพร่!J276"")+IMPORTRANGE(""https://docs.google.com/spreadshe"&amp;"ets/d/1dQrvX0vEcN7Gu0fnZ0B5S90AeR19zth4XlExFBeExMY/edit?usp=sharing"",""แม่ฮ่องสอน!J276"")+IMPORTRANGE(""https://docs.google.com/spreadsheets/d/1DY4XTNNwjluuxqdfdn6qvOSlMRrZqUtmYcZR0ttFiG4/edit?usp=sharing"",""ลำปาง!J276"")+IMPORTRANGE(""https://docs.goog"&amp;"le.com/spreadsheets/d/1ICwG78r0OFT8biBlxnBF8r7she7gNSzOvJ958PWT09c/edit?usp=sharing"",""ลำพูน!J276"")+IMPORTRANGE(""https://docs.google.com/spreadsheets/d/1B0f2xJpZUC6Z0xXnqKlZtEPzsf6L84eP1r1Q15seqRM/edit?usp=sharing"",""สุโขทัย!J276"")+IMPORTRANGE(""http"&amp;"s://docs.google.com/spreadsheets/d/1v0b9pFQCsKUVExMei7AgY2yQkdeNQvtOssygGsXbiKo/edit?usp=sharing"",""อุตรดิตถ์!J276"")+IMPORTRANGE(""https://docs.google.com/spreadsheets/d/1UsNK1e-WWiCo2PvGqdNfdme4m17_Ezd3J69EeeiQPD0/edit?usp=sharing"",""อุทัยธานี!J276"")"),202)</f>
        <v>202</v>
      </c>
      <c r="K276" s="46">
        <f ca="1">IF(I276&gt;0,J276*100/I276,0)</f>
        <v>52.604166666666664</v>
      </c>
      <c r="L276" s="45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x14ac:dyDescent="0.25">
      <c r="A277" s="249"/>
      <c r="B277" s="250"/>
      <c r="C277" s="250"/>
      <c r="D277" s="251" t="s">
        <v>116</v>
      </c>
      <c r="E277" s="252"/>
      <c r="F277" s="252"/>
      <c r="G277" s="253"/>
      <c r="H277" s="53" t="s">
        <v>35</v>
      </c>
      <c r="I277" s="188">
        <v>0</v>
      </c>
      <c r="J277" s="188">
        <v>0</v>
      </c>
      <c r="K277" s="254">
        <v>0</v>
      </c>
      <c r="L277" s="255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267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274">
        <f t="shared" ref="I280:J280" ca="1" si="202">I293</f>
        <v>410</v>
      </c>
      <c r="J280" s="274">
        <f t="shared" ca="1" si="202"/>
        <v>392</v>
      </c>
      <c r="K280" s="275">
        <f t="shared" ref="K280:K281" ca="1" si="203">IF(I280&gt;0,J280*100/I280,0)</f>
        <v>95.609756097560975</v>
      </c>
      <c r="L280" s="276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274">
        <f t="shared" ref="I281:J281" ca="1" si="204">I292</f>
        <v>4100</v>
      </c>
      <c r="J281" s="274">
        <f t="shared" ca="1" si="204"/>
        <v>3800</v>
      </c>
      <c r="K281" s="275">
        <f t="shared" ca="1" si="203"/>
        <v>92.682926829268297</v>
      </c>
      <c r="L281" s="276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13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132">
        <f t="shared" ref="L282:N282" ca="1" si="205">L283+L284</f>
        <v>1970540</v>
      </c>
      <c r="M282" s="132">
        <f t="shared" ca="1" si="205"/>
        <v>1970540</v>
      </c>
      <c r="N282" s="132">
        <f t="shared" ca="1" si="205"/>
        <v>1457618.5899999901</v>
      </c>
      <c r="O282" s="132">
        <f t="shared" ref="O282:O290" ca="1" si="206">IF(L282&gt;0,N282*100/L282,0)</f>
        <v>73.970515188729493</v>
      </c>
      <c r="P282" s="132">
        <f t="shared" ref="P282:P290" ca="1" si="207">IF(M282&gt;0,N282*100/M282,0)</f>
        <v>73.970515188729493</v>
      </c>
      <c r="Q282" s="132">
        <f t="shared" ref="Q282:S282" ca="1" si="208">Q283+Q284</f>
        <v>0</v>
      </c>
      <c r="R282" s="132">
        <f t="shared" ca="1" si="208"/>
        <v>0</v>
      </c>
      <c r="S282" s="132">
        <f t="shared" ca="1" si="208"/>
        <v>0</v>
      </c>
      <c r="T282" s="132">
        <f t="shared" ref="T282:T290" ca="1" si="209">IF(Q282&gt;0,S282*100/Q282,0)</f>
        <v>0</v>
      </c>
      <c r="U282" s="132">
        <f t="shared" ref="U282:U290" ca="1" si="210">IF(R282&gt;0,S282*100/R282,0)</f>
        <v>0</v>
      </c>
    </row>
    <row r="283" spans="1:21" ht="18.75" x14ac:dyDescent="0.25">
      <c r="A283" s="128"/>
      <c r="B283" s="40"/>
      <c r="C283" s="40"/>
      <c r="D283" s="40"/>
      <c r="E283" s="47" t="s">
        <v>20</v>
      </c>
      <c r="F283" s="40"/>
      <c r="G283" s="42"/>
      <c r="H283" s="133" t="s">
        <v>14</v>
      </c>
      <c r="I283" s="44"/>
      <c r="J283" s="44"/>
      <c r="K283" s="45"/>
      <c r="L283" s="46">
        <f t="shared" ref="L283:N283" ca="1" si="211">L286+L289</f>
        <v>0</v>
      </c>
      <c r="M283" s="46">
        <f t="shared" ca="1" si="211"/>
        <v>0</v>
      </c>
      <c r="N283" s="46">
        <f t="shared" ca="1" si="211"/>
        <v>0</v>
      </c>
      <c r="O283" s="46">
        <f t="shared" ca="1" si="206"/>
        <v>0</v>
      </c>
      <c r="P283" s="46">
        <f t="shared" ca="1" si="207"/>
        <v>0</v>
      </c>
      <c r="Q283" s="48">
        <f t="shared" ref="Q283:S283" ca="1" si="212">Q286+Q289</f>
        <v>0</v>
      </c>
      <c r="R283" s="48">
        <f t="shared" ca="1" si="212"/>
        <v>0</v>
      </c>
      <c r="S283" s="48">
        <f t="shared" ca="1" si="212"/>
        <v>0</v>
      </c>
      <c r="T283" s="48">
        <f t="shared" ca="1" si="209"/>
        <v>0</v>
      </c>
      <c r="U283" s="48">
        <f t="shared" ca="1" si="210"/>
        <v>0</v>
      </c>
    </row>
    <row r="284" spans="1:21" ht="18.75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46">
        <f t="shared" ref="L284:N284" ca="1" si="213">L287+L290</f>
        <v>1970540</v>
      </c>
      <c r="M284" s="46">
        <f t="shared" ca="1" si="213"/>
        <v>1970540</v>
      </c>
      <c r="N284" s="46">
        <f t="shared" ca="1" si="213"/>
        <v>1457618.5899999901</v>
      </c>
      <c r="O284" s="46">
        <f t="shared" ca="1" si="206"/>
        <v>73.970515188729493</v>
      </c>
      <c r="P284" s="46">
        <f t="shared" ca="1" si="207"/>
        <v>73.970515188729493</v>
      </c>
      <c r="Q284" s="46">
        <f t="shared" ref="Q284:S284" ca="1" si="214">Q287+Q290</f>
        <v>0</v>
      </c>
      <c r="R284" s="46">
        <f t="shared" ca="1" si="214"/>
        <v>0</v>
      </c>
      <c r="S284" s="46">
        <f t="shared" ca="1" si="214"/>
        <v>0</v>
      </c>
      <c r="T284" s="46">
        <f t="shared" ca="1" si="209"/>
        <v>0</v>
      </c>
      <c r="U284" s="46">
        <f t="shared" ca="1" si="210"/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46">
        <f t="shared" ref="L285:N285" ca="1" si="215">L286+L287</f>
        <v>1970540</v>
      </c>
      <c r="M285" s="46">
        <f t="shared" ca="1" si="215"/>
        <v>1970540</v>
      </c>
      <c r="N285" s="46">
        <f t="shared" ca="1" si="215"/>
        <v>1457618.5899999901</v>
      </c>
      <c r="O285" s="46">
        <f t="shared" ca="1" si="206"/>
        <v>73.970515188729493</v>
      </c>
      <c r="P285" s="46">
        <f t="shared" ca="1" si="207"/>
        <v>73.970515188729493</v>
      </c>
      <c r="Q285" s="46">
        <f t="shared" ref="Q285:S285" ca="1" si="216">Q286+Q287</f>
        <v>0</v>
      </c>
      <c r="R285" s="46">
        <f t="shared" ca="1" si="216"/>
        <v>0</v>
      </c>
      <c r="S285" s="46">
        <f t="shared" ca="1" si="216"/>
        <v>0</v>
      </c>
      <c r="T285" s="46">
        <f t="shared" ca="1" si="209"/>
        <v>0</v>
      </c>
      <c r="U285" s="46">
        <f t="shared" ca="1" si="210"/>
        <v>0</v>
      </c>
    </row>
    <row r="286" spans="1:21" ht="18.75" x14ac:dyDescent="0.25">
      <c r="A286" s="128"/>
      <c r="B286" s="40"/>
      <c r="C286" s="40"/>
      <c r="D286" s="40"/>
      <c r="E286" s="47" t="s">
        <v>36</v>
      </c>
      <c r="F286" s="40"/>
      <c r="G286" s="42"/>
      <c r="H286" s="134" t="s">
        <v>14</v>
      </c>
      <c r="I286" s="135"/>
      <c r="J286" s="135"/>
      <c r="K286" s="136"/>
      <c r="L286" s="46">
        <f ca="1">IFERROR(__xludf.DUMMYFUNCTION("IMPORTRANGE(""https://docs.google.com/spreadsheets/d/1jTcq05yEiRwXcBMLjiodW9e4biSGYWAHcDj22rKWQ3s/edit?usp=sharing"",""กำแพงเพชร!L286"")+IMPORTRANGE(""https://docs.google.com/spreadsheets/d/1KS0zmDSZPk8KnTAbGN-Xk6MtX1YRZD0ldgdt20K4CRk/edit?usp=sharing"","&amp;"""เชียงราย!L286"")+IMPORTRANGE(""https://docs.google.com/spreadsheets/d/1rEDxBtusbi64tE0zunoIbsTVV16HeL0oJ6trHQeQ7K8/edit?usp=sharing"",""เชียงใหม่!L286"")+IMPORTRANGE(""https://docs.google.com/spreadsheets/d/1W6MnUbDkMi6xHnHko_XkFDO9kkuL6Wqyc-6OCDFjW9I/e"&amp;"dit?usp=sharing"",""ตาก!L286"")+IMPORTRANGE(""https://docs.google.com/spreadsheets/d/1IQAWArduLkta9LpYo4a_ULsyqdta6-6aDDiwpUnQT6c/edit?usp=sharing"",""นครสวรรค์!L286"")+IMPORTRANGE(""https://docs.google.com/spreadsheets/d/10s13Sk5xrltsiR-Zkbmk5DwIaDIKO8Xl"&amp;"bJAfqyT7Gvg/edit?usp=sharing"",""น่าน!L286"")+IMPORTRANGE(""https://docs.google.com/spreadsheets/d/1uu4nAn4Dbi1XREnLKKotUANlKXa7yCgRcgq8HEzQYW8/edit?usp=sharing"",""พะเยา!L286"")+IMPORTRANGE(""https://docs.google.com/spreadsheets/d/1xfJKIQxVOaPDIICqsflNlL"&amp;"u3JacTDk1FP9RH4phX7mI/edit?usp=sharing"",""พิจิตร!L286"")+IMPORTRANGE(""https://docs.google.com/spreadsheets/d/1JtRfZkJMHtEhI5RdRHxYUG4FIZHqKDpNyIuN7A1Q0_k/edit?usp=sharing"",""พิษณุโลก!L286"")+IMPORTRANGE(""https://docs.google.com/spreadsheets/d/1xlcVZWU"&amp;"Nn6SuWm0c307h32SiGkd9BaeQWlAktfD3KO8/edit?usp=sharing"",""เพชรบูรณ์!L286"")+IMPORTRANGE(""https://docs.google.com/spreadsheets/d/1lOVebEIsI9qjGXl6EX66luk7wiuP2tBaryw-wKvv4e0/edit?usp=sharing"",""แพร่!L286"")+IMPORTRANGE(""https://docs.google.com/spreadshe"&amp;"ets/d/1dQrvX0vEcN7Gu0fnZ0B5S90AeR19zth4XlExFBeExMY/edit?usp=sharing"",""แม่ฮ่องสอน!L286"")+IMPORTRANGE(""https://docs.google.com/spreadsheets/d/1DY4XTNNwjluuxqdfdn6qvOSlMRrZqUtmYcZR0ttFiG4/edit?usp=sharing"",""ลำปาง!L286"")+IMPORTRANGE(""https://docs.goog"&amp;"le.com/spreadsheets/d/1ICwG78r0OFT8biBlxnBF8r7she7gNSzOvJ958PWT09c/edit?usp=sharing"",""ลำพูน!L286"")+IMPORTRANGE(""https://docs.google.com/spreadsheets/d/1B0f2xJpZUC6Z0xXnqKlZtEPzsf6L84eP1r1Q15seqRM/edit?usp=sharing"",""สุโขทัย!L286"")+IMPORTRANGE(""http"&amp;"s://docs.google.com/spreadsheets/d/1v0b9pFQCsKUVExMei7AgY2yQkdeNQvtOssygGsXbiKo/edit?usp=sharing"",""อุตรดิตถ์!L286"")+IMPORTRANGE(""https://docs.google.com/spreadsheets/d/1UsNK1e-WWiCo2PvGqdNfdme4m17_Ezd3J69EeeiQPD0/edit?usp=sharing"",""อุทัยธานี!L286"")"),0)</f>
        <v>0</v>
      </c>
      <c r="M286" s="46">
        <f ca="1">IFERROR(__xludf.DUMMYFUNCTION("IMPORTRANGE(""https://docs.google.com/spreadsheets/d/1jTcq05yEiRwXcBMLjiodW9e4biSGYWAHcDj22rKWQ3s/edit?usp=sharing"",""กำแพงเพชร!M286"")+IMPORTRANGE(""https://docs.google.com/spreadsheets/d/1KS0zmDSZPk8KnTAbGN-Xk6MtX1YRZD0ldgdt20K4CRk/edit?usp=sharing"","&amp;"""เชียงราย!M286"")+IMPORTRANGE(""https://docs.google.com/spreadsheets/d/1rEDxBtusbi64tE0zunoIbsTVV16HeL0oJ6trHQeQ7K8/edit?usp=sharing"",""เชียงใหม่!M286"")+IMPORTRANGE(""https://docs.google.com/spreadsheets/d/1W6MnUbDkMi6xHnHko_XkFDO9kkuL6Wqyc-6OCDFjW9I/e"&amp;"dit?usp=sharing"",""ตาก!M286"")+IMPORTRANGE(""https://docs.google.com/spreadsheets/d/1IQAWArduLkta9LpYo4a_ULsyqdta6-6aDDiwpUnQT6c/edit?usp=sharing"",""นครสวรรค์!M286"")+IMPORTRANGE(""https://docs.google.com/spreadsheets/d/10s13Sk5xrltsiR-Zkbmk5DwIaDIKO8Xl"&amp;"bJAfqyT7Gvg/edit?usp=sharing"",""น่าน!M286"")+IMPORTRANGE(""https://docs.google.com/spreadsheets/d/1uu4nAn4Dbi1XREnLKKotUANlKXa7yCgRcgq8HEzQYW8/edit?usp=sharing"",""พะเยา!M286"")+IMPORTRANGE(""https://docs.google.com/spreadsheets/d/1xfJKIQxVOaPDIICqsflNlL"&amp;"u3JacTDk1FP9RH4phX7mI/edit?usp=sharing"",""พิจิตร!M286"")+IMPORTRANGE(""https://docs.google.com/spreadsheets/d/1JtRfZkJMHtEhI5RdRHxYUG4FIZHqKDpNyIuN7A1Q0_k/edit?usp=sharing"",""พิษณุโลก!M286"")+IMPORTRANGE(""https://docs.google.com/spreadsheets/d/1xlcVZWU"&amp;"Nn6SuWm0c307h32SiGkd9BaeQWlAktfD3KO8/edit?usp=sharing"",""เพชรบูรณ์!M286"")+IMPORTRANGE(""https://docs.google.com/spreadsheets/d/1lOVebEIsI9qjGXl6EX66luk7wiuP2tBaryw-wKvv4e0/edit?usp=sharing"",""แพร่!M286"")+IMPORTRANGE(""https://docs.google.com/spreadshe"&amp;"ets/d/1dQrvX0vEcN7Gu0fnZ0B5S90AeR19zth4XlExFBeExMY/edit?usp=sharing"",""แม่ฮ่องสอน!M286"")+IMPORTRANGE(""https://docs.google.com/spreadsheets/d/1DY4XTNNwjluuxqdfdn6qvOSlMRrZqUtmYcZR0ttFiG4/edit?usp=sharing"",""ลำปาง!M286"")+IMPORTRANGE(""https://docs.goog"&amp;"le.com/spreadsheets/d/1ICwG78r0OFT8biBlxnBF8r7she7gNSzOvJ958PWT09c/edit?usp=sharing"",""ลำพูน!M286"")+IMPORTRANGE(""https://docs.google.com/spreadsheets/d/1B0f2xJpZUC6Z0xXnqKlZtEPzsf6L84eP1r1Q15seqRM/edit?usp=sharing"",""สุโขทัย!M286"")+IMPORTRANGE(""http"&amp;"s://docs.google.com/spreadsheets/d/1v0b9pFQCsKUVExMei7AgY2yQkdeNQvtOssygGsXbiKo/edit?usp=sharing"",""อุตรดิตถ์!M286"")+IMPORTRANGE(""https://docs.google.com/spreadsheets/d/1UsNK1e-WWiCo2PvGqdNfdme4m17_Ezd3J69EeeiQPD0/edit?usp=sharing"",""อุทัยธานี!M286"")"),0)</f>
        <v>0</v>
      </c>
      <c r="N286" s="46">
        <f ca="1">IFERROR(__xludf.DUMMYFUNCTION("IMPORTRANGE(""https://docs.google.com/spreadsheets/d/1jTcq05yEiRwXcBMLjiodW9e4biSGYWAHcDj22rKWQ3s/edit?usp=sharing"",""กำแพงเพชร!N286"")+IMPORTRANGE(""https://docs.google.com/spreadsheets/d/1KS0zmDSZPk8KnTAbGN-Xk6MtX1YRZD0ldgdt20K4CRk/edit?usp=sharing"","&amp;"""เชียงราย!N286"")+IMPORTRANGE(""https://docs.google.com/spreadsheets/d/1rEDxBtusbi64tE0zunoIbsTVV16HeL0oJ6trHQeQ7K8/edit?usp=sharing"",""เชียงใหม่!N286"")+IMPORTRANGE(""https://docs.google.com/spreadsheets/d/1W6MnUbDkMi6xHnHko_XkFDO9kkuL6Wqyc-6OCDFjW9I/e"&amp;"dit?usp=sharing"",""ตาก!N286"")+IMPORTRANGE(""https://docs.google.com/spreadsheets/d/1IQAWArduLkta9LpYo4a_ULsyqdta6-6aDDiwpUnQT6c/edit?usp=sharing"",""นครสวรรค์!N286"")+IMPORTRANGE(""https://docs.google.com/spreadsheets/d/10s13Sk5xrltsiR-Zkbmk5DwIaDIKO8Xl"&amp;"bJAfqyT7Gvg/edit?usp=sharing"",""น่าน!N286"")+IMPORTRANGE(""https://docs.google.com/spreadsheets/d/1uu4nAn4Dbi1XREnLKKotUANlKXa7yCgRcgq8HEzQYW8/edit?usp=sharing"",""พะเยา!N286"")+IMPORTRANGE(""https://docs.google.com/spreadsheets/d/1xfJKIQxVOaPDIICqsflNlL"&amp;"u3JacTDk1FP9RH4phX7mI/edit?usp=sharing"",""พิจิตร!N286"")+IMPORTRANGE(""https://docs.google.com/spreadsheets/d/1JtRfZkJMHtEhI5RdRHxYUG4FIZHqKDpNyIuN7A1Q0_k/edit?usp=sharing"",""พิษณุโลก!N286"")+IMPORTRANGE(""https://docs.google.com/spreadsheets/d/1xlcVZWU"&amp;"Nn6SuWm0c307h32SiGkd9BaeQWlAktfD3KO8/edit?usp=sharing"",""เพชรบูรณ์!N286"")+IMPORTRANGE(""https://docs.google.com/spreadsheets/d/1lOVebEIsI9qjGXl6EX66luk7wiuP2tBaryw-wKvv4e0/edit?usp=sharing"",""แพร่!N286"")+IMPORTRANGE(""https://docs.google.com/spreadshe"&amp;"ets/d/1dQrvX0vEcN7Gu0fnZ0B5S90AeR19zth4XlExFBeExMY/edit?usp=sharing"",""แม่ฮ่องสอน!N286"")+IMPORTRANGE(""https://docs.google.com/spreadsheets/d/1DY4XTNNwjluuxqdfdn6qvOSlMRrZqUtmYcZR0ttFiG4/edit?usp=sharing"",""ลำปาง!N286"")+IMPORTRANGE(""https://docs.goog"&amp;"le.com/spreadsheets/d/1ICwG78r0OFT8biBlxnBF8r7she7gNSzOvJ958PWT09c/edit?usp=sharing"",""ลำพูน!N286"")+IMPORTRANGE(""https://docs.google.com/spreadsheets/d/1B0f2xJpZUC6Z0xXnqKlZtEPzsf6L84eP1r1Q15seqRM/edit?usp=sharing"",""สุโขทัย!N286"")+IMPORTRANGE(""http"&amp;"s://docs.google.com/spreadsheets/d/1v0b9pFQCsKUVExMei7AgY2yQkdeNQvtOssygGsXbiKo/edit?usp=sharing"",""อุตรดิตถ์!N286"")+IMPORTRANGE(""https://docs.google.com/spreadsheets/d/1UsNK1e-WWiCo2PvGqdNfdme4m17_Ezd3J69EeeiQPD0/edit?usp=sharing"",""อุทัยธานี!N286"")"),0)</f>
        <v>0</v>
      </c>
      <c r="O286" s="46">
        <f t="shared" ca="1" si="206"/>
        <v>0</v>
      </c>
      <c r="P286" s="46">
        <f t="shared" ca="1" si="207"/>
        <v>0</v>
      </c>
      <c r="Q286" s="48">
        <f ca="1">IFERROR(__xludf.DUMMYFUNCTION("IMPORTRANGE(""https://docs.google.com/spreadsheets/d/1jTcq05yEiRwXcBMLjiodW9e4biSGYWAHcDj22rKWQ3s/edit?usp=sharing"",""กำแพงเพชร!Q286"")+IMPORTRANGE(""https://docs.google.com/spreadsheets/d/1KS0zmDSZPk8KnTAbGN-Xk6MtX1YRZD0ldgdt20K4CRk/edit?usp=sharing"","&amp;"""เชียงราย!Q286"")+IMPORTRANGE(""https://docs.google.com/spreadsheets/d/1rEDxBtusbi64tE0zunoIbsTVV16HeL0oJ6trHQeQ7K8/edit?usp=sharing"",""เชียงใหม่!Q286"")+IMPORTRANGE(""https://docs.google.com/spreadsheets/d/1W6MnUbDkMi6xHnHko_XkFDO9kkuL6Wqyc-6OCDFjW9I/e"&amp;"dit?usp=sharing"",""ตาก!Q286"")+IMPORTRANGE(""https://docs.google.com/spreadsheets/d/1IQAWArduLkta9LpYo4a_ULsyqdta6-6aDDiwpUnQT6c/edit?usp=sharing"",""นครสวรรค์!Q286"")+IMPORTRANGE(""https://docs.google.com/spreadsheets/d/10s13Sk5xrltsiR-Zkbmk5DwIaDIKO8Xl"&amp;"bJAfqyT7Gvg/edit?usp=sharing"",""น่าน!Q286"")+IMPORTRANGE(""https://docs.google.com/spreadsheets/d/1uu4nAn4Dbi1XREnLKKotUANlKXa7yCgRcgq8HEzQYW8/edit?usp=sharing"",""พะเยา!Q286"")+IMPORTRANGE(""https://docs.google.com/spreadsheets/d/1xfJKIQxVOaPDIICqsflNlL"&amp;"u3JacTDk1FP9RH4phX7mI/edit?usp=sharing"",""พิจิตร!Q286"")+IMPORTRANGE(""https://docs.google.com/spreadsheets/d/1JtRfZkJMHtEhI5RdRHxYUG4FIZHqKDpNyIuN7A1Q0_k/edit?usp=sharing"",""พิษณุโลก!Q286"")+IMPORTRANGE(""https://docs.google.com/spreadsheets/d/1xlcVZWU"&amp;"Nn6SuWm0c307h32SiGkd9BaeQWlAktfD3KO8/edit?usp=sharing"",""เพชรบูรณ์!Q286"")+IMPORTRANGE(""https://docs.google.com/spreadsheets/d/1lOVebEIsI9qjGXl6EX66luk7wiuP2tBaryw-wKvv4e0/edit?usp=sharing"",""แพร่!Q286"")+IMPORTRANGE(""https://docs.google.com/spreadshe"&amp;"ets/d/1dQrvX0vEcN7Gu0fnZ0B5S90AeR19zth4XlExFBeExMY/edit?usp=sharing"",""แม่ฮ่องสอน!Q286"")+IMPORTRANGE(""https://docs.google.com/spreadsheets/d/1DY4XTNNwjluuxqdfdn6qvOSlMRrZqUtmYcZR0ttFiG4/edit?usp=sharing"",""ลำปาง!Q286"")+IMPORTRANGE(""https://docs.goog"&amp;"le.com/spreadsheets/d/1ICwG78r0OFT8biBlxnBF8r7she7gNSzOvJ958PWT09c/edit?usp=sharing"",""ลำพูน!Q286"")+IMPORTRANGE(""https://docs.google.com/spreadsheets/d/1B0f2xJpZUC6Z0xXnqKlZtEPzsf6L84eP1r1Q15seqRM/edit?usp=sharing"",""สุโขทัย!Q286"")+IMPORTRANGE(""http"&amp;"s://docs.google.com/spreadsheets/d/1v0b9pFQCsKUVExMei7AgY2yQkdeNQvtOssygGsXbiKo/edit?usp=sharing"",""อุตรดิตถ์!Q286"")+IMPORTRANGE(""https://docs.google.com/spreadsheets/d/1UsNK1e-WWiCo2PvGqdNfdme4m17_Ezd3J69EeeiQPD0/edit?usp=sharing"",""อุทัยธานี!Q286"")"),0)</f>
        <v>0</v>
      </c>
      <c r="R286" s="48">
        <f ca="1">IFERROR(__xludf.DUMMYFUNCTION("IMPORTRANGE(""https://docs.google.com/spreadsheets/d/1jTcq05yEiRwXcBMLjiodW9e4biSGYWAHcDj22rKWQ3s/edit?usp=sharing"",""กำแพงเพชร!R286"")+IMPORTRANGE(""https://docs.google.com/spreadsheets/d/1KS0zmDSZPk8KnTAbGN-Xk6MtX1YRZD0ldgdt20K4CRk/edit?usp=sharing"","&amp;"""เชียงราย!R286"")+IMPORTRANGE(""https://docs.google.com/spreadsheets/d/1rEDxBtusbi64tE0zunoIbsTVV16HeL0oJ6trHQeQ7K8/edit?usp=sharing"",""เชียงใหม่!R286"")+IMPORTRANGE(""https://docs.google.com/spreadsheets/d/1W6MnUbDkMi6xHnHko_XkFDO9kkuL6Wqyc-6OCDFjW9I/e"&amp;"dit?usp=sharing"",""ตาก!R286"")+IMPORTRANGE(""https://docs.google.com/spreadsheets/d/1IQAWArduLkta9LpYo4a_ULsyqdta6-6aDDiwpUnQT6c/edit?usp=sharing"",""นครสวรรค์!R286"")+IMPORTRANGE(""https://docs.google.com/spreadsheets/d/10s13Sk5xrltsiR-Zkbmk5DwIaDIKO8Xl"&amp;"bJAfqyT7Gvg/edit?usp=sharing"",""น่าน!R286"")+IMPORTRANGE(""https://docs.google.com/spreadsheets/d/1uu4nAn4Dbi1XREnLKKotUANlKXa7yCgRcgq8HEzQYW8/edit?usp=sharing"",""พะเยา!R286"")+IMPORTRANGE(""https://docs.google.com/spreadsheets/d/1xfJKIQxVOaPDIICqsflNlL"&amp;"u3JacTDk1FP9RH4phX7mI/edit?usp=sharing"",""พิจิตร!R286"")+IMPORTRANGE(""https://docs.google.com/spreadsheets/d/1JtRfZkJMHtEhI5RdRHxYUG4FIZHqKDpNyIuN7A1Q0_k/edit?usp=sharing"",""พิษณุโลก!R286"")+IMPORTRANGE(""https://docs.google.com/spreadsheets/d/1xlcVZWU"&amp;"Nn6SuWm0c307h32SiGkd9BaeQWlAktfD3KO8/edit?usp=sharing"",""เพชรบูรณ์!R286"")+IMPORTRANGE(""https://docs.google.com/spreadsheets/d/1lOVebEIsI9qjGXl6EX66luk7wiuP2tBaryw-wKvv4e0/edit?usp=sharing"",""แพร่!R286"")+IMPORTRANGE(""https://docs.google.com/spreadshe"&amp;"ets/d/1dQrvX0vEcN7Gu0fnZ0B5S90AeR19zth4XlExFBeExMY/edit?usp=sharing"",""แม่ฮ่องสอน!R286"")+IMPORTRANGE(""https://docs.google.com/spreadsheets/d/1DY4XTNNwjluuxqdfdn6qvOSlMRrZqUtmYcZR0ttFiG4/edit?usp=sharing"",""ลำปาง!R286"")+IMPORTRANGE(""https://docs.goog"&amp;"le.com/spreadsheets/d/1ICwG78r0OFT8biBlxnBF8r7she7gNSzOvJ958PWT09c/edit?usp=sharing"",""ลำพูน!R286"")+IMPORTRANGE(""https://docs.google.com/spreadsheets/d/1B0f2xJpZUC6Z0xXnqKlZtEPzsf6L84eP1r1Q15seqRM/edit?usp=sharing"",""สุโขทัย!R286"")+IMPORTRANGE(""http"&amp;"s://docs.google.com/spreadsheets/d/1v0b9pFQCsKUVExMei7AgY2yQkdeNQvtOssygGsXbiKo/edit?usp=sharing"",""อุตรดิตถ์!R286"")+IMPORTRANGE(""https://docs.google.com/spreadsheets/d/1UsNK1e-WWiCo2PvGqdNfdme4m17_Ezd3J69EeeiQPD0/edit?usp=sharing"",""อุทัยธานี!R286"")"),0)</f>
        <v>0</v>
      </c>
      <c r="S286" s="48">
        <f ca="1">IFERROR(__xludf.DUMMYFUNCTION("IMPORTRANGE(""https://docs.google.com/spreadsheets/d/1jTcq05yEiRwXcBMLjiodW9e4biSGYWAHcDj22rKWQ3s/edit?usp=sharing"",""กำแพงเพชร!S286"")+IMPORTRANGE(""https://docs.google.com/spreadsheets/d/1KS0zmDSZPk8KnTAbGN-Xk6MtX1YRZD0ldgdt20K4CRk/edit?usp=sharing"","&amp;"""เชียงราย!S286"")+IMPORTRANGE(""https://docs.google.com/spreadsheets/d/1rEDxBtusbi64tE0zunoIbsTVV16HeL0oJ6trHQeQ7K8/edit?usp=sharing"",""เชียงใหม่!S286"")+IMPORTRANGE(""https://docs.google.com/spreadsheets/d/1W6MnUbDkMi6xHnHko_XkFDO9kkuL6Wqyc-6OCDFjW9I/e"&amp;"dit?usp=sharing"",""ตาก!S286"")+IMPORTRANGE(""https://docs.google.com/spreadsheets/d/1IQAWArduLkta9LpYo4a_ULsyqdta6-6aDDiwpUnQT6c/edit?usp=sharing"",""นครสวรรค์!S286"")+IMPORTRANGE(""https://docs.google.com/spreadsheets/d/10s13Sk5xrltsiR-Zkbmk5DwIaDIKO8Xl"&amp;"bJAfqyT7Gvg/edit?usp=sharing"",""น่าน!S286"")+IMPORTRANGE(""https://docs.google.com/spreadsheets/d/1uu4nAn4Dbi1XREnLKKotUANlKXa7yCgRcgq8HEzQYW8/edit?usp=sharing"",""พะเยา!S286"")+IMPORTRANGE(""https://docs.google.com/spreadsheets/d/1xfJKIQxVOaPDIICqsflNlL"&amp;"u3JacTDk1FP9RH4phX7mI/edit?usp=sharing"",""พิจิตร!S286"")+IMPORTRANGE(""https://docs.google.com/spreadsheets/d/1JtRfZkJMHtEhI5RdRHxYUG4FIZHqKDpNyIuN7A1Q0_k/edit?usp=sharing"",""พิษณุโลก!S286"")+IMPORTRANGE(""https://docs.google.com/spreadsheets/d/1xlcVZWU"&amp;"Nn6SuWm0c307h32SiGkd9BaeQWlAktfD3KO8/edit?usp=sharing"",""เพชรบูรณ์!S286"")+IMPORTRANGE(""https://docs.google.com/spreadsheets/d/1lOVebEIsI9qjGXl6EX66luk7wiuP2tBaryw-wKvv4e0/edit?usp=sharing"",""แพร่!S286"")+IMPORTRANGE(""https://docs.google.com/spreadshe"&amp;"ets/d/1dQrvX0vEcN7Gu0fnZ0B5S90AeR19zth4XlExFBeExMY/edit?usp=sharing"",""แม่ฮ่องสอน!S286"")+IMPORTRANGE(""https://docs.google.com/spreadsheets/d/1DY4XTNNwjluuxqdfdn6qvOSlMRrZqUtmYcZR0ttFiG4/edit?usp=sharing"",""ลำปาง!S286"")+IMPORTRANGE(""https://docs.goog"&amp;"le.com/spreadsheets/d/1ICwG78r0OFT8biBlxnBF8r7she7gNSzOvJ958PWT09c/edit?usp=sharing"",""ลำพูน!S286"")+IMPORTRANGE(""https://docs.google.com/spreadsheets/d/1B0f2xJpZUC6Z0xXnqKlZtEPzsf6L84eP1r1Q15seqRM/edit?usp=sharing"",""สุโขทัย!S286"")+IMPORTRANGE(""http"&amp;"s://docs.google.com/spreadsheets/d/1v0b9pFQCsKUVExMei7AgY2yQkdeNQvtOssygGsXbiKo/edit?usp=sharing"",""อุตรดิตถ์!S286"")+IMPORTRANGE(""https://docs.google.com/spreadsheets/d/1UsNK1e-WWiCo2PvGqdNfdme4m17_Ezd3J69EeeiQPD0/edit?usp=sharing"",""อุทัยธานี!S286"")"),0)</f>
        <v>0</v>
      </c>
      <c r="T286" s="48">
        <f t="shared" ca="1" si="209"/>
        <v>0</v>
      </c>
      <c r="U286" s="48">
        <f t="shared" ca="1" si="210"/>
        <v>0</v>
      </c>
    </row>
    <row r="287" spans="1:21" ht="18.75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46">
        <f ca="1">IFERROR(__xludf.DUMMYFUNCTION("IMPORTRANGE(""https://docs.google.com/spreadsheets/d/1jTcq05yEiRwXcBMLjiodW9e4biSGYWAHcDj22rKWQ3s/edit?usp=sharing"",""กำแพงเพชร!L287"")+IMPORTRANGE(""https://docs.google.com/spreadsheets/d/1KS0zmDSZPk8KnTAbGN-Xk6MtX1YRZD0ldgdt20K4CRk/edit?usp=sharing"","&amp;"""เชียงราย!L287"")+IMPORTRANGE(""https://docs.google.com/spreadsheets/d/1rEDxBtusbi64tE0zunoIbsTVV16HeL0oJ6trHQeQ7K8/edit?usp=sharing"",""เชียงใหม่!L287"")+IMPORTRANGE(""https://docs.google.com/spreadsheets/d/1W6MnUbDkMi6xHnHko_XkFDO9kkuL6Wqyc-6OCDFjW9I/e"&amp;"dit?usp=sharing"",""ตาก!L287"")+IMPORTRANGE(""https://docs.google.com/spreadsheets/d/1IQAWArduLkta9LpYo4a_ULsyqdta6-6aDDiwpUnQT6c/edit?usp=sharing"",""นครสวรรค์!L287"")+IMPORTRANGE(""https://docs.google.com/spreadsheets/d/10s13Sk5xrltsiR-Zkbmk5DwIaDIKO8Xl"&amp;"bJAfqyT7Gvg/edit?usp=sharing"",""น่าน!L287"")+IMPORTRANGE(""https://docs.google.com/spreadsheets/d/1uu4nAn4Dbi1XREnLKKotUANlKXa7yCgRcgq8HEzQYW8/edit?usp=sharing"",""พะเยา!L287"")+IMPORTRANGE(""https://docs.google.com/spreadsheets/d/1xfJKIQxVOaPDIICqsflNlL"&amp;"u3JacTDk1FP9RH4phX7mI/edit?usp=sharing"",""พิจิตร!L287"")+IMPORTRANGE(""https://docs.google.com/spreadsheets/d/1JtRfZkJMHtEhI5RdRHxYUG4FIZHqKDpNyIuN7A1Q0_k/edit?usp=sharing"",""พิษณุโลก!L287"")+IMPORTRANGE(""https://docs.google.com/spreadsheets/d/1xlcVZWU"&amp;"Nn6SuWm0c307h32SiGkd9BaeQWlAktfD3KO8/edit?usp=sharing"",""เพชรบูรณ์!L287"")+IMPORTRANGE(""https://docs.google.com/spreadsheets/d/1lOVebEIsI9qjGXl6EX66luk7wiuP2tBaryw-wKvv4e0/edit?usp=sharing"",""แพร่!L287"")+IMPORTRANGE(""https://docs.google.com/spreadshe"&amp;"ets/d/1dQrvX0vEcN7Gu0fnZ0B5S90AeR19zth4XlExFBeExMY/edit?usp=sharing"",""แม่ฮ่องสอน!L287"")+IMPORTRANGE(""https://docs.google.com/spreadsheets/d/1DY4XTNNwjluuxqdfdn6qvOSlMRrZqUtmYcZR0ttFiG4/edit?usp=sharing"",""ลำปาง!L287"")+IMPORTRANGE(""https://docs.goog"&amp;"le.com/spreadsheets/d/1ICwG78r0OFT8biBlxnBF8r7she7gNSzOvJ958PWT09c/edit?usp=sharing"",""ลำพูน!L287"")+IMPORTRANGE(""https://docs.google.com/spreadsheets/d/1B0f2xJpZUC6Z0xXnqKlZtEPzsf6L84eP1r1Q15seqRM/edit?usp=sharing"",""สุโขทัย!L287"")+IMPORTRANGE(""http"&amp;"s://docs.google.com/spreadsheets/d/1v0b9pFQCsKUVExMei7AgY2yQkdeNQvtOssygGsXbiKo/edit?usp=sharing"",""อุตรดิตถ์!L287"")+IMPORTRANGE(""https://docs.google.com/spreadsheets/d/1UsNK1e-WWiCo2PvGqdNfdme4m17_Ezd3J69EeeiQPD0/edit?usp=sharing"",""อุทัยธานี!L287"")"),1970540)</f>
        <v>1970540</v>
      </c>
      <c r="M287" s="46">
        <f ca="1">IFERROR(__xludf.DUMMYFUNCTION("IMPORTRANGE(""https://docs.google.com/spreadsheets/d/1jTcq05yEiRwXcBMLjiodW9e4biSGYWAHcDj22rKWQ3s/edit?usp=sharing"",""กำแพงเพชร!M287"")+IMPORTRANGE(""https://docs.google.com/spreadsheets/d/1KS0zmDSZPk8KnTAbGN-Xk6MtX1YRZD0ldgdt20K4CRk/edit?usp=sharing"","&amp;"""เชียงราย!M287"")+IMPORTRANGE(""https://docs.google.com/spreadsheets/d/1rEDxBtusbi64tE0zunoIbsTVV16HeL0oJ6trHQeQ7K8/edit?usp=sharing"",""เชียงใหม่!M287"")+IMPORTRANGE(""https://docs.google.com/spreadsheets/d/1W6MnUbDkMi6xHnHko_XkFDO9kkuL6Wqyc-6OCDFjW9I/e"&amp;"dit?usp=sharing"",""ตาก!M287"")+IMPORTRANGE(""https://docs.google.com/spreadsheets/d/1IQAWArduLkta9LpYo4a_ULsyqdta6-6aDDiwpUnQT6c/edit?usp=sharing"",""นครสวรรค์!M287"")+IMPORTRANGE(""https://docs.google.com/spreadsheets/d/10s13Sk5xrltsiR-Zkbmk5DwIaDIKO8Xl"&amp;"bJAfqyT7Gvg/edit?usp=sharing"",""น่าน!M287"")+IMPORTRANGE(""https://docs.google.com/spreadsheets/d/1uu4nAn4Dbi1XREnLKKotUANlKXa7yCgRcgq8HEzQYW8/edit?usp=sharing"",""พะเยา!M287"")+IMPORTRANGE(""https://docs.google.com/spreadsheets/d/1xfJKIQxVOaPDIICqsflNlL"&amp;"u3JacTDk1FP9RH4phX7mI/edit?usp=sharing"",""พิจิตร!M287"")+IMPORTRANGE(""https://docs.google.com/spreadsheets/d/1JtRfZkJMHtEhI5RdRHxYUG4FIZHqKDpNyIuN7A1Q0_k/edit?usp=sharing"",""พิษณุโลก!M287"")+IMPORTRANGE(""https://docs.google.com/spreadsheets/d/1xlcVZWU"&amp;"Nn6SuWm0c307h32SiGkd9BaeQWlAktfD3KO8/edit?usp=sharing"",""เพชรบูรณ์!M287"")+IMPORTRANGE(""https://docs.google.com/spreadsheets/d/1lOVebEIsI9qjGXl6EX66luk7wiuP2tBaryw-wKvv4e0/edit?usp=sharing"",""แพร่!M287"")+IMPORTRANGE(""https://docs.google.com/spreadshe"&amp;"ets/d/1dQrvX0vEcN7Gu0fnZ0B5S90AeR19zth4XlExFBeExMY/edit?usp=sharing"",""แม่ฮ่องสอน!M287"")+IMPORTRANGE(""https://docs.google.com/spreadsheets/d/1DY4XTNNwjluuxqdfdn6qvOSlMRrZqUtmYcZR0ttFiG4/edit?usp=sharing"",""ลำปาง!M287"")+IMPORTRANGE(""https://docs.goog"&amp;"le.com/spreadsheets/d/1ICwG78r0OFT8biBlxnBF8r7she7gNSzOvJ958PWT09c/edit?usp=sharing"",""ลำพูน!M287"")+IMPORTRANGE(""https://docs.google.com/spreadsheets/d/1B0f2xJpZUC6Z0xXnqKlZtEPzsf6L84eP1r1Q15seqRM/edit?usp=sharing"",""สุโขทัย!M287"")+IMPORTRANGE(""http"&amp;"s://docs.google.com/spreadsheets/d/1v0b9pFQCsKUVExMei7AgY2yQkdeNQvtOssygGsXbiKo/edit?usp=sharing"",""อุตรดิตถ์!M287"")+IMPORTRANGE(""https://docs.google.com/spreadsheets/d/1UsNK1e-WWiCo2PvGqdNfdme4m17_Ezd3J69EeeiQPD0/edit?usp=sharing"",""อุทัยธานี!M287"")"),1970540)</f>
        <v>1970540</v>
      </c>
      <c r="N287" s="46">
        <f ca="1">IFERROR(__xludf.DUMMYFUNCTION("IMPORTRANGE(""https://docs.google.com/spreadsheets/d/1jTcq05yEiRwXcBMLjiodW9e4biSGYWAHcDj22rKWQ3s/edit?usp=sharing"",""กำแพงเพชร!N287"")+IMPORTRANGE(""https://docs.google.com/spreadsheets/d/1KS0zmDSZPk8KnTAbGN-Xk6MtX1YRZD0ldgdt20K4CRk/edit?usp=sharing"","&amp;"""เชียงราย!N287"")+IMPORTRANGE(""https://docs.google.com/spreadsheets/d/1rEDxBtusbi64tE0zunoIbsTVV16HeL0oJ6trHQeQ7K8/edit?usp=sharing"",""เชียงใหม่!N287"")+IMPORTRANGE(""https://docs.google.com/spreadsheets/d/1W6MnUbDkMi6xHnHko_XkFDO9kkuL6Wqyc-6OCDFjW9I/e"&amp;"dit?usp=sharing"",""ตาก!N287"")+IMPORTRANGE(""https://docs.google.com/spreadsheets/d/1IQAWArduLkta9LpYo4a_ULsyqdta6-6aDDiwpUnQT6c/edit?usp=sharing"",""นครสวรรค์!N287"")+IMPORTRANGE(""https://docs.google.com/spreadsheets/d/10s13Sk5xrltsiR-Zkbmk5DwIaDIKO8Xl"&amp;"bJAfqyT7Gvg/edit?usp=sharing"",""น่าน!N287"")+IMPORTRANGE(""https://docs.google.com/spreadsheets/d/1uu4nAn4Dbi1XREnLKKotUANlKXa7yCgRcgq8HEzQYW8/edit?usp=sharing"",""พะเยา!N287"")+IMPORTRANGE(""https://docs.google.com/spreadsheets/d/1xfJKIQxVOaPDIICqsflNlL"&amp;"u3JacTDk1FP9RH4phX7mI/edit?usp=sharing"",""พิจิตร!N287"")+IMPORTRANGE(""https://docs.google.com/spreadsheets/d/1JtRfZkJMHtEhI5RdRHxYUG4FIZHqKDpNyIuN7A1Q0_k/edit?usp=sharing"",""พิษณุโลก!N287"")+IMPORTRANGE(""https://docs.google.com/spreadsheets/d/1xlcVZWU"&amp;"Nn6SuWm0c307h32SiGkd9BaeQWlAktfD3KO8/edit?usp=sharing"",""เพชรบูรณ์!N287"")+IMPORTRANGE(""https://docs.google.com/spreadsheets/d/1lOVebEIsI9qjGXl6EX66luk7wiuP2tBaryw-wKvv4e0/edit?usp=sharing"",""แพร่!N287"")+IMPORTRANGE(""https://docs.google.com/spreadshe"&amp;"ets/d/1dQrvX0vEcN7Gu0fnZ0B5S90AeR19zth4XlExFBeExMY/edit?usp=sharing"",""แม่ฮ่องสอน!N287"")+IMPORTRANGE(""https://docs.google.com/spreadsheets/d/1DY4XTNNwjluuxqdfdn6qvOSlMRrZqUtmYcZR0ttFiG4/edit?usp=sharing"",""ลำปาง!N287"")+IMPORTRANGE(""https://docs.goog"&amp;"le.com/spreadsheets/d/1ICwG78r0OFT8biBlxnBF8r7she7gNSzOvJ958PWT09c/edit?usp=sharing"",""ลำพูน!N287"")+IMPORTRANGE(""https://docs.google.com/spreadsheets/d/1B0f2xJpZUC6Z0xXnqKlZtEPzsf6L84eP1r1Q15seqRM/edit?usp=sharing"",""สุโขทัย!N287"")+IMPORTRANGE(""http"&amp;"s://docs.google.com/spreadsheets/d/1v0b9pFQCsKUVExMei7AgY2yQkdeNQvtOssygGsXbiKo/edit?usp=sharing"",""อุตรดิตถ์!N287"")+IMPORTRANGE(""https://docs.google.com/spreadsheets/d/1UsNK1e-WWiCo2PvGqdNfdme4m17_Ezd3J69EeeiQPD0/edit?usp=sharing"",""อุทัยธานี!N287"")"),1457618.58999999)</f>
        <v>1457618.5899999901</v>
      </c>
      <c r="O287" s="46">
        <f t="shared" ca="1" si="206"/>
        <v>73.970515188729493</v>
      </c>
      <c r="P287" s="46">
        <f t="shared" ca="1" si="207"/>
        <v>73.970515188729493</v>
      </c>
      <c r="Q287" s="46">
        <f ca="1">IFERROR(__xludf.DUMMYFUNCTION("IMPORTRANGE(""https://docs.google.com/spreadsheets/d/1jTcq05yEiRwXcBMLjiodW9e4biSGYWAHcDj22rKWQ3s/edit?usp=sharing"",""กำแพงเพชร!Q287"")+IMPORTRANGE(""https://docs.google.com/spreadsheets/d/1KS0zmDSZPk8KnTAbGN-Xk6MtX1YRZD0ldgdt20K4CRk/edit?usp=sharing"","&amp;"""เชียงราย!Q287"")+IMPORTRANGE(""https://docs.google.com/spreadsheets/d/1rEDxBtusbi64tE0zunoIbsTVV16HeL0oJ6trHQeQ7K8/edit?usp=sharing"",""เชียงใหม่!Q287"")+IMPORTRANGE(""https://docs.google.com/spreadsheets/d/1W6MnUbDkMi6xHnHko_XkFDO9kkuL6Wqyc-6OCDFjW9I/e"&amp;"dit?usp=sharing"",""ตาก!Q287"")+IMPORTRANGE(""https://docs.google.com/spreadsheets/d/1IQAWArduLkta9LpYo4a_ULsyqdta6-6aDDiwpUnQT6c/edit?usp=sharing"",""นครสวรรค์!Q287"")+IMPORTRANGE(""https://docs.google.com/spreadsheets/d/10s13Sk5xrltsiR-Zkbmk5DwIaDIKO8Xl"&amp;"bJAfqyT7Gvg/edit?usp=sharing"",""น่าน!Q287"")+IMPORTRANGE(""https://docs.google.com/spreadsheets/d/1uu4nAn4Dbi1XREnLKKotUANlKXa7yCgRcgq8HEzQYW8/edit?usp=sharing"",""พะเยา!Q287"")+IMPORTRANGE(""https://docs.google.com/spreadsheets/d/1xfJKIQxVOaPDIICqsflNlL"&amp;"u3JacTDk1FP9RH4phX7mI/edit?usp=sharing"",""พิจิตร!Q287"")+IMPORTRANGE(""https://docs.google.com/spreadsheets/d/1JtRfZkJMHtEhI5RdRHxYUG4FIZHqKDpNyIuN7A1Q0_k/edit?usp=sharing"",""พิษณุโลก!Q287"")+IMPORTRANGE(""https://docs.google.com/spreadsheets/d/1xlcVZWU"&amp;"Nn6SuWm0c307h32SiGkd9BaeQWlAktfD3KO8/edit?usp=sharing"",""เพชรบูรณ์!Q287"")+IMPORTRANGE(""https://docs.google.com/spreadsheets/d/1lOVebEIsI9qjGXl6EX66luk7wiuP2tBaryw-wKvv4e0/edit?usp=sharing"",""แพร่!Q287"")+IMPORTRANGE(""https://docs.google.com/spreadshe"&amp;"ets/d/1dQrvX0vEcN7Gu0fnZ0B5S90AeR19zth4XlExFBeExMY/edit?usp=sharing"",""แม่ฮ่องสอน!Q287"")+IMPORTRANGE(""https://docs.google.com/spreadsheets/d/1DY4XTNNwjluuxqdfdn6qvOSlMRrZqUtmYcZR0ttFiG4/edit?usp=sharing"",""ลำปาง!Q287"")+IMPORTRANGE(""https://docs.goog"&amp;"le.com/spreadsheets/d/1ICwG78r0OFT8biBlxnBF8r7she7gNSzOvJ958PWT09c/edit?usp=sharing"",""ลำพูน!Q287"")+IMPORTRANGE(""https://docs.google.com/spreadsheets/d/1B0f2xJpZUC6Z0xXnqKlZtEPzsf6L84eP1r1Q15seqRM/edit?usp=sharing"",""สุโขทัย!Q287"")+IMPORTRANGE(""http"&amp;"s://docs.google.com/spreadsheets/d/1v0b9pFQCsKUVExMei7AgY2yQkdeNQvtOssygGsXbiKo/edit?usp=sharing"",""อุตรดิตถ์!Q287"")+IMPORTRANGE(""https://docs.google.com/spreadsheets/d/1UsNK1e-WWiCo2PvGqdNfdme4m17_Ezd3J69EeeiQPD0/edit?usp=sharing"",""อุทัยธานี!Q287"")"),0)</f>
        <v>0</v>
      </c>
      <c r="R287" s="46">
        <f ca="1">IFERROR(__xludf.DUMMYFUNCTION("IMPORTRANGE(""https://docs.google.com/spreadsheets/d/1jTcq05yEiRwXcBMLjiodW9e4biSGYWAHcDj22rKWQ3s/edit?usp=sharing"",""กำแพงเพชร!R287"")+IMPORTRANGE(""https://docs.google.com/spreadsheets/d/1KS0zmDSZPk8KnTAbGN-Xk6MtX1YRZD0ldgdt20K4CRk/edit?usp=sharing"","&amp;"""เชียงราย!R287"")+IMPORTRANGE(""https://docs.google.com/spreadsheets/d/1rEDxBtusbi64tE0zunoIbsTVV16HeL0oJ6trHQeQ7K8/edit?usp=sharing"",""เชียงใหม่!R287"")+IMPORTRANGE(""https://docs.google.com/spreadsheets/d/1W6MnUbDkMi6xHnHko_XkFDO9kkuL6Wqyc-6OCDFjW9I/e"&amp;"dit?usp=sharing"",""ตาก!R287"")+IMPORTRANGE(""https://docs.google.com/spreadsheets/d/1IQAWArduLkta9LpYo4a_ULsyqdta6-6aDDiwpUnQT6c/edit?usp=sharing"",""นครสวรรค์!R287"")+IMPORTRANGE(""https://docs.google.com/spreadsheets/d/10s13Sk5xrltsiR-Zkbmk5DwIaDIKO8Xl"&amp;"bJAfqyT7Gvg/edit?usp=sharing"",""น่าน!R287"")+IMPORTRANGE(""https://docs.google.com/spreadsheets/d/1uu4nAn4Dbi1XREnLKKotUANlKXa7yCgRcgq8HEzQYW8/edit?usp=sharing"",""พะเยา!R287"")+IMPORTRANGE(""https://docs.google.com/spreadsheets/d/1xfJKIQxVOaPDIICqsflNlL"&amp;"u3JacTDk1FP9RH4phX7mI/edit?usp=sharing"",""พิจิตร!R287"")+IMPORTRANGE(""https://docs.google.com/spreadsheets/d/1JtRfZkJMHtEhI5RdRHxYUG4FIZHqKDpNyIuN7A1Q0_k/edit?usp=sharing"",""พิษณุโลก!R287"")+IMPORTRANGE(""https://docs.google.com/spreadsheets/d/1xlcVZWU"&amp;"Nn6SuWm0c307h32SiGkd9BaeQWlAktfD3KO8/edit?usp=sharing"",""เพชรบูรณ์!R287"")+IMPORTRANGE(""https://docs.google.com/spreadsheets/d/1lOVebEIsI9qjGXl6EX66luk7wiuP2tBaryw-wKvv4e0/edit?usp=sharing"",""แพร่!R287"")+IMPORTRANGE(""https://docs.google.com/spreadshe"&amp;"ets/d/1dQrvX0vEcN7Gu0fnZ0B5S90AeR19zth4XlExFBeExMY/edit?usp=sharing"",""แม่ฮ่องสอน!R287"")+IMPORTRANGE(""https://docs.google.com/spreadsheets/d/1DY4XTNNwjluuxqdfdn6qvOSlMRrZqUtmYcZR0ttFiG4/edit?usp=sharing"",""ลำปาง!R287"")+IMPORTRANGE(""https://docs.goog"&amp;"le.com/spreadsheets/d/1ICwG78r0OFT8biBlxnBF8r7she7gNSzOvJ958PWT09c/edit?usp=sharing"",""ลำพูน!R287"")+IMPORTRANGE(""https://docs.google.com/spreadsheets/d/1B0f2xJpZUC6Z0xXnqKlZtEPzsf6L84eP1r1Q15seqRM/edit?usp=sharing"",""สุโขทัย!R287"")+IMPORTRANGE(""http"&amp;"s://docs.google.com/spreadsheets/d/1v0b9pFQCsKUVExMei7AgY2yQkdeNQvtOssygGsXbiKo/edit?usp=sharing"",""อุตรดิตถ์!R287"")+IMPORTRANGE(""https://docs.google.com/spreadsheets/d/1UsNK1e-WWiCo2PvGqdNfdme4m17_Ezd3J69EeeiQPD0/edit?usp=sharing"",""อุทัยธานี!R287"")"),0)</f>
        <v>0</v>
      </c>
      <c r="S287" s="46">
        <f ca="1">IFERROR(__xludf.DUMMYFUNCTION("IMPORTRANGE(""https://docs.google.com/spreadsheets/d/1jTcq05yEiRwXcBMLjiodW9e4biSGYWAHcDj22rKWQ3s/edit?usp=sharing"",""กำแพงเพชร!S287"")+IMPORTRANGE(""https://docs.google.com/spreadsheets/d/1KS0zmDSZPk8KnTAbGN-Xk6MtX1YRZD0ldgdt20K4CRk/edit?usp=sharing"","&amp;"""เชียงราย!S287"")+IMPORTRANGE(""https://docs.google.com/spreadsheets/d/1rEDxBtusbi64tE0zunoIbsTVV16HeL0oJ6trHQeQ7K8/edit?usp=sharing"",""เชียงใหม่!S287"")+IMPORTRANGE(""https://docs.google.com/spreadsheets/d/1W6MnUbDkMi6xHnHko_XkFDO9kkuL6Wqyc-6OCDFjW9I/e"&amp;"dit?usp=sharing"",""ตาก!S287"")+IMPORTRANGE(""https://docs.google.com/spreadsheets/d/1IQAWArduLkta9LpYo4a_ULsyqdta6-6aDDiwpUnQT6c/edit?usp=sharing"",""นครสวรรค์!S287"")+IMPORTRANGE(""https://docs.google.com/spreadsheets/d/10s13Sk5xrltsiR-Zkbmk5DwIaDIKO8Xl"&amp;"bJAfqyT7Gvg/edit?usp=sharing"",""น่าน!S287"")+IMPORTRANGE(""https://docs.google.com/spreadsheets/d/1uu4nAn4Dbi1XREnLKKotUANlKXa7yCgRcgq8HEzQYW8/edit?usp=sharing"",""พะเยา!S287"")+IMPORTRANGE(""https://docs.google.com/spreadsheets/d/1xfJKIQxVOaPDIICqsflNlL"&amp;"u3JacTDk1FP9RH4phX7mI/edit?usp=sharing"",""พิจิตร!S287"")+IMPORTRANGE(""https://docs.google.com/spreadsheets/d/1JtRfZkJMHtEhI5RdRHxYUG4FIZHqKDpNyIuN7A1Q0_k/edit?usp=sharing"",""พิษณุโลก!S287"")+IMPORTRANGE(""https://docs.google.com/spreadsheets/d/1xlcVZWU"&amp;"Nn6SuWm0c307h32SiGkd9BaeQWlAktfD3KO8/edit?usp=sharing"",""เพชรบูรณ์!S287"")+IMPORTRANGE(""https://docs.google.com/spreadsheets/d/1lOVebEIsI9qjGXl6EX66luk7wiuP2tBaryw-wKvv4e0/edit?usp=sharing"",""แพร่!S287"")+IMPORTRANGE(""https://docs.google.com/spreadshe"&amp;"ets/d/1dQrvX0vEcN7Gu0fnZ0B5S90AeR19zth4XlExFBeExMY/edit?usp=sharing"",""แม่ฮ่องสอน!S287"")+IMPORTRANGE(""https://docs.google.com/spreadsheets/d/1DY4XTNNwjluuxqdfdn6qvOSlMRrZqUtmYcZR0ttFiG4/edit?usp=sharing"",""ลำปาง!S287"")+IMPORTRANGE(""https://docs.goog"&amp;"le.com/spreadsheets/d/1ICwG78r0OFT8biBlxnBF8r7she7gNSzOvJ958PWT09c/edit?usp=sharing"",""ลำพูน!S287"")+IMPORTRANGE(""https://docs.google.com/spreadsheets/d/1B0f2xJpZUC6Z0xXnqKlZtEPzsf6L84eP1r1Q15seqRM/edit?usp=sharing"",""สุโขทัย!S287"")+IMPORTRANGE(""http"&amp;"s://docs.google.com/spreadsheets/d/1v0b9pFQCsKUVExMei7AgY2yQkdeNQvtOssygGsXbiKo/edit?usp=sharing"",""อุตรดิตถ์!S287"")+IMPORTRANGE(""https://docs.google.com/spreadsheets/d/1UsNK1e-WWiCo2PvGqdNfdme4m17_Ezd3J69EeeiQPD0/edit?usp=sharing"",""อุทัยธานี!S287"")"),0)</f>
        <v>0</v>
      </c>
      <c r="T287" s="48">
        <f t="shared" ca="1" si="209"/>
        <v>0</v>
      </c>
      <c r="U287" s="48">
        <f t="shared" ca="1" si="210"/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46">
        <f t="shared" ref="L288:N288" ca="1" si="217">L289+L290</f>
        <v>0</v>
      </c>
      <c r="M288" s="46">
        <f t="shared" ca="1" si="217"/>
        <v>0</v>
      </c>
      <c r="N288" s="46">
        <f t="shared" ca="1" si="217"/>
        <v>0</v>
      </c>
      <c r="O288" s="46">
        <f t="shared" ca="1" si="206"/>
        <v>0</v>
      </c>
      <c r="P288" s="46">
        <f t="shared" ca="1" si="207"/>
        <v>0</v>
      </c>
      <c r="Q288" s="46">
        <f t="shared" ref="Q288:S288" ca="1" si="218">Q289+Q290</f>
        <v>0</v>
      </c>
      <c r="R288" s="46">
        <f t="shared" ca="1" si="218"/>
        <v>0</v>
      </c>
      <c r="S288" s="46">
        <f t="shared" ca="1" si="218"/>
        <v>0</v>
      </c>
      <c r="T288" s="46">
        <f t="shared" ca="1" si="209"/>
        <v>0</v>
      </c>
      <c r="U288" s="46">
        <f t="shared" ca="1" si="210"/>
        <v>0</v>
      </c>
    </row>
    <row r="289" spans="1:21" ht="18.75" x14ac:dyDescent="0.25">
      <c r="A289" s="128"/>
      <c r="B289" s="40"/>
      <c r="C289" s="40"/>
      <c r="D289" s="40"/>
      <c r="E289" s="47" t="s">
        <v>20</v>
      </c>
      <c r="F289" s="40"/>
      <c r="G289" s="42"/>
      <c r="H289" s="134" t="s">
        <v>14</v>
      </c>
      <c r="I289" s="135"/>
      <c r="J289" s="135"/>
      <c r="K289" s="136"/>
      <c r="L289" s="46">
        <f ca="1">IFERROR(__xludf.DUMMYFUNCTION("IMPORTRANGE(""https://docs.google.com/spreadsheets/d/1jTcq05yEiRwXcBMLjiodW9e4biSGYWAHcDj22rKWQ3s/edit?usp=sharing"",""กำแพงเพชร!L289"")+IMPORTRANGE(""https://docs.google.com/spreadsheets/d/1KS0zmDSZPk8KnTAbGN-Xk6MtX1YRZD0ldgdt20K4CRk/edit?usp=sharing"","&amp;"""เชียงราย!L289"")+IMPORTRANGE(""https://docs.google.com/spreadsheets/d/1rEDxBtusbi64tE0zunoIbsTVV16HeL0oJ6trHQeQ7K8/edit?usp=sharing"",""เชียงใหม่!L289"")+IMPORTRANGE(""https://docs.google.com/spreadsheets/d/1W6MnUbDkMi6xHnHko_XkFDO9kkuL6Wqyc-6OCDFjW9I/e"&amp;"dit?usp=sharing"",""ตาก!L289"")+IMPORTRANGE(""https://docs.google.com/spreadsheets/d/1IQAWArduLkta9LpYo4a_ULsyqdta6-6aDDiwpUnQT6c/edit?usp=sharing"",""นครสวรรค์!L289"")+IMPORTRANGE(""https://docs.google.com/spreadsheets/d/10s13Sk5xrltsiR-Zkbmk5DwIaDIKO8Xl"&amp;"bJAfqyT7Gvg/edit?usp=sharing"",""น่าน!L289"")+IMPORTRANGE(""https://docs.google.com/spreadsheets/d/1uu4nAn4Dbi1XREnLKKotUANlKXa7yCgRcgq8HEzQYW8/edit?usp=sharing"",""พะเยา!L289"")+IMPORTRANGE(""https://docs.google.com/spreadsheets/d/1xfJKIQxVOaPDIICqsflNlL"&amp;"u3JacTDk1FP9RH4phX7mI/edit?usp=sharing"",""พิจิตร!L289"")+IMPORTRANGE(""https://docs.google.com/spreadsheets/d/1JtRfZkJMHtEhI5RdRHxYUG4FIZHqKDpNyIuN7A1Q0_k/edit?usp=sharing"",""พิษณุโลก!L289"")+IMPORTRANGE(""https://docs.google.com/spreadsheets/d/1xlcVZWU"&amp;"Nn6SuWm0c307h32SiGkd9BaeQWlAktfD3KO8/edit?usp=sharing"",""เพชรบูรณ์!L289"")+IMPORTRANGE(""https://docs.google.com/spreadsheets/d/1lOVebEIsI9qjGXl6EX66luk7wiuP2tBaryw-wKvv4e0/edit?usp=sharing"",""แพร่!L289"")+IMPORTRANGE(""https://docs.google.com/spreadshe"&amp;"ets/d/1dQrvX0vEcN7Gu0fnZ0B5S90AeR19zth4XlExFBeExMY/edit?usp=sharing"",""แม่ฮ่องสอน!L289"")+IMPORTRANGE(""https://docs.google.com/spreadsheets/d/1DY4XTNNwjluuxqdfdn6qvOSlMRrZqUtmYcZR0ttFiG4/edit?usp=sharing"",""ลำปาง!L289"")+IMPORTRANGE(""https://docs.goog"&amp;"le.com/spreadsheets/d/1ICwG78r0OFT8biBlxnBF8r7she7gNSzOvJ958PWT09c/edit?usp=sharing"",""ลำพูน!L289"")+IMPORTRANGE(""https://docs.google.com/spreadsheets/d/1B0f2xJpZUC6Z0xXnqKlZtEPzsf6L84eP1r1Q15seqRM/edit?usp=sharing"",""สุโขทัย!L289"")+IMPORTRANGE(""http"&amp;"s://docs.google.com/spreadsheets/d/1v0b9pFQCsKUVExMei7AgY2yQkdeNQvtOssygGsXbiKo/edit?usp=sharing"",""อุตรดิตถ์!L289"")+IMPORTRANGE(""https://docs.google.com/spreadsheets/d/1UsNK1e-WWiCo2PvGqdNfdme4m17_Ezd3J69EeeiQPD0/edit?usp=sharing"",""อุทัยธานี!L289"")"),0)</f>
        <v>0</v>
      </c>
      <c r="M289" s="46">
        <f ca="1">IFERROR(__xludf.DUMMYFUNCTION("IMPORTRANGE(""https://docs.google.com/spreadsheets/d/1jTcq05yEiRwXcBMLjiodW9e4biSGYWAHcDj22rKWQ3s/edit?usp=sharing"",""กำแพงเพชร!M289"")+IMPORTRANGE(""https://docs.google.com/spreadsheets/d/1KS0zmDSZPk8KnTAbGN-Xk6MtX1YRZD0ldgdt20K4CRk/edit?usp=sharing"","&amp;"""เชียงราย!M289"")+IMPORTRANGE(""https://docs.google.com/spreadsheets/d/1rEDxBtusbi64tE0zunoIbsTVV16HeL0oJ6trHQeQ7K8/edit?usp=sharing"",""เชียงใหม่!M289"")+IMPORTRANGE(""https://docs.google.com/spreadsheets/d/1W6MnUbDkMi6xHnHko_XkFDO9kkuL6Wqyc-6OCDFjW9I/e"&amp;"dit?usp=sharing"",""ตาก!M289"")+IMPORTRANGE(""https://docs.google.com/spreadsheets/d/1IQAWArduLkta9LpYo4a_ULsyqdta6-6aDDiwpUnQT6c/edit?usp=sharing"",""นครสวรรค์!M289"")+IMPORTRANGE(""https://docs.google.com/spreadsheets/d/10s13Sk5xrltsiR-Zkbmk5DwIaDIKO8Xl"&amp;"bJAfqyT7Gvg/edit?usp=sharing"",""น่าน!M289"")+IMPORTRANGE(""https://docs.google.com/spreadsheets/d/1uu4nAn4Dbi1XREnLKKotUANlKXa7yCgRcgq8HEzQYW8/edit?usp=sharing"",""พะเยา!M289"")+IMPORTRANGE(""https://docs.google.com/spreadsheets/d/1xfJKIQxVOaPDIICqsflNlL"&amp;"u3JacTDk1FP9RH4phX7mI/edit?usp=sharing"",""พิจิตร!M289"")+IMPORTRANGE(""https://docs.google.com/spreadsheets/d/1JtRfZkJMHtEhI5RdRHxYUG4FIZHqKDpNyIuN7A1Q0_k/edit?usp=sharing"",""พิษณุโลก!M289"")+IMPORTRANGE(""https://docs.google.com/spreadsheets/d/1xlcVZWU"&amp;"Nn6SuWm0c307h32SiGkd9BaeQWlAktfD3KO8/edit?usp=sharing"",""เพชรบูรณ์!M289"")+IMPORTRANGE(""https://docs.google.com/spreadsheets/d/1lOVebEIsI9qjGXl6EX66luk7wiuP2tBaryw-wKvv4e0/edit?usp=sharing"",""แพร่!M289"")+IMPORTRANGE(""https://docs.google.com/spreadshe"&amp;"ets/d/1dQrvX0vEcN7Gu0fnZ0B5S90AeR19zth4XlExFBeExMY/edit?usp=sharing"",""แม่ฮ่องสอน!M289"")+IMPORTRANGE(""https://docs.google.com/spreadsheets/d/1DY4XTNNwjluuxqdfdn6qvOSlMRrZqUtmYcZR0ttFiG4/edit?usp=sharing"",""ลำปาง!M289"")+IMPORTRANGE(""https://docs.goog"&amp;"le.com/spreadsheets/d/1ICwG78r0OFT8biBlxnBF8r7she7gNSzOvJ958PWT09c/edit?usp=sharing"",""ลำพูน!M289"")+IMPORTRANGE(""https://docs.google.com/spreadsheets/d/1B0f2xJpZUC6Z0xXnqKlZtEPzsf6L84eP1r1Q15seqRM/edit?usp=sharing"",""สุโขทัย!M289"")+IMPORTRANGE(""http"&amp;"s://docs.google.com/spreadsheets/d/1v0b9pFQCsKUVExMei7AgY2yQkdeNQvtOssygGsXbiKo/edit?usp=sharing"",""อุตรดิตถ์!M289"")+IMPORTRANGE(""https://docs.google.com/spreadsheets/d/1UsNK1e-WWiCo2PvGqdNfdme4m17_Ezd3J69EeeiQPD0/edit?usp=sharing"",""อุทัยธานี!M289"")"),0)</f>
        <v>0</v>
      </c>
      <c r="N289" s="46">
        <f ca="1">IFERROR(__xludf.DUMMYFUNCTION("IMPORTRANGE(""https://docs.google.com/spreadsheets/d/1jTcq05yEiRwXcBMLjiodW9e4biSGYWAHcDj22rKWQ3s/edit?usp=sharing"",""กำแพงเพชร!N289"")+IMPORTRANGE(""https://docs.google.com/spreadsheets/d/1KS0zmDSZPk8KnTAbGN-Xk6MtX1YRZD0ldgdt20K4CRk/edit?usp=sharing"","&amp;"""เชียงราย!N289"")+IMPORTRANGE(""https://docs.google.com/spreadsheets/d/1rEDxBtusbi64tE0zunoIbsTVV16HeL0oJ6trHQeQ7K8/edit?usp=sharing"",""เชียงใหม่!N289"")+IMPORTRANGE(""https://docs.google.com/spreadsheets/d/1W6MnUbDkMi6xHnHko_XkFDO9kkuL6Wqyc-6OCDFjW9I/e"&amp;"dit?usp=sharing"",""ตาก!N289"")+IMPORTRANGE(""https://docs.google.com/spreadsheets/d/1IQAWArduLkta9LpYo4a_ULsyqdta6-6aDDiwpUnQT6c/edit?usp=sharing"",""นครสวรรค์!N289"")+IMPORTRANGE(""https://docs.google.com/spreadsheets/d/10s13Sk5xrltsiR-Zkbmk5DwIaDIKO8Xl"&amp;"bJAfqyT7Gvg/edit?usp=sharing"",""น่าน!N289"")+IMPORTRANGE(""https://docs.google.com/spreadsheets/d/1uu4nAn4Dbi1XREnLKKotUANlKXa7yCgRcgq8HEzQYW8/edit?usp=sharing"",""พะเยา!N289"")+IMPORTRANGE(""https://docs.google.com/spreadsheets/d/1xfJKIQxVOaPDIICqsflNlL"&amp;"u3JacTDk1FP9RH4phX7mI/edit?usp=sharing"",""พิจิตร!N289"")+IMPORTRANGE(""https://docs.google.com/spreadsheets/d/1JtRfZkJMHtEhI5RdRHxYUG4FIZHqKDpNyIuN7A1Q0_k/edit?usp=sharing"",""พิษณุโลก!N289"")+IMPORTRANGE(""https://docs.google.com/spreadsheets/d/1xlcVZWU"&amp;"Nn6SuWm0c307h32SiGkd9BaeQWlAktfD3KO8/edit?usp=sharing"",""เพชรบูรณ์!N289"")+IMPORTRANGE(""https://docs.google.com/spreadsheets/d/1lOVebEIsI9qjGXl6EX66luk7wiuP2tBaryw-wKvv4e0/edit?usp=sharing"",""แพร่!N289"")+IMPORTRANGE(""https://docs.google.com/spreadshe"&amp;"ets/d/1dQrvX0vEcN7Gu0fnZ0B5S90AeR19zth4XlExFBeExMY/edit?usp=sharing"",""แม่ฮ่องสอน!N289"")+IMPORTRANGE(""https://docs.google.com/spreadsheets/d/1DY4XTNNwjluuxqdfdn6qvOSlMRrZqUtmYcZR0ttFiG4/edit?usp=sharing"",""ลำปาง!N289"")+IMPORTRANGE(""https://docs.goog"&amp;"le.com/spreadsheets/d/1ICwG78r0OFT8biBlxnBF8r7she7gNSzOvJ958PWT09c/edit?usp=sharing"",""ลำพูน!N289"")+IMPORTRANGE(""https://docs.google.com/spreadsheets/d/1B0f2xJpZUC6Z0xXnqKlZtEPzsf6L84eP1r1Q15seqRM/edit?usp=sharing"",""สุโขทัย!N289"")+IMPORTRANGE(""http"&amp;"s://docs.google.com/spreadsheets/d/1v0b9pFQCsKUVExMei7AgY2yQkdeNQvtOssygGsXbiKo/edit?usp=sharing"",""อุตรดิตถ์!N289"")+IMPORTRANGE(""https://docs.google.com/spreadsheets/d/1UsNK1e-WWiCo2PvGqdNfdme4m17_Ezd3J69EeeiQPD0/edit?usp=sharing"",""อุทัยธานี!N289"")"),0)</f>
        <v>0</v>
      </c>
      <c r="O289" s="46">
        <f t="shared" ca="1" si="206"/>
        <v>0</v>
      </c>
      <c r="P289" s="46">
        <f t="shared" ca="1" si="207"/>
        <v>0</v>
      </c>
      <c r="Q289" s="48">
        <f ca="1">IFERROR(__xludf.DUMMYFUNCTION("IMPORTRANGE(""https://docs.google.com/spreadsheets/d/1jTcq05yEiRwXcBMLjiodW9e4biSGYWAHcDj22rKWQ3s/edit?usp=sharing"",""กำแพงเพชร!Q289"")+IMPORTRANGE(""https://docs.google.com/spreadsheets/d/1KS0zmDSZPk8KnTAbGN-Xk6MtX1YRZD0ldgdt20K4CRk/edit?usp=sharing"","&amp;"""เชียงราย!Q289"")+IMPORTRANGE(""https://docs.google.com/spreadsheets/d/1rEDxBtusbi64tE0zunoIbsTVV16HeL0oJ6trHQeQ7K8/edit?usp=sharing"",""เชียงใหม่!Q289"")+IMPORTRANGE(""https://docs.google.com/spreadsheets/d/1W6MnUbDkMi6xHnHko_XkFDO9kkuL6Wqyc-6OCDFjW9I/e"&amp;"dit?usp=sharing"",""ตาก!Q289"")+IMPORTRANGE(""https://docs.google.com/spreadsheets/d/1IQAWArduLkta9LpYo4a_ULsyqdta6-6aDDiwpUnQT6c/edit?usp=sharing"",""นครสวรรค์!Q289"")+IMPORTRANGE(""https://docs.google.com/spreadsheets/d/10s13Sk5xrltsiR-Zkbmk5DwIaDIKO8Xl"&amp;"bJAfqyT7Gvg/edit?usp=sharing"",""น่าน!Q289"")+IMPORTRANGE(""https://docs.google.com/spreadsheets/d/1uu4nAn4Dbi1XREnLKKotUANlKXa7yCgRcgq8HEzQYW8/edit?usp=sharing"",""พะเยา!Q289"")+IMPORTRANGE(""https://docs.google.com/spreadsheets/d/1xfJKIQxVOaPDIICqsflNlL"&amp;"u3JacTDk1FP9RH4phX7mI/edit?usp=sharing"",""พิจิตร!Q289"")+IMPORTRANGE(""https://docs.google.com/spreadsheets/d/1JtRfZkJMHtEhI5RdRHxYUG4FIZHqKDpNyIuN7A1Q0_k/edit?usp=sharing"",""พิษณุโลก!Q289"")+IMPORTRANGE(""https://docs.google.com/spreadsheets/d/1xlcVZWU"&amp;"Nn6SuWm0c307h32SiGkd9BaeQWlAktfD3KO8/edit?usp=sharing"",""เพชรบูรณ์!Q289"")+IMPORTRANGE(""https://docs.google.com/spreadsheets/d/1lOVebEIsI9qjGXl6EX66luk7wiuP2tBaryw-wKvv4e0/edit?usp=sharing"",""แพร่!Q289"")+IMPORTRANGE(""https://docs.google.com/spreadshe"&amp;"ets/d/1dQrvX0vEcN7Gu0fnZ0B5S90AeR19zth4XlExFBeExMY/edit?usp=sharing"",""แม่ฮ่องสอน!Q289"")+IMPORTRANGE(""https://docs.google.com/spreadsheets/d/1DY4XTNNwjluuxqdfdn6qvOSlMRrZqUtmYcZR0ttFiG4/edit?usp=sharing"",""ลำปาง!Q289"")+IMPORTRANGE(""https://docs.goog"&amp;"le.com/spreadsheets/d/1ICwG78r0OFT8biBlxnBF8r7she7gNSzOvJ958PWT09c/edit?usp=sharing"",""ลำพูน!Q289"")+IMPORTRANGE(""https://docs.google.com/spreadsheets/d/1B0f2xJpZUC6Z0xXnqKlZtEPzsf6L84eP1r1Q15seqRM/edit?usp=sharing"",""สุโขทัย!Q289"")+IMPORTRANGE(""http"&amp;"s://docs.google.com/spreadsheets/d/1v0b9pFQCsKUVExMei7AgY2yQkdeNQvtOssygGsXbiKo/edit?usp=sharing"",""อุตรดิตถ์!Q289"")+IMPORTRANGE(""https://docs.google.com/spreadsheets/d/1UsNK1e-WWiCo2PvGqdNfdme4m17_Ezd3J69EeeiQPD0/edit?usp=sharing"",""อุทัยธานี!Q289"")"),0)</f>
        <v>0</v>
      </c>
      <c r="R289" s="48">
        <f ca="1">IFERROR(__xludf.DUMMYFUNCTION("IMPORTRANGE(""https://docs.google.com/spreadsheets/d/1jTcq05yEiRwXcBMLjiodW9e4biSGYWAHcDj22rKWQ3s/edit?usp=sharing"",""กำแพงเพชร!R289"")+IMPORTRANGE(""https://docs.google.com/spreadsheets/d/1KS0zmDSZPk8KnTAbGN-Xk6MtX1YRZD0ldgdt20K4CRk/edit?usp=sharing"","&amp;"""เชียงราย!R289"")+IMPORTRANGE(""https://docs.google.com/spreadsheets/d/1rEDxBtusbi64tE0zunoIbsTVV16HeL0oJ6trHQeQ7K8/edit?usp=sharing"",""เชียงใหม่!R289"")+IMPORTRANGE(""https://docs.google.com/spreadsheets/d/1W6MnUbDkMi6xHnHko_XkFDO9kkuL6Wqyc-6OCDFjW9I/e"&amp;"dit?usp=sharing"",""ตาก!R289"")+IMPORTRANGE(""https://docs.google.com/spreadsheets/d/1IQAWArduLkta9LpYo4a_ULsyqdta6-6aDDiwpUnQT6c/edit?usp=sharing"",""นครสวรรค์!R289"")+IMPORTRANGE(""https://docs.google.com/spreadsheets/d/10s13Sk5xrltsiR-Zkbmk5DwIaDIKO8Xl"&amp;"bJAfqyT7Gvg/edit?usp=sharing"",""น่าน!R289"")+IMPORTRANGE(""https://docs.google.com/spreadsheets/d/1uu4nAn4Dbi1XREnLKKotUANlKXa7yCgRcgq8HEzQYW8/edit?usp=sharing"",""พะเยา!R289"")+IMPORTRANGE(""https://docs.google.com/spreadsheets/d/1xfJKIQxVOaPDIICqsflNlL"&amp;"u3JacTDk1FP9RH4phX7mI/edit?usp=sharing"",""พิจิตร!R289"")+IMPORTRANGE(""https://docs.google.com/spreadsheets/d/1JtRfZkJMHtEhI5RdRHxYUG4FIZHqKDpNyIuN7A1Q0_k/edit?usp=sharing"",""พิษณุโลก!R289"")+IMPORTRANGE(""https://docs.google.com/spreadsheets/d/1xlcVZWU"&amp;"Nn6SuWm0c307h32SiGkd9BaeQWlAktfD3KO8/edit?usp=sharing"",""เพชรบูรณ์!R289"")+IMPORTRANGE(""https://docs.google.com/spreadsheets/d/1lOVebEIsI9qjGXl6EX66luk7wiuP2tBaryw-wKvv4e0/edit?usp=sharing"",""แพร่!R289"")+IMPORTRANGE(""https://docs.google.com/spreadshe"&amp;"ets/d/1dQrvX0vEcN7Gu0fnZ0B5S90AeR19zth4XlExFBeExMY/edit?usp=sharing"",""แม่ฮ่องสอน!R289"")+IMPORTRANGE(""https://docs.google.com/spreadsheets/d/1DY4XTNNwjluuxqdfdn6qvOSlMRrZqUtmYcZR0ttFiG4/edit?usp=sharing"",""ลำปาง!R289"")+IMPORTRANGE(""https://docs.goog"&amp;"le.com/spreadsheets/d/1ICwG78r0OFT8biBlxnBF8r7she7gNSzOvJ958PWT09c/edit?usp=sharing"",""ลำพูน!R289"")+IMPORTRANGE(""https://docs.google.com/spreadsheets/d/1B0f2xJpZUC6Z0xXnqKlZtEPzsf6L84eP1r1Q15seqRM/edit?usp=sharing"",""สุโขทัย!R289"")+IMPORTRANGE(""http"&amp;"s://docs.google.com/spreadsheets/d/1v0b9pFQCsKUVExMei7AgY2yQkdeNQvtOssygGsXbiKo/edit?usp=sharing"",""อุตรดิตถ์!R289"")+IMPORTRANGE(""https://docs.google.com/spreadsheets/d/1UsNK1e-WWiCo2PvGqdNfdme4m17_Ezd3J69EeeiQPD0/edit?usp=sharing"",""อุทัยธานี!R289"")"),0)</f>
        <v>0</v>
      </c>
      <c r="S289" s="48">
        <f ca="1">IFERROR(__xludf.DUMMYFUNCTION("IMPORTRANGE(""https://docs.google.com/spreadsheets/d/1jTcq05yEiRwXcBMLjiodW9e4biSGYWAHcDj22rKWQ3s/edit?usp=sharing"",""กำแพงเพชร!S289"")+IMPORTRANGE(""https://docs.google.com/spreadsheets/d/1KS0zmDSZPk8KnTAbGN-Xk6MtX1YRZD0ldgdt20K4CRk/edit?usp=sharing"","&amp;"""เชียงราย!S289"")+IMPORTRANGE(""https://docs.google.com/spreadsheets/d/1rEDxBtusbi64tE0zunoIbsTVV16HeL0oJ6trHQeQ7K8/edit?usp=sharing"",""เชียงใหม่!S289"")+IMPORTRANGE(""https://docs.google.com/spreadsheets/d/1W6MnUbDkMi6xHnHko_XkFDO9kkuL6Wqyc-6OCDFjW9I/e"&amp;"dit?usp=sharing"",""ตาก!S289"")+IMPORTRANGE(""https://docs.google.com/spreadsheets/d/1IQAWArduLkta9LpYo4a_ULsyqdta6-6aDDiwpUnQT6c/edit?usp=sharing"",""นครสวรรค์!S289"")+IMPORTRANGE(""https://docs.google.com/spreadsheets/d/10s13Sk5xrltsiR-Zkbmk5DwIaDIKO8Xl"&amp;"bJAfqyT7Gvg/edit?usp=sharing"",""น่าน!S289"")+IMPORTRANGE(""https://docs.google.com/spreadsheets/d/1uu4nAn4Dbi1XREnLKKotUANlKXa7yCgRcgq8HEzQYW8/edit?usp=sharing"",""พะเยา!S289"")+IMPORTRANGE(""https://docs.google.com/spreadsheets/d/1xfJKIQxVOaPDIICqsflNlL"&amp;"u3JacTDk1FP9RH4phX7mI/edit?usp=sharing"",""พิจิตร!S289"")+IMPORTRANGE(""https://docs.google.com/spreadsheets/d/1JtRfZkJMHtEhI5RdRHxYUG4FIZHqKDpNyIuN7A1Q0_k/edit?usp=sharing"",""พิษณุโลก!S289"")+IMPORTRANGE(""https://docs.google.com/spreadsheets/d/1xlcVZWU"&amp;"Nn6SuWm0c307h32SiGkd9BaeQWlAktfD3KO8/edit?usp=sharing"",""เพชรบูรณ์!S289"")+IMPORTRANGE(""https://docs.google.com/spreadsheets/d/1lOVebEIsI9qjGXl6EX66luk7wiuP2tBaryw-wKvv4e0/edit?usp=sharing"",""แพร่!S289"")+IMPORTRANGE(""https://docs.google.com/spreadshe"&amp;"ets/d/1dQrvX0vEcN7Gu0fnZ0B5S90AeR19zth4XlExFBeExMY/edit?usp=sharing"",""แม่ฮ่องสอน!S289"")+IMPORTRANGE(""https://docs.google.com/spreadsheets/d/1DY4XTNNwjluuxqdfdn6qvOSlMRrZqUtmYcZR0ttFiG4/edit?usp=sharing"",""ลำปาง!S289"")+IMPORTRANGE(""https://docs.goog"&amp;"le.com/spreadsheets/d/1ICwG78r0OFT8biBlxnBF8r7she7gNSzOvJ958PWT09c/edit?usp=sharing"",""ลำพูน!S289"")+IMPORTRANGE(""https://docs.google.com/spreadsheets/d/1B0f2xJpZUC6Z0xXnqKlZtEPzsf6L84eP1r1Q15seqRM/edit?usp=sharing"",""สุโขทัย!S289"")+IMPORTRANGE(""http"&amp;"s://docs.google.com/spreadsheets/d/1v0b9pFQCsKUVExMei7AgY2yQkdeNQvtOssygGsXbiKo/edit?usp=sharing"",""อุตรดิตถ์!S289"")+IMPORTRANGE(""https://docs.google.com/spreadsheets/d/1UsNK1e-WWiCo2PvGqdNfdme4m17_Ezd3J69EeeiQPD0/edit?usp=sharing"",""อุทัยธานี!S289"")"),0)</f>
        <v>0</v>
      </c>
      <c r="T289" s="48">
        <f t="shared" ca="1" si="209"/>
        <v>0</v>
      </c>
      <c r="U289" s="48">
        <f t="shared" ca="1" si="210"/>
        <v>0</v>
      </c>
    </row>
    <row r="290" spans="1:21" ht="18.75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46">
        <f ca="1">IFERROR(__xludf.DUMMYFUNCTION("IMPORTRANGE(""https://docs.google.com/spreadsheets/d/1jTcq05yEiRwXcBMLjiodW9e4biSGYWAHcDj22rKWQ3s/edit?usp=sharing"",""กำแพงเพชร!L290"")+IMPORTRANGE(""https://docs.google.com/spreadsheets/d/1KS0zmDSZPk8KnTAbGN-Xk6MtX1YRZD0ldgdt20K4CRk/edit?usp=sharing"","&amp;"""เชียงราย!L290"")+IMPORTRANGE(""https://docs.google.com/spreadsheets/d/1rEDxBtusbi64tE0zunoIbsTVV16HeL0oJ6trHQeQ7K8/edit?usp=sharing"",""เชียงใหม่!L290"")+IMPORTRANGE(""https://docs.google.com/spreadsheets/d/1W6MnUbDkMi6xHnHko_XkFDO9kkuL6Wqyc-6OCDFjW9I/e"&amp;"dit?usp=sharing"",""ตาก!L290"")+IMPORTRANGE(""https://docs.google.com/spreadsheets/d/1IQAWArduLkta9LpYo4a_ULsyqdta6-6aDDiwpUnQT6c/edit?usp=sharing"",""นครสวรรค์!L290"")+IMPORTRANGE(""https://docs.google.com/spreadsheets/d/10s13Sk5xrltsiR-Zkbmk5DwIaDIKO8Xl"&amp;"bJAfqyT7Gvg/edit?usp=sharing"",""น่าน!L290"")+IMPORTRANGE(""https://docs.google.com/spreadsheets/d/1uu4nAn4Dbi1XREnLKKotUANlKXa7yCgRcgq8HEzQYW8/edit?usp=sharing"",""พะเยา!L290"")+IMPORTRANGE(""https://docs.google.com/spreadsheets/d/1xfJKIQxVOaPDIICqsflNlL"&amp;"u3JacTDk1FP9RH4phX7mI/edit?usp=sharing"",""พิจิตร!L290"")+IMPORTRANGE(""https://docs.google.com/spreadsheets/d/1JtRfZkJMHtEhI5RdRHxYUG4FIZHqKDpNyIuN7A1Q0_k/edit?usp=sharing"",""พิษณุโลก!L290"")+IMPORTRANGE(""https://docs.google.com/spreadsheets/d/1xlcVZWU"&amp;"Nn6SuWm0c307h32SiGkd9BaeQWlAktfD3KO8/edit?usp=sharing"",""เพชรบูรณ์!L290"")+IMPORTRANGE(""https://docs.google.com/spreadsheets/d/1lOVebEIsI9qjGXl6EX66luk7wiuP2tBaryw-wKvv4e0/edit?usp=sharing"",""แพร่!L290"")+IMPORTRANGE(""https://docs.google.com/spreadshe"&amp;"ets/d/1dQrvX0vEcN7Gu0fnZ0B5S90AeR19zth4XlExFBeExMY/edit?usp=sharing"",""แม่ฮ่องสอน!L290"")+IMPORTRANGE(""https://docs.google.com/spreadsheets/d/1DY4XTNNwjluuxqdfdn6qvOSlMRrZqUtmYcZR0ttFiG4/edit?usp=sharing"",""ลำปาง!L290"")+IMPORTRANGE(""https://docs.goog"&amp;"le.com/spreadsheets/d/1ICwG78r0OFT8biBlxnBF8r7she7gNSzOvJ958PWT09c/edit?usp=sharing"",""ลำพูน!L290"")+IMPORTRANGE(""https://docs.google.com/spreadsheets/d/1B0f2xJpZUC6Z0xXnqKlZtEPzsf6L84eP1r1Q15seqRM/edit?usp=sharing"",""สุโขทัย!L290"")+IMPORTRANGE(""http"&amp;"s://docs.google.com/spreadsheets/d/1v0b9pFQCsKUVExMei7AgY2yQkdeNQvtOssygGsXbiKo/edit?usp=sharing"",""อุตรดิตถ์!L290"")+IMPORTRANGE(""https://docs.google.com/spreadsheets/d/1UsNK1e-WWiCo2PvGqdNfdme4m17_Ezd3J69EeeiQPD0/edit?usp=sharing"",""อุทัยธานี!L290"")"),0)</f>
        <v>0</v>
      </c>
      <c r="M290" s="46">
        <f ca="1">IFERROR(__xludf.DUMMYFUNCTION("IMPORTRANGE(""https://docs.google.com/spreadsheets/d/1jTcq05yEiRwXcBMLjiodW9e4biSGYWAHcDj22rKWQ3s/edit?usp=sharing"",""กำแพงเพชร!M290"")+IMPORTRANGE(""https://docs.google.com/spreadsheets/d/1KS0zmDSZPk8KnTAbGN-Xk6MtX1YRZD0ldgdt20K4CRk/edit?usp=sharing"","&amp;"""เชียงราย!M290"")+IMPORTRANGE(""https://docs.google.com/spreadsheets/d/1rEDxBtusbi64tE0zunoIbsTVV16HeL0oJ6trHQeQ7K8/edit?usp=sharing"",""เชียงใหม่!M290"")+IMPORTRANGE(""https://docs.google.com/spreadsheets/d/1W6MnUbDkMi6xHnHko_XkFDO9kkuL6Wqyc-6OCDFjW9I/e"&amp;"dit?usp=sharing"",""ตาก!M290"")+IMPORTRANGE(""https://docs.google.com/spreadsheets/d/1IQAWArduLkta9LpYo4a_ULsyqdta6-6aDDiwpUnQT6c/edit?usp=sharing"",""นครสวรรค์!M290"")+IMPORTRANGE(""https://docs.google.com/spreadsheets/d/10s13Sk5xrltsiR-Zkbmk5DwIaDIKO8Xl"&amp;"bJAfqyT7Gvg/edit?usp=sharing"",""น่าน!M290"")+IMPORTRANGE(""https://docs.google.com/spreadsheets/d/1uu4nAn4Dbi1XREnLKKotUANlKXa7yCgRcgq8HEzQYW8/edit?usp=sharing"",""พะเยา!M290"")+IMPORTRANGE(""https://docs.google.com/spreadsheets/d/1xfJKIQxVOaPDIICqsflNlL"&amp;"u3JacTDk1FP9RH4phX7mI/edit?usp=sharing"",""พิจิตร!M290"")+IMPORTRANGE(""https://docs.google.com/spreadsheets/d/1JtRfZkJMHtEhI5RdRHxYUG4FIZHqKDpNyIuN7A1Q0_k/edit?usp=sharing"",""พิษณุโลก!M290"")+IMPORTRANGE(""https://docs.google.com/spreadsheets/d/1xlcVZWU"&amp;"Nn6SuWm0c307h32SiGkd9BaeQWlAktfD3KO8/edit?usp=sharing"",""เพชรบูรณ์!M290"")+IMPORTRANGE(""https://docs.google.com/spreadsheets/d/1lOVebEIsI9qjGXl6EX66luk7wiuP2tBaryw-wKvv4e0/edit?usp=sharing"",""แพร่!M290"")+IMPORTRANGE(""https://docs.google.com/spreadshe"&amp;"ets/d/1dQrvX0vEcN7Gu0fnZ0B5S90AeR19zth4XlExFBeExMY/edit?usp=sharing"",""แม่ฮ่องสอน!M290"")+IMPORTRANGE(""https://docs.google.com/spreadsheets/d/1DY4XTNNwjluuxqdfdn6qvOSlMRrZqUtmYcZR0ttFiG4/edit?usp=sharing"",""ลำปาง!M290"")+IMPORTRANGE(""https://docs.goog"&amp;"le.com/spreadsheets/d/1ICwG78r0OFT8biBlxnBF8r7she7gNSzOvJ958PWT09c/edit?usp=sharing"",""ลำพูน!M290"")+IMPORTRANGE(""https://docs.google.com/spreadsheets/d/1B0f2xJpZUC6Z0xXnqKlZtEPzsf6L84eP1r1Q15seqRM/edit?usp=sharing"",""สุโขทัย!M290"")+IMPORTRANGE(""http"&amp;"s://docs.google.com/spreadsheets/d/1v0b9pFQCsKUVExMei7AgY2yQkdeNQvtOssygGsXbiKo/edit?usp=sharing"",""อุตรดิตถ์!M290"")+IMPORTRANGE(""https://docs.google.com/spreadsheets/d/1UsNK1e-WWiCo2PvGqdNfdme4m17_Ezd3J69EeeiQPD0/edit?usp=sharing"",""อุทัยธานี!M290"")"),0)</f>
        <v>0</v>
      </c>
      <c r="N290" s="46">
        <f ca="1">IFERROR(__xludf.DUMMYFUNCTION("IMPORTRANGE(""https://docs.google.com/spreadsheets/d/1jTcq05yEiRwXcBMLjiodW9e4biSGYWAHcDj22rKWQ3s/edit?usp=sharing"",""กำแพงเพชร!N290"")+IMPORTRANGE(""https://docs.google.com/spreadsheets/d/1KS0zmDSZPk8KnTAbGN-Xk6MtX1YRZD0ldgdt20K4CRk/edit?usp=sharing"","&amp;"""เชียงราย!N290"")+IMPORTRANGE(""https://docs.google.com/spreadsheets/d/1rEDxBtusbi64tE0zunoIbsTVV16HeL0oJ6trHQeQ7K8/edit?usp=sharing"",""เชียงใหม่!N290"")+IMPORTRANGE(""https://docs.google.com/spreadsheets/d/1W6MnUbDkMi6xHnHko_XkFDO9kkuL6Wqyc-6OCDFjW9I/e"&amp;"dit?usp=sharing"",""ตาก!N290"")+IMPORTRANGE(""https://docs.google.com/spreadsheets/d/1IQAWArduLkta9LpYo4a_ULsyqdta6-6aDDiwpUnQT6c/edit?usp=sharing"",""นครสวรรค์!N290"")+IMPORTRANGE(""https://docs.google.com/spreadsheets/d/10s13Sk5xrltsiR-Zkbmk5DwIaDIKO8Xl"&amp;"bJAfqyT7Gvg/edit?usp=sharing"",""น่าน!N290"")+IMPORTRANGE(""https://docs.google.com/spreadsheets/d/1uu4nAn4Dbi1XREnLKKotUANlKXa7yCgRcgq8HEzQYW8/edit?usp=sharing"",""พะเยา!N290"")+IMPORTRANGE(""https://docs.google.com/spreadsheets/d/1xfJKIQxVOaPDIICqsflNlL"&amp;"u3JacTDk1FP9RH4phX7mI/edit?usp=sharing"",""พิจิตร!N290"")+IMPORTRANGE(""https://docs.google.com/spreadsheets/d/1JtRfZkJMHtEhI5RdRHxYUG4FIZHqKDpNyIuN7A1Q0_k/edit?usp=sharing"",""พิษณุโลก!N290"")+IMPORTRANGE(""https://docs.google.com/spreadsheets/d/1xlcVZWU"&amp;"Nn6SuWm0c307h32SiGkd9BaeQWlAktfD3KO8/edit?usp=sharing"",""เพชรบูรณ์!N290"")+IMPORTRANGE(""https://docs.google.com/spreadsheets/d/1lOVebEIsI9qjGXl6EX66luk7wiuP2tBaryw-wKvv4e0/edit?usp=sharing"",""แพร่!N290"")+IMPORTRANGE(""https://docs.google.com/spreadshe"&amp;"ets/d/1dQrvX0vEcN7Gu0fnZ0B5S90AeR19zth4XlExFBeExMY/edit?usp=sharing"",""แม่ฮ่องสอน!N290"")+IMPORTRANGE(""https://docs.google.com/spreadsheets/d/1DY4XTNNwjluuxqdfdn6qvOSlMRrZqUtmYcZR0ttFiG4/edit?usp=sharing"",""ลำปาง!N290"")+IMPORTRANGE(""https://docs.goog"&amp;"le.com/spreadsheets/d/1ICwG78r0OFT8biBlxnBF8r7she7gNSzOvJ958PWT09c/edit?usp=sharing"",""ลำพูน!N290"")+IMPORTRANGE(""https://docs.google.com/spreadsheets/d/1B0f2xJpZUC6Z0xXnqKlZtEPzsf6L84eP1r1Q15seqRM/edit?usp=sharing"",""สุโขทัย!N290"")+IMPORTRANGE(""http"&amp;"s://docs.google.com/spreadsheets/d/1v0b9pFQCsKUVExMei7AgY2yQkdeNQvtOssygGsXbiKo/edit?usp=sharing"",""อุตรดิตถ์!N290"")+IMPORTRANGE(""https://docs.google.com/spreadsheets/d/1UsNK1e-WWiCo2PvGqdNfdme4m17_Ezd3J69EeeiQPD0/edit?usp=sharing"",""อุทัยธานี!N290"")"),0)</f>
        <v>0</v>
      </c>
      <c r="O290" s="46">
        <f t="shared" ca="1" si="206"/>
        <v>0</v>
      </c>
      <c r="P290" s="46">
        <f t="shared" ca="1" si="207"/>
        <v>0</v>
      </c>
      <c r="Q290" s="46">
        <f ca="1">IFERROR(__xludf.DUMMYFUNCTION("IMPORTRANGE(""https://docs.google.com/spreadsheets/d/1jTcq05yEiRwXcBMLjiodW9e4biSGYWAHcDj22rKWQ3s/edit?usp=sharing"",""กำแพงเพชร!Q290"")+IMPORTRANGE(""https://docs.google.com/spreadsheets/d/1KS0zmDSZPk8KnTAbGN-Xk6MtX1YRZD0ldgdt20K4CRk/edit?usp=sharing"","&amp;"""เชียงราย!Q290"")+IMPORTRANGE(""https://docs.google.com/spreadsheets/d/1rEDxBtusbi64tE0zunoIbsTVV16HeL0oJ6trHQeQ7K8/edit?usp=sharing"",""เชียงใหม่!Q290"")+IMPORTRANGE(""https://docs.google.com/spreadsheets/d/1W6MnUbDkMi6xHnHko_XkFDO9kkuL6Wqyc-6OCDFjW9I/e"&amp;"dit?usp=sharing"",""ตาก!Q290"")+IMPORTRANGE(""https://docs.google.com/spreadsheets/d/1IQAWArduLkta9LpYo4a_ULsyqdta6-6aDDiwpUnQT6c/edit?usp=sharing"",""นครสวรรค์!Q290"")+IMPORTRANGE(""https://docs.google.com/spreadsheets/d/10s13Sk5xrltsiR-Zkbmk5DwIaDIKO8Xl"&amp;"bJAfqyT7Gvg/edit?usp=sharing"",""น่าน!Q290"")+IMPORTRANGE(""https://docs.google.com/spreadsheets/d/1uu4nAn4Dbi1XREnLKKotUANlKXa7yCgRcgq8HEzQYW8/edit?usp=sharing"",""พะเยา!Q290"")+IMPORTRANGE(""https://docs.google.com/spreadsheets/d/1xfJKIQxVOaPDIICqsflNlL"&amp;"u3JacTDk1FP9RH4phX7mI/edit?usp=sharing"",""พิจิตร!Q290"")+IMPORTRANGE(""https://docs.google.com/spreadsheets/d/1JtRfZkJMHtEhI5RdRHxYUG4FIZHqKDpNyIuN7A1Q0_k/edit?usp=sharing"",""พิษณุโลก!Q290"")+IMPORTRANGE(""https://docs.google.com/spreadsheets/d/1xlcVZWU"&amp;"Nn6SuWm0c307h32SiGkd9BaeQWlAktfD3KO8/edit?usp=sharing"",""เพชรบูรณ์!Q290"")+IMPORTRANGE(""https://docs.google.com/spreadsheets/d/1lOVebEIsI9qjGXl6EX66luk7wiuP2tBaryw-wKvv4e0/edit?usp=sharing"",""แพร่!Q290"")+IMPORTRANGE(""https://docs.google.com/spreadshe"&amp;"ets/d/1dQrvX0vEcN7Gu0fnZ0B5S90AeR19zth4XlExFBeExMY/edit?usp=sharing"",""แม่ฮ่องสอน!Q290"")+IMPORTRANGE(""https://docs.google.com/spreadsheets/d/1DY4XTNNwjluuxqdfdn6qvOSlMRrZqUtmYcZR0ttFiG4/edit?usp=sharing"",""ลำปาง!Q290"")+IMPORTRANGE(""https://docs.goog"&amp;"le.com/spreadsheets/d/1ICwG78r0OFT8biBlxnBF8r7she7gNSzOvJ958PWT09c/edit?usp=sharing"",""ลำพูน!Q290"")+IMPORTRANGE(""https://docs.google.com/spreadsheets/d/1B0f2xJpZUC6Z0xXnqKlZtEPzsf6L84eP1r1Q15seqRM/edit?usp=sharing"",""สุโขทัย!Q290"")+IMPORTRANGE(""http"&amp;"s://docs.google.com/spreadsheets/d/1v0b9pFQCsKUVExMei7AgY2yQkdeNQvtOssygGsXbiKo/edit?usp=sharing"",""อุตรดิตถ์!Q290"")+IMPORTRANGE(""https://docs.google.com/spreadsheets/d/1UsNK1e-WWiCo2PvGqdNfdme4m17_Ezd3J69EeeiQPD0/edit?usp=sharing"",""อุทัยธานี!Q290"")"),0)</f>
        <v>0</v>
      </c>
      <c r="R290" s="46">
        <f ca="1">IFERROR(__xludf.DUMMYFUNCTION("IMPORTRANGE(""https://docs.google.com/spreadsheets/d/1jTcq05yEiRwXcBMLjiodW9e4biSGYWAHcDj22rKWQ3s/edit?usp=sharing"",""กำแพงเพชร!R290"")+IMPORTRANGE(""https://docs.google.com/spreadsheets/d/1KS0zmDSZPk8KnTAbGN-Xk6MtX1YRZD0ldgdt20K4CRk/edit?usp=sharing"","&amp;"""เชียงราย!R290"")+IMPORTRANGE(""https://docs.google.com/spreadsheets/d/1rEDxBtusbi64tE0zunoIbsTVV16HeL0oJ6trHQeQ7K8/edit?usp=sharing"",""เชียงใหม่!R290"")+IMPORTRANGE(""https://docs.google.com/spreadsheets/d/1W6MnUbDkMi6xHnHko_XkFDO9kkuL6Wqyc-6OCDFjW9I/e"&amp;"dit?usp=sharing"",""ตาก!R290"")+IMPORTRANGE(""https://docs.google.com/spreadsheets/d/1IQAWArduLkta9LpYo4a_ULsyqdta6-6aDDiwpUnQT6c/edit?usp=sharing"",""นครสวรรค์!R290"")+IMPORTRANGE(""https://docs.google.com/spreadsheets/d/10s13Sk5xrltsiR-Zkbmk5DwIaDIKO8Xl"&amp;"bJAfqyT7Gvg/edit?usp=sharing"",""น่าน!R290"")+IMPORTRANGE(""https://docs.google.com/spreadsheets/d/1uu4nAn4Dbi1XREnLKKotUANlKXa7yCgRcgq8HEzQYW8/edit?usp=sharing"",""พะเยา!R290"")+IMPORTRANGE(""https://docs.google.com/spreadsheets/d/1xfJKIQxVOaPDIICqsflNlL"&amp;"u3JacTDk1FP9RH4phX7mI/edit?usp=sharing"",""พิจิตร!R290"")+IMPORTRANGE(""https://docs.google.com/spreadsheets/d/1JtRfZkJMHtEhI5RdRHxYUG4FIZHqKDpNyIuN7A1Q0_k/edit?usp=sharing"",""พิษณุโลก!R290"")+IMPORTRANGE(""https://docs.google.com/spreadsheets/d/1xlcVZWU"&amp;"Nn6SuWm0c307h32SiGkd9BaeQWlAktfD3KO8/edit?usp=sharing"",""เพชรบูรณ์!R290"")+IMPORTRANGE(""https://docs.google.com/spreadsheets/d/1lOVebEIsI9qjGXl6EX66luk7wiuP2tBaryw-wKvv4e0/edit?usp=sharing"",""แพร่!R290"")+IMPORTRANGE(""https://docs.google.com/spreadshe"&amp;"ets/d/1dQrvX0vEcN7Gu0fnZ0B5S90AeR19zth4XlExFBeExMY/edit?usp=sharing"",""แม่ฮ่องสอน!R290"")+IMPORTRANGE(""https://docs.google.com/spreadsheets/d/1DY4XTNNwjluuxqdfdn6qvOSlMRrZqUtmYcZR0ttFiG4/edit?usp=sharing"",""ลำปาง!R290"")+IMPORTRANGE(""https://docs.goog"&amp;"le.com/spreadsheets/d/1ICwG78r0OFT8biBlxnBF8r7she7gNSzOvJ958PWT09c/edit?usp=sharing"",""ลำพูน!R290"")+IMPORTRANGE(""https://docs.google.com/spreadsheets/d/1B0f2xJpZUC6Z0xXnqKlZtEPzsf6L84eP1r1Q15seqRM/edit?usp=sharing"",""สุโขทัย!R290"")+IMPORTRANGE(""http"&amp;"s://docs.google.com/spreadsheets/d/1v0b9pFQCsKUVExMei7AgY2yQkdeNQvtOssygGsXbiKo/edit?usp=sharing"",""อุตรดิตถ์!R290"")+IMPORTRANGE(""https://docs.google.com/spreadsheets/d/1UsNK1e-WWiCo2PvGqdNfdme4m17_Ezd3J69EeeiQPD0/edit?usp=sharing"",""อุทัยธานี!R290"")"),0)</f>
        <v>0</v>
      </c>
      <c r="S290" s="46">
        <f ca="1">IFERROR(__xludf.DUMMYFUNCTION("IMPORTRANGE(""https://docs.google.com/spreadsheets/d/1jTcq05yEiRwXcBMLjiodW9e4biSGYWAHcDj22rKWQ3s/edit?usp=sharing"",""กำแพงเพชร!S290"")+IMPORTRANGE(""https://docs.google.com/spreadsheets/d/1KS0zmDSZPk8KnTAbGN-Xk6MtX1YRZD0ldgdt20K4CRk/edit?usp=sharing"","&amp;"""เชียงราย!S290"")+IMPORTRANGE(""https://docs.google.com/spreadsheets/d/1rEDxBtusbi64tE0zunoIbsTVV16HeL0oJ6trHQeQ7K8/edit?usp=sharing"",""เชียงใหม่!S290"")+IMPORTRANGE(""https://docs.google.com/spreadsheets/d/1W6MnUbDkMi6xHnHko_XkFDO9kkuL6Wqyc-6OCDFjW9I/e"&amp;"dit?usp=sharing"",""ตาก!S290"")+IMPORTRANGE(""https://docs.google.com/spreadsheets/d/1IQAWArduLkta9LpYo4a_ULsyqdta6-6aDDiwpUnQT6c/edit?usp=sharing"",""นครสวรรค์!S290"")+IMPORTRANGE(""https://docs.google.com/spreadsheets/d/10s13Sk5xrltsiR-Zkbmk5DwIaDIKO8Xl"&amp;"bJAfqyT7Gvg/edit?usp=sharing"",""น่าน!S290"")+IMPORTRANGE(""https://docs.google.com/spreadsheets/d/1uu4nAn4Dbi1XREnLKKotUANlKXa7yCgRcgq8HEzQYW8/edit?usp=sharing"",""พะเยา!S290"")+IMPORTRANGE(""https://docs.google.com/spreadsheets/d/1xfJKIQxVOaPDIICqsflNlL"&amp;"u3JacTDk1FP9RH4phX7mI/edit?usp=sharing"",""พิจิตร!S290"")+IMPORTRANGE(""https://docs.google.com/spreadsheets/d/1JtRfZkJMHtEhI5RdRHxYUG4FIZHqKDpNyIuN7A1Q0_k/edit?usp=sharing"",""พิษณุโลก!S290"")+IMPORTRANGE(""https://docs.google.com/spreadsheets/d/1xlcVZWU"&amp;"Nn6SuWm0c307h32SiGkd9BaeQWlAktfD3KO8/edit?usp=sharing"",""เพชรบูรณ์!S290"")+IMPORTRANGE(""https://docs.google.com/spreadsheets/d/1lOVebEIsI9qjGXl6EX66luk7wiuP2tBaryw-wKvv4e0/edit?usp=sharing"",""แพร่!S290"")+IMPORTRANGE(""https://docs.google.com/spreadshe"&amp;"ets/d/1dQrvX0vEcN7Gu0fnZ0B5S90AeR19zth4XlExFBeExMY/edit?usp=sharing"",""แม่ฮ่องสอน!S290"")+IMPORTRANGE(""https://docs.google.com/spreadsheets/d/1DY4XTNNwjluuxqdfdn6qvOSlMRrZqUtmYcZR0ttFiG4/edit?usp=sharing"",""ลำปาง!S290"")+IMPORTRANGE(""https://docs.goog"&amp;"le.com/spreadsheets/d/1ICwG78r0OFT8biBlxnBF8r7she7gNSzOvJ958PWT09c/edit?usp=sharing"",""ลำพูน!S290"")+IMPORTRANGE(""https://docs.google.com/spreadsheets/d/1B0f2xJpZUC6Z0xXnqKlZtEPzsf6L84eP1r1Q15seqRM/edit?usp=sharing"",""สุโขทัย!S290"")+IMPORTRANGE(""http"&amp;"s://docs.google.com/spreadsheets/d/1v0b9pFQCsKUVExMei7AgY2yQkdeNQvtOssygGsXbiKo/edit?usp=sharing"",""อุตรดิตถ์!S290"")+IMPORTRANGE(""https://docs.google.com/spreadsheets/d/1UsNK1e-WWiCo2PvGqdNfdme4m17_Ezd3J69EeeiQPD0/edit?usp=sharing"",""อุทัยธานี!S290"")"),0)</f>
        <v>0</v>
      </c>
      <c r="T290" s="46">
        <f t="shared" ca="1" si="209"/>
        <v>0</v>
      </c>
      <c r="U290" s="46">
        <f t="shared" ca="1" si="210"/>
        <v>0</v>
      </c>
    </row>
    <row r="291" spans="1:21" ht="19.5" x14ac:dyDescent="0.3">
      <c r="A291" s="138"/>
      <c r="B291" s="139"/>
      <c r="C291" s="129" t="s">
        <v>18</v>
      </c>
      <c r="D291" s="140" t="s">
        <v>38</v>
      </c>
      <c r="E291" s="141"/>
      <c r="F291" s="141"/>
      <c r="G291" s="142"/>
      <c r="H291" s="143"/>
      <c r="I291" s="135"/>
      <c r="J291" s="135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66">
        <f ca="1">IFERROR(__xludf.DUMMYFUNCTION("IMPORTRANGE(""https://docs.google.com/spreadsheets/d/1jTcq05yEiRwXcBMLjiodW9e4biSGYWAHcDj22rKWQ3s/edit?usp=sharing"",""กำแพงเพชร!I292"")+IMPORTRANGE(""https://docs.google.com/spreadsheets/d/1KS0zmDSZPk8KnTAbGN-Xk6MtX1YRZD0ldgdt20K4CRk/edit?usp=sharing"","&amp;"""เชียงราย!I292"")+IMPORTRANGE(""https://docs.google.com/spreadsheets/d/1rEDxBtusbi64tE0zunoIbsTVV16HeL0oJ6trHQeQ7K8/edit?usp=sharing"",""เชียงใหม่!I292"")+IMPORTRANGE(""https://docs.google.com/spreadsheets/d/1W6MnUbDkMi6xHnHko_XkFDO9kkuL6Wqyc-6OCDFjW9I/e"&amp;"dit?usp=sharing"",""ตาก!I292"")+IMPORTRANGE(""https://docs.google.com/spreadsheets/d/1IQAWArduLkta9LpYo4a_ULsyqdta6-6aDDiwpUnQT6c/edit?usp=sharing"",""นครสวรรค์!I292"")+IMPORTRANGE(""https://docs.google.com/spreadsheets/d/10s13Sk5xrltsiR-Zkbmk5DwIaDIKO8Xl"&amp;"bJAfqyT7Gvg/edit?usp=sharing"",""น่าน!I292"")+IMPORTRANGE(""https://docs.google.com/spreadsheets/d/1uu4nAn4Dbi1XREnLKKotUANlKXa7yCgRcgq8HEzQYW8/edit?usp=sharing"",""พะเยา!I292"")+IMPORTRANGE(""https://docs.google.com/spreadsheets/d/1xfJKIQxVOaPDIICqsflNlL"&amp;"u3JacTDk1FP9RH4phX7mI/edit?usp=sharing"",""พิจิตร!I292"")+IMPORTRANGE(""https://docs.google.com/spreadsheets/d/1JtRfZkJMHtEhI5RdRHxYUG4FIZHqKDpNyIuN7A1Q0_k/edit?usp=sharing"",""พิษณุโลก!I292"")+IMPORTRANGE(""https://docs.google.com/spreadsheets/d/1xlcVZWU"&amp;"Nn6SuWm0c307h32SiGkd9BaeQWlAktfD3KO8/edit?usp=sharing"",""เพชรบูรณ์!I292"")+IMPORTRANGE(""https://docs.google.com/spreadsheets/d/1lOVebEIsI9qjGXl6EX66luk7wiuP2tBaryw-wKvv4e0/edit?usp=sharing"",""แพร่!I292"")+IMPORTRANGE(""https://docs.google.com/spreadshe"&amp;"ets/d/1dQrvX0vEcN7Gu0fnZ0B5S90AeR19zth4XlExFBeExMY/edit?usp=sharing"",""แม่ฮ่องสอน!I292"")+IMPORTRANGE(""https://docs.google.com/spreadsheets/d/1DY4XTNNwjluuxqdfdn6qvOSlMRrZqUtmYcZR0ttFiG4/edit?usp=sharing"",""ลำปาง!I292"")+IMPORTRANGE(""https://docs.goog"&amp;"le.com/spreadsheets/d/1ICwG78r0OFT8biBlxnBF8r7she7gNSzOvJ958PWT09c/edit?usp=sharing"",""ลำพูน!I292"")+IMPORTRANGE(""https://docs.google.com/spreadsheets/d/1B0f2xJpZUC6Z0xXnqKlZtEPzsf6L84eP1r1Q15seqRM/edit?usp=sharing"",""สุโขทัย!I292"")+IMPORTRANGE(""http"&amp;"s://docs.google.com/spreadsheets/d/1v0b9pFQCsKUVExMei7AgY2yQkdeNQvtOssygGsXbiKo/edit?usp=sharing"",""อุตรดิตถ์!I292"")+IMPORTRANGE(""https://docs.google.com/spreadsheets/d/1UsNK1e-WWiCo2PvGqdNfdme4m17_Ezd3J69EeeiQPD0/edit?usp=sharing"",""อุทัยธานี!I292"")"),4100)</f>
        <v>4100</v>
      </c>
      <c r="J292" s="166">
        <f ca="1">IFERROR(__xludf.DUMMYFUNCTION("IMPORTRANGE(""https://docs.google.com/spreadsheets/d/1jTcq05yEiRwXcBMLjiodW9e4biSGYWAHcDj22rKWQ3s/edit?usp=sharing"",""กำแพงเพชร!J292"")+IMPORTRANGE(""https://docs.google.com/spreadsheets/d/1KS0zmDSZPk8KnTAbGN-Xk6MtX1YRZD0ldgdt20K4CRk/edit?usp=sharing"","&amp;"""เชียงราย!J292"")+IMPORTRANGE(""https://docs.google.com/spreadsheets/d/1rEDxBtusbi64tE0zunoIbsTVV16HeL0oJ6trHQeQ7K8/edit?usp=sharing"",""เชียงใหม่!J292"")+IMPORTRANGE(""https://docs.google.com/spreadsheets/d/1W6MnUbDkMi6xHnHko_XkFDO9kkuL6Wqyc-6OCDFjW9I/e"&amp;"dit?usp=sharing"",""ตาก!J292"")+IMPORTRANGE(""https://docs.google.com/spreadsheets/d/1IQAWArduLkta9LpYo4a_ULsyqdta6-6aDDiwpUnQT6c/edit?usp=sharing"",""นครสวรรค์!J292"")+IMPORTRANGE(""https://docs.google.com/spreadsheets/d/10s13Sk5xrltsiR-Zkbmk5DwIaDIKO8Xl"&amp;"bJAfqyT7Gvg/edit?usp=sharing"",""น่าน!J292"")+IMPORTRANGE(""https://docs.google.com/spreadsheets/d/1uu4nAn4Dbi1XREnLKKotUANlKXa7yCgRcgq8HEzQYW8/edit?usp=sharing"",""พะเยา!J292"")+IMPORTRANGE(""https://docs.google.com/spreadsheets/d/1xfJKIQxVOaPDIICqsflNlL"&amp;"u3JacTDk1FP9RH4phX7mI/edit?usp=sharing"",""พิจิตร!J292"")+IMPORTRANGE(""https://docs.google.com/spreadsheets/d/1JtRfZkJMHtEhI5RdRHxYUG4FIZHqKDpNyIuN7A1Q0_k/edit?usp=sharing"",""พิษณุโลก!J292"")+IMPORTRANGE(""https://docs.google.com/spreadsheets/d/1xlcVZWU"&amp;"Nn6SuWm0c307h32SiGkd9BaeQWlAktfD3KO8/edit?usp=sharing"",""เพชรบูรณ์!J292"")+IMPORTRANGE(""https://docs.google.com/spreadsheets/d/1lOVebEIsI9qjGXl6EX66luk7wiuP2tBaryw-wKvv4e0/edit?usp=sharing"",""แพร่!J292"")+IMPORTRANGE(""https://docs.google.com/spreadshe"&amp;"ets/d/1dQrvX0vEcN7Gu0fnZ0B5S90AeR19zth4XlExFBeExMY/edit?usp=sharing"",""แม่ฮ่องสอน!J292"")+IMPORTRANGE(""https://docs.google.com/spreadsheets/d/1DY4XTNNwjluuxqdfdn6qvOSlMRrZqUtmYcZR0ttFiG4/edit?usp=sharing"",""ลำปาง!J292"")+IMPORTRANGE(""https://docs.goog"&amp;"le.com/spreadsheets/d/1ICwG78r0OFT8biBlxnBF8r7she7gNSzOvJ958PWT09c/edit?usp=sharing"",""ลำพูน!J292"")+IMPORTRANGE(""https://docs.google.com/spreadsheets/d/1B0f2xJpZUC6Z0xXnqKlZtEPzsf6L84eP1r1Q15seqRM/edit?usp=sharing"",""สุโขทัย!J292"")+IMPORTRANGE(""http"&amp;"s://docs.google.com/spreadsheets/d/1v0b9pFQCsKUVExMei7AgY2yQkdeNQvtOssygGsXbiKo/edit?usp=sharing"",""อุตรดิตถ์!J292"")+IMPORTRANGE(""https://docs.google.com/spreadsheets/d/1UsNK1e-WWiCo2PvGqdNfdme4m17_Ezd3J69EeeiQPD0/edit?usp=sharing"",""อุทัยธานี!J292"")"),3800)</f>
        <v>3800</v>
      </c>
      <c r="K292" s="152">
        <f t="shared" ref="K292:K293" ca="1" si="219">IF(I292&gt;0,J292*100/I292,0)</f>
        <v>92.682926829268297</v>
      </c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jTcq05yEiRwXcBMLjiodW9e4biSGYWAHcDj22rKWQ3s/edit?usp=sharing"",""กำแพงเพชร!I293"")+IMPORTRANGE(""https://docs.google.com/spreadsheets/d/1KS0zmDSZPk8KnTAbGN-Xk6MtX1YRZD0ldgdt20K4CRk/edit?usp=sharing"","&amp;"""เชียงราย!I293"")+IMPORTRANGE(""https://docs.google.com/spreadsheets/d/1rEDxBtusbi64tE0zunoIbsTVV16HeL0oJ6trHQeQ7K8/edit?usp=sharing"",""เชียงใหม่!I293"")+IMPORTRANGE(""https://docs.google.com/spreadsheets/d/1W6MnUbDkMi6xHnHko_XkFDO9kkuL6Wqyc-6OCDFjW9I/e"&amp;"dit?usp=sharing"",""ตาก!I293"")+IMPORTRANGE(""https://docs.google.com/spreadsheets/d/1IQAWArduLkta9LpYo4a_ULsyqdta6-6aDDiwpUnQT6c/edit?usp=sharing"",""นครสวรรค์!I293"")+IMPORTRANGE(""https://docs.google.com/spreadsheets/d/10s13Sk5xrltsiR-Zkbmk5DwIaDIKO8Xl"&amp;"bJAfqyT7Gvg/edit?usp=sharing"",""น่าน!I293"")+IMPORTRANGE(""https://docs.google.com/spreadsheets/d/1uu4nAn4Dbi1XREnLKKotUANlKXa7yCgRcgq8HEzQYW8/edit?usp=sharing"",""พะเยา!I293"")+IMPORTRANGE(""https://docs.google.com/spreadsheets/d/1xfJKIQxVOaPDIICqsflNlL"&amp;"u3JacTDk1FP9RH4phX7mI/edit?usp=sharing"",""พิจิตร!I293"")+IMPORTRANGE(""https://docs.google.com/spreadsheets/d/1JtRfZkJMHtEhI5RdRHxYUG4FIZHqKDpNyIuN7A1Q0_k/edit?usp=sharing"",""พิษณุโลก!I293"")+IMPORTRANGE(""https://docs.google.com/spreadsheets/d/1xlcVZWU"&amp;"Nn6SuWm0c307h32SiGkd9BaeQWlAktfD3KO8/edit?usp=sharing"",""เพชรบูรณ์!I293"")+IMPORTRANGE(""https://docs.google.com/spreadsheets/d/1lOVebEIsI9qjGXl6EX66luk7wiuP2tBaryw-wKvv4e0/edit?usp=sharing"",""แพร่!I293"")+IMPORTRANGE(""https://docs.google.com/spreadshe"&amp;"ets/d/1dQrvX0vEcN7Gu0fnZ0B5S90AeR19zth4XlExFBeExMY/edit?usp=sharing"",""แม่ฮ่องสอน!I293"")+IMPORTRANGE(""https://docs.google.com/spreadsheets/d/1DY4XTNNwjluuxqdfdn6qvOSlMRrZqUtmYcZR0ttFiG4/edit?usp=sharing"",""ลำปาง!I293"")+IMPORTRANGE(""https://docs.goog"&amp;"le.com/spreadsheets/d/1ICwG78r0OFT8biBlxnBF8r7she7gNSzOvJ958PWT09c/edit?usp=sharing"",""ลำพูน!I293"")+IMPORTRANGE(""https://docs.google.com/spreadsheets/d/1B0f2xJpZUC6Z0xXnqKlZtEPzsf6L84eP1r1Q15seqRM/edit?usp=sharing"",""สุโขทัย!I293"")+IMPORTRANGE(""http"&amp;"s://docs.google.com/spreadsheets/d/1v0b9pFQCsKUVExMei7AgY2yQkdeNQvtOssygGsXbiKo/edit?usp=sharing"",""อุตรดิตถ์!I293"")+IMPORTRANGE(""https://docs.google.com/spreadsheets/d/1UsNK1e-WWiCo2PvGqdNfdme4m17_Ezd3J69EeeiQPD0/edit?usp=sharing"",""อุทัยธานี!I293"")"),410)</f>
        <v>410</v>
      </c>
      <c r="J293" s="147">
        <f ca="1">IFERROR(__xludf.DUMMYFUNCTION("IMPORTRANGE(""https://docs.google.com/spreadsheets/d/1jTcq05yEiRwXcBMLjiodW9e4biSGYWAHcDj22rKWQ3s/edit?usp=sharing"",""กำแพงเพชร!J293"")+IMPORTRANGE(""https://docs.google.com/spreadsheets/d/1KS0zmDSZPk8KnTAbGN-Xk6MtX1YRZD0ldgdt20K4CRk/edit?usp=sharing"","&amp;"""เชียงราย!J293"")+IMPORTRANGE(""https://docs.google.com/spreadsheets/d/1rEDxBtusbi64tE0zunoIbsTVV16HeL0oJ6trHQeQ7K8/edit?usp=sharing"",""เชียงใหม่!J293"")+IMPORTRANGE(""https://docs.google.com/spreadsheets/d/1W6MnUbDkMi6xHnHko_XkFDO9kkuL6Wqyc-6OCDFjW9I/e"&amp;"dit?usp=sharing"",""ตาก!J293"")+IMPORTRANGE(""https://docs.google.com/spreadsheets/d/1IQAWArduLkta9LpYo4a_ULsyqdta6-6aDDiwpUnQT6c/edit?usp=sharing"",""นครสวรรค์!J293"")+IMPORTRANGE(""https://docs.google.com/spreadsheets/d/10s13Sk5xrltsiR-Zkbmk5DwIaDIKO8Xl"&amp;"bJAfqyT7Gvg/edit?usp=sharing"",""น่าน!J293"")+IMPORTRANGE(""https://docs.google.com/spreadsheets/d/1uu4nAn4Dbi1XREnLKKotUANlKXa7yCgRcgq8HEzQYW8/edit?usp=sharing"",""พะเยา!J293"")+IMPORTRANGE(""https://docs.google.com/spreadsheets/d/1xfJKIQxVOaPDIICqsflNlL"&amp;"u3JacTDk1FP9RH4phX7mI/edit?usp=sharing"",""พิจิตร!J293"")+IMPORTRANGE(""https://docs.google.com/spreadsheets/d/1JtRfZkJMHtEhI5RdRHxYUG4FIZHqKDpNyIuN7A1Q0_k/edit?usp=sharing"",""พิษณุโลก!J293"")+IMPORTRANGE(""https://docs.google.com/spreadsheets/d/1xlcVZWU"&amp;"Nn6SuWm0c307h32SiGkd9BaeQWlAktfD3KO8/edit?usp=sharing"",""เพชรบูรณ์!J293"")+IMPORTRANGE(""https://docs.google.com/spreadsheets/d/1lOVebEIsI9qjGXl6EX66luk7wiuP2tBaryw-wKvv4e0/edit?usp=sharing"",""แพร่!J293"")+IMPORTRANGE(""https://docs.google.com/spreadshe"&amp;"ets/d/1dQrvX0vEcN7Gu0fnZ0B5S90AeR19zth4XlExFBeExMY/edit?usp=sharing"",""แม่ฮ่องสอน!J293"")+IMPORTRANGE(""https://docs.google.com/spreadsheets/d/1DY4XTNNwjluuxqdfdn6qvOSlMRrZqUtmYcZR0ttFiG4/edit?usp=sharing"",""ลำปาง!J293"")+IMPORTRANGE(""https://docs.goog"&amp;"le.com/spreadsheets/d/1ICwG78r0OFT8biBlxnBF8r7she7gNSzOvJ958PWT09c/edit?usp=sharing"",""ลำพูน!J293"")+IMPORTRANGE(""https://docs.google.com/spreadsheets/d/1B0f2xJpZUC6Z0xXnqKlZtEPzsf6L84eP1r1Q15seqRM/edit?usp=sharing"",""สุโขทัย!J293"")+IMPORTRANGE(""http"&amp;"s://docs.google.com/spreadsheets/d/1v0b9pFQCsKUVExMei7AgY2yQkdeNQvtOssygGsXbiKo/edit?usp=sharing"",""อุตรดิตถ์!J293"")+IMPORTRANGE(""https://docs.google.com/spreadsheets/d/1UsNK1e-WWiCo2PvGqdNfdme4m17_Ezd3J69EeeiQPD0/edit?usp=sharing"",""อุทัยธานี!J293"")"),392)</f>
        <v>392</v>
      </c>
      <c r="K293" s="148">
        <f t="shared" ca="1" si="219"/>
        <v>95.609756097560975</v>
      </c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135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jTcq05yEiRwXcBMLjiodW9e4biSGYWAHcDj22rKWQ3s/edit?usp=sharing"",""กำแพงเพชร!I295"")+IMPORTRANGE(""https://docs.google.com/spreadsheets/d/1KS0zmDSZPk8KnTAbGN-Xk6MtX1YRZD0ldgdt20K4CRk/edit?usp=sharing"","&amp;"""เชียงราย!I295"")+IMPORTRANGE(""https://docs.google.com/spreadsheets/d/1rEDxBtusbi64tE0zunoIbsTVV16HeL0oJ6trHQeQ7K8/edit?usp=sharing"",""เชียงใหม่!I295"")+IMPORTRANGE(""https://docs.google.com/spreadsheets/d/1W6MnUbDkMi6xHnHko_XkFDO9kkuL6Wqyc-6OCDFjW9I/e"&amp;"dit?usp=sharing"",""ตาก!I295"")+IMPORTRANGE(""https://docs.google.com/spreadsheets/d/1IQAWArduLkta9LpYo4a_ULsyqdta6-6aDDiwpUnQT6c/edit?usp=sharing"",""นครสวรรค์!I295"")+IMPORTRANGE(""https://docs.google.com/spreadsheets/d/10s13Sk5xrltsiR-Zkbmk5DwIaDIKO8Xl"&amp;"bJAfqyT7Gvg/edit?usp=sharing"",""น่าน!I295"")+IMPORTRANGE(""https://docs.google.com/spreadsheets/d/1uu4nAn4Dbi1XREnLKKotUANlKXa7yCgRcgq8HEzQYW8/edit?usp=sharing"",""พะเยา!I295"")+IMPORTRANGE(""https://docs.google.com/spreadsheets/d/1xfJKIQxVOaPDIICqsflNlL"&amp;"u3JacTDk1FP9RH4phX7mI/edit?usp=sharing"",""พิจิตร!I295"")+IMPORTRANGE(""https://docs.google.com/spreadsheets/d/1JtRfZkJMHtEhI5RdRHxYUG4FIZHqKDpNyIuN7A1Q0_k/edit?usp=sharing"",""พิษณุโลก!I295"")+IMPORTRANGE(""https://docs.google.com/spreadsheets/d/1xlcVZWU"&amp;"Nn6SuWm0c307h32SiGkd9BaeQWlAktfD3KO8/edit?usp=sharing"",""เพชรบูรณ์!I295"")+IMPORTRANGE(""https://docs.google.com/spreadsheets/d/1lOVebEIsI9qjGXl6EX66luk7wiuP2tBaryw-wKvv4e0/edit?usp=sharing"",""แพร่!I295"")+IMPORTRANGE(""https://docs.google.com/spreadshe"&amp;"ets/d/1dQrvX0vEcN7Gu0fnZ0B5S90AeR19zth4XlExFBeExMY/edit?usp=sharing"",""แม่ฮ่องสอน!I295"")+IMPORTRANGE(""https://docs.google.com/spreadsheets/d/1DY4XTNNwjluuxqdfdn6qvOSlMRrZqUtmYcZR0ttFiG4/edit?usp=sharing"",""ลำปาง!I295"")+IMPORTRANGE(""https://docs.goog"&amp;"le.com/spreadsheets/d/1ICwG78r0OFT8biBlxnBF8r7she7gNSzOvJ958PWT09c/edit?usp=sharing"",""ลำพูน!I295"")+IMPORTRANGE(""https://docs.google.com/spreadsheets/d/1B0f2xJpZUC6Z0xXnqKlZtEPzsf6L84eP1r1Q15seqRM/edit?usp=sharing"",""สุโขทัย!I295"")+IMPORTRANGE(""http"&amp;"s://docs.google.com/spreadsheets/d/1v0b9pFQCsKUVExMei7AgY2yQkdeNQvtOssygGsXbiKo/edit?usp=sharing"",""อุตรดิตถ์!I295"")+IMPORTRANGE(""https://docs.google.com/spreadsheets/d/1UsNK1e-WWiCo2PvGqdNfdme4m17_Ezd3J69EeeiQPD0/edit?usp=sharing"",""อุทัยธานี!I295"")"),410)</f>
        <v>410</v>
      </c>
      <c r="J295" s="151">
        <f ca="1">IFERROR(__xludf.DUMMYFUNCTION("IMPORTRANGE(""https://docs.google.com/spreadsheets/d/1jTcq05yEiRwXcBMLjiodW9e4biSGYWAHcDj22rKWQ3s/edit?usp=sharing"",""กำแพงเพชร!J295"")+IMPORTRANGE(""https://docs.google.com/spreadsheets/d/1KS0zmDSZPk8KnTAbGN-Xk6MtX1YRZD0ldgdt20K4CRk/edit?usp=sharing"","&amp;"""เชียงราย!J295"")+IMPORTRANGE(""https://docs.google.com/spreadsheets/d/1rEDxBtusbi64tE0zunoIbsTVV16HeL0oJ6trHQeQ7K8/edit?usp=sharing"",""เชียงใหม่!J295"")+IMPORTRANGE(""https://docs.google.com/spreadsheets/d/1W6MnUbDkMi6xHnHko_XkFDO9kkuL6Wqyc-6OCDFjW9I/e"&amp;"dit?usp=sharing"",""ตาก!J295"")+IMPORTRANGE(""https://docs.google.com/spreadsheets/d/1IQAWArduLkta9LpYo4a_ULsyqdta6-6aDDiwpUnQT6c/edit?usp=sharing"",""นครสวรรค์!J295"")+IMPORTRANGE(""https://docs.google.com/spreadsheets/d/10s13Sk5xrltsiR-Zkbmk5DwIaDIKO8Xl"&amp;"bJAfqyT7Gvg/edit?usp=sharing"",""น่าน!J295"")+IMPORTRANGE(""https://docs.google.com/spreadsheets/d/1uu4nAn4Dbi1XREnLKKotUANlKXa7yCgRcgq8HEzQYW8/edit?usp=sharing"",""พะเยา!J295"")+IMPORTRANGE(""https://docs.google.com/spreadsheets/d/1xfJKIQxVOaPDIICqsflNlL"&amp;"u3JacTDk1FP9RH4phX7mI/edit?usp=sharing"",""พิจิตร!J295"")+IMPORTRANGE(""https://docs.google.com/spreadsheets/d/1JtRfZkJMHtEhI5RdRHxYUG4FIZHqKDpNyIuN7A1Q0_k/edit?usp=sharing"",""พิษณุโลก!J295"")+IMPORTRANGE(""https://docs.google.com/spreadsheets/d/1xlcVZWU"&amp;"Nn6SuWm0c307h32SiGkd9BaeQWlAktfD3KO8/edit?usp=sharing"",""เพชรบูรณ์!J295"")+IMPORTRANGE(""https://docs.google.com/spreadsheets/d/1lOVebEIsI9qjGXl6EX66luk7wiuP2tBaryw-wKvv4e0/edit?usp=sharing"",""แพร่!J295"")+IMPORTRANGE(""https://docs.google.com/spreadshe"&amp;"ets/d/1dQrvX0vEcN7Gu0fnZ0B5S90AeR19zth4XlExFBeExMY/edit?usp=sharing"",""แม่ฮ่องสอน!J295"")+IMPORTRANGE(""https://docs.google.com/spreadsheets/d/1DY4XTNNwjluuxqdfdn6qvOSlMRrZqUtmYcZR0ttFiG4/edit?usp=sharing"",""ลำปาง!J295"")+IMPORTRANGE(""https://docs.goog"&amp;"le.com/spreadsheets/d/1ICwG78r0OFT8biBlxnBF8r7she7gNSzOvJ958PWT09c/edit?usp=sharing"",""ลำพูน!J295"")+IMPORTRANGE(""https://docs.google.com/spreadsheets/d/1B0f2xJpZUC6Z0xXnqKlZtEPzsf6L84eP1r1Q15seqRM/edit?usp=sharing"",""สุโขทัย!J295"")+IMPORTRANGE(""http"&amp;"s://docs.google.com/spreadsheets/d/1v0b9pFQCsKUVExMei7AgY2yQkdeNQvtOssygGsXbiKo/edit?usp=sharing"",""อุตรดิตถ์!J295"")+IMPORTRANGE(""https://docs.google.com/spreadsheets/d/1UsNK1e-WWiCo2PvGqdNfdme4m17_Ezd3J69EeeiQPD0/edit?usp=sharing"",""อุทัยธานี!J295"")"),403)</f>
        <v>403</v>
      </c>
      <c r="K295" s="152">
        <f t="shared" ref="K295:K296" ca="1" si="220">IF(I295&gt;0,J295*100/I295,0)</f>
        <v>98.292682926829272</v>
      </c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jTcq05yEiRwXcBMLjiodW9e4biSGYWAHcDj22rKWQ3s/edit?usp=sharing"",""กำแพงเพชร!I296"")+IMPORTRANGE(""https://docs.google.com/spreadsheets/d/1KS0zmDSZPk8KnTAbGN-Xk6MtX1YRZD0ldgdt20K4CRk/edit?usp=sharing"","&amp;"""เชียงราย!I296"")+IMPORTRANGE(""https://docs.google.com/spreadsheets/d/1rEDxBtusbi64tE0zunoIbsTVV16HeL0oJ6trHQeQ7K8/edit?usp=sharing"",""เชียงใหม่!I296"")+IMPORTRANGE(""https://docs.google.com/spreadsheets/d/1W6MnUbDkMi6xHnHko_XkFDO9kkuL6Wqyc-6OCDFjW9I/e"&amp;"dit?usp=sharing"",""ตาก!I296"")+IMPORTRANGE(""https://docs.google.com/spreadsheets/d/1IQAWArduLkta9LpYo4a_ULsyqdta6-6aDDiwpUnQT6c/edit?usp=sharing"",""นครสวรรค์!I296"")+IMPORTRANGE(""https://docs.google.com/spreadsheets/d/10s13Sk5xrltsiR-Zkbmk5DwIaDIKO8Xl"&amp;"bJAfqyT7Gvg/edit?usp=sharing"",""น่าน!I296"")+IMPORTRANGE(""https://docs.google.com/spreadsheets/d/1uu4nAn4Dbi1XREnLKKotUANlKXa7yCgRcgq8HEzQYW8/edit?usp=sharing"",""พะเยา!I296"")+IMPORTRANGE(""https://docs.google.com/spreadsheets/d/1xfJKIQxVOaPDIICqsflNlL"&amp;"u3JacTDk1FP9RH4phX7mI/edit?usp=sharing"",""พิจิตร!I296"")+IMPORTRANGE(""https://docs.google.com/spreadsheets/d/1JtRfZkJMHtEhI5RdRHxYUG4FIZHqKDpNyIuN7A1Q0_k/edit?usp=sharing"",""พิษณุโลก!I296"")+IMPORTRANGE(""https://docs.google.com/spreadsheets/d/1xlcVZWU"&amp;"Nn6SuWm0c307h32SiGkd9BaeQWlAktfD3KO8/edit?usp=sharing"",""เพชรบูรณ์!I296"")+IMPORTRANGE(""https://docs.google.com/spreadsheets/d/1lOVebEIsI9qjGXl6EX66luk7wiuP2tBaryw-wKvv4e0/edit?usp=sharing"",""แพร่!I296"")+IMPORTRANGE(""https://docs.google.com/spreadshe"&amp;"ets/d/1dQrvX0vEcN7Gu0fnZ0B5S90AeR19zth4XlExFBeExMY/edit?usp=sharing"",""แม่ฮ่องสอน!I296"")+IMPORTRANGE(""https://docs.google.com/spreadsheets/d/1DY4XTNNwjluuxqdfdn6qvOSlMRrZqUtmYcZR0ttFiG4/edit?usp=sharing"",""ลำปาง!I296"")+IMPORTRANGE(""https://docs.goog"&amp;"le.com/spreadsheets/d/1ICwG78r0OFT8biBlxnBF8r7she7gNSzOvJ958PWT09c/edit?usp=sharing"",""ลำพูน!I296"")+IMPORTRANGE(""https://docs.google.com/spreadsheets/d/1B0f2xJpZUC6Z0xXnqKlZtEPzsf6L84eP1r1Q15seqRM/edit?usp=sharing"",""สุโขทัย!I296"")+IMPORTRANGE(""http"&amp;"s://docs.google.com/spreadsheets/d/1v0b9pFQCsKUVExMei7AgY2yQkdeNQvtOssygGsXbiKo/edit?usp=sharing"",""อุตรดิตถ์!I296"")+IMPORTRANGE(""https://docs.google.com/spreadsheets/d/1UsNK1e-WWiCo2PvGqdNfdme4m17_Ezd3J69EeeiQPD0/edit?usp=sharing"",""อุทัยธานี!I296"")"),410)</f>
        <v>410</v>
      </c>
      <c r="J296" s="151">
        <f ca="1">IFERROR(__xludf.DUMMYFUNCTION("IMPORTRANGE(""https://docs.google.com/spreadsheets/d/1jTcq05yEiRwXcBMLjiodW9e4biSGYWAHcDj22rKWQ3s/edit?usp=sharing"",""กำแพงเพชร!J296"")+IMPORTRANGE(""https://docs.google.com/spreadsheets/d/1KS0zmDSZPk8KnTAbGN-Xk6MtX1YRZD0ldgdt20K4CRk/edit?usp=sharing"","&amp;"""เชียงราย!J296"")+IMPORTRANGE(""https://docs.google.com/spreadsheets/d/1rEDxBtusbi64tE0zunoIbsTVV16HeL0oJ6trHQeQ7K8/edit?usp=sharing"",""เชียงใหม่!J296"")+IMPORTRANGE(""https://docs.google.com/spreadsheets/d/1W6MnUbDkMi6xHnHko_XkFDO9kkuL6Wqyc-6OCDFjW9I/e"&amp;"dit?usp=sharing"",""ตาก!J296"")+IMPORTRANGE(""https://docs.google.com/spreadsheets/d/1IQAWArduLkta9LpYo4a_ULsyqdta6-6aDDiwpUnQT6c/edit?usp=sharing"",""นครสวรรค์!J296"")+IMPORTRANGE(""https://docs.google.com/spreadsheets/d/10s13Sk5xrltsiR-Zkbmk5DwIaDIKO8Xl"&amp;"bJAfqyT7Gvg/edit?usp=sharing"",""น่าน!J296"")+IMPORTRANGE(""https://docs.google.com/spreadsheets/d/1uu4nAn4Dbi1XREnLKKotUANlKXa7yCgRcgq8HEzQYW8/edit?usp=sharing"",""พะเยา!J296"")+IMPORTRANGE(""https://docs.google.com/spreadsheets/d/1xfJKIQxVOaPDIICqsflNlL"&amp;"u3JacTDk1FP9RH4phX7mI/edit?usp=sharing"",""พิจิตร!J296"")+IMPORTRANGE(""https://docs.google.com/spreadsheets/d/1JtRfZkJMHtEhI5RdRHxYUG4FIZHqKDpNyIuN7A1Q0_k/edit?usp=sharing"",""พิษณุโลก!J296"")+IMPORTRANGE(""https://docs.google.com/spreadsheets/d/1xlcVZWU"&amp;"Nn6SuWm0c307h32SiGkd9BaeQWlAktfD3KO8/edit?usp=sharing"",""เพชรบูรณ์!J296"")+IMPORTRANGE(""https://docs.google.com/spreadsheets/d/1lOVebEIsI9qjGXl6EX66luk7wiuP2tBaryw-wKvv4e0/edit?usp=sharing"",""แพร่!J296"")+IMPORTRANGE(""https://docs.google.com/spreadshe"&amp;"ets/d/1dQrvX0vEcN7Gu0fnZ0B5S90AeR19zth4XlExFBeExMY/edit?usp=sharing"",""แม่ฮ่องสอน!J296"")+IMPORTRANGE(""https://docs.google.com/spreadsheets/d/1DY4XTNNwjluuxqdfdn6qvOSlMRrZqUtmYcZR0ttFiG4/edit?usp=sharing"",""ลำปาง!J296"")+IMPORTRANGE(""https://docs.goog"&amp;"le.com/spreadsheets/d/1ICwG78r0OFT8biBlxnBF8r7she7gNSzOvJ958PWT09c/edit?usp=sharing"",""ลำพูน!J296"")+IMPORTRANGE(""https://docs.google.com/spreadsheets/d/1B0f2xJpZUC6Z0xXnqKlZtEPzsf6L84eP1r1Q15seqRM/edit?usp=sharing"",""สุโขทัย!J296"")+IMPORTRANGE(""http"&amp;"s://docs.google.com/spreadsheets/d/1v0b9pFQCsKUVExMei7AgY2yQkdeNQvtOssygGsXbiKo/edit?usp=sharing"",""อุตรดิตถ์!J296"")+IMPORTRANGE(""https://docs.google.com/spreadsheets/d/1UsNK1e-WWiCo2PvGqdNfdme4m17_Ezd3J69EeeiQPD0/edit?usp=sharing"",""อุทัยธานี!J296"")"),392)</f>
        <v>392</v>
      </c>
      <c r="K296" s="152">
        <f t="shared" ca="1" si="220"/>
        <v>95.609756097560975</v>
      </c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29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296">
        <f t="shared" ref="I302:J302" ca="1" si="221">I314</f>
        <v>435</v>
      </c>
      <c r="J302" s="296">
        <f t="shared" ca="1" si="221"/>
        <v>275</v>
      </c>
      <c r="K302" s="297">
        <f ca="1">IF(I302&gt;0,J302*100/I302,0)</f>
        <v>63.218390804597703</v>
      </c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13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132">
        <f t="shared" ref="L303:N303" ca="1" si="222">L304+L305</f>
        <v>1749700</v>
      </c>
      <c r="M303" s="132">
        <f t="shared" ca="1" si="222"/>
        <v>1749700</v>
      </c>
      <c r="N303" s="132">
        <f t="shared" ca="1" si="222"/>
        <v>1354003.65</v>
      </c>
      <c r="O303" s="132">
        <f t="shared" ref="O303:O311" ca="1" si="223">IF(L303&gt;0,N303*100/L303,0)</f>
        <v>77.384903126250208</v>
      </c>
      <c r="P303" s="132">
        <f t="shared" ref="P303:P311" ca="1" si="224">IF(M303&gt;0,N303*100/M303,0)</f>
        <v>77.384903126250208</v>
      </c>
      <c r="Q303" s="132">
        <f t="shared" ref="Q303:S303" ca="1" si="225">Q304+Q305</f>
        <v>3447352.04</v>
      </c>
      <c r="R303" s="132">
        <f t="shared" ca="1" si="225"/>
        <v>3447347</v>
      </c>
      <c r="S303" s="132">
        <f t="shared" ca="1" si="225"/>
        <v>117260</v>
      </c>
      <c r="T303" s="132">
        <f t="shared" ref="T303:T311" ca="1" si="226">IF(Q303&gt;0,S303*100/Q303,0)</f>
        <v>3.4014512773693979</v>
      </c>
      <c r="U303" s="132">
        <f t="shared" ref="U303:U311" ca="1" si="227">IF(R303&gt;0,S303*100/R303,0)</f>
        <v>3.4014562502701353</v>
      </c>
    </row>
    <row r="304" spans="1:21" ht="18.75" x14ac:dyDescent="0.25">
      <c r="A304" s="128"/>
      <c r="B304" s="40"/>
      <c r="C304" s="40"/>
      <c r="D304" s="40"/>
      <c r="E304" s="47" t="s">
        <v>20</v>
      </c>
      <c r="F304" s="40"/>
      <c r="G304" s="42"/>
      <c r="H304" s="133" t="s">
        <v>14</v>
      </c>
      <c r="I304" s="44"/>
      <c r="J304" s="44"/>
      <c r="K304" s="45"/>
      <c r="L304" s="46">
        <f t="shared" ref="L304:N304" ca="1" si="228">L307+L310</f>
        <v>0</v>
      </c>
      <c r="M304" s="46">
        <f t="shared" ca="1" si="228"/>
        <v>0</v>
      </c>
      <c r="N304" s="46">
        <f t="shared" ca="1" si="228"/>
        <v>0</v>
      </c>
      <c r="O304" s="46">
        <f t="shared" ca="1" si="223"/>
        <v>0</v>
      </c>
      <c r="P304" s="46">
        <f t="shared" ca="1" si="224"/>
        <v>0</v>
      </c>
      <c r="Q304" s="48">
        <f t="shared" ref="Q304:S304" ca="1" si="229">Q307+Q310</f>
        <v>0</v>
      </c>
      <c r="R304" s="48">
        <f t="shared" ca="1" si="229"/>
        <v>0</v>
      </c>
      <c r="S304" s="48">
        <f t="shared" ca="1" si="229"/>
        <v>0</v>
      </c>
      <c r="T304" s="48">
        <f t="shared" ca="1" si="226"/>
        <v>0</v>
      </c>
      <c r="U304" s="48">
        <f t="shared" ca="1" si="227"/>
        <v>0</v>
      </c>
    </row>
    <row r="305" spans="1:21" ht="18.75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46">
        <f t="shared" ref="L305:N305" ca="1" si="230">L308+L311</f>
        <v>1749700</v>
      </c>
      <c r="M305" s="46">
        <f t="shared" ca="1" si="230"/>
        <v>1749700</v>
      </c>
      <c r="N305" s="46">
        <f t="shared" ca="1" si="230"/>
        <v>1354003.65</v>
      </c>
      <c r="O305" s="46">
        <f t="shared" ca="1" si="223"/>
        <v>77.384903126250208</v>
      </c>
      <c r="P305" s="46">
        <f t="shared" ca="1" si="224"/>
        <v>77.384903126250208</v>
      </c>
      <c r="Q305" s="46">
        <f t="shared" ref="Q305:S305" ca="1" si="231">Q308+Q311</f>
        <v>3447352.04</v>
      </c>
      <c r="R305" s="46">
        <f t="shared" ca="1" si="231"/>
        <v>3447347</v>
      </c>
      <c r="S305" s="46">
        <f t="shared" ca="1" si="231"/>
        <v>117260</v>
      </c>
      <c r="T305" s="46">
        <f t="shared" ca="1" si="226"/>
        <v>3.4014512773693979</v>
      </c>
      <c r="U305" s="46">
        <f t="shared" ca="1" si="227"/>
        <v>3.4014562502701353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46">
        <f t="shared" ref="L306:N306" ca="1" si="232">L307+L308</f>
        <v>1749700</v>
      </c>
      <c r="M306" s="46">
        <f t="shared" ca="1" si="232"/>
        <v>1749700</v>
      </c>
      <c r="N306" s="46">
        <f t="shared" ca="1" si="232"/>
        <v>1354003.65</v>
      </c>
      <c r="O306" s="46">
        <f t="shared" ca="1" si="223"/>
        <v>77.384903126250208</v>
      </c>
      <c r="P306" s="46">
        <f t="shared" ca="1" si="224"/>
        <v>77.384903126250208</v>
      </c>
      <c r="Q306" s="46">
        <f t="shared" ref="Q306:S306" ca="1" si="233">Q307+Q308</f>
        <v>3447352.04</v>
      </c>
      <c r="R306" s="46">
        <f t="shared" ca="1" si="233"/>
        <v>3447347</v>
      </c>
      <c r="S306" s="46">
        <f t="shared" ca="1" si="233"/>
        <v>117260</v>
      </c>
      <c r="T306" s="46">
        <f t="shared" ca="1" si="226"/>
        <v>3.4014512773693979</v>
      </c>
      <c r="U306" s="46">
        <f t="shared" ca="1" si="227"/>
        <v>3.4014562502701353</v>
      </c>
    </row>
    <row r="307" spans="1:21" ht="18.75" x14ac:dyDescent="0.25">
      <c r="A307" s="128"/>
      <c r="B307" s="40"/>
      <c r="C307" s="40"/>
      <c r="D307" s="40"/>
      <c r="E307" s="47" t="s">
        <v>36</v>
      </c>
      <c r="F307" s="40"/>
      <c r="G307" s="42"/>
      <c r="H307" s="134" t="s">
        <v>14</v>
      </c>
      <c r="I307" s="135"/>
      <c r="J307" s="135"/>
      <c r="K307" s="136"/>
      <c r="L307" s="46">
        <f ca="1">IFERROR(__xludf.DUMMYFUNCTION("IMPORTRANGE(""https://docs.google.com/spreadsheets/d/1jTcq05yEiRwXcBMLjiodW9e4biSGYWAHcDj22rKWQ3s/edit?usp=sharing"",""กำแพงเพชร!L307"")+IMPORTRANGE(""https://docs.google.com/spreadsheets/d/1KS0zmDSZPk8KnTAbGN-Xk6MtX1YRZD0ldgdt20K4CRk/edit?usp=sharing"","&amp;"""เชียงราย!L307"")+IMPORTRANGE(""https://docs.google.com/spreadsheets/d/1rEDxBtusbi64tE0zunoIbsTVV16HeL0oJ6trHQeQ7K8/edit?usp=sharing"",""เชียงใหม่!L307"")+IMPORTRANGE(""https://docs.google.com/spreadsheets/d/1W6MnUbDkMi6xHnHko_XkFDO9kkuL6Wqyc-6OCDFjW9I/e"&amp;"dit?usp=sharing"",""ตาก!L307"")+IMPORTRANGE(""https://docs.google.com/spreadsheets/d/1IQAWArduLkta9LpYo4a_ULsyqdta6-6aDDiwpUnQT6c/edit?usp=sharing"",""นครสวรรค์!L307"")+IMPORTRANGE(""https://docs.google.com/spreadsheets/d/10s13Sk5xrltsiR-Zkbmk5DwIaDIKO8Xl"&amp;"bJAfqyT7Gvg/edit?usp=sharing"",""น่าน!L307"")+IMPORTRANGE(""https://docs.google.com/spreadsheets/d/1uu4nAn4Dbi1XREnLKKotUANlKXa7yCgRcgq8HEzQYW8/edit?usp=sharing"",""พะเยา!L307"")+IMPORTRANGE(""https://docs.google.com/spreadsheets/d/1xfJKIQxVOaPDIICqsflNlL"&amp;"u3JacTDk1FP9RH4phX7mI/edit?usp=sharing"",""พิจิตร!L307"")+IMPORTRANGE(""https://docs.google.com/spreadsheets/d/1JtRfZkJMHtEhI5RdRHxYUG4FIZHqKDpNyIuN7A1Q0_k/edit?usp=sharing"",""พิษณุโลก!L307"")+IMPORTRANGE(""https://docs.google.com/spreadsheets/d/1xlcVZWU"&amp;"Nn6SuWm0c307h32SiGkd9BaeQWlAktfD3KO8/edit?usp=sharing"",""เพชรบูรณ์!L307"")+IMPORTRANGE(""https://docs.google.com/spreadsheets/d/1lOVebEIsI9qjGXl6EX66luk7wiuP2tBaryw-wKvv4e0/edit?usp=sharing"",""แพร่!L307"")+IMPORTRANGE(""https://docs.google.com/spreadshe"&amp;"ets/d/1dQrvX0vEcN7Gu0fnZ0B5S90AeR19zth4XlExFBeExMY/edit?usp=sharing"",""แม่ฮ่องสอน!L307"")+IMPORTRANGE(""https://docs.google.com/spreadsheets/d/1DY4XTNNwjluuxqdfdn6qvOSlMRrZqUtmYcZR0ttFiG4/edit?usp=sharing"",""ลำปาง!L307"")+IMPORTRANGE(""https://docs.goog"&amp;"le.com/spreadsheets/d/1ICwG78r0OFT8biBlxnBF8r7she7gNSzOvJ958PWT09c/edit?usp=sharing"",""ลำพูน!L307"")+IMPORTRANGE(""https://docs.google.com/spreadsheets/d/1B0f2xJpZUC6Z0xXnqKlZtEPzsf6L84eP1r1Q15seqRM/edit?usp=sharing"",""สุโขทัย!L307"")+IMPORTRANGE(""http"&amp;"s://docs.google.com/spreadsheets/d/1v0b9pFQCsKUVExMei7AgY2yQkdeNQvtOssygGsXbiKo/edit?usp=sharing"",""อุตรดิตถ์!L307"")+IMPORTRANGE(""https://docs.google.com/spreadsheets/d/1UsNK1e-WWiCo2PvGqdNfdme4m17_Ezd3J69EeeiQPD0/edit?usp=sharing"",""อุทัยธานี!L307"")"),0)</f>
        <v>0</v>
      </c>
      <c r="M307" s="46">
        <f ca="1">IFERROR(__xludf.DUMMYFUNCTION("IMPORTRANGE(""https://docs.google.com/spreadsheets/d/1jTcq05yEiRwXcBMLjiodW9e4biSGYWAHcDj22rKWQ3s/edit?usp=sharing"",""กำแพงเพชร!M307"")+IMPORTRANGE(""https://docs.google.com/spreadsheets/d/1KS0zmDSZPk8KnTAbGN-Xk6MtX1YRZD0ldgdt20K4CRk/edit?usp=sharing"","&amp;"""เชียงราย!M307"")+IMPORTRANGE(""https://docs.google.com/spreadsheets/d/1rEDxBtusbi64tE0zunoIbsTVV16HeL0oJ6trHQeQ7K8/edit?usp=sharing"",""เชียงใหม่!M307"")+IMPORTRANGE(""https://docs.google.com/spreadsheets/d/1W6MnUbDkMi6xHnHko_XkFDO9kkuL6Wqyc-6OCDFjW9I/e"&amp;"dit?usp=sharing"",""ตาก!M307"")+IMPORTRANGE(""https://docs.google.com/spreadsheets/d/1IQAWArduLkta9LpYo4a_ULsyqdta6-6aDDiwpUnQT6c/edit?usp=sharing"",""นครสวรรค์!M307"")+IMPORTRANGE(""https://docs.google.com/spreadsheets/d/10s13Sk5xrltsiR-Zkbmk5DwIaDIKO8Xl"&amp;"bJAfqyT7Gvg/edit?usp=sharing"",""น่าน!M307"")+IMPORTRANGE(""https://docs.google.com/spreadsheets/d/1uu4nAn4Dbi1XREnLKKotUANlKXa7yCgRcgq8HEzQYW8/edit?usp=sharing"",""พะเยา!M307"")+IMPORTRANGE(""https://docs.google.com/spreadsheets/d/1xfJKIQxVOaPDIICqsflNlL"&amp;"u3JacTDk1FP9RH4phX7mI/edit?usp=sharing"",""พิจิตร!M307"")+IMPORTRANGE(""https://docs.google.com/spreadsheets/d/1JtRfZkJMHtEhI5RdRHxYUG4FIZHqKDpNyIuN7A1Q0_k/edit?usp=sharing"",""พิษณุโลก!M307"")+IMPORTRANGE(""https://docs.google.com/spreadsheets/d/1xlcVZWU"&amp;"Nn6SuWm0c307h32SiGkd9BaeQWlAktfD3KO8/edit?usp=sharing"",""เพชรบูรณ์!M307"")+IMPORTRANGE(""https://docs.google.com/spreadsheets/d/1lOVebEIsI9qjGXl6EX66luk7wiuP2tBaryw-wKvv4e0/edit?usp=sharing"",""แพร่!M307"")+IMPORTRANGE(""https://docs.google.com/spreadshe"&amp;"ets/d/1dQrvX0vEcN7Gu0fnZ0B5S90AeR19zth4XlExFBeExMY/edit?usp=sharing"",""แม่ฮ่องสอน!M307"")+IMPORTRANGE(""https://docs.google.com/spreadsheets/d/1DY4XTNNwjluuxqdfdn6qvOSlMRrZqUtmYcZR0ttFiG4/edit?usp=sharing"",""ลำปาง!M307"")+IMPORTRANGE(""https://docs.goog"&amp;"le.com/spreadsheets/d/1ICwG78r0OFT8biBlxnBF8r7she7gNSzOvJ958PWT09c/edit?usp=sharing"",""ลำพูน!M307"")+IMPORTRANGE(""https://docs.google.com/spreadsheets/d/1B0f2xJpZUC6Z0xXnqKlZtEPzsf6L84eP1r1Q15seqRM/edit?usp=sharing"",""สุโขทัย!M307"")+IMPORTRANGE(""http"&amp;"s://docs.google.com/spreadsheets/d/1v0b9pFQCsKUVExMei7AgY2yQkdeNQvtOssygGsXbiKo/edit?usp=sharing"",""อุตรดิตถ์!M307"")+IMPORTRANGE(""https://docs.google.com/spreadsheets/d/1UsNK1e-WWiCo2PvGqdNfdme4m17_Ezd3J69EeeiQPD0/edit?usp=sharing"",""อุทัยธานี!M307"")"),0)</f>
        <v>0</v>
      </c>
      <c r="N307" s="46">
        <f ca="1">IFERROR(__xludf.DUMMYFUNCTION("IMPORTRANGE(""https://docs.google.com/spreadsheets/d/1jTcq05yEiRwXcBMLjiodW9e4biSGYWAHcDj22rKWQ3s/edit?usp=sharing"",""กำแพงเพชร!N307"")+IMPORTRANGE(""https://docs.google.com/spreadsheets/d/1KS0zmDSZPk8KnTAbGN-Xk6MtX1YRZD0ldgdt20K4CRk/edit?usp=sharing"","&amp;"""เชียงราย!N307"")+IMPORTRANGE(""https://docs.google.com/spreadsheets/d/1rEDxBtusbi64tE0zunoIbsTVV16HeL0oJ6trHQeQ7K8/edit?usp=sharing"",""เชียงใหม่!N307"")+IMPORTRANGE(""https://docs.google.com/spreadsheets/d/1W6MnUbDkMi6xHnHko_XkFDO9kkuL6Wqyc-6OCDFjW9I/e"&amp;"dit?usp=sharing"",""ตาก!N307"")+IMPORTRANGE(""https://docs.google.com/spreadsheets/d/1IQAWArduLkta9LpYo4a_ULsyqdta6-6aDDiwpUnQT6c/edit?usp=sharing"",""นครสวรรค์!N307"")+IMPORTRANGE(""https://docs.google.com/spreadsheets/d/10s13Sk5xrltsiR-Zkbmk5DwIaDIKO8Xl"&amp;"bJAfqyT7Gvg/edit?usp=sharing"",""น่าน!N307"")+IMPORTRANGE(""https://docs.google.com/spreadsheets/d/1uu4nAn4Dbi1XREnLKKotUANlKXa7yCgRcgq8HEzQYW8/edit?usp=sharing"",""พะเยา!N307"")+IMPORTRANGE(""https://docs.google.com/spreadsheets/d/1xfJKIQxVOaPDIICqsflNlL"&amp;"u3JacTDk1FP9RH4phX7mI/edit?usp=sharing"",""พิจิตร!N307"")+IMPORTRANGE(""https://docs.google.com/spreadsheets/d/1JtRfZkJMHtEhI5RdRHxYUG4FIZHqKDpNyIuN7A1Q0_k/edit?usp=sharing"",""พิษณุโลก!N307"")+IMPORTRANGE(""https://docs.google.com/spreadsheets/d/1xlcVZWU"&amp;"Nn6SuWm0c307h32SiGkd9BaeQWlAktfD3KO8/edit?usp=sharing"",""เพชรบูรณ์!N307"")+IMPORTRANGE(""https://docs.google.com/spreadsheets/d/1lOVebEIsI9qjGXl6EX66luk7wiuP2tBaryw-wKvv4e0/edit?usp=sharing"",""แพร่!N307"")+IMPORTRANGE(""https://docs.google.com/spreadshe"&amp;"ets/d/1dQrvX0vEcN7Gu0fnZ0B5S90AeR19zth4XlExFBeExMY/edit?usp=sharing"",""แม่ฮ่องสอน!N307"")+IMPORTRANGE(""https://docs.google.com/spreadsheets/d/1DY4XTNNwjluuxqdfdn6qvOSlMRrZqUtmYcZR0ttFiG4/edit?usp=sharing"",""ลำปาง!N307"")+IMPORTRANGE(""https://docs.goog"&amp;"le.com/spreadsheets/d/1ICwG78r0OFT8biBlxnBF8r7she7gNSzOvJ958PWT09c/edit?usp=sharing"",""ลำพูน!N307"")+IMPORTRANGE(""https://docs.google.com/spreadsheets/d/1B0f2xJpZUC6Z0xXnqKlZtEPzsf6L84eP1r1Q15seqRM/edit?usp=sharing"",""สุโขทัย!N307"")+IMPORTRANGE(""http"&amp;"s://docs.google.com/spreadsheets/d/1v0b9pFQCsKUVExMei7AgY2yQkdeNQvtOssygGsXbiKo/edit?usp=sharing"",""อุตรดิตถ์!N307"")+IMPORTRANGE(""https://docs.google.com/spreadsheets/d/1UsNK1e-WWiCo2PvGqdNfdme4m17_Ezd3J69EeeiQPD0/edit?usp=sharing"",""อุทัยธานี!N307"")"),0)</f>
        <v>0</v>
      </c>
      <c r="O307" s="46">
        <f t="shared" ca="1" si="223"/>
        <v>0</v>
      </c>
      <c r="P307" s="46">
        <f t="shared" ca="1" si="224"/>
        <v>0</v>
      </c>
      <c r="Q307" s="48">
        <f ca="1">IFERROR(__xludf.DUMMYFUNCTION("IMPORTRANGE(""https://docs.google.com/spreadsheets/d/1jTcq05yEiRwXcBMLjiodW9e4biSGYWAHcDj22rKWQ3s/edit?usp=sharing"",""กำแพงเพชร!Q307"")+IMPORTRANGE(""https://docs.google.com/spreadsheets/d/1KS0zmDSZPk8KnTAbGN-Xk6MtX1YRZD0ldgdt20K4CRk/edit?usp=sharing"","&amp;"""เชียงราย!Q307"")+IMPORTRANGE(""https://docs.google.com/spreadsheets/d/1rEDxBtusbi64tE0zunoIbsTVV16HeL0oJ6trHQeQ7K8/edit?usp=sharing"",""เชียงใหม่!Q307"")+IMPORTRANGE(""https://docs.google.com/spreadsheets/d/1W6MnUbDkMi6xHnHko_XkFDO9kkuL6Wqyc-6OCDFjW9I/e"&amp;"dit?usp=sharing"",""ตาก!Q307"")+IMPORTRANGE(""https://docs.google.com/spreadsheets/d/1IQAWArduLkta9LpYo4a_ULsyqdta6-6aDDiwpUnQT6c/edit?usp=sharing"",""นครสวรรค์!Q307"")+IMPORTRANGE(""https://docs.google.com/spreadsheets/d/10s13Sk5xrltsiR-Zkbmk5DwIaDIKO8Xl"&amp;"bJAfqyT7Gvg/edit?usp=sharing"",""น่าน!Q307"")+IMPORTRANGE(""https://docs.google.com/spreadsheets/d/1uu4nAn4Dbi1XREnLKKotUANlKXa7yCgRcgq8HEzQYW8/edit?usp=sharing"",""พะเยา!Q307"")+IMPORTRANGE(""https://docs.google.com/spreadsheets/d/1xfJKIQxVOaPDIICqsflNlL"&amp;"u3JacTDk1FP9RH4phX7mI/edit?usp=sharing"",""พิจิตร!Q307"")+IMPORTRANGE(""https://docs.google.com/spreadsheets/d/1JtRfZkJMHtEhI5RdRHxYUG4FIZHqKDpNyIuN7A1Q0_k/edit?usp=sharing"",""พิษณุโลก!Q307"")+IMPORTRANGE(""https://docs.google.com/spreadsheets/d/1xlcVZWU"&amp;"Nn6SuWm0c307h32SiGkd9BaeQWlAktfD3KO8/edit?usp=sharing"",""เพชรบูรณ์!Q307"")+IMPORTRANGE(""https://docs.google.com/spreadsheets/d/1lOVebEIsI9qjGXl6EX66luk7wiuP2tBaryw-wKvv4e0/edit?usp=sharing"",""แพร่!Q307"")+IMPORTRANGE(""https://docs.google.com/spreadshe"&amp;"ets/d/1dQrvX0vEcN7Gu0fnZ0B5S90AeR19zth4XlExFBeExMY/edit?usp=sharing"",""แม่ฮ่องสอน!Q307"")+IMPORTRANGE(""https://docs.google.com/spreadsheets/d/1DY4XTNNwjluuxqdfdn6qvOSlMRrZqUtmYcZR0ttFiG4/edit?usp=sharing"",""ลำปาง!Q307"")+IMPORTRANGE(""https://docs.goog"&amp;"le.com/spreadsheets/d/1ICwG78r0OFT8biBlxnBF8r7she7gNSzOvJ958PWT09c/edit?usp=sharing"",""ลำพูน!Q307"")+IMPORTRANGE(""https://docs.google.com/spreadsheets/d/1B0f2xJpZUC6Z0xXnqKlZtEPzsf6L84eP1r1Q15seqRM/edit?usp=sharing"",""สุโขทัย!Q307"")+IMPORTRANGE(""http"&amp;"s://docs.google.com/spreadsheets/d/1v0b9pFQCsKUVExMei7AgY2yQkdeNQvtOssygGsXbiKo/edit?usp=sharing"",""อุตรดิตถ์!Q307"")+IMPORTRANGE(""https://docs.google.com/spreadsheets/d/1UsNK1e-WWiCo2PvGqdNfdme4m17_Ezd3J69EeeiQPD0/edit?usp=sharing"",""อุทัยธานี!Q307"")"),0)</f>
        <v>0</v>
      </c>
      <c r="R307" s="48">
        <f ca="1">IFERROR(__xludf.DUMMYFUNCTION("IMPORTRANGE(""https://docs.google.com/spreadsheets/d/1jTcq05yEiRwXcBMLjiodW9e4biSGYWAHcDj22rKWQ3s/edit?usp=sharing"",""กำแพงเพชร!R307"")+IMPORTRANGE(""https://docs.google.com/spreadsheets/d/1KS0zmDSZPk8KnTAbGN-Xk6MtX1YRZD0ldgdt20K4CRk/edit?usp=sharing"","&amp;"""เชียงราย!R307"")+IMPORTRANGE(""https://docs.google.com/spreadsheets/d/1rEDxBtusbi64tE0zunoIbsTVV16HeL0oJ6trHQeQ7K8/edit?usp=sharing"",""เชียงใหม่!R307"")+IMPORTRANGE(""https://docs.google.com/spreadsheets/d/1W6MnUbDkMi6xHnHko_XkFDO9kkuL6Wqyc-6OCDFjW9I/e"&amp;"dit?usp=sharing"",""ตาก!R307"")+IMPORTRANGE(""https://docs.google.com/spreadsheets/d/1IQAWArduLkta9LpYo4a_ULsyqdta6-6aDDiwpUnQT6c/edit?usp=sharing"",""นครสวรรค์!R307"")+IMPORTRANGE(""https://docs.google.com/spreadsheets/d/10s13Sk5xrltsiR-Zkbmk5DwIaDIKO8Xl"&amp;"bJAfqyT7Gvg/edit?usp=sharing"",""น่าน!R307"")+IMPORTRANGE(""https://docs.google.com/spreadsheets/d/1uu4nAn4Dbi1XREnLKKotUANlKXa7yCgRcgq8HEzQYW8/edit?usp=sharing"",""พะเยา!R307"")+IMPORTRANGE(""https://docs.google.com/spreadsheets/d/1xfJKIQxVOaPDIICqsflNlL"&amp;"u3JacTDk1FP9RH4phX7mI/edit?usp=sharing"",""พิจิตร!R307"")+IMPORTRANGE(""https://docs.google.com/spreadsheets/d/1JtRfZkJMHtEhI5RdRHxYUG4FIZHqKDpNyIuN7A1Q0_k/edit?usp=sharing"",""พิษณุโลก!R307"")+IMPORTRANGE(""https://docs.google.com/spreadsheets/d/1xlcVZWU"&amp;"Nn6SuWm0c307h32SiGkd9BaeQWlAktfD3KO8/edit?usp=sharing"",""เพชรบูรณ์!R307"")+IMPORTRANGE(""https://docs.google.com/spreadsheets/d/1lOVebEIsI9qjGXl6EX66luk7wiuP2tBaryw-wKvv4e0/edit?usp=sharing"",""แพร่!R307"")+IMPORTRANGE(""https://docs.google.com/spreadshe"&amp;"ets/d/1dQrvX0vEcN7Gu0fnZ0B5S90AeR19zth4XlExFBeExMY/edit?usp=sharing"",""แม่ฮ่องสอน!R307"")+IMPORTRANGE(""https://docs.google.com/spreadsheets/d/1DY4XTNNwjluuxqdfdn6qvOSlMRrZqUtmYcZR0ttFiG4/edit?usp=sharing"",""ลำปาง!R307"")+IMPORTRANGE(""https://docs.goog"&amp;"le.com/spreadsheets/d/1ICwG78r0OFT8biBlxnBF8r7she7gNSzOvJ958PWT09c/edit?usp=sharing"",""ลำพูน!R307"")+IMPORTRANGE(""https://docs.google.com/spreadsheets/d/1B0f2xJpZUC6Z0xXnqKlZtEPzsf6L84eP1r1Q15seqRM/edit?usp=sharing"",""สุโขทัย!R307"")+IMPORTRANGE(""http"&amp;"s://docs.google.com/spreadsheets/d/1v0b9pFQCsKUVExMei7AgY2yQkdeNQvtOssygGsXbiKo/edit?usp=sharing"",""อุตรดิตถ์!R307"")+IMPORTRANGE(""https://docs.google.com/spreadsheets/d/1UsNK1e-WWiCo2PvGqdNfdme4m17_Ezd3J69EeeiQPD0/edit?usp=sharing"",""อุทัยธานี!R307"")"),0)</f>
        <v>0</v>
      </c>
      <c r="S307" s="48">
        <f ca="1">IFERROR(__xludf.DUMMYFUNCTION("IMPORTRANGE(""https://docs.google.com/spreadsheets/d/1jTcq05yEiRwXcBMLjiodW9e4biSGYWAHcDj22rKWQ3s/edit?usp=sharing"",""กำแพงเพชร!S307"")+IMPORTRANGE(""https://docs.google.com/spreadsheets/d/1KS0zmDSZPk8KnTAbGN-Xk6MtX1YRZD0ldgdt20K4CRk/edit?usp=sharing"","&amp;"""เชียงราย!S307"")+IMPORTRANGE(""https://docs.google.com/spreadsheets/d/1rEDxBtusbi64tE0zunoIbsTVV16HeL0oJ6trHQeQ7K8/edit?usp=sharing"",""เชียงใหม่!S307"")+IMPORTRANGE(""https://docs.google.com/spreadsheets/d/1W6MnUbDkMi6xHnHko_XkFDO9kkuL6Wqyc-6OCDFjW9I/e"&amp;"dit?usp=sharing"",""ตาก!S307"")+IMPORTRANGE(""https://docs.google.com/spreadsheets/d/1IQAWArduLkta9LpYo4a_ULsyqdta6-6aDDiwpUnQT6c/edit?usp=sharing"",""นครสวรรค์!S307"")+IMPORTRANGE(""https://docs.google.com/spreadsheets/d/10s13Sk5xrltsiR-Zkbmk5DwIaDIKO8Xl"&amp;"bJAfqyT7Gvg/edit?usp=sharing"",""น่าน!S307"")+IMPORTRANGE(""https://docs.google.com/spreadsheets/d/1uu4nAn4Dbi1XREnLKKotUANlKXa7yCgRcgq8HEzQYW8/edit?usp=sharing"",""พะเยา!S307"")+IMPORTRANGE(""https://docs.google.com/spreadsheets/d/1xfJKIQxVOaPDIICqsflNlL"&amp;"u3JacTDk1FP9RH4phX7mI/edit?usp=sharing"",""พิจิตร!S307"")+IMPORTRANGE(""https://docs.google.com/spreadsheets/d/1JtRfZkJMHtEhI5RdRHxYUG4FIZHqKDpNyIuN7A1Q0_k/edit?usp=sharing"",""พิษณุโลก!S307"")+IMPORTRANGE(""https://docs.google.com/spreadsheets/d/1xlcVZWU"&amp;"Nn6SuWm0c307h32SiGkd9BaeQWlAktfD3KO8/edit?usp=sharing"",""เพชรบูรณ์!S307"")+IMPORTRANGE(""https://docs.google.com/spreadsheets/d/1lOVebEIsI9qjGXl6EX66luk7wiuP2tBaryw-wKvv4e0/edit?usp=sharing"",""แพร่!S307"")+IMPORTRANGE(""https://docs.google.com/spreadshe"&amp;"ets/d/1dQrvX0vEcN7Gu0fnZ0B5S90AeR19zth4XlExFBeExMY/edit?usp=sharing"",""แม่ฮ่องสอน!S307"")+IMPORTRANGE(""https://docs.google.com/spreadsheets/d/1DY4XTNNwjluuxqdfdn6qvOSlMRrZqUtmYcZR0ttFiG4/edit?usp=sharing"",""ลำปาง!S307"")+IMPORTRANGE(""https://docs.goog"&amp;"le.com/spreadsheets/d/1ICwG78r0OFT8biBlxnBF8r7she7gNSzOvJ958PWT09c/edit?usp=sharing"",""ลำพูน!S307"")+IMPORTRANGE(""https://docs.google.com/spreadsheets/d/1B0f2xJpZUC6Z0xXnqKlZtEPzsf6L84eP1r1Q15seqRM/edit?usp=sharing"",""สุโขทัย!S307"")+IMPORTRANGE(""http"&amp;"s://docs.google.com/spreadsheets/d/1v0b9pFQCsKUVExMei7AgY2yQkdeNQvtOssygGsXbiKo/edit?usp=sharing"",""อุตรดิตถ์!S307"")+IMPORTRANGE(""https://docs.google.com/spreadsheets/d/1UsNK1e-WWiCo2PvGqdNfdme4m17_Ezd3J69EeeiQPD0/edit?usp=sharing"",""อุทัยธานี!S307"")"),0)</f>
        <v>0</v>
      </c>
      <c r="T307" s="48">
        <f t="shared" ca="1" si="226"/>
        <v>0</v>
      </c>
      <c r="U307" s="48">
        <f t="shared" ca="1" si="227"/>
        <v>0</v>
      </c>
    </row>
    <row r="308" spans="1:21" ht="18.75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46">
        <f ca="1">IFERROR(__xludf.DUMMYFUNCTION("IMPORTRANGE(""https://docs.google.com/spreadsheets/d/1jTcq05yEiRwXcBMLjiodW9e4biSGYWAHcDj22rKWQ3s/edit?usp=sharing"",""กำแพงเพชร!L308"")+IMPORTRANGE(""https://docs.google.com/spreadsheets/d/1KS0zmDSZPk8KnTAbGN-Xk6MtX1YRZD0ldgdt20K4CRk/edit?usp=sharing"","&amp;"""เชียงราย!L308"")+IMPORTRANGE(""https://docs.google.com/spreadsheets/d/1rEDxBtusbi64tE0zunoIbsTVV16HeL0oJ6trHQeQ7K8/edit?usp=sharing"",""เชียงใหม่!L308"")+IMPORTRANGE(""https://docs.google.com/spreadsheets/d/1W6MnUbDkMi6xHnHko_XkFDO9kkuL6Wqyc-6OCDFjW9I/e"&amp;"dit?usp=sharing"",""ตาก!L308"")+IMPORTRANGE(""https://docs.google.com/spreadsheets/d/1IQAWArduLkta9LpYo4a_ULsyqdta6-6aDDiwpUnQT6c/edit?usp=sharing"",""นครสวรรค์!L308"")+IMPORTRANGE(""https://docs.google.com/spreadsheets/d/10s13Sk5xrltsiR-Zkbmk5DwIaDIKO8Xl"&amp;"bJAfqyT7Gvg/edit?usp=sharing"",""น่าน!L308"")+IMPORTRANGE(""https://docs.google.com/spreadsheets/d/1uu4nAn4Dbi1XREnLKKotUANlKXa7yCgRcgq8HEzQYW8/edit?usp=sharing"",""พะเยา!L308"")+IMPORTRANGE(""https://docs.google.com/spreadsheets/d/1xfJKIQxVOaPDIICqsflNlL"&amp;"u3JacTDk1FP9RH4phX7mI/edit?usp=sharing"",""พิจิตร!L308"")+IMPORTRANGE(""https://docs.google.com/spreadsheets/d/1JtRfZkJMHtEhI5RdRHxYUG4FIZHqKDpNyIuN7A1Q0_k/edit?usp=sharing"",""พิษณุโลก!L308"")+IMPORTRANGE(""https://docs.google.com/spreadsheets/d/1xlcVZWU"&amp;"Nn6SuWm0c307h32SiGkd9BaeQWlAktfD3KO8/edit?usp=sharing"",""เพชรบูรณ์!L308"")+IMPORTRANGE(""https://docs.google.com/spreadsheets/d/1lOVebEIsI9qjGXl6EX66luk7wiuP2tBaryw-wKvv4e0/edit?usp=sharing"",""แพร่!L308"")+IMPORTRANGE(""https://docs.google.com/spreadshe"&amp;"ets/d/1dQrvX0vEcN7Gu0fnZ0B5S90AeR19zth4XlExFBeExMY/edit?usp=sharing"",""แม่ฮ่องสอน!L308"")+IMPORTRANGE(""https://docs.google.com/spreadsheets/d/1DY4XTNNwjluuxqdfdn6qvOSlMRrZqUtmYcZR0ttFiG4/edit?usp=sharing"",""ลำปาง!L308"")+IMPORTRANGE(""https://docs.goog"&amp;"le.com/spreadsheets/d/1ICwG78r0OFT8biBlxnBF8r7she7gNSzOvJ958PWT09c/edit?usp=sharing"",""ลำพูน!L308"")+IMPORTRANGE(""https://docs.google.com/spreadsheets/d/1B0f2xJpZUC6Z0xXnqKlZtEPzsf6L84eP1r1Q15seqRM/edit?usp=sharing"",""สุโขทัย!L308"")+IMPORTRANGE(""http"&amp;"s://docs.google.com/spreadsheets/d/1v0b9pFQCsKUVExMei7AgY2yQkdeNQvtOssygGsXbiKo/edit?usp=sharing"",""อุตรดิตถ์!L308"")+IMPORTRANGE(""https://docs.google.com/spreadsheets/d/1UsNK1e-WWiCo2PvGqdNfdme4m17_Ezd3J69EeeiQPD0/edit?usp=sharing"",""อุทัยธานี!L308"")"),1749700)</f>
        <v>1749700</v>
      </c>
      <c r="M308" s="46">
        <f ca="1">IFERROR(__xludf.DUMMYFUNCTION("IMPORTRANGE(""https://docs.google.com/spreadsheets/d/1jTcq05yEiRwXcBMLjiodW9e4biSGYWAHcDj22rKWQ3s/edit?usp=sharing"",""กำแพงเพชร!M308"")+IMPORTRANGE(""https://docs.google.com/spreadsheets/d/1KS0zmDSZPk8KnTAbGN-Xk6MtX1YRZD0ldgdt20K4CRk/edit?usp=sharing"","&amp;"""เชียงราย!M308"")+IMPORTRANGE(""https://docs.google.com/spreadsheets/d/1rEDxBtusbi64tE0zunoIbsTVV16HeL0oJ6trHQeQ7K8/edit?usp=sharing"",""เชียงใหม่!M308"")+IMPORTRANGE(""https://docs.google.com/spreadsheets/d/1W6MnUbDkMi6xHnHko_XkFDO9kkuL6Wqyc-6OCDFjW9I/e"&amp;"dit?usp=sharing"",""ตาก!M308"")+IMPORTRANGE(""https://docs.google.com/spreadsheets/d/1IQAWArduLkta9LpYo4a_ULsyqdta6-6aDDiwpUnQT6c/edit?usp=sharing"",""นครสวรรค์!M308"")+IMPORTRANGE(""https://docs.google.com/spreadsheets/d/10s13Sk5xrltsiR-Zkbmk5DwIaDIKO8Xl"&amp;"bJAfqyT7Gvg/edit?usp=sharing"",""น่าน!M308"")+IMPORTRANGE(""https://docs.google.com/spreadsheets/d/1uu4nAn4Dbi1XREnLKKotUANlKXa7yCgRcgq8HEzQYW8/edit?usp=sharing"",""พะเยา!M308"")+IMPORTRANGE(""https://docs.google.com/spreadsheets/d/1xfJKIQxVOaPDIICqsflNlL"&amp;"u3JacTDk1FP9RH4phX7mI/edit?usp=sharing"",""พิจิตร!M308"")+IMPORTRANGE(""https://docs.google.com/spreadsheets/d/1JtRfZkJMHtEhI5RdRHxYUG4FIZHqKDpNyIuN7A1Q0_k/edit?usp=sharing"",""พิษณุโลก!M308"")+IMPORTRANGE(""https://docs.google.com/spreadsheets/d/1xlcVZWU"&amp;"Nn6SuWm0c307h32SiGkd9BaeQWlAktfD3KO8/edit?usp=sharing"",""เพชรบูรณ์!M308"")+IMPORTRANGE(""https://docs.google.com/spreadsheets/d/1lOVebEIsI9qjGXl6EX66luk7wiuP2tBaryw-wKvv4e0/edit?usp=sharing"",""แพร่!M308"")+IMPORTRANGE(""https://docs.google.com/spreadshe"&amp;"ets/d/1dQrvX0vEcN7Gu0fnZ0B5S90AeR19zth4XlExFBeExMY/edit?usp=sharing"",""แม่ฮ่องสอน!M308"")+IMPORTRANGE(""https://docs.google.com/spreadsheets/d/1DY4XTNNwjluuxqdfdn6qvOSlMRrZqUtmYcZR0ttFiG4/edit?usp=sharing"",""ลำปาง!M308"")+IMPORTRANGE(""https://docs.goog"&amp;"le.com/spreadsheets/d/1ICwG78r0OFT8biBlxnBF8r7she7gNSzOvJ958PWT09c/edit?usp=sharing"",""ลำพูน!M308"")+IMPORTRANGE(""https://docs.google.com/spreadsheets/d/1B0f2xJpZUC6Z0xXnqKlZtEPzsf6L84eP1r1Q15seqRM/edit?usp=sharing"",""สุโขทัย!M308"")+IMPORTRANGE(""http"&amp;"s://docs.google.com/spreadsheets/d/1v0b9pFQCsKUVExMei7AgY2yQkdeNQvtOssygGsXbiKo/edit?usp=sharing"",""อุตรดิตถ์!M308"")+IMPORTRANGE(""https://docs.google.com/spreadsheets/d/1UsNK1e-WWiCo2PvGqdNfdme4m17_Ezd3J69EeeiQPD0/edit?usp=sharing"",""อุทัยธานี!M308"")"),1749700)</f>
        <v>1749700</v>
      </c>
      <c r="N308" s="46">
        <f ca="1">IFERROR(__xludf.DUMMYFUNCTION("IMPORTRANGE(""https://docs.google.com/spreadsheets/d/1jTcq05yEiRwXcBMLjiodW9e4biSGYWAHcDj22rKWQ3s/edit?usp=sharing"",""กำแพงเพชร!N308"")+IMPORTRANGE(""https://docs.google.com/spreadsheets/d/1KS0zmDSZPk8KnTAbGN-Xk6MtX1YRZD0ldgdt20K4CRk/edit?usp=sharing"","&amp;"""เชียงราย!N308"")+IMPORTRANGE(""https://docs.google.com/spreadsheets/d/1rEDxBtusbi64tE0zunoIbsTVV16HeL0oJ6trHQeQ7K8/edit?usp=sharing"",""เชียงใหม่!N308"")+IMPORTRANGE(""https://docs.google.com/spreadsheets/d/1W6MnUbDkMi6xHnHko_XkFDO9kkuL6Wqyc-6OCDFjW9I/e"&amp;"dit?usp=sharing"",""ตาก!N308"")+IMPORTRANGE(""https://docs.google.com/spreadsheets/d/1IQAWArduLkta9LpYo4a_ULsyqdta6-6aDDiwpUnQT6c/edit?usp=sharing"",""นครสวรรค์!N308"")+IMPORTRANGE(""https://docs.google.com/spreadsheets/d/10s13Sk5xrltsiR-Zkbmk5DwIaDIKO8Xl"&amp;"bJAfqyT7Gvg/edit?usp=sharing"",""น่าน!N308"")+IMPORTRANGE(""https://docs.google.com/spreadsheets/d/1uu4nAn4Dbi1XREnLKKotUANlKXa7yCgRcgq8HEzQYW8/edit?usp=sharing"",""พะเยา!N308"")+IMPORTRANGE(""https://docs.google.com/spreadsheets/d/1xfJKIQxVOaPDIICqsflNlL"&amp;"u3JacTDk1FP9RH4phX7mI/edit?usp=sharing"",""พิจิตร!N308"")+IMPORTRANGE(""https://docs.google.com/spreadsheets/d/1JtRfZkJMHtEhI5RdRHxYUG4FIZHqKDpNyIuN7A1Q0_k/edit?usp=sharing"",""พิษณุโลก!N308"")+IMPORTRANGE(""https://docs.google.com/spreadsheets/d/1xlcVZWU"&amp;"Nn6SuWm0c307h32SiGkd9BaeQWlAktfD3KO8/edit?usp=sharing"",""เพชรบูรณ์!N308"")+IMPORTRANGE(""https://docs.google.com/spreadsheets/d/1lOVebEIsI9qjGXl6EX66luk7wiuP2tBaryw-wKvv4e0/edit?usp=sharing"",""แพร่!N308"")+IMPORTRANGE(""https://docs.google.com/spreadshe"&amp;"ets/d/1dQrvX0vEcN7Gu0fnZ0B5S90AeR19zth4XlExFBeExMY/edit?usp=sharing"",""แม่ฮ่องสอน!N308"")+IMPORTRANGE(""https://docs.google.com/spreadsheets/d/1DY4XTNNwjluuxqdfdn6qvOSlMRrZqUtmYcZR0ttFiG4/edit?usp=sharing"",""ลำปาง!N308"")+IMPORTRANGE(""https://docs.goog"&amp;"le.com/spreadsheets/d/1ICwG78r0OFT8biBlxnBF8r7she7gNSzOvJ958PWT09c/edit?usp=sharing"",""ลำพูน!N308"")+IMPORTRANGE(""https://docs.google.com/spreadsheets/d/1B0f2xJpZUC6Z0xXnqKlZtEPzsf6L84eP1r1Q15seqRM/edit?usp=sharing"",""สุโขทัย!N308"")+IMPORTRANGE(""http"&amp;"s://docs.google.com/spreadsheets/d/1v0b9pFQCsKUVExMei7AgY2yQkdeNQvtOssygGsXbiKo/edit?usp=sharing"",""อุตรดิตถ์!N308"")+IMPORTRANGE(""https://docs.google.com/spreadsheets/d/1UsNK1e-WWiCo2PvGqdNfdme4m17_Ezd3J69EeeiQPD0/edit?usp=sharing"",""อุทัยธานี!N308"")"),1354003.65)</f>
        <v>1354003.65</v>
      </c>
      <c r="O308" s="46">
        <f t="shared" ca="1" si="223"/>
        <v>77.384903126250208</v>
      </c>
      <c r="P308" s="46">
        <f t="shared" ca="1" si="224"/>
        <v>77.384903126250208</v>
      </c>
      <c r="Q308" s="46">
        <f ca="1">IFERROR(__xludf.DUMMYFUNCTION("IMPORTRANGE(""https://docs.google.com/spreadsheets/d/1jTcq05yEiRwXcBMLjiodW9e4biSGYWAHcDj22rKWQ3s/edit?usp=sharing"",""กำแพงเพชร!Q308"")+IMPORTRANGE(""https://docs.google.com/spreadsheets/d/1KS0zmDSZPk8KnTAbGN-Xk6MtX1YRZD0ldgdt20K4CRk/edit?usp=sharing"","&amp;"""เชียงราย!Q308"")+IMPORTRANGE(""https://docs.google.com/spreadsheets/d/1rEDxBtusbi64tE0zunoIbsTVV16HeL0oJ6trHQeQ7K8/edit?usp=sharing"",""เชียงใหม่!Q308"")+IMPORTRANGE(""https://docs.google.com/spreadsheets/d/1W6MnUbDkMi6xHnHko_XkFDO9kkuL6Wqyc-6OCDFjW9I/e"&amp;"dit?usp=sharing"",""ตาก!Q308"")+IMPORTRANGE(""https://docs.google.com/spreadsheets/d/1IQAWArduLkta9LpYo4a_ULsyqdta6-6aDDiwpUnQT6c/edit?usp=sharing"",""นครสวรรค์!Q308"")+IMPORTRANGE(""https://docs.google.com/spreadsheets/d/10s13Sk5xrltsiR-Zkbmk5DwIaDIKO8Xl"&amp;"bJAfqyT7Gvg/edit?usp=sharing"",""น่าน!Q308"")+IMPORTRANGE(""https://docs.google.com/spreadsheets/d/1uu4nAn4Dbi1XREnLKKotUANlKXa7yCgRcgq8HEzQYW8/edit?usp=sharing"",""พะเยา!Q308"")+IMPORTRANGE(""https://docs.google.com/spreadsheets/d/1xfJKIQxVOaPDIICqsflNlL"&amp;"u3JacTDk1FP9RH4phX7mI/edit?usp=sharing"",""พิจิตร!Q308"")+IMPORTRANGE(""https://docs.google.com/spreadsheets/d/1JtRfZkJMHtEhI5RdRHxYUG4FIZHqKDpNyIuN7A1Q0_k/edit?usp=sharing"",""พิษณุโลก!Q308"")+IMPORTRANGE(""https://docs.google.com/spreadsheets/d/1xlcVZWU"&amp;"Nn6SuWm0c307h32SiGkd9BaeQWlAktfD3KO8/edit?usp=sharing"",""เพชรบูรณ์!Q308"")+IMPORTRANGE(""https://docs.google.com/spreadsheets/d/1lOVebEIsI9qjGXl6EX66luk7wiuP2tBaryw-wKvv4e0/edit?usp=sharing"",""แพร่!Q308"")+IMPORTRANGE(""https://docs.google.com/spreadshe"&amp;"ets/d/1dQrvX0vEcN7Gu0fnZ0B5S90AeR19zth4XlExFBeExMY/edit?usp=sharing"",""แม่ฮ่องสอน!Q308"")+IMPORTRANGE(""https://docs.google.com/spreadsheets/d/1DY4XTNNwjluuxqdfdn6qvOSlMRrZqUtmYcZR0ttFiG4/edit?usp=sharing"",""ลำปาง!Q308"")+IMPORTRANGE(""https://docs.goog"&amp;"le.com/spreadsheets/d/1ICwG78r0OFT8biBlxnBF8r7she7gNSzOvJ958PWT09c/edit?usp=sharing"",""ลำพูน!Q308"")+IMPORTRANGE(""https://docs.google.com/spreadsheets/d/1B0f2xJpZUC6Z0xXnqKlZtEPzsf6L84eP1r1Q15seqRM/edit?usp=sharing"",""สุโขทัย!Q308"")+IMPORTRANGE(""http"&amp;"s://docs.google.com/spreadsheets/d/1v0b9pFQCsKUVExMei7AgY2yQkdeNQvtOssygGsXbiKo/edit?usp=sharing"",""อุตรดิตถ์!Q308"")+IMPORTRANGE(""https://docs.google.com/spreadsheets/d/1UsNK1e-WWiCo2PvGqdNfdme4m17_Ezd3J69EeeiQPD0/edit?usp=sharing"",""อุทัยธานี!Q308"")"),3447352.04)</f>
        <v>3447352.04</v>
      </c>
      <c r="R308" s="46">
        <f ca="1">IFERROR(__xludf.DUMMYFUNCTION("IMPORTRANGE(""https://docs.google.com/spreadsheets/d/1jTcq05yEiRwXcBMLjiodW9e4biSGYWAHcDj22rKWQ3s/edit?usp=sharing"",""กำแพงเพชร!R308"")+IMPORTRANGE(""https://docs.google.com/spreadsheets/d/1KS0zmDSZPk8KnTAbGN-Xk6MtX1YRZD0ldgdt20K4CRk/edit?usp=sharing"","&amp;"""เชียงราย!R308"")+IMPORTRANGE(""https://docs.google.com/spreadsheets/d/1rEDxBtusbi64tE0zunoIbsTVV16HeL0oJ6trHQeQ7K8/edit?usp=sharing"",""เชียงใหม่!R308"")+IMPORTRANGE(""https://docs.google.com/spreadsheets/d/1W6MnUbDkMi6xHnHko_XkFDO9kkuL6Wqyc-6OCDFjW9I/e"&amp;"dit?usp=sharing"",""ตาก!R308"")+IMPORTRANGE(""https://docs.google.com/spreadsheets/d/1IQAWArduLkta9LpYo4a_ULsyqdta6-6aDDiwpUnQT6c/edit?usp=sharing"",""นครสวรรค์!R308"")+IMPORTRANGE(""https://docs.google.com/spreadsheets/d/10s13Sk5xrltsiR-Zkbmk5DwIaDIKO8Xl"&amp;"bJAfqyT7Gvg/edit?usp=sharing"",""น่าน!R308"")+IMPORTRANGE(""https://docs.google.com/spreadsheets/d/1uu4nAn4Dbi1XREnLKKotUANlKXa7yCgRcgq8HEzQYW8/edit?usp=sharing"",""พะเยา!R308"")+IMPORTRANGE(""https://docs.google.com/spreadsheets/d/1xfJKIQxVOaPDIICqsflNlL"&amp;"u3JacTDk1FP9RH4phX7mI/edit?usp=sharing"",""พิจิตร!R308"")+IMPORTRANGE(""https://docs.google.com/spreadsheets/d/1JtRfZkJMHtEhI5RdRHxYUG4FIZHqKDpNyIuN7A1Q0_k/edit?usp=sharing"",""พิษณุโลก!R308"")+IMPORTRANGE(""https://docs.google.com/spreadsheets/d/1xlcVZWU"&amp;"Nn6SuWm0c307h32SiGkd9BaeQWlAktfD3KO8/edit?usp=sharing"",""เพชรบูรณ์!R308"")+IMPORTRANGE(""https://docs.google.com/spreadsheets/d/1lOVebEIsI9qjGXl6EX66luk7wiuP2tBaryw-wKvv4e0/edit?usp=sharing"",""แพร่!R308"")+IMPORTRANGE(""https://docs.google.com/spreadshe"&amp;"ets/d/1dQrvX0vEcN7Gu0fnZ0B5S90AeR19zth4XlExFBeExMY/edit?usp=sharing"",""แม่ฮ่องสอน!R308"")+IMPORTRANGE(""https://docs.google.com/spreadsheets/d/1DY4XTNNwjluuxqdfdn6qvOSlMRrZqUtmYcZR0ttFiG4/edit?usp=sharing"",""ลำปาง!R308"")+IMPORTRANGE(""https://docs.goog"&amp;"le.com/spreadsheets/d/1ICwG78r0OFT8biBlxnBF8r7she7gNSzOvJ958PWT09c/edit?usp=sharing"",""ลำพูน!R308"")+IMPORTRANGE(""https://docs.google.com/spreadsheets/d/1B0f2xJpZUC6Z0xXnqKlZtEPzsf6L84eP1r1Q15seqRM/edit?usp=sharing"",""สุโขทัย!R308"")+IMPORTRANGE(""http"&amp;"s://docs.google.com/spreadsheets/d/1v0b9pFQCsKUVExMei7AgY2yQkdeNQvtOssygGsXbiKo/edit?usp=sharing"",""อุตรดิตถ์!R308"")+IMPORTRANGE(""https://docs.google.com/spreadsheets/d/1UsNK1e-WWiCo2PvGqdNfdme4m17_Ezd3J69EeeiQPD0/edit?usp=sharing"",""อุทัยธานี!R308"")"),3447347)</f>
        <v>3447347</v>
      </c>
      <c r="S308" s="46">
        <f ca="1">IFERROR(__xludf.DUMMYFUNCTION("IMPORTRANGE(""https://docs.google.com/spreadsheets/d/1jTcq05yEiRwXcBMLjiodW9e4biSGYWAHcDj22rKWQ3s/edit?usp=sharing"",""กำแพงเพชร!S308"")+IMPORTRANGE(""https://docs.google.com/spreadsheets/d/1KS0zmDSZPk8KnTAbGN-Xk6MtX1YRZD0ldgdt20K4CRk/edit?usp=sharing"","&amp;"""เชียงราย!S308"")+IMPORTRANGE(""https://docs.google.com/spreadsheets/d/1rEDxBtusbi64tE0zunoIbsTVV16HeL0oJ6trHQeQ7K8/edit?usp=sharing"",""เชียงใหม่!S308"")+IMPORTRANGE(""https://docs.google.com/spreadsheets/d/1W6MnUbDkMi6xHnHko_XkFDO9kkuL6Wqyc-6OCDFjW9I/e"&amp;"dit?usp=sharing"",""ตาก!S308"")+IMPORTRANGE(""https://docs.google.com/spreadsheets/d/1IQAWArduLkta9LpYo4a_ULsyqdta6-6aDDiwpUnQT6c/edit?usp=sharing"",""นครสวรรค์!S308"")+IMPORTRANGE(""https://docs.google.com/spreadsheets/d/10s13Sk5xrltsiR-Zkbmk5DwIaDIKO8Xl"&amp;"bJAfqyT7Gvg/edit?usp=sharing"",""น่าน!S308"")+IMPORTRANGE(""https://docs.google.com/spreadsheets/d/1uu4nAn4Dbi1XREnLKKotUANlKXa7yCgRcgq8HEzQYW8/edit?usp=sharing"",""พะเยา!S308"")+IMPORTRANGE(""https://docs.google.com/spreadsheets/d/1xfJKIQxVOaPDIICqsflNlL"&amp;"u3JacTDk1FP9RH4phX7mI/edit?usp=sharing"",""พิจิตร!S308"")+IMPORTRANGE(""https://docs.google.com/spreadsheets/d/1JtRfZkJMHtEhI5RdRHxYUG4FIZHqKDpNyIuN7A1Q0_k/edit?usp=sharing"",""พิษณุโลก!S308"")+IMPORTRANGE(""https://docs.google.com/spreadsheets/d/1xlcVZWU"&amp;"Nn6SuWm0c307h32SiGkd9BaeQWlAktfD3KO8/edit?usp=sharing"",""เพชรบูรณ์!S308"")+IMPORTRANGE(""https://docs.google.com/spreadsheets/d/1lOVebEIsI9qjGXl6EX66luk7wiuP2tBaryw-wKvv4e0/edit?usp=sharing"",""แพร่!S308"")+IMPORTRANGE(""https://docs.google.com/spreadshe"&amp;"ets/d/1dQrvX0vEcN7Gu0fnZ0B5S90AeR19zth4XlExFBeExMY/edit?usp=sharing"",""แม่ฮ่องสอน!S308"")+IMPORTRANGE(""https://docs.google.com/spreadsheets/d/1DY4XTNNwjluuxqdfdn6qvOSlMRrZqUtmYcZR0ttFiG4/edit?usp=sharing"",""ลำปาง!S308"")+IMPORTRANGE(""https://docs.goog"&amp;"le.com/spreadsheets/d/1ICwG78r0OFT8biBlxnBF8r7she7gNSzOvJ958PWT09c/edit?usp=sharing"",""ลำพูน!S308"")+IMPORTRANGE(""https://docs.google.com/spreadsheets/d/1B0f2xJpZUC6Z0xXnqKlZtEPzsf6L84eP1r1Q15seqRM/edit?usp=sharing"",""สุโขทัย!S308"")+IMPORTRANGE(""http"&amp;"s://docs.google.com/spreadsheets/d/1v0b9pFQCsKUVExMei7AgY2yQkdeNQvtOssygGsXbiKo/edit?usp=sharing"",""อุตรดิตถ์!S308"")+IMPORTRANGE(""https://docs.google.com/spreadsheets/d/1UsNK1e-WWiCo2PvGqdNfdme4m17_Ezd3J69EeeiQPD0/edit?usp=sharing"",""อุทัยธานี!S308"")"),117260)</f>
        <v>117260</v>
      </c>
      <c r="T308" s="46">
        <f t="shared" ca="1" si="226"/>
        <v>3.4014512773693979</v>
      </c>
      <c r="U308" s="46">
        <f t="shared" ca="1" si="227"/>
        <v>3.4014562502701353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46">
        <f t="shared" ref="L309:N309" ca="1" si="234">L310+L311</f>
        <v>0</v>
      </c>
      <c r="M309" s="46">
        <f t="shared" ca="1" si="234"/>
        <v>0</v>
      </c>
      <c r="N309" s="46">
        <f t="shared" ca="1" si="234"/>
        <v>0</v>
      </c>
      <c r="O309" s="46">
        <f t="shared" ca="1" si="223"/>
        <v>0</v>
      </c>
      <c r="P309" s="46">
        <f t="shared" ca="1" si="224"/>
        <v>0</v>
      </c>
      <c r="Q309" s="46">
        <f t="shared" ref="Q309:S309" ca="1" si="235">Q310+Q311</f>
        <v>0</v>
      </c>
      <c r="R309" s="46">
        <f t="shared" ca="1" si="235"/>
        <v>0</v>
      </c>
      <c r="S309" s="46">
        <f t="shared" ca="1" si="235"/>
        <v>0</v>
      </c>
      <c r="T309" s="46">
        <f t="shared" ca="1" si="226"/>
        <v>0</v>
      </c>
      <c r="U309" s="46">
        <f t="shared" ca="1" si="227"/>
        <v>0</v>
      </c>
    </row>
    <row r="310" spans="1:21" ht="18.75" x14ac:dyDescent="0.25">
      <c r="A310" s="128"/>
      <c r="B310" s="40"/>
      <c r="C310" s="40"/>
      <c r="D310" s="40"/>
      <c r="E310" s="47" t="s">
        <v>20</v>
      </c>
      <c r="F310" s="40"/>
      <c r="G310" s="42"/>
      <c r="H310" s="134" t="s">
        <v>14</v>
      </c>
      <c r="I310" s="135"/>
      <c r="J310" s="135"/>
      <c r="K310" s="136"/>
      <c r="L310" s="46">
        <f ca="1">IFERROR(__xludf.DUMMYFUNCTION("IMPORTRANGE(""https://docs.google.com/spreadsheets/d/1jTcq05yEiRwXcBMLjiodW9e4biSGYWAHcDj22rKWQ3s/edit?usp=sharing"",""กำแพงเพชร!L310"")+IMPORTRANGE(""https://docs.google.com/spreadsheets/d/1KS0zmDSZPk8KnTAbGN-Xk6MtX1YRZD0ldgdt20K4CRk/edit?usp=sharing"","&amp;"""เชียงราย!L310"")+IMPORTRANGE(""https://docs.google.com/spreadsheets/d/1rEDxBtusbi64tE0zunoIbsTVV16HeL0oJ6trHQeQ7K8/edit?usp=sharing"",""เชียงใหม่!L310"")+IMPORTRANGE(""https://docs.google.com/spreadsheets/d/1W6MnUbDkMi6xHnHko_XkFDO9kkuL6Wqyc-6OCDFjW9I/e"&amp;"dit?usp=sharing"",""ตาก!L310"")+IMPORTRANGE(""https://docs.google.com/spreadsheets/d/1IQAWArduLkta9LpYo4a_ULsyqdta6-6aDDiwpUnQT6c/edit?usp=sharing"",""นครสวรรค์!L310"")+IMPORTRANGE(""https://docs.google.com/spreadsheets/d/10s13Sk5xrltsiR-Zkbmk5DwIaDIKO8Xl"&amp;"bJAfqyT7Gvg/edit?usp=sharing"",""น่าน!L310"")+IMPORTRANGE(""https://docs.google.com/spreadsheets/d/1uu4nAn4Dbi1XREnLKKotUANlKXa7yCgRcgq8HEzQYW8/edit?usp=sharing"",""พะเยา!L310"")+IMPORTRANGE(""https://docs.google.com/spreadsheets/d/1xfJKIQxVOaPDIICqsflNlL"&amp;"u3JacTDk1FP9RH4phX7mI/edit?usp=sharing"",""พิจิตร!L310"")+IMPORTRANGE(""https://docs.google.com/spreadsheets/d/1JtRfZkJMHtEhI5RdRHxYUG4FIZHqKDpNyIuN7A1Q0_k/edit?usp=sharing"",""พิษณุโลก!L310"")+IMPORTRANGE(""https://docs.google.com/spreadsheets/d/1xlcVZWU"&amp;"Nn6SuWm0c307h32SiGkd9BaeQWlAktfD3KO8/edit?usp=sharing"",""เพชรบูรณ์!L310"")+IMPORTRANGE(""https://docs.google.com/spreadsheets/d/1lOVebEIsI9qjGXl6EX66luk7wiuP2tBaryw-wKvv4e0/edit?usp=sharing"",""แพร่!L310"")+IMPORTRANGE(""https://docs.google.com/spreadshe"&amp;"ets/d/1dQrvX0vEcN7Gu0fnZ0B5S90AeR19zth4XlExFBeExMY/edit?usp=sharing"",""แม่ฮ่องสอน!L310"")+IMPORTRANGE(""https://docs.google.com/spreadsheets/d/1DY4XTNNwjluuxqdfdn6qvOSlMRrZqUtmYcZR0ttFiG4/edit?usp=sharing"",""ลำปาง!L310"")+IMPORTRANGE(""https://docs.goog"&amp;"le.com/spreadsheets/d/1ICwG78r0OFT8biBlxnBF8r7she7gNSzOvJ958PWT09c/edit?usp=sharing"",""ลำพูน!L310"")+IMPORTRANGE(""https://docs.google.com/spreadsheets/d/1B0f2xJpZUC6Z0xXnqKlZtEPzsf6L84eP1r1Q15seqRM/edit?usp=sharing"",""สุโขทัย!L310"")+IMPORTRANGE(""http"&amp;"s://docs.google.com/spreadsheets/d/1v0b9pFQCsKUVExMei7AgY2yQkdeNQvtOssygGsXbiKo/edit?usp=sharing"",""อุตรดิตถ์!L310"")+IMPORTRANGE(""https://docs.google.com/spreadsheets/d/1UsNK1e-WWiCo2PvGqdNfdme4m17_Ezd3J69EeeiQPD0/edit?usp=sharing"",""อุทัยธานี!L310"")"),0)</f>
        <v>0</v>
      </c>
      <c r="M310" s="46">
        <f ca="1">IFERROR(__xludf.DUMMYFUNCTION("IMPORTRANGE(""https://docs.google.com/spreadsheets/d/1jTcq05yEiRwXcBMLjiodW9e4biSGYWAHcDj22rKWQ3s/edit?usp=sharing"",""กำแพงเพชร!M310"")+IMPORTRANGE(""https://docs.google.com/spreadsheets/d/1KS0zmDSZPk8KnTAbGN-Xk6MtX1YRZD0ldgdt20K4CRk/edit?usp=sharing"","&amp;"""เชียงราย!M310"")+IMPORTRANGE(""https://docs.google.com/spreadsheets/d/1rEDxBtusbi64tE0zunoIbsTVV16HeL0oJ6trHQeQ7K8/edit?usp=sharing"",""เชียงใหม่!M310"")+IMPORTRANGE(""https://docs.google.com/spreadsheets/d/1W6MnUbDkMi6xHnHko_XkFDO9kkuL6Wqyc-6OCDFjW9I/e"&amp;"dit?usp=sharing"",""ตาก!M310"")+IMPORTRANGE(""https://docs.google.com/spreadsheets/d/1IQAWArduLkta9LpYo4a_ULsyqdta6-6aDDiwpUnQT6c/edit?usp=sharing"",""นครสวรรค์!M310"")+IMPORTRANGE(""https://docs.google.com/spreadsheets/d/10s13Sk5xrltsiR-Zkbmk5DwIaDIKO8Xl"&amp;"bJAfqyT7Gvg/edit?usp=sharing"",""น่าน!M310"")+IMPORTRANGE(""https://docs.google.com/spreadsheets/d/1uu4nAn4Dbi1XREnLKKotUANlKXa7yCgRcgq8HEzQYW8/edit?usp=sharing"",""พะเยา!M310"")+IMPORTRANGE(""https://docs.google.com/spreadsheets/d/1xfJKIQxVOaPDIICqsflNlL"&amp;"u3JacTDk1FP9RH4phX7mI/edit?usp=sharing"",""พิจิตร!M310"")+IMPORTRANGE(""https://docs.google.com/spreadsheets/d/1JtRfZkJMHtEhI5RdRHxYUG4FIZHqKDpNyIuN7A1Q0_k/edit?usp=sharing"",""พิษณุโลก!M310"")+IMPORTRANGE(""https://docs.google.com/spreadsheets/d/1xlcVZWU"&amp;"Nn6SuWm0c307h32SiGkd9BaeQWlAktfD3KO8/edit?usp=sharing"",""เพชรบูรณ์!M310"")+IMPORTRANGE(""https://docs.google.com/spreadsheets/d/1lOVebEIsI9qjGXl6EX66luk7wiuP2tBaryw-wKvv4e0/edit?usp=sharing"",""แพร่!M310"")+IMPORTRANGE(""https://docs.google.com/spreadshe"&amp;"ets/d/1dQrvX0vEcN7Gu0fnZ0B5S90AeR19zth4XlExFBeExMY/edit?usp=sharing"",""แม่ฮ่องสอน!M310"")+IMPORTRANGE(""https://docs.google.com/spreadsheets/d/1DY4XTNNwjluuxqdfdn6qvOSlMRrZqUtmYcZR0ttFiG4/edit?usp=sharing"",""ลำปาง!M310"")+IMPORTRANGE(""https://docs.goog"&amp;"le.com/spreadsheets/d/1ICwG78r0OFT8biBlxnBF8r7she7gNSzOvJ958PWT09c/edit?usp=sharing"",""ลำพูน!M310"")+IMPORTRANGE(""https://docs.google.com/spreadsheets/d/1B0f2xJpZUC6Z0xXnqKlZtEPzsf6L84eP1r1Q15seqRM/edit?usp=sharing"",""สุโขทัย!M310"")+IMPORTRANGE(""http"&amp;"s://docs.google.com/spreadsheets/d/1v0b9pFQCsKUVExMei7AgY2yQkdeNQvtOssygGsXbiKo/edit?usp=sharing"",""อุตรดิตถ์!M310"")+IMPORTRANGE(""https://docs.google.com/spreadsheets/d/1UsNK1e-WWiCo2PvGqdNfdme4m17_Ezd3J69EeeiQPD0/edit?usp=sharing"",""อุทัยธานี!M310"")"),0)</f>
        <v>0</v>
      </c>
      <c r="N310" s="46">
        <f ca="1">IFERROR(__xludf.DUMMYFUNCTION("IMPORTRANGE(""https://docs.google.com/spreadsheets/d/1jTcq05yEiRwXcBMLjiodW9e4biSGYWAHcDj22rKWQ3s/edit?usp=sharing"",""กำแพงเพชร!N310"")+IMPORTRANGE(""https://docs.google.com/spreadsheets/d/1KS0zmDSZPk8KnTAbGN-Xk6MtX1YRZD0ldgdt20K4CRk/edit?usp=sharing"","&amp;"""เชียงราย!N310"")+IMPORTRANGE(""https://docs.google.com/spreadsheets/d/1rEDxBtusbi64tE0zunoIbsTVV16HeL0oJ6trHQeQ7K8/edit?usp=sharing"",""เชียงใหม่!N310"")+IMPORTRANGE(""https://docs.google.com/spreadsheets/d/1W6MnUbDkMi6xHnHko_XkFDO9kkuL6Wqyc-6OCDFjW9I/e"&amp;"dit?usp=sharing"",""ตาก!N310"")+IMPORTRANGE(""https://docs.google.com/spreadsheets/d/1IQAWArduLkta9LpYo4a_ULsyqdta6-6aDDiwpUnQT6c/edit?usp=sharing"",""นครสวรรค์!N310"")+IMPORTRANGE(""https://docs.google.com/spreadsheets/d/10s13Sk5xrltsiR-Zkbmk5DwIaDIKO8Xl"&amp;"bJAfqyT7Gvg/edit?usp=sharing"",""น่าน!N310"")+IMPORTRANGE(""https://docs.google.com/spreadsheets/d/1uu4nAn4Dbi1XREnLKKotUANlKXa7yCgRcgq8HEzQYW8/edit?usp=sharing"",""พะเยา!N310"")+IMPORTRANGE(""https://docs.google.com/spreadsheets/d/1xfJKIQxVOaPDIICqsflNlL"&amp;"u3JacTDk1FP9RH4phX7mI/edit?usp=sharing"",""พิจิตร!N310"")+IMPORTRANGE(""https://docs.google.com/spreadsheets/d/1JtRfZkJMHtEhI5RdRHxYUG4FIZHqKDpNyIuN7A1Q0_k/edit?usp=sharing"",""พิษณุโลก!N310"")+IMPORTRANGE(""https://docs.google.com/spreadsheets/d/1xlcVZWU"&amp;"Nn6SuWm0c307h32SiGkd9BaeQWlAktfD3KO8/edit?usp=sharing"",""เพชรบูรณ์!N310"")+IMPORTRANGE(""https://docs.google.com/spreadsheets/d/1lOVebEIsI9qjGXl6EX66luk7wiuP2tBaryw-wKvv4e0/edit?usp=sharing"",""แพร่!N310"")+IMPORTRANGE(""https://docs.google.com/spreadshe"&amp;"ets/d/1dQrvX0vEcN7Gu0fnZ0B5S90AeR19zth4XlExFBeExMY/edit?usp=sharing"",""แม่ฮ่องสอน!N310"")+IMPORTRANGE(""https://docs.google.com/spreadsheets/d/1DY4XTNNwjluuxqdfdn6qvOSlMRrZqUtmYcZR0ttFiG4/edit?usp=sharing"",""ลำปาง!N310"")+IMPORTRANGE(""https://docs.goog"&amp;"le.com/spreadsheets/d/1ICwG78r0OFT8biBlxnBF8r7she7gNSzOvJ958PWT09c/edit?usp=sharing"",""ลำพูน!N310"")+IMPORTRANGE(""https://docs.google.com/spreadsheets/d/1B0f2xJpZUC6Z0xXnqKlZtEPzsf6L84eP1r1Q15seqRM/edit?usp=sharing"",""สุโขทัย!N310"")+IMPORTRANGE(""http"&amp;"s://docs.google.com/spreadsheets/d/1v0b9pFQCsKUVExMei7AgY2yQkdeNQvtOssygGsXbiKo/edit?usp=sharing"",""อุตรดิตถ์!N310"")+IMPORTRANGE(""https://docs.google.com/spreadsheets/d/1UsNK1e-WWiCo2PvGqdNfdme4m17_Ezd3J69EeeiQPD0/edit?usp=sharing"",""อุทัยธานี!N310"")"),0)</f>
        <v>0</v>
      </c>
      <c r="O310" s="46">
        <f t="shared" ca="1" si="223"/>
        <v>0</v>
      </c>
      <c r="P310" s="46">
        <f t="shared" ca="1" si="224"/>
        <v>0</v>
      </c>
      <c r="Q310" s="48">
        <f ca="1">IFERROR(__xludf.DUMMYFUNCTION("IMPORTRANGE(""https://docs.google.com/spreadsheets/d/1jTcq05yEiRwXcBMLjiodW9e4biSGYWAHcDj22rKWQ3s/edit?usp=sharing"",""กำแพงเพชร!Q310"")+IMPORTRANGE(""https://docs.google.com/spreadsheets/d/1KS0zmDSZPk8KnTAbGN-Xk6MtX1YRZD0ldgdt20K4CRk/edit?usp=sharing"","&amp;"""เชียงราย!Q310"")+IMPORTRANGE(""https://docs.google.com/spreadsheets/d/1rEDxBtusbi64tE0zunoIbsTVV16HeL0oJ6trHQeQ7K8/edit?usp=sharing"",""เชียงใหม่!Q310"")+IMPORTRANGE(""https://docs.google.com/spreadsheets/d/1W6MnUbDkMi6xHnHko_XkFDO9kkuL6Wqyc-6OCDFjW9I/e"&amp;"dit?usp=sharing"",""ตาก!Q310"")+IMPORTRANGE(""https://docs.google.com/spreadsheets/d/1IQAWArduLkta9LpYo4a_ULsyqdta6-6aDDiwpUnQT6c/edit?usp=sharing"",""นครสวรรค์!Q310"")+IMPORTRANGE(""https://docs.google.com/spreadsheets/d/10s13Sk5xrltsiR-Zkbmk5DwIaDIKO8Xl"&amp;"bJAfqyT7Gvg/edit?usp=sharing"",""น่าน!Q310"")+IMPORTRANGE(""https://docs.google.com/spreadsheets/d/1uu4nAn4Dbi1XREnLKKotUANlKXa7yCgRcgq8HEzQYW8/edit?usp=sharing"",""พะเยา!Q310"")+IMPORTRANGE(""https://docs.google.com/spreadsheets/d/1xfJKIQxVOaPDIICqsflNlL"&amp;"u3JacTDk1FP9RH4phX7mI/edit?usp=sharing"",""พิจิตร!Q310"")+IMPORTRANGE(""https://docs.google.com/spreadsheets/d/1JtRfZkJMHtEhI5RdRHxYUG4FIZHqKDpNyIuN7A1Q0_k/edit?usp=sharing"",""พิษณุโลก!Q310"")+IMPORTRANGE(""https://docs.google.com/spreadsheets/d/1xlcVZWU"&amp;"Nn6SuWm0c307h32SiGkd9BaeQWlAktfD3KO8/edit?usp=sharing"",""เพชรบูรณ์!Q310"")+IMPORTRANGE(""https://docs.google.com/spreadsheets/d/1lOVebEIsI9qjGXl6EX66luk7wiuP2tBaryw-wKvv4e0/edit?usp=sharing"",""แพร่!Q310"")+IMPORTRANGE(""https://docs.google.com/spreadshe"&amp;"ets/d/1dQrvX0vEcN7Gu0fnZ0B5S90AeR19zth4XlExFBeExMY/edit?usp=sharing"",""แม่ฮ่องสอน!Q310"")+IMPORTRANGE(""https://docs.google.com/spreadsheets/d/1DY4XTNNwjluuxqdfdn6qvOSlMRrZqUtmYcZR0ttFiG4/edit?usp=sharing"",""ลำปาง!Q310"")+IMPORTRANGE(""https://docs.goog"&amp;"le.com/spreadsheets/d/1ICwG78r0OFT8biBlxnBF8r7she7gNSzOvJ958PWT09c/edit?usp=sharing"",""ลำพูน!Q310"")+IMPORTRANGE(""https://docs.google.com/spreadsheets/d/1B0f2xJpZUC6Z0xXnqKlZtEPzsf6L84eP1r1Q15seqRM/edit?usp=sharing"",""สุโขทัย!Q310"")+IMPORTRANGE(""http"&amp;"s://docs.google.com/spreadsheets/d/1v0b9pFQCsKUVExMei7AgY2yQkdeNQvtOssygGsXbiKo/edit?usp=sharing"",""อุตรดิตถ์!Q310"")+IMPORTRANGE(""https://docs.google.com/spreadsheets/d/1UsNK1e-WWiCo2PvGqdNfdme4m17_Ezd3J69EeeiQPD0/edit?usp=sharing"",""อุทัยธานี!Q310"")"),0)</f>
        <v>0</v>
      </c>
      <c r="R310" s="48">
        <f ca="1">IFERROR(__xludf.DUMMYFUNCTION("IMPORTRANGE(""https://docs.google.com/spreadsheets/d/1jTcq05yEiRwXcBMLjiodW9e4biSGYWAHcDj22rKWQ3s/edit?usp=sharing"",""กำแพงเพชร!R310"")+IMPORTRANGE(""https://docs.google.com/spreadsheets/d/1KS0zmDSZPk8KnTAbGN-Xk6MtX1YRZD0ldgdt20K4CRk/edit?usp=sharing"","&amp;"""เชียงราย!R310"")+IMPORTRANGE(""https://docs.google.com/spreadsheets/d/1rEDxBtusbi64tE0zunoIbsTVV16HeL0oJ6trHQeQ7K8/edit?usp=sharing"",""เชียงใหม่!R310"")+IMPORTRANGE(""https://docs.google.com/spreadsheets/d/1W6MnUbDkMi6xHnHko_XkFDO9kkuL6Wqyc-6OCDFjW9I/e"&amp;"dit?usp=sharing"",""ตาก!R310"")+IMPORTRANGE(""https://docs.google.com/spreadsheets/d/1IQAWArduLkta9LpYo4a_ULsyqdta6-6aDDiwpUnQT6c/edit?usp=sharing"",""นครสวรรค์!R310"")+IMPORTRANGE(""https://docs.google.com/spreadsheets/d/10s13Sk5xrltsiR-Zkbmk5DwIaDIKO8Xl"&amp;"bJAfqyT7Gvg/edit?usp=sharing"",""น่าน!R310"")+IMPORTRANGE(""https://docs.google.com/spreadsheets/d/1uu4nAn4Dbi1XREnLKKotUANlKXa7yCgRcgq8HEzQYW8/edit?usp=sharing"",""พะเยา!R310"")+IMPORTRANGE(""https://docs.google.com/spreadsheets/d/1xfJKIQxVOaPDIICqsflNlL"&amp;"u3JacTDk1FP9RH4phX7mI/edit?usp=sharing"",""พิจิตร!R310"")+IMPORTRANGE(""https://docs.google.com/spreadsheets/d/1JtRfZkJMHtEhI5RdRHxYUG4FIZHqKDpNyIuN7A1Q0_k/edit?usp=sharing"",""พิษณุโลก!R310"")+IMPORTRANGE(""https://docs.google.com/spreadsheets/d/1xlcVZWU"&amp;"Nn6SuWm0c307h32SiGkd9BaeQWlAktfD3KO8/edit?usp=sharing"",""เพชรบูรณ์!R310"")+IMPORTRANGE(""https://docs.google.com/spreadsheets/d/1lOVebEIsI9qjGXl6EX66luk7wiuP2tBaryw-wKvv4e0/edit?usp=sharing"",""แพร่!R310"")+IMPORTRANGE(""https://docs.google.com/spreadshe"&amp;"ets/d/1dQrvX0vEcN7Gu0fnZ0B5S90AeR19zth4XlExFBeExMY/edit?usp=sharing"",""แม่ฮ่องสอน!R310"")+IMPORTRANGE(""https://docs.google.com/spreadsheets/d/1DY4XTNNwjluuxqdfdn6qvOSlMRrZqUtmYcZR0ttFiG4/edit?usp=sharing"",""ลำปาง!R310"")+IMPORTRANGE(""https://docs.goog"&amp;"le.com/spreadsheets/d/1ICwG78r0OFT8biBlxnBF8r7she7gNSzOvJ958PWT09c/edit?usp=sharing"",""ลำพูน!R310"")+IMPORTRANGE(""https://docs.google.com/spreadsheets/d/1B0f2xJpZUC6Z0xXnqKlZtEPzsf6L84eP1r1Q15seqRM/edit?usp=sharing"",""สุโขทัย!R310"")+IMPORTRANGE(""http"&amp;"s://docs.google.com/spreadsheets/d/1v0b9pFQCsKUVExMei7AgY2yQkdeNQvtOssygGsXbiKo/edit?usp=sharing"",""อุตรดิตถ์!R310"")+IMPORTRANGE(""https://docs.google.com/spreadsheets/d/1UsNK1e-WWiCo2PvGqdNfdme4m17_Ezd3J69EeeiQPD0/edit?usp=sharing"",""อุทัยธานี!R310"")"),0)</f>
        <v>0</v>
      </c>
      <c r="S310" s="48">
        <f ca="1">IFERROR(__xludf.DUMMYFUNCTION("IMPORTRANGE(""https://docs.google.com/spreadsheets/d/1jTcq05yEiRwXcBMLjiodW9e4biSGYWAHcDj22rKWQ3s/edit?usp=sharing"",""กำแพงเพชร!S310"")+IMPORTRANGE(""https://docs.google.com/spreadsheets/d/1KS0zmDSZPk8KnTAbGN-Xk6MtX1YRZD0ldgdt20K4CRk/edit?usp=sharing"","&amp;"""เชียงราย!S310"")+IMPORTRANGE(""https://docs.google.com/spreadsheets/d/1rEDxBtusbi64tE0zunoIbsTVV16HeL0oJ6trHQeQ7K8/edit?usp=sharing"",""เชียงใหม่!S310"")+IMPORTRANGE(""https://docs.google.com/spreadsheets/d/1W6MnUbDkMi6xHnHko_XkFDO9kkuL6Wqyc-6OCDFjW9I/e"&amp;"dit?usp=sharing"",""ตาก!S310"")+IMPORTRANGE(""https://docs.google.com/spreadsheets/d/1IQAWArduLkta9LpYo4a_ULsyqdta6-6aDDiwpUnQT6c/edit?usp=sharing"",""นครสวรรค์!S310"")+IMPORTRANGE(""https://docs.google.com/spreadsheets/d/10s13Sk5xrltsiR-Zkbmk5DwIaDIKO8Xl"&amp;"bJAfqyT7Gvg/edit?usp=sharing"",""น่าน!S310"")+IMPORTRANGE(""https://docs.google.com/spreadsheets/d/1uu4nAn4Dbi1XREnLKKotUANlKXa7yCgRcgq8HEzQYW8/edit?usp=sharing"",""พะเยา!S310"")+IMPORTRANGE(""https://docs.google.com/spreadsheets/d/1xfJKIQxVOaPDIICqsflNlL"&amp;"u3JacTDk1FP9RH4phX7mI/edit?usp=sharing"",""พิจิตร!S310"")+IMPORTRANGE(""https://docs.google.com/spreadsheets/d/1JtRfZkJMHtEhI5RdRHxYUG4FIZHqKDpNyIuN7A1Q0_k/edit?usp=sharing"",""พิษณุโลก!S310"")+IMPORTRANGE(""https://docs.google.com/spreadsheets/d/1xlcVZWU"&amp;"Nn6SuWm0c307h32SiGkd9BaeQWlAktfD3KO8/edit?usp=sharing"",""เพชรบูรณ์!S310"")+IMPORTRANGE(""https://docs.google.com/spreadsheets/d/1lOVebEIsI9qjGXl6EX66luk7wiuP2tBaryw-wKvv4e0/edit?usp=sharing"",""แพร่!S310"")+IMPORTRANGE(""https://docs.google.com/spreadshe"&amp;"ets/d/1dQrvX0vEcN7Gu0fnZ0B5S90AeR19zth4XlExFBeExMY/edit?usp=sharing"",""แม่ฮ่องสอน!S310"")+IMPORTRANGE(""https://docs.google.com/spreadsheets/d/1DY4XTNNwjluuxqdfdn6qvOSlMRrZqUtmYcZR0ttFiG4/edit?usp=sharing"",""ลำปาง!S310"")+IMPORTRANGE(""https://docs.goog"&amp;"le.com/spreadsheets/d/1ICwG78r0OFT8biBlxnBF8r7she7gNSzOvJ958PWT09c/edit?usp=sharing"",""ลำพูน!S310"")+IMPORTRANGE(""https://docs.google.com/spreadsheets/d/1B0f2xJpZUC6Z0xXnqKlZtEPzsf6L84eP1r1Q15seqRM/edit?usp=sharing"",""สุโขทัย!S310"")+IMPORTRANGE(""http"&amp;"s://docs.google.com/spreadsheets/d/1v0b9pFQCsKUVExMei7AgY2yQkdeNQvtOssygGsXbiKo/edit?usp=sharing"",""อุตรดิตถ์!S310"")+IMPORTRANGE(""https://docs.google.com/spreadsheets/d/1UsNK1e-WWiCo2PvGqdNfdme4m17_Ezd3J69EeeiQPD0/edit?usp=sharing"",""อุทัยธานี!S310"")"),0)</f>
        <v>0</v>
      </c>
      <c r="T310" s="48">
        <f t="shared" ca="1" si="226"/>
        <v>0</v>
      </c>
      <c r="U310" s="48">
        <f t="shared" ca="1" si="227"/>
        <v>0</v>
      </c>
    </row>
    <row r="311" spans="1:21" ht="18.75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46">
        <f ca="1">IFERROR(__xludf.DUMMYFUNCTION("IMPORTRANGE(""https://docs.google.com/spreadsheets/d/1jTcq05yEiRwXcBMLjiodW9e4biSGYWAHcDj22rKWQ3s/edit?usp=sharing"",""กำแพงเพชร!L311"")+IMPORTRANGE(""https://docs.google.com/spreadsheets/d/1KS0zmDSZPk8KnTAbGN-Xk6MtX1YRZD0ldgdt20K4CRk/edit?usp=sharing"","&amp;"""เชียงราย!L311"")+IMPORTRANGE(""https://docs.google.com/spreadsheets/d/1rEDxBtusbi64tE0zunoIbsTVV16HeL0oJ6trHQeQ7K8/edit?usp=sharing"",""เชียงใหม่!L311"")+IMPORTRANGE(""https://docs.google.com/spreadsheets/d/1W6MnUbDkMi6xHnHko_XkFDO9kkuL6Wqyc-6OCDFjW9I/e"&amp;"dit?usp=sharing"",""ตาก!L311"")+IMPORTRANGE(""https://docs.google.com/spreadsheets/d/1IQAWArduLkta9LpYo4a_ULsyqdta6-6aDDiwpUnQT6c/edit?usp=sharing"",""นครสวรรค์!L311"")+IMPORTRANGE(""https://docs.google.com/spreadsheets/d/10s13Sk5xrltsiR-Zkbmk5DwIaDIKO8Xl"&amp;"bJAfqyT7Gvg/edit?usp=sharing"",""น่าน!L311"")+IMPORTRANGE(""https://docs.google.com/spreadsheets/d/1uu4nAn4Dbi1XREnLKKotUANlKXa7yCgRcgq8HEzQYW8/edit?usp=sharing"",""พะเยา!L311"")+IMPORTRANGE(""https://docs.google.com/spreadsheets/d/1xfJKIQxVOaPDIICqsflNlL"&amp;"u3JacTDk1FP9RH4phX7mI/edit?usp=sharing"",""พิจิตร!L311"")+IMPORTRANGE(""https://docs.google.com/spreadsheets/d/1JtRfZkJMHtEhI5RdRHxYUG4FIZHqKDpNyIuN7A1Q0_k/edit?usp=sharing"",""พิษณุโลก!L311"")+IMPORTRANGE(""https://docs.google.com/spreadsheets/d/1xlcVZWU"&amp;"Nn6SuWm0c307h32SiGkd9BaeQWlAktfD3KO8/edit?usp=sharing"",""เพชรบูรณ์!L311"")+IMPORTRANGE(""https://docs.google.com/spreadsheets/d/1lOVebEIsI9qjGXl6EX66luk7wiuP2tBaryw-wKvv4e0/edit?usp=sharing"",""แพร่!L311"")+IMPORTRANGE(""https://docs.google.com/spreadshe"&amp;"ets/d/1dQrvX0vEcN7Gu0fnZ0B5S90AeR19zth4XlExFBeExMY/edit?usp=sharing"",""แม่ฮ่องสอน!L311"")+IMPORTRANGE(""https://docs.google.com/spreadsheets/d/1DY4XTNNwjluuxqdfdn6qvOSlMRrZqUtmYcZR0ttFiG4/edit?usp=sharing"",""ลำปาง!L311"")+IMPORTRANGE(""https://docs.goog"&amp;"le.com/spreadsheets/d/1ICwG78r0OFT8biBlxnBF8r7she7gNSzOvJ958PWT09c/edit?usp=sharing"",""ลำพูน!L311"")+IMPORTRANGE(""https://docs.google.com/spreadsheets/d/1B0f2xJpZUC6Z0xXnqKlZtEPzsf6L84eP1r1Q15seqRM/edit?usp=sharing"",""สุโขทัย!L311"")+IMPORTRANGE(""http"&amp;"s://docs.google.com/spreadsheets/d/1v0b9pFQCsKUVExMei7AgY2yQkdeNQvtOssygGsXbiKo/edit?usp=sharing"",""อุตรดิตถ์!L311"")+IMPORTRANGE(""https://docs.google.com/spreadsheets/d/1UsNK1e-WWiCo2PvGqdNfdme4m17_Ezd3J69EeeiQPD0/edit?usp=sharing"",""อุทัยธานี!L311"")"),0)</f>
        <v>0</v>
      </c>
      <c r="M311" s="46">
        <f ca="1">IFERROR(__xludf.DUMMYFUNCTION("IMPORTRANGE(""https://docs.google.com/spreadsheets/d/1jTcq05yEiRwXcBMLjiodW9e4biSGYWAHcDj22rKWQ3s/edit?usp=sharing"",""กำแพงเพชร!M311"")+IMPORTRANGE(""https://docs.google.com/spreadsheets/d/1KS0zmDSZPk8KnTAbGN-Xk6MtX1YRZD0ldgdt20K4CRk/edit?usp=sharing"","&amp;"""เชียงราย!M311"")+IMPORTRANGE(""https://docs.google.com/spreadsheets/d/1rEDxBtusbi64tE0zunoIbsTVV16HeL0oJ6trHQeQ7K8/edit?usp=sharing"",""เชียงใหม่!M311"")+IMPORTRANGE(""https://docs.google.com/spreadsheets/d/1W6MnUbDkMi6xHnHko_XkFDO9kkuL6Wqyc-6OCDFjW9I/e"&amp;"dit?usp=sharing"",""ตาก!M311"")+IMPORTRANGE(""https://docs.google.com/spreadsheets/d/1IQAWArduLkta9LpYo4a_ULsyqdta6-6aDDiwpUnQT6c/edit?usp=sharing"",""นครสวรรค์!M311"")+IMPORTRANGE(""https://docs.google.com/spreadsheets/d/10s13Sk5xrltsiR-Zkbmk5DwIaDIKO8Xl"&amp;"bJAfqyT7Gvg/edit?usp=sharing"",""น่าน!M311"")+IMPORTRANGE(""https://docs.google.com/spreadsheets/d/1uu4nAn4Dbi1XREnLKKotUANlKXa7yCgRcgq8HEzQYW8/edit?usp=sharing"",""พะเยา!M311"")+IMPORTRANGE(""https://docs.google.com/spreadsheets/d/1xfJKIQxVOaPDIICqsflNlL"&amp;"u3JacTDk1FP9RH4phX7mI/edit?usp=sharing"",""พิจิตร!M311"")+IMPORTRANGE(""https://docs.google.com/spreadsheets/d/1JtRfZkJMHtEhI5RdRHxYUG4FIZHqKDpNyIuN7A1Q0_k/edit?usp=sharing"",""พิษณุโลก!M311"")+IMPORTRANGE(""https://docs.google.com/spreadsheets/d/1xlcVZWU"&amp;"Nn6SuWm0c307h32SiGkd9BaeQWlAktfD3KO8/edit?usp=sharing"",""เพชรบูรณ์!M311"")+IMPORTRANGE(""https://docs.google.com/spreadsheets/d/1lOVebEIsI9qjGXl6EX66luk7wiuP2tBaryw-wKvv4e0/edit?usp=sharing"",""แพร่!M311"")+IMPORTRANGE(""https://docs.google.com/spreadshe"&amp;"ets/d/1dQrvX0vEcN7Gu0fnZ0B5S90AeR19zth4XlExFBeExMY/edit?usp=sharing"",""แม่ฮ่องสอน!M311"")+IMPORTRANGE(""https://docs.google.com/spreadsheets/d/1DY4XTNNwjluuxqdfdn6qvOSlMRrZqUtmYcZR0ttFiG4/edit?usp=sharing"",""ลำปาง!M311"")+IMPORTRANGE(""https://docs.goog"&amp;"le.com/spreadsheets/d/1ICwG78r0OFT8biBlxnBF8r7she7gNSzOvJ958PWT09c/edit?usp=sharing"",""ลำพูน!M311"")+IMPORTRANGE(""https://docs.google.com/spreadsheets/d/1B0f2xJpZUC6Z0xXnqKlZtEPzsf6L84eP1r1Q15seqRM/edit?usp=sharing"",""สุโขทัย!M311"")+IMPORTRANGE(""http"&amp;"s://docs.google.com/spreadsheets/d/1v0b9pFQCsKUVExMei7AgY2yQkdeNQvtOssygGsXbiKo/edit?usp=sharing"",""อุตรดิตถ์!M311"")+IMPORTRANGE(""https://docs.google.com/spreadsheets/d/1UsNK1e-WWiCo2PvGqdNfdme4m17_Ezd3J69EeeiQPD0/edit?usp=sharing"",""อุทัยธานี!M311"")"),0)</f>
        <v>0</v>
      </c>
      <c r="N311" s="46">
        <f ca="1">IFERROR(__xludf.DUMMYFUNCTION("IMPORTRANGE(""https://docs.google.com/spreadsheets/d/1jTcq05yEiRwXcBMLjiodW9e4biSGYWAHcDj22rKWQ3s/edit?usp=sharing"",""กำแพงเพชร!N311"")+IMPORTRANGE(""https://docs.google.com/spreadsheets/d/1KS0zmDSZPk8KnTAbGN-Xk6MtX1YRZD0ldgdt20K4CRk/edit?usp=sharing"","&amp;"""เชียงราย!N311"")+IMPORTRANGE(""https://docs.google.com/spreadsheets/d/1rEDxBtusbi64tE0zunoIbsTVV16HeL0oJ6trHQeQ7K8/edit?usp=sharing"",""เชียงใหม่!N311"")+IMPORTRANGE(""https://docs.google.com/spreadsheets/d/1W6MnUbDkMi6xHnHko_XkFDO9kkuL6Wqyc-6OCDFjW9I/e"&amp;"dit?usp=sharing"",""ตาก!N311"")+IMPORTRANGE(""https://docs.google.com/spreadsheets/d/1IQAWArduLkta9LpYo4a_ULsyqdta6-6aDDiwpUnQT6c/edit?usp=sharing"",""นครสวรรค์!N311"")+IMPORTRANGE(""https://docs.google.com/spreadsheets/d/10s13Sk5xrltsiR-Zkbmk5DwIaDIKO8Xl"&amp;"bJAfqyT7Gvg/edit?usp=sharing"",""น่าน!N311"")+IMPORTRANGE(""https://docs.google.com/spreadsheets/d/1uu4nAn4Dbi1XREnLKKotUANlKXa7yCgRcgq8HEzQYW8/edit?usp=sharing"",""พะเยา!N311"")+IMPORTRANGE(""https://docs.google.com/spreadsheets/d/1xfJKIQxVOaPDIICqsflNlL"&amp;"u3JacTDk1FP9RH4phX7mI/edit?usp=sharing"",""พิจิตร!N311"")+IMPORTRANGE(""https://docs.google.com/spreadsheets/d/1JtRfZkJMHtEhI5RdRHxYUG4FIZHqKDpNyIuN7A1Q0_k/edit?usp=sharing"",""พิษณุโลก!N311"")+IMPORTRANGE(""https://docs.google.com/spreadsheets/d/1xlcVZWU"&amp;"Nn6SuWm0c307h32SiGkd9BaeQWlAktfD3KO8/edit?usp=sharing"",""เพชรบูรณ์!N311"")+IMPORTRANGE(""https://docs.google.com/spreadsheets/d/1lOVebEIsI9qjGXl6EX66luk7wiuP2tBaryw-wKvv4e0/edit?usp=sharing"",""แพร่!N311"")+IMPORTRANGE(""https://docs.google.com/spreadshe"&amp;"ets/d/1dQrvX0vEcN7Gu0fnZ0B5S90AeR19zth4XlExFBeExMY/edit?usp=sharing"",""แม่ฮ่องสอน!N311"")+IMPORTRANGE(""https://docs.google.com/spreadsheets/d/1DY4XTNNwjluuxqdfdn6qvOSlMRrZqUtmYcZR0ttFiG4/edit?usp=sharing"",""ลำปาง!N311"")+IMPORTRANGE(""https://docs.goog"&amp;"le.com/spreadsheets/d/1ICwG78r0OFT8biBlxnBF8r7she7gNSzOvJ958PWT09c/edit?usp=sharing"",""ลำพูน!N311"")+IMPORTRANGE(""https://docs.google.com/spreadsheets/d/1B0f2xJpZUC6Z0xXnqKlZtEPzsf6L84eP1r1Q15seqRM/edit?usp=sharing"",""สุโขทัย!N311"")+IMPORTRANGE(""http"&amp;"s://docs.google.com/spreadsheets/d/1v0b9pFQCsKUVExMei7AgY2yQkdeNQvtOssygGsXbiKo/edit?usp=sharing"",""อุตรดิตถ์!N311"")+IMPORTRANGE(""https://docs.google.com/spreadsheets/d/1UsNK1e-WWiCo2PvGqdNfdme4m17_Ezd3J69EeeiQPD0/edit?usp=sharing"",""อุทัยธานี!N311"")"),0)</f>
        <v>0</v>
      </c>
      <c r="O311" s="46">
        <f t="shared" ca="1" si="223"/>
        <v>0</v>
      </c>
      <c r="P311" s="46">
        <f t="shared" ca="1" si="224"/>
        <v>0</v>
      </c>
      <c r="Q311" s="46">
        <f ca="1">IFERROR(__xludf.DUMMYFUNCTION("IMPORTRANGE(""https://docs.google.com/spreadsheets/d/1jTcq05yEiRwXcBMLjiodW9e4biSGYWAHcDj22rKWQ3s/edit?usp=sharing"",""กำแพงเพชร!Q311"")+IMPORTRANGE(""https://docs.google.com/spreadsheets/d/1KS0zmDSZPk8KnTAbGN-Xk6MtX1YRZD0ldgdt20K4CRk/edit?usp=sharing"","&amp;"""เชียงราย!Q311"")+IMPORTRANGE(""https://docs.google.com/spreadsheets/d/1rEDxBtusbi64tE0zunoIbsTVV16HeL0oJ6trHQeQ7K8/edit?usp=sharing"",""เชียงใหม่!Q311"")+IMPORTRANGE(""https://docs.google.com/spreadsheets/d/1W6MnUbDkMi6xHnHko_XkFDO9kkuL6Wqyc-6OCDFjW9I/e"&amp;"dit?usp=sharing"",""ตาก!Q311"")+IMPORTRANGE(""https://docs.google.com/spreadsheets/d/1IQAWArduLkta9LpYo4a_ULsyqdta6-6aDDiwpUnQT6c/edit?usp=sharing"",""นครสวรรค์!Q311"")+IMPORTRANGE(""https://docs.google.com/spreadsheets/d/10s13Sk5xrltsiR-Zkbmk5DwIaDIKO8Xl"&amp;"bJAfqyT7Gvg/edit?usp=sharing"",""น่าน!Q311"")+IMPORTRANGE(""https://docs.google.com/spreadsheets/d/1uu4nAn4Dbi1XREnLKKotUANlKXa7yCgRcgq8HEzQYW8/edit?usp=sharing"",""พะเยา!Q311"")+IMPORTRANGE(""https://docs.google.com/spreadsheets/d/1xfJKIQxVOaPDIICqsflNlL"&amp;"u3JacTDk1FP9RH4phX7mI/edit?usp=sharing"",""พิจิตร!Q311"")+IMPORTRANGE(""https://docs.google.com/spreadsheets/d/1JtRfZkJMHtEhI5RdRHxYUG4FIZHqKDpNyIuN7A1Q0_k/edit?usp=sharing"",""พิษณุโลก!Q311"")+IMPORTRANGE(""https://docs.google.com/spreadsheets/d/1xlcVZWU"&amp;"Nn6SuWm0c307h32SiGkd9BaeQWlAktfD3KO8/edit?usp=sharing"",""เพชรบูรณ์!Q311"")+IMPORTRANGE(""https://docs.google.com/spreadsheets/d/1lOVebEIsI9qjGXl6EX66luk7wiuP2tBaryw-wKvv4e0/edit?usp=sharing"",""แพร่!Q311"")+IMPORTRANGE(""https://docs.google.com/spreadshe"&amp;"ets/d/1dQrvX0vEcN7Gu0fnZ0B5S90AeR19zth4XlExFBeExMY/edit?usp=sharing"",""แม่ฮ่องสอน!Q311"")+IMPORTRANGE(""https://docs.google.com/spreadsheets/d/1DY4XTNNwjluuxqdfdn6qvOSlMRrZqUtmYcZR0ttFiG4/edit?usp=sharing"",""ลำปาง!Q311"")+IMPORTRANGE(""https://docs.goog"&amp;"le.com/spreadsheets/d/1ICwG78r0OFT8biBlxnBF8r7she7gNSzOvJ958PWT09c/edit?usp=sharing"",""ลำพูน!Q311"")+IMPORTRANGE(""https://docs.google.com/spreadsheets/d/1B0f2xJpZUC6Z0xXnqKlZtEPzsf6L84eP1r1Q15seqRM/edit?usp=sharing"",""สุโขทัย!Q311"")+IMPORTRANGE(""http"&amp;"s://docs.google.com/spreadsheets/d/1v0b9pFQCsKUVExMei7AgY2yQkdeNQvtOssygGsXbiKo/edit?usp=sharing"",""อุตรดิตถ์!Q311"")+IMPORTRANGE(""https://docs.google.com/spreadsheets/d/1UsNK1e-WWiCo2PvGqdNfdme4m17_Ezd3J69EeeiQPD0/edit?usp=sharing"",""อุทัยธานี!Q311"")"),0)</f>
        <v>0</v>
      </c>
      <c r="R311" s="46">
        <f ca="1">IFERROR(__xludf.DUMMYFUNCTION("IMPORTRANGE(""https://docs.google.com/spreadsheets/d/1jTcq05yEiRwXcBMLjiodW9e4biSGYWAHcDj22rKWQ3s/edit?usp=sharing"",""กำแพงเพชร!R311"")+IMPORTRANGE(""https://docs.google.com/spreadsheets/d/1KS0zmDSZPk8KnTAbGN-Xk6MtX1YRZD0ldgdt20K4CRk/edit?usp=sharing"","&amp;"""เชียงราย!R311"")+IMPORTRANGE(""https://docs.google.com/spreadsheets/d/1rEDxBtusbi64tE0zunoIbsTVV16HeL0oJ6trHQeQ7K8/edit?usp=sharing"",""เชียงใหม่!R311"")+IMPORTRANGE(""https://docs.google.com/spreadsheets/d/1W6MnUbDkMi6xHnHko_XkFDO9kkuL6Wqyc-6OCDFjW9I/e"&amp;"dit?usp=sharing"",""ตาก!R311"")+IMPORTRANGE(""https://docs.google.com/spreadsheets/d/1IQAWArduLkta9LpYo4a_ULsyqdta6-6aDDiwpUnQT6c/edit?usp=sharing"",""นครสวรรค์!R311"")+IMPORTRANGE(""https://docs.google.com/spreadsheets/d/10s13Sk5xrltsiR-Zkbmk5DwIaDIKO8Xl"&amp;"bJAfqyT7Gvg/edit?usp=sharing"",""น่าน!R311"")+IMPORTRANGE(""https://docs.google.com/spreadsheets/d/1uu4nAn4Dbi1XREnLKKotUANlKXa7yCgRcgq8HEzQYW8/edit?usp=sharing"",""พะเยา!R311"")+IMPORTRANGE(""https://docs.google.com/spreadsheets/d/1xfJKIQxVOaPDIICqsflNlL"&amp;"u3JacTDk1FP9RH4phX7mI/edit?usp=sharing"",""พิจิตร!R311"")+IMPORTRANGE(""https://docs.google.com/spreadsheets/d/1JtRfZkJMHtEhI5RdRHxYUG4FIZHqKDpNyIuN7A1Q0_k/edit?usp=sharing"",""พิษณุโลก!R311"")+IMPORTRANGE(""https://docs.google.com/spreadsheets/d/1xlcVZWU"&amp;"Nn6SuWm0c307h32SiGkd9BaeQWlAktfD3KO8/edit?usp=sharing"",""เพชรบูรณ์!R311"")+IMPORTRANGE(""https://docs.google.com/spreadsheets/d/1lOVebEIsI9qjGXl6EX66luk7wiuP2tBaryw-wKvv4e0/edit?usp=sharing"",""แพร่!R311"")+IMPORTRANGE(""https://docs.google.com/spreadshe"&amp;"ets/d/1dQrvX0vEcN7Gu0fnZ0B5S90AeR19zth4XlExFBeExMY/edit?usp=sharing"",""แม่ฮ่องสอน!R311"")+IMPORTRANGE(""https://docs.google.com/spreadsheets/d/1DY4XTNNwjluuxqdfdn6qvOSlMRrZqUtmYcZR0ttFiG4/edit?usp=sharing"",""ลำปาง!R311"")+IMPORTRANGE(""https://docs.goog"&amp;"le.com/spreadsheets/d/1ICwG78r0OFT8biBlxnBF8r7she7gNSzOvJ958PWT09c/edit?usp=sharing"",""ลำพูน!R311"")+IMPORTRANGE(""https://docs.google.com/spreadsheets/d/1B0f2xJpZUC6Z0xXnqKlZtEPzsf6L84eP1r1Q15seqRM/edit?usp=sharing"",""สุโขทัย!R311"")+IMPORTRANGE(""http"&amp;"s://docs.google.com/spreadsheets/d/1v0b9pFQCsKUVExMei7AgY2yQkdeNQvtOssygGsXbiKo/edit?usp=sharing"",""อุตรดิตถ์!R311"")+IMPORTRANGE(""https://docs.google.com/spreadsheets/d/1UsNK1e-WWiCo2PvGqdNfdme4m17_Ezd3J69EeeiQPD0/edit?usp=sharing"",""อุทัยธานี!R311"")"),0)</f>
        <v>0</v>
      </c>
      <c r="S311" s="46">
        <f ca="1">IFERROR(__xludf.DUMMYFUNCTION("IMPORTRANGE(""https://docs.google.com/spreadsheets/d/1jTcq05yEiRwXcBMLjiodW9e4biSGYWAHcDj22rKWQ3s/edit?usp=sharing"",""กำแพงเพชร!S311"")+IMPORTRANGE(""https://docs.google.com/spreadsheets/d/1KS0zmDSZPk8KnTAbGN-Xk6MtX1YRZD0ldgdt20K4CRk/edit?usp=sharing"","&amp;"""เชียงราย!S311"")+IMPORTRANGE(""https://docs.google.com/spreadsheets/d/1rEDxBtusbi64tE0zunoIbsTVV16HeL0oJ6trHQeQ7K8/edit?usp=sharing"",""เชียงใหม่!S311"")+IMPORTRANGE(""https://docs.google.com/spreadsheets/d/1W6MnUbDkMi6xHnHko_XkFDO9kkuL6Wqyc-6OCDFjW9I/e"&amp;"dit?usp=sharing"",""ตาก!S311"")+IMPORTRANGE(""https://docs.google.com/spreadsheets/d/1IQAWArduLkta9LpYo4a_ULsyqdta6-6aDDiwpUnQT6c/edit?usp=sharing"",""นครสวรรค์!S311"")+IMPORTRANGE(""https://docs.google.com/spreadsheets/d/10s13Sk5xrltsiR-Zkbmk5DwIaDIKO8Xl"&amp;"bJAfqyT7Gvg/edit?usp=sharing"",""น่าน!S311"")+IMPORTRANGE(""https://docs.google.com/spreadsheets/d/1uu4nAn4Dbi1XREnLKKotUANlKXa7yCgRcgq8HEzQYW8/edit?usp=sharing"",""พะเยา!S311"")+IMPORTRANGE(""https://docs.google.com/spreadsheets/d/1xfJKIQxVOaPDIICqsflNlL"&amp;"u3JacTDk1FP9RH4phX7mI/edit?usp=sharing"",""พิจิตร!S311"")+IMPORTRANGE(""https://docs.google.com/spreadsheets/d/1JtRfZkJMHtEhI5RdRHxYUG4FIZHqKDpNyIuN7A1Q0_k/edit?usp=sharing"",""พิษณุโลก!S311"")+IMPORTRANGE(""https://docs.google.com/spreadsheets/d/1xlcVZWU"&amp;"Nn6SuWm0c307h32SiGkd9BaeQWlAktfD3KO8/edit?usp=sharing"",""เพชรบูรณ์!S311"")+IMPORTRANGE(""https://docs.google.com/spreadsheets/d/1lOVebEIsI9qjGXl6EX66luk7wiuP2tBaryw-wKvv4e0/edit?usp=sharing"",""แพร่!S311"")+IMPORTRANGE(""https://docs.google.com/spreadshe"&amp;"ets/d/1dQrvX0vEcN7Gu0fnZ0B5S90AeR19zth4XlExFBeExMY/edit?usp=sharing"",""แม่ฮ่องสอน!S311"")+IMPORTRANGE(""https://docs.google.com/spreadsheets/d/1DY4XTNNwjluuxqdfdn6qvOSlMRrZqUtmYcZR0ttFiG4/edit?usp=sharing"",""ลำปาง!S311"")+IMPORTRANGE(""https://docs.goog"&amp;"le.com/spreadsheets/d/1ICwG78r0OFT8biBlxnBF8r7she7gNSzOvJ958PWT09c/edit?usp=sharing"",""ลำพูน!S311"")+IMPORTRANGE(""https://docs.google.com/spreadsheets/d/1B0f2xJpZUC6Z0xXnqKlZtEPzsf6L84eP1r1Q15seqRM/edit?usp=sharing"",""สุโขทัย!S311"")+IMPORTRANGE(""http"&amp;"s://docs.google.com/spreadsheets/d/1v0b9pFQCsKUVExMei7AgY2yQkdeNQvtOssygGsXbiKo/edit?usp=sharing"",""อุตรดิตถ์!S311"")+IMPORTRANGE(""https://docs.google.com/spreadsheets/d/1UsNK1e-WWiCo2PvGqdNfdme4m17_Ezd3J69EeeiQPD0/edit?usp=sharing"",""อุทัยธานี!S311"")"),0)</f>
        <v>0</v>
      </c>
      <c r="T311" s="46">
        <f t="shared" ca="1" si="226"/>
        <v>0</v>
      </c>
      <c r="U311" s="46">
        <f t="shared" ca="1" si="227"/>
        <v>0</v>
      </c>
    </row>
    <row r="312" spans="1:21" ht="19.5" x14ac:dyDescent="0.3">
      <c r="A312" s="138"/>
      <c r="B312" s="139"/>
      <c r="C312" s="129" t="s">
        <v>18</v>
      </c>
      <c r="D312" s="140" t="s">
        <v>38</v>
      </c>
      <c r="E312" s="141"/>
      <c r="F312" s="141"/>
      <c r="G312" s="142"/>
      <c r="H312" s="143"/>
      <c r="I312" s="44"/>
      <c r="J312" s="44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x14ac:dyDescent="0.25">
      <c r="A313" s="138"/>
      <c r="B313" s="139"/>
      <c r="C313" s="139"/>
      <c r="D313" s="149" t="s">
        <v>128</v>
      </c>
      <c r="E313" s="145"/>
      <c r="F313" s="145"/>
      <c r="G313" s="143"/>
      <c r="H313" s="143"/>
      <c r="I313" s="44"/>
      <c r="J313" s="166">
        <f ca="1">IFERROR(__xludf.DUMMYFUNCTION("IMPORTRANGE(""https://docs.google.com/spreadsheets/d/1jTcq05yEiRwXcBMLjiodW9e4biSGYWAHcDj22rKWQ3s/edit?usp=sharing"",""กำแพงเพชร!J313"")+IMPORTRANGE(""https://docs.google.com/spreadsheets/d/1KS0zmDSZPk8KnTAbGN-Xk6MtX1YRZD0ldgdt20K4CRk/edit?usp=sharing"","&amp;"""เชียงราย!J313"")+IMPORTRANGE(""https://docs.google.com/spreadsheets/d/1rEDxBtusbi64tE0zunoIbsTVV16HeL0oJ6trHQeQ7K8/edit?usp=sharing"",""เชียงใหม่!J313"")+IMPORTRANGE(""https://docs.google.com/spreadsheets/d/1W6MnUbDkMi6xHnHko_XkFDO9kkuL6Wqyc-6OCDFjW9I/e"&amp;"dit?usp=sharing"",""ตาก!J313"")+IMPORTRANGE(""https://docs.google.com/spreadsheets/d/1IQAWArduLkta9LpYo4a_ULsyqdta6-6aDDiwpUnQT6c/edit?usp=sharing"",""นครสวรรค์!J313"")+IMPORTRANGE(""https://docs.google.com/spreadsheets/d/10s13Sk5xrltsiR-Zkbmk5DwIaDIKO8Xl"&amp;"bJAfqyT7Gvg/edit?usp=sharing"",""น่าน!J313"")+IMPORTRANGE(""https://docs.google.com/spreadsheets/d/1uu4nAn4Dbi1XREnLKKotUANlKXa7yCgRcgq8HEzQYW8/edit?usp=sharing"",""พะเยา!J313"")+IMPORTRANGE(""https://docs.google.com/spreadsheets/d/1xfJKIQxVOaPDIICqsflNlL"&amp;"u3JacTDk1FP9RH4phX7mI/edit?usp=sharing"",""พิจิตร!J313"")+IMPORTRANGE(""https://docs.google.com/spreadsheets/d/1JtRfZkJMHtEhI5RdRHxYUG4FIZHqKDpNyIuN7A1Q0_k/edit?usp=sharing"",""พิษณุโลก!J313"")+IMPORTRANGE(""https://docs.google.com/spreadsheets/d/1xlcVZWU"&amp;"Nn6SuWm0c307h32SiGkd9BaeQWlAktfD3KO8/edit?usp=sharing"",""เพชรบูรณ์!J313"")+IMPORTRANGE(""https://docs.google.com/spreadsheets/d/1lOVebEIsI9qjGXl6EX66luk7wiuP2tBaryw-wKvv4e0/edit?usp=sharing"",""แพร่!J313"")+IMPORTRANGE(""https://docs.google.com/spreadshe"&amp;"ets/d/1dQrvX0vEcN7Gu0fnZ0B5S90AeR19zth4XlExFBeExMY/edit?usp=sharing"",""แม่ฮ่องสอน!J313"")+IMPORTRANGE(""https://docs.google.com/spreadsheets/d/1DY4XTNNwjluuxqdfdn6qvOSlMRrZqUtmYcZR0ttFiG4/edit?usp=sharing"",""ลำปาง!J313"")+IMPORTRANGE(""https://docs.goog"&amp;"le.com/spreadsheets/d/1ICwG78r0OFT8biBlxnBF8r7she7gNSzOvJ958PWT09c/edit?usp=sharing"",""ลำพูน!J313"")+IMPORTRANGE(""https://docs.google.com/spreadsheets/d/1B0f2xJpZUC6Z0xXnqKlZtEPzsf6L84eP1r1Q15seqRM/edit?usp=sharing"",""สุโขทัย!J313"")+IMPORTRANGE(""http"&amp;"s://docs.google.com/spreadsheets/d/1v0b9pFQCsKUVExMei7AgY2yQkdeNQvtOssygGsXbiKo/edit?usp=sharing"",""อุตรดิตถ์!J313"")+IMPORTRANGE(""https://docs.google.com/spreadsheets/d/1UsNK1e-WWiCo2PvGqdNfdme4m17_Ezd3J69EeeiQPD0/edit?usp=sharing"",""อุทัยธานี!J313"")"),0)</f>
        <v>0</v>
      </c>
      <c r="K313" s="45"/>
      <c r="L313" s="45"/>
      <c r="M313" s="45"/>
      <c r="N313" s="45"/>
      <c r="O313" s="45"/>
      <c r="P313" s="45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66">
        <f ca="1">IFERROR(__xludf.DUMMYFUNCTION("IMPORTRANGE(""https://docs.google.com/spreadsheets/d/1jTcq05yEiRwXcBMLjiodW9e4biSGYWAHcDj22rKWQ3s/edit?usp=sharing"",""กำแพงเพชร!I314"")+IMPORTRANGE(""https://docs.google.com/spreadsheets/d/1KS0zmDSZPk8KnTAbGN-Xk6MtX1YRZD0ldgdt20K4CRk/edit?usp=sharing"","&amp;"""เชียงราย!I314"")+IMPORTRANGE(""https://docs.google.com/spreadsheets/d/1rEDxBtusbi64tE0zunoIbsTVV16HeL0oJ6trHQeQ7K8/edit?usp=sharing"",""เชียงใหม่!I314"")+IMPORTRANGE(""https://docs.google.com/spreadsheets/d/1W6MnUbDkMi6xHnHko_XkFDO9kkuL6Wqyc-6OCDFjW9I/e"&amp;"dit?usp=sharing"",""ตาก!I314"")+IMPORTRANGE(""https://docs.google.com/spreadsheets/d/1IQAWArduLkta9LpYo4a_ULsyqdta6-6aDDiwpUnQT6c/edit?usp=sharing"",""นครสวรรค์!I314"")+IMPORTRANGE(""https://docs.google.com/spreadsheets/d/10s13Sk5xrltsiR-Zkbmk5DwIaDIKO8Xl"&amp;"bJAfqyT7Gvg/edit?usp=sharing"",""น่าน!I314"")+IMPORTRANGE(""https://docs.google.com/spreadsheets/d/1uu4nAn4Dbi1XREnLKKotUANlKXa7yCgRcgq8HEzQYW8/edit?usp=sharing"",""พะเยา!I314"")+IMPORTRANGE(""https://docs.google.com/spreadsheets/d/1xfJKIQxVOaPDIICqsflNlL"&amp;"u3JacTDk1FP9RH4phX7mI/edit?usp=sharing"",""พิจิตร!I314"")+IMPORTRANGE(""https://docs.google.com/spreadsheets/d/1JtRfZkJMHtEhI5RdRHxYUG4FIZHqKDpNyIuN7A1Q0_k/edit?usp=sharing"",""พิษณุโลก!I314"")+IMPORTRANGE(""https://docs.google.com/spreadsheets/d/1xlcVZWU"&amp;"Nn6SuWm0c307h32SiGkd9BaeQWlAktfD3KO8/edit?usp=sharing"",""เพชรบูรณ์!I314"")+IMPORTRANGE(""https://docs.google.com/spreadsheets/d/1lOVebEIsI9qjGXl6EX66luk7wiuP2tBaryw-wKvv4e0/edit?usp=sharing"",""แพร่!I314"")+IMPORTRANGE(""https://docs.google.com/spreadshe"&amp;"ets/d/1dQrvX0vEcN7Gu0fnZ0B5S90AeR19zth4XlExFBeExMY/edit?usp=sharing"",""แม่ฮ่องสอน!I314"")+IMPORTRANGE(""https://docs.google.com/spreadsheets/d/1DY4XTNNwjluuxqdfdn6qvOSlMRrZqUtmYcZR0ttFiG4/edit?usp=sharing"",""ลำปาง!I314"")+IMPORTRANGE(""https://docs.goog"&amp;"le.com/spreadsheets/d/1ICwG78r0OFT8biBlxnBF8r7she7gNSzOvJ958PWT09c/edit?usp=sharing"",""ลำพูน!I314"")+IMPORTRANGE(""https://docs.google.com/spreadsheets/d/1B0f2xJpZUC6Z0xXnqKlZtEPzsf6L84eP1r1Q15seqRM/edit?usp=sharing"",""สุโขทัย!I314"")+IMPORTRANGE(""http"&amp;"s://docs.google.com/spreadsheets/d/1v0b9pFQCsKUVExMei7AgY2yQkdeNQvtOssygGsXbiKo/edit?usp=sharing"",""อุตรดิตถ์!I314"")+IMPORTRANGE(""https://docs.google.com/spreadsheets/d/1UsNK1e-WWiCo2PvGqdNfdme4m17_Ezd3J69EeeiQPD0/edit?usp=sharing"",""อุทัยธานี!I314"")"),435)</f>
        <v>435</v>
      </c>
      <c r="J314" s="166">
        <f ca="1">IFERROR(__xludf.DUMMYFUNCTION("IMPORTRANGE(""https://docs.google.com/spreadsheets/d/1jTcq05yEiRwXcBMLjiodW9e4biSGYWAHcDj22rKWQ3s/edit?usp=sharing"",""กำแพงเพชร!J314"")+IMPORTRANGE(""https://docs.google.com/spreadsheets/d/1KS0zmDSZPk8KnTAbGN-Xk6MtX1YRZD0ldgdt20K4CRk/edit?usp=sharing"","&amp;"""เชียงราย!J314"")+IMPORTRANGE(""https://docs.google.com/spreadsheets/d/1rEDxBtusbi64tE0zunoIbsTVV16HeL0oJ6trHQeQ7K8/edit?usp=sharing"",""เชียงใหม่!J314"")+IMPORTRANGE(""https://docs.google.com/spreadsheets/d/1W6MnUbDkMi6xHnHko_XkFDO9kkuL6Wqyc-6OCDFjW9I/e"&amp;"dit?usp=sharing"",""ตาก!J314"")+IMPORTRANGE(""https://docs.google.com/spreadsheets/d/1IQAWArduLkta9LpYo4a_ULsyqdta6-6aDDiwpUnQT6c/edit?usp=sharing"",""นครสวรรค์!J314"")+IMPORTRANGE(""https://docs.google.com/spreadsheets/d/10s13Sk5xrltsiR-Zkbmk5DwIaDIKO8Xl"&amp;"bJAfqyT7Gvg/edit?usp=sharing"",""น่าน!J314"")+IMPORTRANGE(""https://docs.google.com/spreadsheets/d/1uu4nAn4Dbi1XREnLKKotUANlKXa7yCgRcgq8HEzQYW8/edit?usp=sharing"",""พะเยา!J314"")+IMPORTRANGE(""https://docs.google.com/spreadsheets/d/1xfJKIQxVOaPDIICqsflNlL"&amp;"u3JacTDk1FP9RH4phX7mI/edit?usp=sharing"",""พิจิตร!J314"")+IMPORTRANGE(""https://docs.google.com/spreadsheets/d/1JtRfZkJMHtEhI5RdRHxYUG4FIZHqKDpNyIuN7A1Q0_k/edit?usp=sharing"",""พิษณุโลก!J314"")+IMPORTRANGE(""https://docs.google.com/spreadsheets/d/1xlcVZWU"&amp;"Nn6SuWm0c307h32SiGkd9BaeQWlAktfD3KO8/edit?usp=sharing"",""เพชรบูรณ์!J314"")+IMPORTRANGE(""https://docs.google.com/spreadsheets/d/1lOVebEIsI9qjGXl6EX66luk7wiuP2tBaryw-wKvv4e0/edit?usp=sharing"",""แพร่!J314"")+IMPORTRANGE(""https://docs.google.com/spreadshe"&amp;"ets/d/1dQrvX0vEcN7Gu0fnZ0B5S90AeR19zth4XlExFBeExMY/edit?usp=sharing"",""แม่ฮ่องสอน!J314"")+IMPORTRANGE(""https://docs.google.com/spreadsheets/d/1DY4XTNNwjluuxqdfdn6qvOSlMRrZqUtmYcZR0ttFiG4/edit?usp=sharing"",""ลำปาง!J314"")+IMPORTRANGE(""https://docs.goog"&amp;"le.com/spreadsheets/d/1ICwG78r0OFT8biBlxnBF8r7she7gNSzOvJ958PWT09c/edit?usp=sharing"",""ลำพูน!J314"")+IMPORTRANGE(""https://docs.google.com/spreadsheets/d/1B0f2xJpZUC6Z0xXnqKlZtEPzsf6L84eP1r1Q15seqRM/edit?usp=sharing"",""สุโขทัย!J314"")+IMPORTRANGE(""http"&amp;"s://docs.google.com/spreadsheets/d/1v0b9pFQCsKUVExMei7AgY2yQkdeNQvtOssygGsXbiKo/edit?usp=sharing"",""อุตรดิตถ์!J314"")+IMPORTRANGE(""https://docs.google.com/spreadsheets/d/1UsNK1e-WWiCo2PvGqdNfdme4m17_Ezd3J69EeeiQPD0/edit?usp=sharing"",""อุทัยธานี!J314"")"),275)</f>
        <v>275</v>
      </c>
      <c r="K314" s="46">
        <f t="shared" ref="K314:K317" ca="1" si="236">IF(I314&gt;0,J314*100/I314,0)</f>
        <v>63.218390804597703</v>
      </c>
      <c r="L314" s="45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x14ac:dyDescent="0.25">
      <c r="A315" s="138"/>
      <c r="B315" s="139"/>
      <c r="C315" s="139"/>
      <c r="D315" s="149" t="s">
        <v>129</v>
      </c>
      <c r="E315" s="145"/>
      <c r="F315" s="145"/>
      <c r="G315" s="143"/>
      <c r="H315" s="150" t="s">
        <v>35</v>
      </c>
      <c r="I315" s="166">
        <f ca="1">IFERROR(__xludf.DUMMYFUNCTION("IMPORTRANGE(""https://docs.google.com/spreadsheets/d/1jTcq05yEiRwXcBMLjiodW9e4biSGYWAHcDj22rKWQ3s/edit?usp=sharing"",""กำแพงเพชร!I315"")+IMPORTRANGE(""https://docs.google.com/spreadsheets/d/1KS0zmDSZPk8KnTAbGN-Xk6MtX1YRZD0ldgdt20K4CRk/edit?usp=sharing"","&amp;"""เชียงราย!I315"")+IMPORTRANGE(""https://docs.google.com/spreadsheets/d/1rEDxBtusbi64tE0zunoIbsTVV16HeL0oJ6trHQeQ7K8/edit?usp=sharing"",""เชียงใหม่!I315"")+IMPORTRANGE(""https://docs.google.com/spreadsheets/d/1W6MnUbDkMi6xHnHko_XkFDO9kkuL6Wqyc-6OCDFjW9I/e"&amp;"dit?usp=sharing"",""ตาก!I315"")+IMPORTRANGE(""https://docs.google.com/spreadsheets/d/1IQAWArduLkta9LpYo4a_ULsyqdta6-6aDDiwpUnQT6c/edit?usp=sharing"",""นครสวรรค์!I315"")+IMPORTRANGE(""https://docs.google.com/spreadsheets/d/10s13Sk5xrltsiR-Zkbmk5DwIaDIKO8Xl"&amp;"bJAfqyT7Gvg/edit?usp=sharing"",""น่าน!I315"")+IMPORTRANGE(""https://docs.google.com/spreadsheets/d/1uu4nAn4Dbi1XREnLKKotUANlKXa7yCgRcgq8HEzQYW8/edit?usp=sharing"",""พะเยา!I315"")+IMPORTRANGE(""https://docs.google.com/spreadsheets/d/1xfJKIQxVOaPDIICqsflNlL"&amp;"u3JacTDk1FP9RH4phX7mI/edit?usp=sharing"",""พิจิตร!I315"")+IMPORTRANGE(""https://docs.google.com/spreadsheets/d/1JtRfZkJMHtEhI5RdRHxYUG4FIZHqKDpNyIuN7A1Q0_k/edit?usp=sharing"",""พิษณุโลก!I315"")+IMPORTRANGE(""https://docs.google.com/spreadsheets/d/1xlcVZWU"&amp;"Nn6SuWm0c307h32SiGkd9BaeQWlAktfD3KO8/edit?usp=sharing"",""เพชรบูรณ์!I315"")+IMPORTRANGE(""https://docs.google.com/spreadsheets/d/1lOVebEIsI9qjGXl6EX66luk7wiuP2tBaryw-wKvv4e0/edit?usp=sharing"",""แพร่!I315"")+IMPORTRANGE(""https://docs.google.com/spreadshe"&amp;"ets/d/1dQrvX0vEcN7Gu0fnZ0B5S90AeR19zth4XlExFBeExMY/edit?usp=sharing"",""แม่ฮ่องสอน!I315"")+IMPORTRANGE(""https://docs.google.com/spreadsheets/d/1DY4XTNNwjluuxqdfdn6qvOSlMRrZqUtmYcZR0ttFiG4/edit?usp=sharing"",""ลำปาง!I315"")+IMPORTRANGE(""https://docs.goog"&amp;"le.com/spreadsheets/d/1ICwG78r0OFT8biBlxnBF8r7she7gNSzOvJ958PWT09c/edit?usp=sharing"",""ลำพูน!I315"")+IMPORTRANGE(""https://docs.google.com/spreadsheets/d/1B0f2xJpZUC6Z0xXnqKlZtEPzsf6L84eP1r1Q15seqRM/edit?usp=sharing"",""สุโขทัย!I315"")+IMPORTRANGE(""http"&amp;"s://docs.google.com/spreadsheets/d/1v0b9pFQCsKUVExMei7AgY2yQkdeNQvtOssygGsXbiKo/edit?usp=sharing"",""อุตรดิตถ์!I315"")+IMPORTRANGE(""https://docs.google.com/spreadsheets/d/1UsNK1e-WWiCo2PvGqdNfdme4m17_Ezd3J69EeeiQPD0/edit?usp=sharing"",""อุทัยธานี!I315"")"),0)</f>
        <v>0</v>
      </c>
      <c r="J315" s="166">
        <f ca="1">IFERROR(__xludf.DUMMYFUNCTION("IMPORTRANGE(""https://docs.google.com/spreadsheets/d/1jTcq05yEiRwXcBMLjiodW9e4biSGYWAHcDj22rKWQ3s/edit?usp=sharing"",""กำแพงเพชร!J315"")+IMPORTRANGE(""https://docs.google.com/spreadsheets/d/1KS0zmDSZPk8KnTAbGN-Xk6MtX1YRZD0ldgdt20K4CRk/edit?usp=sharing"","&amp;"""เชียงราย!J315"")+IMPORTRANGE(""https://docs.google.com/spreadsheets/d/1rEDxBtusbi64tE0zunoIbsTVV16HeL0oJ6trHQeQ7K8/edit?usp=sharing"",""เชียงใหม่!J315"")+IMPORTRANGE(""https://docs.google.com/spreadsheets/d/1W6MnUbDkMi6xHnHko_XkFDO9kkuL6Wqyc-6OCDFjW9I/e"&amp;"dit?usp=sharing"",""ตาก!J315"")+IMPORTRANGE(""https://docs.google.com/spreadsheets/d/1IQAWArduLkta9LpYo4a_ULsyqdta6-6aDDiwpUnQT6c/edit?usp=sharing"",""นครสวรรค์!J315"")+IMPORTRANGE(""https://docs.google.com/spreadsheets/d/10s13Sk5xrltsiR-Zkbmk5DwIaDIKO8Xl"&amp;"bJAfqyT7Gvg/edit?usp=sharing"",""น่าน!J315"")+IMPORTRANGE(""https://docs.google.com/spreadsheets/d/1uu4nAn4Dbi1XREnLKKotUANlKXa7yCgRcgq8HEzQYW8/edit?usp=sharing"",""พะเยา!J315"")+IMPORTRANGE(""https://docs.google.com/spreadsheets/d/1xfJKIQxVOaPDIICqsflNlL"&amp;"u3JacTDk1FP9RH4phX7mI/edit?usp=sharing"",""พิจิตร!J315"")+IMPORTRANGE(""https://docs.google.com/spreadsheets/d/1JtRfZkJMHtEhI5RdRHxYUG4FIZHqKDpNyIuN7A1Q0_k/edit?usp=sharing"",""พิษณุโลก!J315"")+IMPORTRANGE(""https://docs.google.com/spreadsheets/d/1xlcVZWU"&amp;"Nn6SuWm0c307h32SiGkd9BaeQWlAktfD3KO8/edit?usp=sharing"",""เพชรบูรณ์!J315"")+IMPORTRANGE(""https://docs.google.com/spreadsheets/d/1lOVebEIsI9qjGXl6EX66luk7wiuP2tBaryw-wKvv4e0/edit?usp=sharing"",""แพร่!J315"")+IMPORTRANGE(""https://docs.google.com/spreadshe"&amp;"ets/d/1dQrvX0vEcN7Gu0fnZ0B5S90AeR19zth4XlExFBeExMY/edit?usp=sharing"",""แม่ฮ่องสอน!J315"")+IMPORTRANGE(""https://docs.google.com/spreadsheets/d/1DY4XTNNwjluuxqdfdn6qvOSlMRrZqUtmYcZR0ttFiG4/edit?usp=sharing"",""ลำปาง!J315"")+IMPORTRANGE(""https://docs.goog"&amp;"le.com/spreadsheets/d/1ICwG78r0OFT8biBlxnBF8r7she7gNSzOvJ958PWT09c/edit?usp=sharing"",""ลำพูน!J315"")+IMPORTRANGE(""https://docs.google.com/spreadsheets/d/1B0f2xJpZUC6Z0xXnqKlZtEPzsf6L84eP1r1Q15seqRM/edit?usp=sharing"",""สุโขทัย!J315"")+IMPORTRANGE(""http"&amp;"s://docs.google.com/spreadsheets/d/1v0b9pFQCsKUVExMei7AgY2yQkdeNQvtOssygGsXbiKo/edit?usp=sharing"",""อุตรดิตถ์!J315"")+IMPORTRANGE(""https://docs.google.com/spreadsheets/d/1UsNK1e-WWiCo2PvGqdNfdme4m17_Ezd3J69EeeiQPD0/edit?usp=sharing"",""อุทัยธานี!J315"")"),0)</f>
        <v>0</v>
      </c>
      <c r="K315" s="46">
        <f t="shared" ca="1" si="236"/>
        <v>0</v>
      </c>
      <c r="L315" s="45"/>
      <c r="M315" s="45"/>
      <c r="N315" s="45"/>
      <c r="O315" s="45"/>
      <c r="P315" s="45"/>
      <c r="Q315" s="21"/>
      <c r="R315" s="21"/>
      <c r="S315" s="21"/>
      <c r="T315" s="21"/>
      <c r="U315" s="21"/>
    </row>
    <row r="316" spans="1:21" ht="18.75" x14ac:dyDescent="0.25">
      <c r="A316" s="138"/>
      <c r="B316" s="139"/>
      <c r="C316" s="139"/>
      <c r="D316" s="149" t="s">
        <v>50</v>
      </c>
      <c r="E316" s="145"/>
      <c r="F316" s="145"/>
      <c r="G316" s="143"/>
      <c r="H316" s="150" t="s">
        <v>35</v>
      </c>
      <c r="I316" s="166">
        <f ca="1">IFERROR(__xludf.DUMMYFUNCTION("IMPORTRANGE(""https://docs.google.com/spreadsheets/d/1jTcq05yEiRwXcBMLjiodW9e4biSGYWAHcDj22rKWQ3s/edit?usp=sharing"",""กำแพงเพชร!I316"")+IMPORTRANGE(""https://docs.google.com/spreadsheets/d/1KS0zmDSZPk8KnTAbGN-Xk6MtX1YRZD0ldgdt20K4CRk/edit?usp=sharing"","&amp;"""เชียงราย!I316"")+IMPORTRANGE(""https://docs.google.com/spreadsheets/d/1rEDxBtusbi64tE0zunoIbsTVV16HeL0oJ6trHQeQ7K8/edit?usp=sharing"",""เชียงใหม่!I316"")+IMPORTRANGE(""https://docs.google.com/spreadsheets/d/1W6MnUbDkMi6xHnHko_XkFDO9kkuL6Wqyc-6OCDFjW9I/e"&amp;"dit?usp=sharing"",""ตาก!I316"")+IMPORTRANGE(""https://docs.google.com/spreadsheets/d/1IQAWArduLkta9LpYo4a_ULsyqdta6-6aDDiwpUnQT6c/edit?usp=sharing"",""นครสวรรค์!I316"")+IMPORTRANGE(""https://docs.google.com/spreadsheets/d/10s13Sk5xrltsiR-Zkbmk5DwIaDIKO8Xl"&amp;"bJAfqyT7Gvg/edit?usp=sharing"",""น่าน!I316"")+IMPORTRANGE(""https://docs.google.com/spreadsheets/d/1uu4nAn4Dbi1XREnLKKotUANlKXa7yCgRcgq8HEzQYW8/edit?usp=sharing"",""พะเยา!I316"")+IMPORTRANGE(""https://docs.google.com/spreadsheets/d/1xfJKIQxVOaPDIICqsflNlL"&amp;"u3JacTDk1FP9RH4phX7mI/edit?usp=sharing"",""พิจิตร!I316"")+IMPORTRANGE(""https://docs.google.com/spreadsheets/d/1JtRfZkJMHtEhI5RdRHxYUG4FIZHqKDpNyIuN7A1Q0_k/edit?usp=sharing"",""พิษณุโลก!I316"")+IMPORTRANGE(""https://docs.google.com/spreadsheets/d/1xlcVZWU"&amp;"Nn6SuWm0c307h32SiGkd9BaeQWlAktfD3KO8/edit?usp=sharing"",""เพชรบูรณ์!I316"")+IMPORTRANGE(""https://docs.google.com/spreadsheets/d/1lOVebEIsI9qjGXl6EX66luk7wiuP2tBaryw-wKvv4e0/edit?usp=sharing"",""แพร่!I316"")+IMPORTRANGE(""https://docs.google.com/spreadshe"&amp;"ets/d/1dQrvX0vEcN7Gu0fnZ0B5S90AeR19zth4XlExFBeExMY/edit?usp=sharing"",""แม่ฮ่องสอน!I316"")+IMPORTRANGE(""https://docs.google.com/spreadsheets/d/1DY4XTNNwjluuxqdfdn6qvOSlMRrZqUtmYcZR0ttFiG4/edit?usp=sharing"",""ลำปาง!I316"")+IMPORTRANGE(""https://docs.goog"&amp;"le.com/spreadsheets/d/1ICwG78r0OFT8biBlxnBF8r7she7gNSzOvJ958PWT09c/edit?usp=sharing"",""ลำพูน!I316"")+IMPORTRANGE(""https://docs.google.com/spreadsheets/d/1B0f2xJpZUC6Z0xXnqKlZtEPzsf6L84eP1r1Q15seqRM/edit?usp=sharing"",""สุโขทัย!I316"")+IMPORTRANGE(""http"&amp;"s://docs.google.com/spreadsheets/d/1v0b9pFQCsKUVExMei7AgY2yQkdeNQvtOssygGsXbiKo/edit?usp=sharing"",""อุตรดิตถ์!I316"")+IMPORTRANGE(""https://docs.google.com/spreadsheets/d/1UsNK1e-WWiCo2PvGqdNfdme4m17_Ezd3J69EeeiQPD0/edit?usp=sharing"",""อุทัยธานี!I316"")"),0)</f>
        <v>0</v>
      </c>
      <c r="J316" s="166">
        <f ca="1">IFERROR(__xludf.DUMMYFUNCTION("IMPORTRANGE(""https://docs.google.com/spreadsheets/d/1jTcq05yEiRwXcBMLjiodW9e4biSGYWAHcDj22rKWQ3s/edit?usp=sharing"",""กำแพงเพชร!J316"")+IMPORTRANGE(""https://docs.google.com/spreadsheets/d/1KS0zmDSZPk8KnTAbGN-Xk6MtX1YRZD0ldgdt20K4CRk/edit?usp=sharing"","&amp;"""เชียงราย!J316"")+IMPORTRANGE(""https://docs.google.com/spreadsheets/d/1rEDxBtusbi64tE0zunoIbsTVV16HeL0oJ6trHQeQ7K8/edit?usp=sharing"",""เชียงใหม่!J316"")+IMPORTRANGE(""https://docs.google.com/spreadsheets/d/1W6MnUbDkMi6xHnHko_XkFDO9kkuL6Wqyc-6OCDFjW9I/e"&amp;"dit?usp=sharing"",""ตาก!J316"")+IMPORTRANGE(""https://docs.google.com/spreadsheets/d/1IQAWArduLkta9LpYo4a_ULsyqdta6-6aDDiwpUnQT6c/edit?usp=sharing"",""นครสวรรค์!J316"")+IMPORTRANGE(""https://docs.google.com/spreadsheets/d/10s13Sk5xrltsiR-Zkbmk5DwIaDIKO8Xl"&amp;"bJAfqyT7Gvg/edit?usp=sharing"",""น่าน!J316"")+IMPORTRANGE(""https://docs.google.com/spreadsheets/d/1uu4nAn4Dbi1XREnLKKotUANlKXa7yCgRcgq8HEzQYW8/edit?usp=sharing"",""พะเยา!J316"")+IMPORTRANGE(""https://docs.google.com/spreadsheets/d/1xfJKIQxVOaPDIICqsflNlL"&amp;"u3JacTDk1FP9RH4phX7mI/edit?usp=sharing"",""พิจิตร!J316"")+IMPORTRANGE(""https://docs.google.com/spreadsheets/d/1JtRfZkJMHtEhI5RdRHxYUG4FIZHqKDpNyIuN7A1Q0_k/edit?usp=sharing"",""พิษณุโลก!J316"")+IMPORTRANGE(""https://docs.google.com/spreadsheets/d/1xlcVZWU"&amp;"Nn6SuWm0c307h32SiGkd9BaeQWlAktfD3KO8/edit?usp=sharing"",""เพชรบูรณ์!J316"")+IMPORTRANGE(""https://docs.google.com/spreadsheets/d/1lOVebEIsI9qjGXl6EX66luk7wiuP2tBaryw-wKvv4e0/edit?usp=sharing"",""แพร่!J316"")+IMPORTRANGE(""https://docs.google.com/spreadshe"&amp;"ets/d/1dQrvX0vEcN7Gu0fnZ0B5S90AeR19zth4XlExFBeExMY/edit?usp=sharing"",""แม่ฮ่องสอน!J316"")+IMPORTRANGE(""https://docs.google.com/spreadsheets/d/1DY4XTNNwjluuxqdfdn6qvOSlMRrZqUtmYcZR0ttFiG4/edit?usp=sharing"",""ลำปาง!J316"")+IMPORTRANGE(""https://docs.goog"&amp;"le.com/spreadsheets/d/1ICwG78r0OFT8biBlxnBF8r7she7gNSzOvJ958PWT09c/edit?usp=sharing"",""ลำพูน!J316"")+IMPORTRANGE(""https://docs.google.com/spreadsheets/d/1B0f2xJpZUC6Z0xXnqKlZtEPzsf6L84eP1r1Q15seqRM/edit?usp=sharing"",""สุโขทัย!J316"")+IMPORTRANGE(""http"&amp;"s://docs.google.com/spreadsheets/d/1v0b9pFQCsKUVExMei7AgY2yQkdeNQvtOssygGsXbiKo/edit?usp=sharing"",""อุตรดิตถ์!J316"")+IMPORTRANGE(""https://docs.google.com/spreadsheets/d/1UsNK1e-WWiCo2PvGqdNfdme4m17_Ezd3J69EeeiQPD0/edit?usp=sharing"",""อุทัยธานี!J316"")"),0)</f>
        <v>0</v>
      </c>
      <c r="K316" s="46">
        <f t="shared" ca="1" si="236"/>
        <v>0</v>
      </c>
      <c r="L316" s="45"/>
      <c r="M316" s="45"/>
      <c r="N316" s="45"/>
      <c r="O316" s="45"/>
      <c r="P316" s="45"/>
      <c r="Q316" s="21"/>
      <c r="R316" s="21"/>
      <c r="S316" s="21"/>
      <c r="T316" s="21"/>
      <c r="U316" s="21"/>
    </row>
    <row r="317" spans="1:21" ht="18.75" x14ac:dyDescent="0.25">
      <c r="A317" s="208"/>
      <c r="B317" s="158"/>
      <c r="C317" s="158"/>
      <c r="D317" s="47" t="s">
        <v>130</v>
      </c>
      <c r="E317" s="40"/>
      <c r="F317" s="40"/>
      <c r="G317" s="42"/>
      <c r="H317" s="43" t="s">
        <v>35</v>
      </c>
      <c r="I317" s="166">
        <f ca="1">IFERROR(__xludf.DUMMYFUNCTION("IMPORTRANGE(""https://docs.google.com/spreadsheets/d/1jTcq05yEiRwXcBMLjiodW9e4biSGYWAHcDj22rKWQ3s/edit?usp=sharing"",""กำแพงเพชร!I317"")+IMPORTRANGE(""https://docs.google.com/spreadsheets/d/1KS0zmDSZPk8KnTAbGN-Xk6MtX1YRZD0ldgdt20K4CRk/edit?usp=sharing"","&amp;"""เชียงราย!I317"")+IMPORTRANGE(""https://docs.google.com/spreadsheets/d/1rEDxBtusbi64tE0zunoIbsTVV16HeL0oJ6trHQeQ7K8/edit?usp=sharing"",""เชียงใหม่!I317"")+IMPORTRANGE(""https://docs.google.com/spreadsheets/d/1W6MnUbDkMi6xHnHko_XkFDO9kkuL6Wqyc-6OCDFjW9I/e"&amp;"dit?usp=sharing"",""ตาก!I317"")+IMPORTRANGE(""https://docs.google.com/spreadsheets/d/1IQAWArduLkta9LpYo4a_ULsyqdta6-6aDDiwpUnQT6c/edit?usp=sharing"",""นครสวรรค์!I317"")+IMPORTRANGE(""https://docs.google.com/spreadsheets/d/10s13Sk5xrltsiR-Zkbmk5DwIaDIKO8Xl"&amp;"bJAfqyT7Gvg/edit?usp=sharing"",""น่าน!I317"")+IMPORTRANGE(""https://docs.google.com/spreadsheets/d/1uu4nAn4Dbi1XREnLKKotUANlKXa7yCgRcgq8HEzQYW8/edit?usp=sharing"",""พะเยา!I317"")+IMPORTRANGE(""https://docs.google.com/spreadsheets/d/1xfJKIQxVOaPDIICqsflNlL"&amp;"u3JacTDk1FP9RH4phX7mI/edit?usp=sharing"",""พิจิตร!I317"")+IMPORTRANGE(""https://docs.google.com/spreadsheets/d/1JtRfZkJMHtEhI5RdRHxYUG4FIZHqKDpNyIuN7A1Q0_k/edit?usp=sharing"",""พิษณุโลก!I317"")+IMPORTRANGE(""https://docs.google.com/spreadsheets/d/1xlcVZWU"&amp;"Nn6SuWm0c307h32SiGkd9BaeQWlAktfD3KO8/edit?usp=sharing"",""เพชรบูรณ์!I317"")+IMPORTRANGE(""https://docs.google.com/spreadsheets/d/1lOVebEIsI9qjGXl6EX66luk7wiuP2tBaryw-wKvv4e0/edit?usp=sharing"",""แพร่!I317"")+IMPORTRANGE(""https://docs.google.com/spreadshe"&amp;"ets/d/1dQrvX0vEcN7Gu0fnZ0B5S90AeR19zth4XlExFBeExMY/edit?usp=sharing"",""แม่ฮ่องสอน!I317"")+IMPORTRANGE(""https://docs.google.com/spreadsheets/d/1DY4XTNNwjluuxqdfdn6qvOSlMRrZqUtmYcZR0ttFiG4/edit?usp=sharing"",""ลำปาง!I317"")+IMPORTRANGE(""https://docs.goog"&amp;"le.com/spreadsheets/d/1ICwG78r0OFT8biBlxnBF8r7she7gNSzOvJ958PWT09c/edit?usp=sharing"",""ลำพูน!I317"")+IMPORTRANGE(""https://docs.google.com/spreadsheets/d/1B0f2xJpZUC6Z0xXnqKlZtEPzsf6L84eP1r1Q15seqRM/edit?usp=sharing"",""สุโขทัย!I317"")+IMPORTRANGE(""http"&amp;"s://docs.google.com/spreadsheets/d/1v0b9pFQCsKUVExMei7AgY2yQkdeNQvtOssygGsXbiKo/edit?usp=sharing"",""อุตรดิตถ์!I317"")+IMPORTRANGE(""https://docs.google.com/spreadsheets/d/1UsNK1e-WWiCo2PvGqdNfdme4m17_Ezd3J69EeeiQPD0/edit?usp=sharing"",""อุทัยธานี!I317"")"),0)</f>
        <v>0</v>
      </c>
      <c r="J317" s="166">
        <f ca="1">IFERROR(__xludf.DUMMYFUNCTION("IMPORTRANGE(""https://docs.google.com/spreadsheets/d/1jTcq05yEiRwXcBMLjiodW9e4biSGYWAHcDj22rKWQ3s/edit?usp=sharing"",""กำแพงเพชร!J317"")+IMPORTRANGE(""https://docs.google.com/spreadsheets/d/1KS0zmDSZPk8KnTAbGN-Xk6MtX1YRZD0ldgdt20K4CRk/edit?usp=sharing"","&amp;"""เชียงราย!J317"")+IMPORTRANGE(""https://docs.google.com/spreadsheets/d/1rEDxBtusbi64tE0zunoIbsTVV16HeL0oJ6trHQeQ7K8/edit?usp=sharing"",""เชียงใหม่!J317"")+IMPORTRANGE(""https://docs.google.com/spreadsheets/d/1W6MnUbDkMi6xHnHko_XkFDO9kkuL6Wqyc-6OCDFjW9I/e"&amp;"dit?usp=sharing"",""ตาก!J317"")+IMPORTRANGE(""https://docs.google.com/spreadsheets/d/1IQAWArduLkta9LpYo4a_ULsyqdta6-6aDDiwpUnQT6c/edit?usp=sharing"",""นครสวรรค์!J317"")+IMPORTRANGE(""https://docs.google.com/spreadsheets/d/10s13Sk5xrltsiR-Zkbmk5DwIaDIKO8Xl"&amp;"bJAfqyT7Gvg/edit?usp=sharing"",""น่าน!J317"")+IMPORTRANGE(""https://docs.google.com/spreadsheets/d/1uu4nAn4Dbi1XREnLKKotUANlKXa7yCgRcgq8HEzQYW8/edit?usp=sharing"",""พะเยา!J317"")+IMPORTRANGE(""https://docs.google.com/spreadsheets/d/1xfJKIQxVOaPDIICqsflNlL"&amp;"u3JacTDk1FP9RH4phX7mI/edit?usp=sharing"",""พิจิตร!J317"")+IMPORTRANGE(""https://docs.google.com/spreadsheets/d/1JtRfZkJMHtEhI5RdRHxYUG4FIZHqKDpNyIuN7A1Q0_k/edit?usp=sharing"",""พิษณุโลก!J317"")+IMPORTRANGE(""https://docs.google.com/spreadsheets/d/1xlcVZWU"&amp;"Nn6SuWm0c307h32SiGkd9BaeQWlAktfD3KO8/edit?usp=sharing"",""เพชรบูรณ์!J317"")+IMPORTRANGE(""https://docs.google.com/spreadsheets/d/1lOVebEIsI9qjGXl6EX66luk7wiuP2tBaryw-wKvv4e0/edit?usp=sharing"",""แพร่!J317"")+IMPORTRANGE(""https://docs.google.com/spreadshe"&amp;"ets/d/1dQrvX0vEcN7Gu0fnZ0B5S90AeR19zth4XlExFBeExMY/edit?usp=sharing"",""แม่ฮ่องสอน!J317"")+IMPORTRANGE(""https://docs.google.com/spreadsheets/d/1DY4XTNNwjluuxqdfdn6qvOSlMRrZqUtmYcZR0ttFiG4/edit?usp=sharing"",""ลำปาง!J317"")+IMPORTRANGE(""https://docs.goog"&amp;"le.com/spreadsheets/d/1ICwG78r0OFT8biBlxnBF8r7she7gNSzOvJ958PWT09c/edit?usp=sharing"",""ลำพูน!J317"")+IMPORTRANGE(""https://docs.google.com/spreadsheets/d/1B0f2xJpZUC6Z0xXnqKlZtEPzsf6L84eP1r1Q15seqRM/edit?usp=sharing"",""สุโขทัย!J317"")+IMPORTRANGE(""http"&amp;"s://docs.google.com/spreadsheets/d/1v0b9pFQCsKUVExMei7AgY2yQkdeNQvtOssygGsXbiKo/edit?usp=sharing"",""อุตรดิตถ์!J317"")+IMPORTRANGE(""https://docs.google.com/spreadsheets/d/1UsNK1e-WWiCo2PvGqdNfdme4m17_Ezd3J69EeeiQPD0/edit?usp=sharing"",""อุทัยธานี!J317"")"),0)</f>
        <v>0</v>
      </c>
      <c r="K317" s="46">
        <f t="shared" ca="1" si="236"/>
        <v>0</v>
      </c>
      <c r="L317" s="45"/>
      <c r="M317" s="45"/>
      <c r="N317" s="45"/>
      <c r="O317" s="45"/>
      <c r="P317" s="45"/>
      <c r="Q317" s="21"/>
      <c r="R317" s="21"/>
      <c r="S317" s="21"/>
      <c r="T317" s="21"/>
      <c r="U317" s="21"/>
    </row>
    <row r="318" spans="1:21" ht="19.5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29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296">
        <f t="shared" ref="I319:J319" ca="1" si="237">I330</f>
        <v>1</v>
      </c>
      <c r="J319" s="296">
        <f t="shared" ca="1" si="237"/>
        <v>1</v>
      </c>
      <c r="K319" s="297">
        <f ca="1">IF(I319&gt;0,J319*100/I319,0)</f>
        <v>100</v>
      </c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x14ac:dyDescent="0.3">
      <c r="A320" s="128"/>
      <c r="B320" s="40"/>
      <c r="C320" s="129" t="s">
        <v>18</v>
      </c>
      <c r="D320" s="13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132">
        <f t="shared" ref="L320:N320" ca="1" si="238">L321+L322</f>
        <v>20000</v>
      </c>
      <c r="M320" s="132">
        <f t="shared" ca="1" si="238"/>
        <v>20000</v>
      </c>
      <c r="N320" s="132">
        <f t="shared" ca="1" si="238"/>
        <v>20000</v>
      </c>
      <c r="O320" s="132">
        <f t="shared" ref="O320:O328" ca="1" si="239">IF(L320&gt;0,N320*100/L320,0)</f>
        <v>100</v>
      </c>
      <c r="P320" s="132">
        <f t="shared" ref="P320:P328" ca="1" si="240">IF(M320&gt;0,N320*100/M320,0)</f>
        <v>100</v>
      </c>
      <c r="Q320" s="132">
        <f t="shared" ref="Q320:S320" ca="1" si="241">Q321+Q322</f>
        <v>0</v>
      </c>
      <c r="R320" s="132">
        <f t="shared" ca="1" si="241"/>
        <v>0</v>
      </c>
      <c r="S320" s="132">
        <f t="shared" ca="1" si="241"/>
        <v>0</v>
      </c>
      <c r="T320" s="132">
        <f t="shared" ref="T320:T328" ca="1" si="242">IF(Q320&gt;0,S320*100/Q320,0)</f>
        <v>0</v>
      </c>
      <c r="U320" s="132">
        <f t="shared" ref="U320:U328" ca="1" si="243">IF(R320&gt;0,S320*100/R320,0)</f>
        <v>0</v>
      </c>
    </row>
    <row r="321" spans="1:21" ht="18.75" x14ac:dyDescent="0.25">
      <c r="A321" s="128"/>
      <c r="B321" s="40"/>
      <c r="C321" s="40"/>
      <c r="D321" s="40"/>
      <c r="E321" s="47" t="s">
        <v>20</v>
      </c>
      <c r="F321" s="40"/>
      <c r="G321" s="42"/>
      <c r="H321" s="133" t="s">
        <v>14</v>
      </c>
      <c r="I321" s="44"/>
      <c r="J321" s="44"/>
      <c r="K321" s="45"/>
      <c r="L321" s="46">
        <f t="shared" ref="L321:N321" ca="1" si="244">L324+L327</f>
        <v>0</v>
      </c>
      <c r="M321" s="46">
        <f t="shared" ca="1" si="244"/>
        <v>0</v>
      </c>
      <c r="N321" s="46">
        <f t="shared" ca="1" si="244"/>
        <v>0</v>
      </c>
      <c r="O321" s="46">
        <f t="shared" ca="1" si="239"/>
        <v>0</v>
      </c>
      <c r="P321" s="46">
        <f t="shared" ca="1" si="240"/>
        <v>0</v>
      </c>
      <c r="Q321" s="48">
        <f t="shared" ref="Q321:S321" ca="1" si="245">Q324+Q327</f>
        <v>0</v>
      </c>
      <c r="R321" s="48">
        <f t="shared" ca="1" si="245"/>
        <v>0</v>
      </c>
      <c r="S321" s="48">
        <f t="shared" ca="1" si="245"/>
        <v>0</v>
      </c>
      <c r="T321" s="48">
        <f t="shared" ca="1" si="242"/>
        <v>0</v>
      </c>
      <c r="U321" s="48">
        <f t="shared" ca="1" si="243"/>
        <v>0</v>
      </c>
    </row>
    <row r="322" spans="1:21" ht="18.75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46">
        <f t="shared" ref="L322:N322" ca="1" si="246">L325+L328</f>
        <v>20000</v>
      </c>
      <c r="M322" s="46">
        <f t="shared" ca="1" si="246"/>
        <v>20000</v>
      </c>
      <c r="N322" s="46">
        <f t="shared" ca="1" si="246"/>
        <v>20000</v>
      </c>
      <c r="O322" s="46">
        <f t="shared" ca="1" si="239"/>
        <v>100</v>
      </c>
      <c r="P322" s="46">
        <f t="shared" ca="1" si="240"/>
        <v>100</v>
      </c>
      <c r="Q322" s="46">
        <f t="shared" ref="Q322:S322" ca="1" si="247">Q325+Q328</f>
        <v>0</v>
      </c>
      <c r="R322" s="46">
        <f t="shared" ca="1" si="247"/>
        <v>0</v>
      </c>
      <c r="S322" s="46">
        <f t="shared" ca="1" si="247"/>
        <v>0</v>
      </c>
      <c r="T322" s="46">
        <f t="shared" ca="1" si="242"/>
        <v>0</v>
      </c>
      <c r="U322" s="46">
        <f t="shared" ca="1" si="243"/>
        <v>0</v>
      </c>
    </row>
    <row r="323" spans="1:21" ht="18.75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46">
        <f t="shared" ref="L323:N323" ca="1" si="248">L324+L325</f>
        <v>20000</v>
      </c>
      <c r="M323" s="46">
        <f t="shared" ca="1" si="248"/>
        <v>20000</v>
      </c>
      <c r="N323" s="46">
        <f t="shared" ca="1" si="248"/>
        <v>20000</v>
      </c>
      <c r="O323" s="46">
        <f t="shared" ca="1" si="239"/>
        <v>100</v>
      </c>
      <c r="P323" s="46">
        <f t="shared" ca="1" si="240"/>
        <v>100</v>
      </c>
      <c r="Q323" s="46">
        <f t="shared" ref="Q323:S323" ca="1" si="249">Q324+Q325</f>
        <v>0</v>
      </c>
      <c r="R323" s="46">
        <f t="shared" ca="1" si="249"/>
        <v>0</v>
      </c>
      <c r="S323" s="46">
        <f t="shared" ca="1" si="249"/>
        <v>0</v>
      </c>
      <c r="T323" s="46">
        <f t="shared" ca="1" si="242"/>
        <v>0</v>
      </c>
      <c r="U323" s="46">
        <f t="shared" ca="1" si="243"/>
        <v>0</v>
      </c>
    </row>
    <row r="324" spans="1:21" ht="18.75" x14ac:dyDescent="0.25">
      <c r="A324" s="128"/>
      <c r="B324" s="40"/>
      <c r="C324" s="40"/>
      <c r="D324" s="40"/>
      <c r="E324" s="47" t="s">
        <v>36</v>
      </c>
      <c r="F324" s="40"/>
      <c r="G324" s="42"/>
      <c r="H324" s="134" t="s">
        <v>14</v>
      </c>
      <c r="I324" s="135"/>
      <c r="J324" s="135"/>
      <c r="K324" s="136"/>
      <c r="L324" s="46">
        <f ca="1">IFERROR(__xludf.DUMMYFUNCTION("IMPORTRANGE(""https://docs.google.com/spreadsheets/d/1jTcq05yEiRwXcBMLjiodW9e4biSGYWAHcDj22rKWQ3s/edit?usp=sharing"",""กำแพงเพชร!L324"")+IMPORTRANGE(""https://docs.google.com/spreadsheets/d/1KS0zmDSZPk8KnTAbGN-Xk6MtX1YRZD0ldgdt20K4CRk/edit?usp=sharing"","&amp;"""เชียงราย!L324"")+IMPORTRANGE(""https://docs.google.com/spreadsheets/d/1rEDxBtusbi64tE0zunoIbsTVV16HeL0oJ6trHQeQ7K8/edit?usp=sharing"",""เชียงใหม่!L324"")+IMPORTRANGE(""https://docs.google.com/spreadsheets/d/1W6MnUbDkMi6xHnHko_XkFDO9kkuL6Wqyc-6OCDFjW9I/e"&amp;"dit?usp=sharing"",""ตาก!L324"")+IMPORTRANGE(""https://docs.google.com/spreadsheets/d/1IQAWArduLkta9LpYo4a_ULsyqdta6-6aDDiwpUnQT6c/edit?usp=sharing"",""นครสวรรค์!L324"")+IMPORTRANGE(""https://docs.google.com/spreadsheets/d/10s13Sk5xrltsiR-Zkbmk5DwIaDIKO8Xl"&amp;"bJAfqyT7Gvg/edit?usp=sharing"",""น่าน!L324"")+IMPORTRANGE(""https://docs.google.com/spreadsheets/d/1uu4nAn4Dbi1XREnLKKotUANlKXa7yCgRcgq8HEzQYW8/edit?usp=sharing"",""พะเยา!L324"")+IMPORTRANGE(""https://docs.google.com/spreadsheets/d/1xfJKIQxVOaPDIICqsflNlL"&amp;"u3JacTDk1FP9RH4phX7mI/edit?usp=sharing"",""พิจิตร!L324"")+IMPORTRANGE(""https://docs.google.com/spreadsheets/d/1JtRfZkJMHtEhI5RdRHxYUG4FIZHqKDpNyIuN7A1Q0_k/edit?usp=sharing"",""พิษณุโลก!L324"")+IMPORTRANGE(""https://docs.google.com/spreadsheets/d/1xlcVZWU"&amp;"Nn6SuWm0c307h32SiGkd9BaeQWlAktfD3KO8/edit?usp=sharing"",""เพชรบูรณ์!L324"")+IMPORTRANGE(""https://docs.google.com/spreadsheets/d/1lOVebEIsI9qjGXl6EX66luk7wiuP2tBaryw-wKvv4e0/edit?usp=sharing"",""แพร่!L324"")+IMPORTRANGE(""https://docs.google.com/spreadshe"&amp;"ets/d/1dQrvX0vEcN7Gu0fnZ0B5S90AeR19zth4XlExFBeExMY/edit?usp=sharing"",""แม่ฮ่องสอน!L324"")+IMPORTRANGE(""https://docs.google.com/spreadsheets/d/1DY4XTNNwjluuxqdfdn6qvOSlMRrZqUtmYcZR0ttFiG4/edit?usp=sharing"",""ลำปาง!L324"")+IMPORTRANGE(""https://docs.goog"&amp;"le.com/spreadsheets/d/1ICwG78r0OFT8biBlxnBF8r7she7gNSzOvJ958PWT09c/edit?usp=sharing"",""ลำพูน!L324"")+IMPORTRANGE(""https://docs.google.com/spreadsheets/d/1B0f2xJpZUC6Z0xXnqKlZtEPzsf6L84eP1r1Q15seqRM/edit?usp=sharing"",""สุโขทัย!L324"")+IMPORTRANGE(""http"&amp;"s://docs.google.com/spreadsheets/d/1v0b9pFQCsKUVExMei7AgY2yQkdeNQvtOssygGsXbiKo/edit?usp=sharing"",""อุตรดิตถ์!L324"")+IMPORTRANGE(""https://docs.google.com/spreadsheets/d/1UsNK1e-WWiCo2PvGqdNfdme4m17_Ezd3J69EeeiQPD0/edit?usp=sharing"",""อุทัยธานี!L324"")"),0)</f>
        <v>0</v>
      </c>
      <c r="M324" s="46">
        <f ca="1">IFERROR(__xludf.DUMMYFUNCTION("IMPORTRANGE(""https://docs.google.com/spreadsheets/d/1jTcq05yEiRwXcBMLjiodW9e4biSGYWAHcDj22rKWQ3s/edit?usp=sharing"",""กำแพงเพชร!M324"")+IMPORTRANGE(""https://docs.google.com/spreadsheets/d/1KS0zmDSZPk8KnTAbGN-Xk6MtX1YRZD0ldgdt20K4CRk/edit?usp=sharing"","&amp;"""เชียงราย!M324"")+IMPORTRANGE(""https://docs.google.com/spreadsheets/d/1rEDxBtusbi64tE0zunoIbsTVV16HeL0oJ6trHQeQ7K8/edit?usp=sharing"",""เชียงใหม่!M324"")+IMPORTRANGE(""https://docs.google.com/spreadsheets/d/1W6MnUbDkMi6xHnHko_XkFDO9kkuL6Wqyc-6OCDFjW9I/e"&amp;"dit?usp=sharing"",""ตาก!M324"")+IMPORTRANGE(""https://docs.google.com/spreadsheets/d/1IQAWArduLkta9LpYo4a_ULsyqdta6-6aDDiwpUnQT6c/edit?usp=sharing"",""นครสวรรค์!M324"")+IMPORTRANGE(""https://docs.google.com/spreadsheets/d/10s13Sk5xrltsiR-Zkbmk5DwIaDIKO8Xl"&amp;"bJAfqyT7Gvg/edit?usp=sharing"",""น่าน!M324"")+IMPORTRANGE(""https://docs.google.com/spreadsheets/d/1uu4nAn4Dbi1XREnLKKotUANlKXa7yCgRcgq8HEzQYW8/edit?usp=sharing"",""พะเยา!M324"")+IMPORTRANGE(""https://docs.google.com/spreadsheets/d/1xfJKIQxVOaPDIICqsflNlL"&amp;"u3JacTDk1FP9RH4phX7mI/edit?usp=sharing"",""พิจิตร!M324"")+IMPORTRANGE(""https://docs.google.com/spreadsheets/d/1JtRfZkJMHtEhI5RdRHxYUG4FIZHqKDpNyIuN7A1Q0_k/edit?usp=sharing"",""พิษณุโลก!M324"")+IMPORTRANGE(""https://docs.google.com/spreadsheets/d/1xlcVZWU"&amp;"Nn6SuWm0c307h32SiGkd9BaeQWlAktfD3KO8/edit?usp=sharing"",""เพชรบูรณ์!M324"")+IMPORTRANGE(""https://docs.google.com/spreadsheets/d/1lOVebEIsI9qjGXl6EX66luk7wiuP2tBaryw-wKvv4e0/edit?usp=sharing"",""แพร่!M324"")+IMPORTRANGE(""https://docs.google.com/spreadshe"&amp;"ets/d/1dQrvX0vEcN7Gu0fnZ0B5S90AeR19zth4XlExFBeExMY/edit?usp=sharing"",""แม่ฮ่องสอน!M324"")+IMPORTRANGE(""https://docs.google.com/spreadsheets/d/1DY4XTNNwjluuxqdfdn6qvOSlMRrZqUtmYcZR0ttFiG4/edit?usp=sharing"",""ลำปาง!M324"")+IMPORTRANGE(""https://docs.goog"&amp;"le.com/spreadsheets/d/1ICwG78r0OFT8biBlxnBF8r7she7gNSzOvJ958PWT09c/edit?usp=sharing"",""ลำพูน!M324"")+IMPORTRANGE(""https://docs.google.com/spreadsheets/d/1B0f2xJpZUC6Z0xXnqKlZtEPzsf6L84eP1r1Q15seqRM/edit?usp=sharing"",""สุโขทัย!M324"")+IMPORTRANGE(""http"&amp;"s://docs.google.com/spreadsheets/d/1v0b9pFQCsKUVExMei7AgY2yQkdeNQvtOssygGsXbiKo/edit?usp=sharing"",""อุตรดิตถ์!M324"")+IMPORTRANGE(""https://docs.google.com/spreadsheets/d/1UsNK1e-WWiCo2PvGqdNfdme4m17_Ezd3J69EeeiQPD0/edit?usp=sharing"",""อุทัยธานี!M324"")"),0)</f>
        <v>0</v>
      </c>
      <c r="N324" s="46">
        <f ca="1">IFERROR(__xludf.DUMMYFUNCTION("IMPORTRANGE(""https://docs.google.com/spreadsheets/d/1jTcq05yEiRwXcBMLjiodW9e4biSGYWAHcDj22rKWQ3s/edit?usp=sharing"",""กำแพงเพชร!N324"")+IMPORTRANGE(""https://docs.google.com/spreadsheets/d/1KS0zmDSZPk8KnTAbGN-Xk6MtX1YRZD0ldgdt20K4CRk/edit?usp=sharing"","&amp;"""เชียงราย!N324"")+IMPORTRANGE(""https://docs.google.com/spreadsheets/d/1rEDxBtusbi64tE0zunoIbsTVV16HeL0oJ6trHQeQ7K8/edit?usp=sharing"",""เชียงใหม่!N324"")+IMPORTRANGE(""https://docs.google.com/spreadsheets/d/1W6MnUbDkMi6xHnHko_XkFDO9kkuL6Wqyc-6OCDFjW9I/e"&amp;"dit?usp=sharing"",""ตาก!N324"")+IMPORTRANGE(""https://docs.google.com/spreadsheets/d/1IQAWArduLkta9LpYo4a_ULsyqdta6-6aDDiwpUnQT6c/edit?usp=sharing"",""นครสวรรค์!N324"")+IMPORTRANGE(""https://docs.google.com/spreadsheets/d/10s13Sk5xrltsiR-Zkbmk5DwIaDIKO8Xl"&amp;"bJAfqyT7Gvg/edit?usp=sharing"",""น่าน!N324"")+IMPORTRANGE(""https://docs.google.com/spreadsheets/d/1uu4nAn4Dbi1XREnLKKotUANlKXa7yCgRcgq8HEzQYW8/edit?usp=sharing"",""พะเยา!N324"")+IMPORTRANGE(""https://docs.google.com/spreadsheets/d/1xfJKIQxVOaPDIICqsflNlL"&amp;"u3JacTDk1FP9RH4phX7mI/edit?usp=sharing"",""พิจิตร!N324"")+IMPORTRANGE(""https://docs.google.com/spreadsheets/d/1JtRfZkJMHtEhI5RdRHxYUG4FIZHqKDpNyIuN7A1Q0_k/edit?usp=sharing"",""พิษณุโลก!N324"")+IMPORTRANGE(""https://docs.google.com/spreadsheets/d/1xlcVZWU"&amp;"Nn6SuWm0c307h32SiGkd9BaeQWlAktfD3KO8/edit?usp=sharing"",""เพชรบูรณ์!N324"")+IMPORTRANGE(""https://docs.google.com/spreadsheets/d/1lOVebEIsI9qjGXl6EX66luk7wiuP2tBaryw-wKvv4e0/edit?usp=sharing"",""แพร่!N324"")+IMPORTRANGE(""https://docs.google.com/spreadshe"&amp;"ets/d/1dQrvX0vEcN7Gu0fnZ0B5S90AeR19zth4XlExFBeExMY/edit?usp=sharing"",""แม่ฮ่องสอน!N324"")+IMPORTRANGE(""https://docs.google.com/spreadsheets/d/1DY4XTNNwjluuxqdfdn6qvOSlMRrZqUtmYcZR0ttFiG4/edit?usp=sharing"",""ลำปาง!N324"")+IMPORTRANGE(""https://docs.goog"&amp;"le.com/spreadsheets/d/1ICwG78r0OFT8biBlxnBF8r7she7gNSzOvJ958PWT09c/edit?usp=sharing"",""ลำพูน!N324"")+IMPORTRANGE(""https://docs.google.com/spreadsheets/d/1B0f2xJpZUC6Z0xXnqKlZtEPzsf6L84eP1r1Q15seqRM/edit?usp=sharing"",""สุโขทัย!N324"")+IMPORTRANGE(""http"&amp;"s://docs.google.com/spreadsheets/d/1v0b9pFQCsKUVExMei7AgY2yQkdeNQvtOssygGsXbiKo/edit?usp=sharing"",""อุตรดิตถ์!N324"")+IMPORTRANGE(""https://docs.google.com/spreadsheets/d/1UsNK1e-WWiCo2PvGqdNfdme4m17_Ezd3J69EeeiQPD0/edit?usp=sharing"",""อุทัยธานี!N324"")"),0)</f>
        <v>0</v>
      </c>
      <c r="O324" s="46">
        <f t="shared" ca="1" si="239"/>
        <v>0</v>
      </c>
      <c r="P324" s="46">
        <f t="shared" ca="1" si="240"/>
        <v>0</v>
      </c>
      <c r="Q324" s="48">
        <f ca="1">IFERROR(__xludf.DUMMYFUNCTION("IMPORTRANGE(""https://docs.google.com/spreadsheets/d/1jTcq05yEiRwXcBMLjiodW9e4biSGYWAHcDj22rKWQ3s/edit?usp=sharing"",""กำแพงเพชร!Q324"")+IMPORTRANGE(""https://docs.google.com/spreadsheets/d/1KS0zmDSZPk8KnTAbGN-Xk6MtX1YRZD0ldgdt20K4CRk/edit?usp=sharing"","&amp;"""เชียงราย!Q324"")+IMPORTRANGE(""https://docs.google.com/spreadsheets/d/1rEDxBtusbi64tE0zunoIbsTVV16HeL0oJ6trHQeQ7K8/edit?usp=sharing"",""เชียงใหม่!Q324"")+IMPORTRANGE(""https://docs.google.com/spreadsheets/d/1W6MnUbDkMi6xHnHko_XkFDO9kkuL6Wqyc-6OCDFjW9I/e"&amp;"dit?usp=sharing"",""ตาก!Q324"")+IMPORTRANGE(""https://docs.google.com/spreadsheets/d/1IQAWArduLkta9LpYo4a_ULsyqdta6-6aDDiwpUnQT6c/edit?usp=sharing"",""นครสวรรค์!Q324"")+IMPORTRANGE(""https://docs.google.com/spreadsheets/d/10s13Sk5xrltsiR-Zkbmk5DwIaDIKO8Xl"&amp;"bJAfqyT7Gvg/edit?usp=sharing"",""น่าน!Q324"")+IMPORTRANGE(""https://docs.google.com/spreadsheets/d/1uu4nAn4Dbi1XREnLKKotUANlKXa7yCgRcgq8HEzQYW8/edit?usp=sharing"",""พะเยา!Q324"")+IMPORTRANGE(""https://docs.google.com/spreadsheets/d/1xfJKIQxVOaPDIICqsflNlL"&amp;"u3JacTDk1FP9RH4phX7mI/edit?usp=sharing"",""พิจิตร!Q324"")+IMPORTRANGE(""https://docs.google.com/spreadsheets/d/1JtRfZkJMHtEhI5RdRHxYUG4FIZHqKDpNyIuN7A1Q0_k/edit?usp=sharing"",""พิษณุโลก!Q324"")+IMPORTRANGE(""https://docs.google.com/spreadsheets/d/1xlcVZWU"&amp;"Nn6SuWm0c307h32SiGkd9BaeQWlAktfD3KO8/edit?usp=sharing"",""เพชรบูรณ์!Q324"")+IMPORTRANGE(""https://docs.google.com/spreadsheets/d/1lOVebEIsI9qjGXl6EX66luk7wiuP2tBaryw-wKvv4e0/edit?usp=sharing"",""แพร่!Q324"")+IMPORTRANGE(""https://docs.google.com/spreadshe"&amp;"ets/d/1dQrvX0vEcN7Gu0fnZ0B5S90AeR19zth4XlExFBeExMY/edit?usp=sharing"",""แม่ฮ่องสอน!Q324"")+IMPORTRANGE(""https://docs.google.com/spreadsheets/d/1DY4XTNNwjluuxqdfdn6qvOSlMRrZqUtmYcZR0ttFiG4/edit?usp=sharing"",""ลำปาง!Q324"")+IMPORTRANGE(""https://docs.goog"&amp;"le.com/spreadsheets/d/1ICwG78r0OFT8biBlxnBF8r7she7gNSzOvJ958PWT09c/edit?usp=sharing"",""ลำพูน!Q324"")+IMPORTRANGE(""https://docs.google.com/spreadsheets/d/1B0f2xJpZUC6Z0xXnqKlZtEPzsf6L84eP1r1Q15seqRM/edit?usp=sharing"",""สุโขทัย!Q324"")+IMPORTRANGE(""http"&amp;"s://docs.google.com/spreadsheets/d/1v0b9pFQCsKUVExMei7AgY2yQkdeNQvtOssygGsXbiKo/edit?usp=sharing"",""อุตรดิตถ์!Q324"")+IMPORTRANGE(""https://docs.google.com/spreadsheets/d/1UsNK1e-WWiCo2PvGqdNfdme4m17_Ezd3J69EeeiQPD0/edit?usp=sharing"",""อุทัยธานี!Q324"")"),0)</f>
        <v>0</v>
      </c>
      <c r="R324" s="48">
        <f ca="1">IFERROR(__xludf.DUMMYFUNCTION("IMPORTRANGE(""https://docs.google.com/spreadsheets/d/1jTcq05yEiRwXcBMLjiodW9e4biSGYWAHcDj22rKWQ3s/edit?usp=sharing"",""กำแพงเพชร!R324"")+IMPORTRANGE(""https://docs.google.com/spreadsheets/d/1KS0zmDSZPk8KnTAbGN-Xk6MtX1YRZD0ldgdt20K4CRk/edit?usp=sharing"","&amp;"""เชียงราย!R324"")+IMPORTRANGE(""https://docs.google.com/spreadsheets/d/1rEDxBtusbi64tE0zunoIbsTVV16HeL0oJ6trHQeQ7K8/edit?usp=sharing"",""เชียงใหม่!R324"")+IMPORTRANGE(""https://docs.google.com/spreadsheets/d/1W6MnUbDkMi6xHnHko_XkFDO9kkuL6Wqyc-6OCDFjW9I/e"&amp;"dit?usp=sharing"",""ตาก!R324"")+IMPORTRANGE(""https://docs.google.com/spreadsheets/d/1IQAWArduLkta9LpYo4a_ULsyqdta6-6aDDiwpUnQT6c/edit?usp=sharing"",""นครสวรรค์!R324"")+IMPORTRANGE(""https://docs.google.com/spreadsheets/d/10s13Sk5xrltsiR-Zkbmk5DwIaDIKO8Xl"&amp;"bJAfqyT7Gvg/edit?usp=sharing"",""น่าน!R324"")+IMPORTRANGE(""https://docs.google.com/spreadsheets/d/1uu4nAn4Dbi1XREnLKKotUANlKXa7yCgRcgq8HEzQYW8/edit?usp=sharing"",""พะเยา!R324"")+IMPORTRANGE(""https://docs.google.com/spreadsheets/d/1xfJKIQxVOaPDIICqsflNlL"&amp;"u3JacTDk1FP9RH4phX7mI/edit?usp=sharing"",""พิจิตร!R324"")+IMPORTRANGE(""https://docs.google.com/spreadsheets/d/1JtRfZkJMHtEhI5RdRHxYUG4FIZHqKDpNyIuN7A1Q0_k/edit?usp=sharing"",""พิษณุโลก!R324"")+IMPORTRANGE(""https://docs.google.com/spreadsheets/d/1xlcVZWU"&amp;"Nn6SuWm0c307h32SiGkd9BaeQWlAktfD3KO8/edit?usp=sharing"",""เพชรบูรณ์!R324"")+IMPORTRANGE(""https://docs.google.com/spreadsheets/d/1lOVebEIsI9qjGXl6EX66luk7wiuP2tBaryw-wKvv4e0/edit?usp=sharing"",""แพร่!R324"")+IMPORTRANGE(""https://docs.google.com/spreadshe"&amp;"ets/d/1dQrvX0vEcN7Gu0fnZ0B5S90AeR19zth4XlExFBeExMY/edit?usp=sharing"",""แม่ฮ่องสอน!R324"")+IMPORTRANGE(""https://docs.google.com/spreadsheets/d/1DY4XTNNwjluuxqdfdn6qvOSlMRrZqUtmYcZR0ttFiG4/edit?usp=sharing"",""ลำปาง!R324"")+IMPORTRANGE(""https://docs.goog"&amp;"le.com/spreadsheets/d/1ICwG78r0OFT8biBlxnBF8r7she7gNSzOvJ958PWT09c/edit?usp=sharing"",""ลำพูน!R324"")+IMPORTRANGE(""https://docs.google.com/spreadsheets/d/1B0f2xJpZUC6Z0xXnqKlZtEPzsf6L84eP1r1Q15seqRM/edit?usp=sharing"",""สุโขทัย!R324"")+IMPORTRANGE(""http"&amp;"s://docs.google.com/spreadsheets/d/1v0b9pFQCsKUVExMei7AgY2yQkdeNQvtOssygGsXbiKo/edit?usp=sharing"",""อุตรดิตถ์!R324"")+IMPORTRANGE(""https://docs.google.com/spreadsheets/d/1UsNK1e-WWiCo2PvGqdNfdme4m17_Ezd3J69EeeiQPD0/edit?usp=sharing"",""อุทัยธานี!R324"")"),0)</f>
        <v>0</v>
      </c>
      <c r="S324" s="48">
        <f ca="1">IFERROR(__xludf.DUMMYFUNCTION("IMPORTRANGE(""https://docs.google.com/spreadsheets/d/1jTcq05yEiRwXcBMLjiodW9e4biSGYWAHcDj22rKWQ3s/edit?usp=sharing"",""กำแพงเพชร!S324"")+IMPORTRANGE(""https://docs.google.com/spreadsheets/d/1KS0zmDSZPk8KnTAbGN-Xk6MtX1YRZD0ldgdt20K4CRk/edit?usp=sharing"","&amp;"""เชียงราย!S324"")+IMPORTRANGE(""https://docs.google.com/spreadsheets/d/1rEDxBtusbi64tE0zunoIbsTVV16HeL0oJ6trHQeQ7K8/edit?usp=sharing"",""เชียงใหม่!S324"")+IMPORTRANGE(""https://docs.google.com/spreadsheets/d/1W6MnUbDkMi6xHnHko_XkFDO9kkuL6Wqyc-6OCDFjW9I/e"&amp;"dit?usp=sharing"",""ตาก!S324"")+IMPORTRANGE(""https://docs.google.com/spreadsheets/d/1IQAWArduLkta9LpYo4a_ULsyqdta6-6aDDiwpUnQT6c/edit?usp=sharing"",""นครสวรรค์!S324"")+IMPORTRANGE(""https://docs.google.com/spreadsheets/d/10s13Sk5xrltsiR-Zkbmk5DwIaDIKO8Xl"&amp;"bJAfqyT7Gvg/edit?usp=sharing"",""น่าน!S324"")+IMPORTRANGE(""https://docs.google.com/spreadsheets/d/1uu4nAn4Dbi1XREnLKKotUANlKXa7yCgRcgq8HEzQYW8/edit?usp=sharing"",""พะเยา!S324"")+IMPORTRANGE(""https://docs.google.com/spreadsheets/d/1xfJKIQxVOaPDIICqsflNlL"&amp;"u3JacTDk1FP9RH4phX7mI/edit?usp=sharing"",""พิจิตร!S324"")+IMPORTRANGE(""https://docs.google.com/spreadsheets/d/1JtRfZkJMHtEhI5RdRHxYUG4FIZHqKDpNyIuN7A1Q0_k/edit?usp=sharing"",""พิษณุโลก!S324"")+IMPORTRANGE(""https://docs.google.com/spreadsheets/d/1xlcVZWU"&amp;"Nn6SuWm0c307h32SiGkd9BaeQWlAktfD3KO8/edit?usp=sharing"",""เพชรบูรณ์!S324"")+IMPORTRANGE(""https://docs.google.com/spreadsheets/d/1lOVebEIsI9qjGXl6EX66luk7wiuP2tBaryw-wKvv4e0/edit?usp=sharing"",""แพร่!S324"")+IMPORTRANGE(""https://docs.google.com/spreadshe"&amp;"ets/d/1dQrvX0vEcN7Gu0fnZ0B5S90AeR19zth4XlExFBeExMY/edit?usp=sharing"",""แม่ฮ่องสอน!S324"")+IMPORTRANGE(""https://docs.google.com/spreadsheets/d/1DY4XTNNwjluuxqdfdn6qvOSlMRrZqUtmYcZR0ttFiG4/edit?usp=sharing"",""ลำปาง!S324"")+IMPORTRANGE(""https://docs.goog"&amp;"le.com/spreadsheets/d/1ICwG78r0OFT8biBlxnBF8r7she7gNSzOvJ958PWT09c/edit?usp=sharing"",""ลำพูน!S324"")+IMPORTRANGE(""https://docs.google.com/spreadsheets/d/1B0f2xJpZUC6Z0xXnqKlZtEPzsf6L84eP1r1Q15seqRM/edit?usp=sharing"",""สุโขทัย!S324"")+IMPORTRANGE(""http"&amp;"s://docs.google.com/spreadsheets/d/1v0b9pFQCsKUVExMei7AgY2yQkdeNQvtOssygGsXbiKo/edit?usp=sharing"",""อุตรดิตถ์!S324"")+IMPORTRANGE(""https://docs.google.com/spreadsheets/d/1UsNK1e-WWiCo2PvGqdNfdme4m17_Ezd3J69EeeiQPD0/edit?usp=sharing"",""อุทัยธานี!S324"")"),0)</f>
        <v>0</v>
      </c>
      <c r="T324" s="48">
        <f t="shared" ca="1" si="242"/>
        <v>0</v>
      </c>
      <c r="U324" s="48">
        <f t="shared" ca="1" si="243"/>
        <v>0</v>
      </c>
    </row>
    <row r="325" spans="1:21" ht="18.75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46">
        <f ca="1">IFERROR(__xludf.DUMMYFUNCTION("IMPORTRANGE(""https://docs.google.com/spreadsheets/d/1jTcq05yEiRwXcBMLjiodW9e4biSGYWAHcDj22rKWQ3s/edit?usp=sharing"",""กำแพงเพชร!L325"")+IMPORTRANGE(""https://docs.google.com/spreadsheets/d/1KS0zmDSZPk8KnTAbGN-Xk6MtX1YRZD0ldgdt20K4CRk/edit?usp=sharing"","&amp;"""เชียงราย!L325"")+IMPORTRANGE(""https://docs.google.com/spreadsheets/d/1rEDxBtusbi64tE0zunoIbsTVV16HeL0oJ6trHQeQ7K8/edit?usp=sharing"",""เชียงใหม่!L325"")+IMPORTRANGE(""https://docs.google.com/spreadsheets/d/1W6MnUbDkMi6xHnHko_XkFDO9kkuL6Wqyc-6OCDFjW9I/e"&amp;"dit?usp=sharing"",""ตาก!L325"")+IMPORTRANGE(""https://docs.google.com/spreadsheets/d/1IQAWArduLkta9LpYo4a_ULsyqdta6-6aDDiwpUnQT6c/edit?usp=sharing"",""นครสวรรค์!L325"")+IMPORTRANGE(""https://docs.google.com/spreadsheets/d/10s13Sk5xrltsiR-Zkbmk5DwIaDIKO8Xl"&amp;"bJAfqyT7Gvg/edit?usp=sharing"",""น่าน!L325"")+IMPORTRANGE(""https://docs.google.com/spreadsheets/d/1uu4nAn4Dbi1XREnLKKotUANlKXa7yCgRcgq8HEzQYW8/edit?usp=sharing"",""พะเยา!L325"")+IMPORTRANGE(""https://docs.google.com/spreadsheets/d/1xfJKIQxVOaPDIICqsflNlL"&amp;"u3JacTDk1FP9RH4phX7mI/edit?usp=sharing"",""พิจิตร!L325"")+IMPORTRANGE(""https://docs.google.com/spreadsheets/d/1JtRfZkJMHtEhI5RdRHxYUG4FIZHqKDpNyIuN7A1Q0_k/edit?usp=sharing"",""พิษณุโลก!L325"")+IMPORTRANGE(""https://docs.google.com/spreadsheets/d/1xlcVZWU"&amp;"Nn6SuWm0c307h32SiGkd9BaeQWlAktfD3KO8/edit?usp=sharing"",""เพชรบูรณ์!L325"")+IMPORTRANGE(""https://docs.google.com/spreadsheets/d/1lOVebEIsI9qjGXl6EX66luk7wiuP2tBaryw-wKvv4e0/edit?usp=sharing"",""แพร่!L325"")+IMPORTRANGE(""https://docs.google.com/spreadshe"&amp;"ets/d/1dQrvX0vEcN7Gu0fnZ0B5S90AeR19zth4XlExFBeExMY/edit?usp=sharing"",""แม่ฮ่องสอน!L325"")+IMPORTRANGE(""https://docs.google.com/spreadsheets/d/1DY4XTNNwjluuxqdfdn6qvOSlMRrZqUtmYcZR0ttFiG4/edit?usp=sharing"",""ลำปาง!L325"")+IMPORTRANGE(""https://docs.goog"&amp;"le.com/spreadsheets/d/1ICwG78r0OFT8biBlxnBF8r7she7gNSzOvJ958PWT09c/edit?usp=sharing"",""ลำพูน!L325"")+IMPORTRANGE(""https://docs.google.com/spreadsheets/d/1B0f2xJpZUC6Z0xXnqKlZtEPzsf6L84eP1r1Q15seqRM/edit?usp=sharing"",""สุโขทัย!L325"")+IMPORTRANGE(""http"&amp;"s://docs.google.com/spreadsheets/d/1v0b9pFQCsKUVExMei7AgY2yQkdeNQvtOssygGsXbiKo/edit?usp=sharing"",""อุตรดิตถ์!L325"")+IMPORTRANGE(""https://docs.google.com/spreadsheets/d/1UsNK1e-WWiCo2PvGqdNfdme4m17_Ezd3J69EeeiQPD0/edit?usp=sharing"",""อุทัยธานี!L325"")"),20000)</f>
        <v>20000</v>
      </c>
      <c r="M325" s="46">
        <f ca="1">IFERROR(__xludf.DUMMYFUNCTION("IMPORTRANGE(""https://docs.google.com/spreadsheets/d/1jTcq05yEiRwXcBMLjiodW9e4biSGYWAHcDj22rKWQ3s/edit?usp=sharing"",""กำแพงเพชร!M325"")+IMPORTRANGE(""https://docs.google.com/spreadsheets/d/1KS0zmDSZPk8KnTAbGN-Xk6MtX1YRZD0ldgdt20K4CRk/edit?usp=sharing"","&amp;"""เชียงราย!M325"")+IMPORTRANGE(""https://docs.google.com/spreadsheets/d/1rEDxBtusbi64tE0zunoIbsTVV16HeL0oJ6trHQeQ7K8/edit?usp=sharing"",""เชียงใหม่!M325"")+IMPORTRANGE(""https://docs.google.com/spreadsheets/d/1W6MnUbDkMi6xHnHko_XkFDO9kkuL6Wqyc-6OCDFjW9I/e"&amp;"dit?usp=sharing"",""ตาก!M325"")+IMPORTRANGE(""https://docs.google.com/spreadsheets/d/1IQAWArduLkta9LpYo4a_ULsyqdta6-6aDDiwpUnQT6c/edit?usp=sharing"",""นครสวรรค์!M325"")+IMPORTRANGE(""https://docs.google.com/spreadsheets/d/10s13Sk5xrltsiR-Zkbmk5DwIaDIKO8Xl"&amp;"bJAfqyT7Gvg/edit?usp=sharing"",""น่าน!M325"")+IMPORTRANGE(""https://docs.google.com/spreadsheets/d/1uu4nAn4Dbi1XREnLKKotUANlKXa7yCgRcgq8HEzQYW8/edit?usp=sharing"",""พะเยา!M325"")+IMPORTRANGE(""https://docs.google.com/spreadsheets/d/1xfJKIQxVOaPDIICqsflNlL"&amp;"u3JacTDk1FP9RH4phX7mI/edit?usp=sharing"",""พิจิตร!M325"")+IMPORTRANGE(""https://docs.google.com/spreadsheets/d/1JtRfZkJMHtEhI5RdRHxYUG4FIZHqKDpNyIuN7A1Q0_k/edit?usp=sharing"",""พิษณุโลก!M325"")+IMPORTRANGE(""https://docs.google.com/spreadsheets/d/1xlcVZWU"&amp;"Nn6SuWm0c307h32SiGkd9BaeQWlAktfD3KO8/edit?usp=sharing"",""เพชรบูรณ์!M325"")+IMPORTRANGE(""https://docs.google.com/spreadsheets/d/1lOVebEIsI9qjGXl6EX66luk7wiuP2tBaryw-wKvv4e0/edit?usp=sharing"",""แพร่!M325"")+IMPORTRANGE(""https://docs.google.com/spreadshe"&amp;"ets/d/1dQrvX0vEcN7Gu0fnZ0B5S90AeR19zth4XlExFBeExMY/edit?usp=sharing"",""แม่ฮ่องสอน!M325"")+IMPORTRANGE(""https://docs.google.com/spreadsheets/d/1DY4XTNNwjluuxqdfdn6qvOSlMRrZqUtmYcZR0ttFiG4/edit?usp=sharing"",""ลำปาง!M325"")+IMPORTRANGE(""https://docs.goog"&amp;"le.com/spreadsheets/d/1ICwG78r0OFT8biBlxnBF8r7she7gNSzOvJ958PWT09c/edit?usp=sharing"",""ลำพูน!M325"")+IMPORTRANGE(""https://docs.google.com/spreadsheets/d/1B0f2xJpZUC6Z0xXnqKlZtEPzsf6L84eP1r1Q15seqRM/edit?usp=sharing"",""สุโขทัย!M325"")+IMPORTRANGE(""http"&amp;"s://docs.google.com/spreadsheets/d/1v0b9pFQCsKUVExMei7AgY2yQkdeNQvtOssygGsXbiKo/edit?usp=sharing"",""อุตรดิตถ์!M325"")+IMPORTRANGE(""https://docs.google.com/spreadsheets/d/1UsNK1e-WWiCo2PvGqdNfdme4m17_Ezd3J69EeeiQPD0/edit?usp=sharing"",""อุทัยธานี!M325"")"),20000)</f>
        <v>20000</v>
      </c>
      <c r="N325" s="46">
        <f ca="1">IFERROR(__xludf.DUMMYFUNCTION("IMPORTRANGE(""https://docs.google.com/spreadsheets/d/1jTcq05yEiRwXcBMLjiodW9e4biSGYWAHcDj22rKWQ3s/edit?usp=sharing"",""กำแพงเพชร!N325"")+IMPORTRANGE(""https://docs.google.com/spreadsheets/d/1KS0zmDSZPk8KnTAbGN-Xk6MtX1YRZD0ldgdt20K4CRk/edit?usp=sharing"","&amp;"""เชียงราย!N325"")+IMPORTRANGE(""https://docs.google.com/spreadsheets/d/1rEDxBtusbi64tE0zunoIbsTVV16HeL0oJ6trHQeQ7K8/edit?usp=sharing"",""เชียงใหม่!N325"")+IMPORTRANGE(""https://docs.google.com/spreadsheets/d/1W6MnUbDkMi6xHnHko_XkFDO9kkuL6Wqyc-6OCDFjW9I/e"&amp;"dit?usp=sharing"",""ตาก!N325"")+IMPORTRANGE(""https://docs.google.com/spreadsheets/d/1IQAWArduLkta9LpYo4a_ULsyqdta6-6aDDiwpUnQT6c/edit?usp=sharing"",""นครสวรรค์!N325"")+IMPORTRANGE(""https://docs.google.com/spreadsheets/d/10s13Sk5xrltsiR-Zkbmk5DwIaDIKO8Xl"&amp;"bJAfqyT7Gvg/edit?usp=sharing"",""น่าน!N325"")+IMPORTRANGE(""https://docs.google.com/spreadsheets/d/1uu4nAn4Dbi1XREnLKKotUANlKXa7yCgRcgq8HEzQYW8/edit?usp=sharing"",""พะเยา!N325"")+IMPORTRANGE(""https://docs.google.com/spreadsheets/d/1xfJKIQxVOaPDIICqsflNlL"&amp;"u3JacTDk1FP9RH4phX7mI/edit?usp=sharing"",""พิจิตร!N325"")+IMPORTRANGE(""https://docs.google.com/spreadsheets/d/1JtRfZkJMHtEhI5RdRHxYUG4FIZHqKDpNyIuN7A1Q0_k/edit?usp=sharing"",""พิษณุโลก!N325"")+IMPORTRANGE(""https://docs.google.com/spreadsheets/d/1xlcVZWU"&amp;"Nn6SuWm0c307h32SiGkd9BaeQWlAktfD3KO8/edit?usp=sharing"",""เพชรบูรณ์!N325"")+IMPORTRANGE(""https://docs.google.com/spreadsheets/d/1lOVebEIsI9qjGXl6EX66luk7wiuP2tBaryw-wKvv4e0/edit?usp=sharing"",""แพร่!N325"")+IMPORTRANGE(""https://docs.google.com/spreadshe"&amp;"ets/d/1dQrvX0vEcN7Gu0fnZ0B5S90AeR19zth4XlExFBeExMY/edit?usp=sharing"",""แม่ฮ่องสอน!N325"")+IMPORTRANGE(""https://docs.google.com/spreadsheets/d/1DY4XTNNwjluuxqdfdn6qvOSlMRrZqUtmYcZR0ttFiG4/edit?usp=sharing"",""ลำปาง!N325"")+IMPORTRANGE(""https://docs.goog"&amp;"le.com/spreadsheets/d/1ICwG78r0OFT8biBlxnBF8r7she7gNSzOvJ958PWT09c/edit?usp=sharing"",""ลำพูน!N325"")+IMPORTRANGE(""https://docs.google.com/spreadsheets/d/1B0f2xJpZUC6Z0xXnqKlZtEPzsf6L84eP1r1Q15seqRM/edit?usp=sharing"",""สุโขทัย!N325"")+IMPORTRANGE(""http"&amp;"s://docs.google.com/spreadsheets/d/1v0b9pFQCsKUVExMei7AgY2yQkdeNQvtOssygGsXbiKo/edit?usp=sharing"",""อุตรดิตถ์!N325"")+IMPORTRANGE(""https://docs.google.com/spreadsheets/d/1UsNK1e-WWiCo2PvGqdNfdme4m17_Ezd3J69EeeiQPD0/edit?usp=sharing"",""อุทัยธานี!N325"")"),20000)</f>
        <v>20000</v>
      </c>
      <c r="O325" s="46">
        <f t="shared" ca="1" si="239"/>
        <v>100</v>
      </c>
      <c r="P325" s="46">
        <f t="shared" ca="1" si="240"/>
        <v>100</v>
      </c>
      <c r="Q325" s="46">
        <f ca="1">IFERROR(__xludf.DUMMYFUNCTION("IMPORTRANGE(""https://docs.google.com/spreadsheets/d/1jTcq05yEiRwXcBMLjiodW9e4biSGYWAHcDj22rKWQ3s/edit?usp=sharing"",""กำแพงเพชร!Q325"")+IMPORTRANGE(""https://docs.google.com/spreadsheets/d/1KS0zmDSZPk8KnTAbGN-Xk6MtX1YRZD0ldgdt20K4CRk/edit?usp=sharing"","&amp;"""เชียงราย!Q325"")+IMPORTRANGE(""https://docs.google.com/spreadsheets/d/1rEDxBtusbi64tE0zunoIbsTVV16HeL0oJ6trHQeQ7K8/edit?usp=sharing"",""เชียงใหม่!Q325"")+IMPORTRANGE(""https://docs.google.com/spreadsheets/d/1W6MnUbDkMi6xHnHko_XkFDO9kkuL6Wqyc-6OCDFjW9I/e"&amp;"dit?usp=sharing"",""ตาก!Q325"")+IMPORTRANGE(""https://docs.google.com/spreadsheets/d/1IQAWArduLkta9LpYo4a_ULsyqdta6-6aDDiwpUnQT6c/edit?usp=sharing"",""นครสวรรค์!Q325"")+IMPORTRANGE(""https://docs.google.com/spreadsheets/d/10s13Sk5xrltsiR-Zkbmk5DwIaDIKO8Xl"&amp;"bJAfqyT7Gvg/edit?usp=sharing"",""น่าน!Q325"")+IMPORTRANGE(""https://docs.google.com/spreadsheets/d/1uu4nAn4Dbi1XREnLKKotUANlKXa7yCgRcgq8HEzQYW8/edit?usp=sharing"",""พะเยา!Q325"")+IMPORTRANGE(""https://docs.google.com/spreadsheets/d/1xfJKIQxVOaPDIICqsflNlL"&amp;"u3JacTDk1FP9RH4phX7mI/edit?usp=sharing"",""พิจิตร!Q325"")+IMPORTRANGE(""https://docs.google.com/spreadsheets/d/1JtRfZkJMHtEhI5RdRHxYUG4FIZHqKDpNyIuN7A1Q0_k/edit?usp=sharing"",""พิษณุโลก!Q325"")+IMPORTRANGE(""https://docs.google.com/spreadsheets/d/1xlcVZWU"&amp;"Nn6SuWm0c307h32SiGkd9BaeQWlAktfD3KO8/edit?usp=sharing"",""เพชรบูรณ์!Q325"")+IMPORTRANGE(""https://docs.google.com/spreadsheets/d/1lOVebEIsI9qjGXl6EX66luk7wiuP2tBaryw-wKvv4e0/edit?usp=sharing"",""แพร่!Q325"")+IMPORTRANGE(""https://docs.google.com/spreadshe"&amp;"ets/d/1dQrvX0vEcN7Gu0fnZ0B5S90AeR19zth4XlExFBeExMY/edit?usp=sharing"",""แม่ฮ่องสอน!Q325"")+IMPORTRANGE(""https://docs.google.com/spreadsheets/d/1DY4XTNNwjluuxqdfdn6qvOSlMRrZqUtmYcZR0ttFiG4/edit?usp=sharing"",""ลำปาง!Q325"")+IMPORTRANGE(""https://docs.goog"&amp;"le.com/spreadsheets/d/1ICwG78r0OFT8biBlxnBF8r7she7gNSzOvJ958PWT09c/edit?usp=sharing"",""ลำพูน!Q325"")+IMPORTRANGE(""https://docs.google.com/spreadsheets/d/1B0f2xJpZUC6Z0xXnqKlZtEPzsf6L84eP1r1Q15seqRM/edit?usp=sharing"",""สุโขทัย!Q325"")+IMPORTRANGE(""http"&amp;"s://docs.google.com/spreadsheets/d/1v0b9pFQCsKUVExMei7AgY2yQkdeNQvtOssygGsXbiKo/edit?usp=sharing"",""อุตรดิตถ์!Q325"")+IMPORTRANGE(""https://docs.google.com/spreadsheets/d/1UsNK1e-WWiCo2PvGqdNfdme4m17_Ezd3J69EeeiQPD0/edit?usp=sharing"",""อุทัยธานี!Q325"")"),0)</f>
        <v>0</v>
      </c>
      <c r="R325" s="46">
        <f ca="1">IFERROR(__xludf.DUMMYFUNCTION("IMPORTRANGE(""https://docs.google.com/spreadsheets/d/1jTcq05yEiRwXcBMLjiodW9e4biSGYWAHcDj22rKWQ3s/edit?usp=sharing"",""กำแพงเพชร!R325"")+IMPORTRANGE(""https://docs.google.com/spreadsheets/d/1KS0zmDSZPk8KnTAbGN-Xk6MtX1YRZD0ldgdt20K4CRk/edit?usp=sharing"","&amp;"""เชียงราย!R325"")+IMPORTRANGE(""https://docs.google.com/spreadsheets/d/1rEDxBtusbi64tE0zunoIbsTVV16HeL0oJ6trHQeQ7K8/edit?usp=sharing"",""เชียงใหม่!R325"")+IMPORTRANGE(""https://docs.google.com/spreadsheets/d/1W6MnUbDkMi6xHnHko_XkFDO9kkuL6Wqyc-6OCDFjW9I/e"&amp;"dit?usp=sharing"",""ตาก!R325"")+IMPORTRANGE(""https://docs.google.com/spreadsheets/d/1IQAWArduLkta9LpYo4a_ULsyqdta6-6aDDiwpUnQT6c/edit?usp=sharing"",""นครสวรรค์!R325"")+IMPORTRANGE(""https://docs.google.com/spreadsheets/d/10s13Sk5xrltsiR-Zkbmk5DwIaDIKO8Xl"&amp;"bJAfqyT7Gvg/edit?usp=sharing"",""น่าน!R325"")+IMPORTRANGE(""https://docs.google.com/spreadsheets/d/1uu4nAn4Dbi1XREnLKKotUANlKXa7yCgRcgq8HEzQYW8/edit?usp=sharing"",""พะเยา!R325"")+IMPORTRANGE(""https://docs.google.com/spreadsheets/d/1xfJKIQxVOaPDIICqsflNlL"&amp;"u3JacTDk1FP9RH4phX7mI/edit?usp=sharing"",""พิจิตร!R325"")+IMPORTRANGE(""https://docs.google.com/spreadsheets/d/1JtRfZkJMHtEhI5RdRHxYUG4FIZHqKDpNyIuN7A1Q0_k/edit?usp=sharing"",""พิษณุโลก!R325"")+IMPORTRANGE(""https://docs.google.com/spreadsheets/d/1xlcVZWU"&amp;"Nn6SuWm0c307h32SiGkd9BaeQWlAktfD3KO8/edit?usp=sharing"",""เพชรบูรณ์!R325"")+IMPORTRANGE(""https://docs.google.com/spreadsheets/d/1lOVebEIsI9qjGXl6EX66luk7wiuP2tBaryw-wKvv4e0/edit?usp=sharing"",""แพร่!R325"")+IMPORTRANGE(""https://docs.google.com/spreadshe"&amp;"ets/d/1dQrvX0vEcN7Gu0fnZ0B5S90AeR19zth4XlExFBeExMY/edit?usp=sharing"",""แม่ฮ่องสอน!R325"")+IMPORTRANGE(""https://docs.google.com/spreadsheets/d/1DY4XTNNwjluuxqdfdn6qvOSlMRrZqUtmYcZR0ttFiG4/edit?usp=sharing"",""ลำปาง!R325"")+IMPORTRANGE(""https://docs.goog"&amp;"le.com/spreadsheets/d/1ICwG78r0OFT8biBlxnBF8r7she7gNSzOvJ958PWT09c/edit?usp=sharing"",""ลำพูน!R325"")+IMPORTRANGE(""https://docs.google.com/spreadsheets/d/1B0f2xJpZUC6Z0xXnqKlZtEPzsf6L84eP1r1Q15seqRM/edit?usp=sharing"",""สุโขทัย!R325"")+IMPORTRANGE(""http"&amp;"s://docs.google.com/spreadsheets/d/1v0b9pFQCsKUVExMei7AgY2yQkdeNQvtOssygGsXbiKo/edit?usp=sharing"",""อุตรดิตถ์!R325"")+IMPORTRANGE(""https://docs.google.com/spreadsheets/d/1UsNK1e-WWiCo2PvGqdNfdme4m17_Ezd3J69EeeiQPD0/edit?usp=sharing"",""อุทัยธานี!R325"")"),0)</f>
        <v>0</v>
      </c>
      <c r="S325" s="46">
        <f ca="1">IFERROR(__xludf.DUMMYFUNCTION("IMPORTRANGE(""https://docs.google.com/spreadsheets/d/1jTcq05yEiRwXcBMLjiodW9e4biSGYWAHcDj22rKWQ3s/edit?usp=sharing"",""กำแพงเพชร!S325"")+IMPORTRANGE(""https://docs.google.com/spreadsheets/d/1KS0zmDSZPk8KnTAbGN-Xk6MtX1YRZD0ldgdt20K4CRk/edit?usp=sharing"","&amp;"""เชียงราย!S325"")+IMPORTRANGE(""https://docs.google.com/spreadsheets/d/1rEDxBtusbi64tE0zunoIbsTVV16HeL0oJ6trHQeQ7K8/edit?usp=sharing"",""เชียงใหม่!S325"")+IMPORTRANGE(""https://docs.google.com/spreadsheets/d/1W6MnUbDkMi6xHnHko_XkFDO9kkuL6Wqyc-6OCDFjW9I/e"&amp;"dit?usp=sharing"",""ตาก!S325"")+IMPORTRANGE(""https://docs.google.com/spreadsheets/d/1IQAWArduLkta9LpYo4a_ULsyqdta6-6aDDiwpUnQT6c/edit?usp=sharing"",""นครสวรรค์!S325"")+IMPORTRANGE(""https://docs.google.com/spreadsheets/d/10s13Sk5xrltsiR-Zkbmk5DwIaDIKO8Xl"&amp;"bJAfqyT7Gvg/edit?usp=sharing"",""น่าน!S325"")+IMPORTRANGE(""https://docs.google.com/spreadsheets/d/1uu4nAn4Dbi1XREnLKKotUANlKXa7yCgRcgq8HEzQYW8/edit?usp=sharing"",""พะเยา!S325"")+IMPORTRANGE(""https://docs.google.com/spreadsheets/d/1xfJKIQxVOaPDIICqsflNlL"&amp;"u3JacTDk1FP9RH4phX7mI/edit?usp=sharing"",""พิจิตร!S325"")+IMPORTRANGE(""https://docs.google.com/spreadsheets/d/1JtRfZkJMHtEhI5RdRHxYUG4FIZHqKDpNyIuN7A1Q0_k/edit?usp=sharing"",""พิษณุโลก!S325"")+IMPORTRANGE(""https://docs.google.com/spreadsheets/d/1xlcVZWU"&amp;"Nn6SuWm0c307h32SiGkd9BaeQWlAktfD3KO8/edit?usp=sharing"",""เพชรบูรณ์!S325"")+IMPORTRANGE(""https://docs.google.com/spreadsheets/d/1lOVebEIsI9qjGXl6EX66luk7wiuP2tBaryw-wKvv4e0/edit?usp=sharing"",""แพร่!S325"")+IMPORTRANGE(""https://docs.google.com/spreadshe"&amp;"ets/d/1dQrvX0vEcN7Gu0fnZ0B5S90AeR19zth4XlExFBeExMY/edit?usp=sharing"",""แม่ฮ่องสอน!S325"")+IMPORTRANGE(""https://docs.google.com/spreadsheets/d/1DY4XTNNwjluuxqdfdn6qvOSlMRrZqUtmYcZR0ttFiG4/edit?usp=sharing"",""ลำปาง!S325"")+IMPORTRANGE(""https://docs.goog"&amp;"le.com/spreadsheets/d/1ICwG78r0OFT8biBlxnBF8r7she7gNSzOvJ958PWT09c/edit?usp=sharing"",""ลำพูน!S325"")+IMPORTRANGE(""https://docs.google.com/spreadsheets/d/1B0f2xJpZUC6Z0xXnqKlZtEPzsf6L84eP1r1Q15seqRM/edit?usp=sharing"",""สุโขทัย!S325"")+IMPORTRANGE(""http"&amp;"s://docs.google.com/spreadsheets/d/1v0b9pFQCsKUVExMei7AgY2yQkdeNQvtOssygGsXbiKo/edit?usp=sharing"",""อุตรดิตถ์!S325"")+IMPORTRANGE(""https://docs.google.com/spreadsheets/d/1UsNK1e-WWiCo2PvGqdNfdme4m17_Ezd3J69EeeiQPD0/edit?usp=sharing"",""อุทัยธานี!S325"")"),0)</f>
        <v>0</v>
      </c>
      <c r="T325" s="46">
        <f t="shared" ca="1" si="242"/>
        <v>0</v>
      </c>
      <c r="U325" s="46">
        <f t="shared" ca="1" si="243"/>
        <v>0</v>
      </c>
    </row>
    <row r="326" spans="1:21" ht="18.75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46">
        <f t="shared" ref="L326:N326" ca="1" si="250">L327+L328</f>
        <v>0</v>
      </c>
      <c r="M326" s="46">
        <f t="shared" ca="1" si="250"/>
        <v>0</v>
      </c>
      <c r="N326" s="46">
        <f t="shared" ca="1" si="250"/>
        <v>0</v>
      </c>
      <c r="O326" s="46">
        <f t="shared" ca="1" si="239"/>
        <v>0</v>
      </c>
      <c r="P326" s="46">
        <f t="shared" ca="1" si="240"/>
        <v>0</v>
      </c>
      <c r="Q326" s="46">
        <f t="shared" ref="Q326:S326" ca="1" si="251">Q327+Q328</f>
        <v>0</v>
      </c>
      <c r="R326" s="46">
        <f t="shared" ca="1" si="251"/>
        <v>0</v>
      </c>
      <c r="S326" s="46">
        <f t="shared" ca="1" si="251"/>
        <v>0</v>
      </c>
      <c r="T326" s="46">
        <f t="shared" ca="1" si="242"/>
        <v>0</v>
      </c>
      <c r="U326" s="46">
        <f t="shared" ca="1" si="243"/>
        <v>0</v>
      </c>
    </row>
    <row r="327" spans="1:21" ht="18.75" x14ac:dyDescent="0.25">
      <c r="A327" s="128"/>
      <c r="B327" s="40"/>
      <c r="C327" s="40"/>
      <c r="D327" s="40"/>
      <c r="E327" s="47" t="s">
        <v>20</v>
      </c>
      <c r="F327" s="40"/>
      <c r="G327" s="42"/>
      <c r="H327" s="134" t="s">
        <v>14</v>
      </c>
      <c r="I327" s="135"/>
      <c r="J327" s="135"/>
      <c r="K327" s="136"/>
      <c r="L327" s="46">
        <f ca="1">IFERROR(__xludf.DUMMYFUNCTION("IMPORTRANGE(""https://docs.google.com/spreadsheets/d/1jTcq05yEiRwXcBMLjiodW9e4biSGYWAHcDj22rKWQ3s/edit?usp=sharing"",""กำแพงเพชร!L327"")+IMPORTRANGE(""https://docs.google.com/spreadsheets/d/1KS0zmDSZPk8KnTAbGN-Xk6MtX1YRZD0ldgdt20K4CRk/edit?usp=sharing"","&amp;"""เชียงราย!L327"")+IMPORTRANGE(""https://docs.google.com/spreadsheets/d/1rEDxBtusbi64tE0zunoIbsTVV16HeL0oJ6trHQeQ7K8/edit?usp=sharing"",""เชียงใหม่!L327"")+IMPORTRANGE(""https://docs.google.com/spreadsheets/d/1W6MnUbDkMi6xHnHko_XkFDO9kkuL6Wqyc-6OCDFjW9I/e"&amp;"dit?usp=sharing"",""ตาก!L327"")+IMPORTRANGE(""https://docs.google.com/spreadsheets/d/1IQAWArduLkta9LpYo4a_ULsyqdta6-6aDDiwpUnQT6c/edit?usp=sharing"",""นครสวรรค์!L327"")+IMPORTRANGE(""https://docs.google.com/spreadsheets/d/10s13Sk5xrltsiR-Zkbmk5DwIaDIKO8Xl"&amp;"bJAfqyT7Gvg/edit?usp=sharing"",""น่าน!L327"")+IMPORTRANGE(""https://docs.google.com/spreadsheets/d/1uu4nAn4Dbi1XREnLKKotUANlKXa7yCgRcgq8HEzQYW8/edit?usp=sharing"",""พะเยา!L327"")+IMPORTRANGE(""https://docs.google.com/spreadsheets/d/1xfJKIQxVOaPDIICqsflNlL"&amp;"u3JacTDk1FP9RH4phX7mI/edit?usp=sharing"",""พิจิตร!L327"")+IMPORTRANGE(""https://docs.google.com/spreadsheets/d/1JtRfZkJMHtEhI5RdRHxYUG4FIZHqKDpNyIuN7A1Q0_k/edit?usp=sharing"",""พิษณุโลก!L327"")+IMPORTRANGE(""https://docs.google.com/spreadsheets/d/1xlcVZWU"&amp;"Nn6SuWm0c307h32SiGkd9BaeQWlAktfD3KO8/edit?usp=sharing"",""เพชรบูรณ์!L327"")+IMPORTRANGE(""https://docs.google.com/spreadsheets/d/1lOVebEIsI9qjGXl6EX66luk7wiuP2tBaryw-wKvv4e0/edit?usp=sharing"",""แพร่!L327"")+IMPORTRANGE(""https://docs.google.com/spreadshe"&amp;"ets/d/1dQrvX0vEcN7Gu0fnZ0B5S90AeR19zth4XlExFBeExMY/edit?usp=sharing"",""แม่ฮ่องสอน!L327"")+IMPORTRANGE(""https://docs.google.com/spreadsheets/d/1DY4XTNNwjluuxqdfdn6qvOSlMRrZqUtmYcZR0ttFiG4/edit?usp=sharing"",""ลำปาง!L327"")+IMPORTRANGE(""https://docs.goog"&amp;"le.com/spreadsheets/d/1ICwG78r0OFT8biBlxnBF8r7she7gNSzOvJ958PWT09c/edit?usp=sharing"",""ลำพูน!L327"")+IMPORTRANGE(""https://docs.google.com/spreadsheets/d/1B0f2xJpZUC6Z0xXnqKlZtEPzsf6L84eP1r1Q15seqRM/edit?usp=sharing"",""สุโขทัย!L327"")+IMPORTRANGE(""http"&amp;"s://docs.google.com/spreadsheets/d/1v0b9pFQCsKUVExMei7AgY2yQkdeNQvtOssygGsXbiKo/edit?usp=sharing"",""อุตรดิตถ์!L327"")+IMPORTRANGE(""https://docs.google.com/spreadsheets/d/1UsNK1e-WWiCo2PvGqdNfdme4m17_Ezd3J69EeeiQPD0/edit?usp=sharing"",""อุทัยธานี!L327"")"),0)</f>
        <v>0</v>
      </c>
      <c r="M327" s="46">
        <f ca="1">IFERROR(__xludf.DUMMYFUNCTION("IMPORTRANGE(""https://docs.google.com/spreadsheets/d/1jTcq05yEiRwXcBMLjiodW9e4biSGYWAHcDj22rKWQ3s/edit?usp=sharing"",""กำแพงเพชร!M327"")+IMPORTRANGE(""https://docs.google.com/spreadsheets/d/1KS0zmDSZPk8KnTAbGN-Xk6MtX1YRZD0ldgdt20K4CRk/edit?usp=sharing"","&amp;"""เชียงราย!M327"")+IMPORTRANGE(""https://docs.google.com/spreadsheets/d/1rEDxBtusbi64tE0zunoIbsTVV16HeL0oJ6trHQeQ7K8/edit?usp=sharing"",""เชียงใหม่!M327"")+IMPORTRANGE(""https://docs.google.com/spreadsheets/d/1W6MnUbDkMi6xHnHko_XkFDO9kkuL6Wqyc-6OCDFjW9I/e"&amp;"dit?usp=sharing"",""ตาก!M327"")+IMPORTRANGE(""https://docs.google.com/spreadsheets/d/1IQAWArduLkta9LpYo4a_ULsyqdta6-6aDDiwpUnQT6c/edit?usp=sharing"",""นครสวรรค์!M327"")+IMPORTRANGE(""https://docs.google.com/spreadsheets/d/10s13Sk5xrltsiR-Zkbmk5DwIaDIKO8Xl"&amp;"bJAfqyT7Gvg/edit?usp=sharing"",""น่าน!M327"")+IMPORTRANGE(""https://docs.google.com/spreadsheets/d/1uu4nAn4Dbi1XREnLKKotUANlKXa7yCgRcgq8HEzQYW8/edit?usp=sharing"",""พะเยา!M327"")+IMPORTRANGE(""https://docs.google.com/spreadsheets/d/1xfJKIQxVOaPDIICqsflNlL"&amp;"u3JacTDk1FP9RH4phX7mI/edit?usp=sharing"",""พิจิตร!M327"")+IMPORTRANGE(""https://docs.google.com/spreadsheets/d/1JtRfZkJMHtEhI5RdRHxYUG4FIZHqKDpNyIuN7A1Q0_k/edit?usp=sharing"",""พิษณุโลก!M327"")+IMPORTRANGE(""https://docs.google.com/spreadsheets/d/1xlcVZWU"&amp;"Nn6SuWm0c307h32SiGkd9BaeQWlAktfD3KO8/edit?usp=sharing"",""เพชรบูรณ์!M327"")+IMPORTRANGE(""https://docs.google.com/spreadsheets/d/1lOVebEIsI9qjGXl6EX66luk7wiuP2tBaryw-wKvv4e0/edit?usp=sharing"",""แพร่!M327"")+IMPORTRANGE(""https://docs.google.com/spreadshe"&amp;"ets/d/1dQrvX0vEcN7Gu0fnZ0B5S90AeR19zth4XlExFBeExMY/edit?usp=sharing"",""แม่ฮ่องสอน!M327"")+IMPORTRANGE(""https://docs.google.com/spreadsheets/d/1DY4XTNNwjluuxqdfdn6qvOSlMRrZqUtmYcZR0ttFiG4/edit?usp=sharing"",""ลำปาง!M327"")+IMPORTRANGE(""https://docs.goog"&amp;"le.com/spreadsheets/d/1ICwG78r0OFT8biBlxnBF8r7she7gNSzOvJ958PWT09c/edit?usp=sharing"",""ลำพูน!M327"")+IMPORTRANGE(""https://docs.google.com/spreadsheets/d/1B0f2xJpZUC6Z0xXnqKlZtEPzsf6L84eP1r1Q15seqRM/edit?usp=sharing"",""สุโขทัย!M327"")+IMPORTRANGE(""http"&amp;"s://docs.google.com/spreadsheets/d/1v0b9pFQCsKUVExMei7AgY2yQkdeNQvtOssygGsXbiKo/edit?usp=sharing"",""อุตรดิตถ์!M327"")+IMPORTRANGE(""https://docs.google.com/spreadsheets/d/1UsNK1e-WWiCo2PvGqdNfdme4m17_Ezd3J69EeeiQPD0/edit?usp=sharing"",""อุทัยธานี!M327"")"),0)</f>
        <v>0</v>
      </c>
      <c r="N327" s="46">
        <f ca="1">IFERROR(__xludf.DUMMYFUNCTION("IMPORTRANGE(""https://docs.google.com/spreadsheets/d/1jTcq05yEiRwXcBMLjiodW9e4biSGYWAHcDj22rKWQ3s/edit?usp=sharing"",""กำแพงเพชร!N327"")+IMPORTRANGE(""https://docs.google.com/spreadsheets/d/1KS0zmDSZPk8KnTAbGN-Xk6MtX1YRZD0ldgdt20K4CRk/edit?usp=sharing"","&amp;"""เชียงราย!N327"")+IMPORTRANGE(""https://docs.google.com/spreadsheets/d/1rEDxBtusbi64tE0zunoIbsTVV16HeL0oJ6trHQeQ7K8/edit?usp=sharing"",""เชียงใหม่!N327"")+IMPORTRANGE(""https://docs.google.com/spreadsheets/d/1W6MnUbDkMi6xHnHko_XkFDO9kkuL6Wqyc-6OCDFjW9I/e"&amp;"dit?usp=sharing"",""ตาก!N327"")+IMPORTRANGE(""https://docs.google.com/spreadsheets/d/1IQAWArduLkta9LpYo4a_ULsyqdta6-6aDDiwpUnQT6c/edit?usp=sharing"",""นครสวรรค์!N327"")+IMPORTRANGE(""https://docs.google.com/spreadsheets/d/10s13Sk5xrltsiR-Zkbmk5DwIaDIKO8Xl"&amp;"bJAfqyT7Gvg/edit?usp=sharing"",""น่าน!N327"")+IMPORTRANGE(""https://docs.google.com/spreadsheets/d/1uu4nAn4Dbi1XREnLKKotUANlKXa7yCgRcgq8HEzQYW8/edit?usp=sharing"",""พะเยา!N327"")+IMPORTRANGE(""https://docs.google.com/spreadsheets/d/1xfJKIQxVOaPDIICqsflNlL"&amp;"u3JacTDk1FP9RH4phX7mI/edit?usp=sharing"",""พิจิตร!N327"")+IMPORTRANGE(""https://docs.google.com/spreadsheets/d/1JtRfZkJMHtEhI5RdRHxYUG4FIZHqKDpNyIuN7A1Q0_k/edit?usp=sharing"",""พิษณุโลก!N327"")+IMPORTRANGE(""https://docs.google.com/spreadsheets/d/1xlcVZWU"&amp;"Nn6SuWm0c307h32SiGkd9BaeQWlAktfD3KO8/edit?usp=sharing"",""เพชรบูรณ์!N327"")+IMPORTRANGE(""https://docs.google.com/spreadsheets/d/1lOVebEIsI9qjGXl6EX66luk7wiuP2tBaryw-wKvv4e0/edit?usp=sharing"",""แพร่!N327"")+IMPORTRANGE(""https://docs.google.com/spreadshe"&amp;"ets/d/1dQrvX0vEcN7Gu0fnZ0B5S90AeR19zth4XlExFBeExMY/edit?usp=sharing"",""แม่ฮ่องสอน!N327"")+IMPORTRANGE(""https://docs.google.com/spreadsheets/d/1DY4XTNNwjluuxqdfdn6qvOSlMRrZqUtmYcZR0ttFiG4/edit?usp=sharing"",""ลำปาง!N327"")+IMPORTRANGE(""https://docs.goog"&amp;"le.com/spreadsheets/d/1ICwG78r0OFT8biBlxnBF8r7she7gNSzOvJ958PWT09c/edit?usp=sharing"",""ลำพูน!N327"")+IMPORTRANGE(""https://docs.google.com/spreadsheets/d/1B0f2xJpZUC6Z0xXnqKlZtEPzsf6L84eP1r1Q15seqRM/edit?usp=sharing"",""สุโขทัย!N327"")+IMPORTRANGE(""http"&amp;"s://docs.google.com/spreadsheets/d/1v0b9pFQCsKUVExMei7AgY2yQkdeNQvtOssygGsXbiKo/edit?usp=sharing"",""อุตรดิตถ์!N327"")+IMPORTRANGE(""https://docs.google.com/spreadsheets/d/1UsNK1e-WWiCo2PvGqdNfdme4m17_Ezd3J69EeeiQPD0/edit?usp=sharing"",""อุทัยธานี!N327"")"),0)</f>
        <v>0</v>
      </c>
      <c r="O327" s="46">
        <f t="shared" ca="1" si="239"/>
        <v>0</v>
      </c>
      <c r="P327" s="46">
        <f t="shared" ca="1" si="240"/>
        <v>0</v>
      </c>
      <c r="Q327" s="48">
        <f ca="1">IFERROR(__xludf.DUMMYFUNCTION("IMPORTRANGE(""https://docs.google.com/spreadsheets/d/1jTcq05yEiRwXcBMLjiodW9e4biSGYWAHcDj22rKWQ3s/edit?usp=sharing"",""กำแพงเพชร!Q327"")+IMPORTRANGE(""https://docs.google.com/spreadsheets/d/1KS0zmDSZPk8KnTAbGN-Xk6MtX1YRZD0ldgdt20K4CRk/edit?usp=sharing"","&amp;"""เชียงราย!Q327"")+IMPORTRANGE(""https://docs.google.com/spreadsheets/d/1rEDxBtusbi64tE0zunoIbsTVV16HeL0oJ6trHQeQ7K8/edit?usp=sharing"",""เชียงใหม่!Q327"")+IMPORTRANGE(""https://docs.google.com/spreadsheets/d/1W6MnUbDkMi6xHnHko_XkFDO9kkuL6Wqyc-6OCDFjW9I/e"&amp;"dit?usp=sharing"",""ตาก!Q327"")+IMPORTRANGE(""https://docs.google.com/spreadsheets/d/1IQAWArduLkta9LpYo4a_ULsyqdta6-6aDDiwpUnQT6c/edit?usp=sharing"",""นครสวรรค์!Q327"")+IMPORTRANGE(""https://docs.google.com/spreadsheets/d/10s13Sk5xrltsiR-Zkbmk5DwIaDIKO8Xl"&amp;"bJAfqyT7Gvg/edit?usp=sharing"",""น่าน!Q327"")+IMPORTRANGE(""https://docs.google.com/spreadsheets/d/1uu4nAn4Dbi1XREnLKKotUANlKXa7yCgRcgq8HEzQYW8/edit?usp=sharing"",""พะเยา!Q327"")+IMPORTRANGE(""https://docs.google.com/spreadsheets/d/1xfJKIQxVOaPDIICqsflNlL"&amp;"u3JacTDk1FP9RH4phX7mI/edit?usp=sharing"",""พิจิตร!Q327"")+IMPORTRANGE(""https://docs.google.com/spreadsheets/d/1JtRfZkJMHtEhI5RdRHxYUG4FIZHqKDpNyIuN7A1Q0_k/edit?usp=sharing"",""พิษณุโลก!Q327"")+IMPORTRANGE(""https://docs.google.com/spreadsheets/d/1xlcVZWU"&amp;"Nn6SuWm0c307h32SiGkd9BaeQWlAktfD3KO8/edit?usp=sharing"",""เพชรบูรณ์!Q327"")+IMPORTRANGE(""https://docs.google.com/spreadsheets/d/1lOVebEIsI9qjGXl6EX66luk7wiuP2tBaryw-wKvv4e0/edit?usp=sharing"",""แพร่!Q327"")+IMPORTRANGE(""https://docs.google.com/spreadshe"&amp;"ets/d/1dQrvX0vEcN7Gu0fnZ0B5S90AeR19zth4XlExFBeExMY/edit?usp=sharing"",""แม่ฮ่องสอน!Q327"")+IMPORTRANGE(""https://docs.google.com/spreadsheets/d/1DY4XTNNwjluuxqdfdn6qvOSlMRrZqUtmYcZR0ttFiG4/edit?usp=sharing"",""ลำปาง!Q327"")+IMPORTRANGE(""https://docs.goog"&amp;"le.com/spreadsheets/d/1ICwG78r0OFT8biBlxnBF8r7she7gNSzOvJ958PWT09c/edit?usp=sharing"",""ลำพูน!Q327"")+IMPORTRANGE(""https://docs.google.com/spreadsheets/d/1B0f2xJpZUC6Z0xXnqKlZtEPzsf6L84eP1r1Q15seqRM/edit?usp=sharing"",""สุโขทัย!Q327"")+IMPORTRANGE(""http"&amp;"s://docs.google.com/spreadsheets/d/1v0b9pFQCsKUVExMei7AgY2yQkdeNQvtOssygGsXbiKo/edit?usp=sharing"",""อุตรดิตถ์!Q327"")+IMPORTRANGE(""https://docs.google.com/spreadsheets/d/1UsNK1e-WWiCo2PvGqdNfdme4m17_Ezd3J69EeeiQPD0/edit?usp=sharing"",""อุทัยธานี!Q327"")"),0)</f>
        <v>0</v>
      </c>
      <c r="R327" s="48">
        <f ca="1">IFERROR(__xludf.DUMMYFUNCTION("IMPORTRANGE(""https://docs.google.com/spreadsheets/d/1jTcq05yEiRwXcBMLjiodW9e4biSGYWAHcDj22rKWQ3s/edit?usp=sharing"",""กำแพงเพชร!R327"")+IMPORTRANGE(""https://docs.google.com/spreadsheets/d/1KS0zmDSZPk8KnTAbGN-Xk6MtX1YRZD0ldgdt20K4CRk/edit?usp=sharing"","&amp;"""เชียงราย!R327"")+IMPORTRANGE(""https://docs.google.com/spreadsheets/d/1rEDxBtusbi64tE0zunoIbsTVV16HeL0oJ6trHQeQ7K8/edit?usp=sharing"",""เชียงใหม่!R327"")+IMPORTRANGE(""https://docs.google.com/spreadsheets/d/1W6MnUbDkMi6xHnHko_XkFDO9kkuL6Wqyc-6OCDFjW9I/e"&amp;"dit?usp=sharing"",""ตาก!R327"")+IMPORTRANGE(""https://docs.google.com/spreadsheets/d/1IQAWArduLkta9LpYo4a_ULsyqdta6-6aDDiwpUnQT6c/edit?usp=sharing"",""นครสวรรค์!R327"")+IMPORTRANGE(""https://docs.google.com/spreadsheets/d/10s13Sk5xrltsiR-Zkbmk5DwIaDIKO8Xl"&amp;"bJAfqyT7Gvg/edit?usp=sharing"",""น่าน!R327"")+IMPORTRANGE(""https://docs.google.com/spreadsheets/d/1uu4nAn4Dbi1XREnLKKotUANlKXa7yCgRcgq8HEzQYW8/edit?usp=sharing"",""พะเยา!R327"")+IMPORTRANGE(""https://docs.google.com/spreadsheets/d/1xfJKIQxVOaPDIICqsflNlL"&amp;"u3JacTDk1FP9RH4phX7mI/edit?usp=sharing"",""พิจิตร!R327"")+IMPORTRANGE(""https://docs.google.com/spreadsheets/d/1JtRfZkJMHtEhI5RdRHxYUG4FIZHqKDpNyIuN7A1Q0_k/edit?usp=sharing"",""พิษณุโลก!R327"")+IMPORTRANGE(""https://docs.google.com/spreadsheets/d/1xlcVZWU"&amp;"Nn6SuWm0c307h32SiGkd9BaeQWlAktfD3KO8/edit?usp=sharing"",""เพชรบูรณ์!R327"")+IMPORTRANGE(""https://docs.google.com/spreadsheets/d/1lOVebEIsI9qjGXl6EX66luk7wiuP2tBaryw-wKvv4e0/edit?usp=sharing"",""แพร่!R327"")+IMPORTRANGE(""https://docs.google.com/spreadshe"&amp;"ets/d/1dQrvX0vEcN7Gu0fnZ0B5S90AeR19zth4XlExFBeExMY/edit?usp=sharing"",""แม่ฮ่องสอน!R327"")+IMPORTRANGE(""https://docs.google.com/spreadsheets/d/1DY4XTNNwjluuxqdfdn6qvOSlMRrZqUtmYcZR0ttFiG4/edit?usp=sharing"",""ลำปาง!R327"")+IMPORTRANGE(""https://docs.goog"&amp;"le.com/spreadsheets/d/1ICwG78r0OFT8biBlxnBF8r7she7gNSzOvJ958PWT09c/edit?usp=sharing"",""ลำพูน!R327"")+IMPORTRANGE(""https://docs.google.com/spreadsheets/d/1B0f2xJpZUC6Z0xXnqKlZtEPzsf6L84eP1r1Q15seqRM/edit?usp=sharing"",""สุโขทัย!R327"")+IMPORTRANGE(""http"&amp;"s://docs.google.com/spreadsheets/d/1v0b9pFQCsKUVExMei7AgY2yQkdeNQvtOssygGsXbiKo/edit?usp=sharing"",""อุตรดิตถ์!R327"")+IMPORTRANGE(""https://docs.google.com/spreadsheets/d/1UsNK1e-WWiCo2PvGqdNfdme4m17_Ezd3J69EeeiQPD0/edit?usp=sharing"",""อุทัยธานี!R327"")"),0)</f>
        <v>0</v>
      </c>
      <c r="S327" s="48">
        <f ca="1">IFERROR(__xludf.DUMMYFUNCTION("IMPORTRANGE(""https://docs.google.com/spreadsheets/d/1jTcq05yEiRwXcBMLjiodW9e4biSGYWAHcDj22rKWQ3s/edit?usp=sharing"",""กำแพงเพชร!S327"")+IMPORTRANGE(""https://docs.google.com/spreadsheets/d/1KS0zmDSZPk8KnTAbGN-Xk6MtX1YRZD0ldgdt20K4CRk/edit?usp=sharing"","&amp;"""เชียงราย!S327"")+IMPORTRANGE(""https://docs.google.com/spreadsheets/d/1rEDxBtusbi64tE0zunoIbsTVV16HeL0oJ6trHQeQ7K8/edit?usp=sharing"",""เชียงใหม่!S327"")+IMPORTRANGE(""https://docs.google.com/spreadsheets/d/1W6MnUbDkMi6xHnHko_XkFDO9kkuL6Wqyc-6OCDFjW9I/e"&amp;"dit?usp=sharing"",""ตาก!S327"")+IMPORTRANGE(""https://docs.google.com/spreadsheets/d/1IQAWArduLkta9LpYo4a_ULsyqdta6-6aDDiwpUnQT6c/edit?usp=sharing"",""นครสวรรค์!S327"")+IMPORTRANGE(""https://docs.google.com/spreadsheets/d/10s13Sk5xrltsiR-Zkbmk5DwIaDIKO8Xl"&amp;"bJAfqyT7Gvg/edit?usp=sharing"",""น่าน!S327"")+IMPORTRANGE(""https://docs.google.com/spreadsheets/d/1uu4nAn4Dbi1XREnLKKotUANlKXa7yCgRcgq8HEzQYW8/edit?usp=sharing"",""พะเยา!S327"")+IMPORTRANGE(""https://docs.google.com/spreadsheets/d/1xfJKIQxVOaPDIICqsflNlL"&amp;"u3JacTDk1FP9RH4phX7mI/edit?usp=sharing"",""พิจิตร!S327"")+IMPORTRANGE(""https://docs.google.com/spreadsheets/d/1JtRfZkJMHtEhI5RdRHxYUG4FIZHqKDpNyIuN7A1Q0_k/edit?usp=sharing"",""พิษณุโลก!S327"")+IMPORTRANGE(""https://docs.google.com/spreadsheets/d/1xlcVZWU"&amp;"Nn6SuWm0c307h32SiGkd9BaeQWlAktfD3KO8/edit?usp=sharing"",""เพชรบูรณ์!S327"")+IMPORTRANGE(""https://docs.google.com/spreadsheets/d/1lOVebEIsI9qjGXl6EX66luk7wiuP2tBaryw-wKvv4e0/edit?usp=sharing"",""แพร่!S327"")+IMPORTRANGE(""https://docs.google.com/spreadshe"&amp;"ets/d/1dQrvX0vEcN7Gu0fnZ0B5S90AeR19zth4XlExFBeExMY/edit?usp=sharing"",""แม่ฮ่องสอน!S327"")+IMPORTRANGE(""https://docs.google.com/spreadsheets/d/1DY4XTNNwjluuxqdfdn6qvOSlMRrZqUtmYcZR0ttFiG4/edit?usp=sharing"",""ลำปาง!S327"")+IMPORTRANGE(""https://docs.goog"&amp;"le.com/spreadsheets/d/1ICwG78r0OFT8biBlxnBF8r7she7gNSzOvJ958PWT09c/edit?usp=sharing"",""ลำพูน!S327"")+IMPORTRANGE(""https://docs.google.com/spreadsheets/d/1B0f2xJpZUC6Z0xXnqKlZtEPzsf6L84eP1r1Q15seqRM/edit?usp=sharing"",""สุโขทัย!S327"")+IMPORTRANGE(""http"&amp;"s://docs.google.com/spreadsheets/d/1v0b9pFQCsKUVExMei7AgY2yQkdeNQvtOssygGsXbiKo/edit?usp=sharing"",""อุตรดิตถ์!S327"")+IMPORTRANGE(""https://docs.google.com/spreadsheets/d/1UsNK1e-WWiCo2PvGqdNfdme4m17_Ezd3J69EeeiQPD0/edit?usp=sharing"",""อุทัยธานี!S327"")"),0)</f>
        <v>0</v>
      </c>
      <c r="T327" s="48">
        <f t="shared" ca="1" si="242"/>
        <v>0</v>
      </c>
      <c r="U327" s="48">
        <f t="shared" ca="1" si="243"/>
        <v>0</v>
      </c>
    </row>
    <row r="328" spans="1:21" ht="18.75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46">
        <f ca="1">IFERROR(__xludf.DUMMYFUNCTION("IMPORTRANGE(""https://docs.google.com/spreadsheets/d/1jTcq05yEiRwXcBMLjiodW9e4biSGYWAHcDj22rKWQ3s/edit?usp=sharing"",""กำแพงเพชร!L328"")+IMPORTRANGE(""https://docs.google.com/spreadsheets/d/1KS0zmDSZPk8KnTAbGN-Xk6MtX1YRZD0ldgdt20K4CRk/edit?usp=sharing"","&amp;"""เชียงราย!L328"")+IMPORTRANGE(""https://docs.google.com/spreadsheets/d/1rEDxBtusbi64tE0zunoIbsTVV16HeL0oJ6trHQeQ7K8/edit?usp=sharing"",""เชียงใหม่!L328"")+IMPORTRANGE(""https://docs.google.com/spreadsheets/d/1W6MnUbDkMi6xHnHko_XkFDO9kkuL6Wqyc-6OCDFjW9I/e"&amp;"dit?usp=sharing"",""ตาก!L328"")+IMPORTRANGE(""https://docs.google.com/spreadsheets/d/1IQAWArduLkta9LpYo4a_ULsyqdta6-6aDDiwpUnQT6c/edit?usp=sharing"",""นครสวรรค์!L328"")+IMPORTRANGE(""https://docs.google.com/spreadsheets/d/10s13Sk5xrltsiR-Zkbmk5DwIaDIKO8Xl"&amp;"bJAfqyT7Gvg/edit?usp=sharing"",""น่าน!L328"")+IMPORTRANGE(""https://docs.google.com/spreadsheets/d/1uu4nAn4Dbi1XREnLKKotUANlKXa7yCgRcgq8HEzQYW8/edit?usp=sharing"",""พะเยา!L328"")+IMPORTRANGE(""https://docs.google.com/spreadsheets/d/1xfJKIQxVOaPDIICqsflNlL"&amp;"u3JacTDk1FP9RH4phX7mI/edit?usp=sharing"",""พิจิตร!L328"")+IMPORTRANGE(""https://docs.google.com/spreadsheets/d/1JtRfZkJMHtEhI5RdRHxYUG4FIZHqKDpNyIuN7A1Q0_k/edit?usp=sharing"",""พิษณุโลก!L328"")+IMPORTRANGE(""https://docs.google.com/spreadsheets/d/1xlcVZWU"&amp;"Nn6SuWm0c307h32SiGkd9BaeQWlAktfD3KO8/edit?usp=sharing"",""เพชรบูรณ์!L328"")+IMPORTRANGE(""https://docs.google.com/spreadsheets/d/1lOVebEIsI9qjGXl6EX66luk7wiuP2tBaryw-wKvv4e0/edit?usp=sharing"",""แพร่!L328"")+IMPORTRANGE(""https://docs.google.com/spreadshe"&amp;"ets/d/1dQrvX0vEcN7Gu0fnZ0B5S90AeR19zth4XlExFBeExMY/edit?usp=sharing"",""แม่ฮ่องสอน!L328"")+IMPORTRANGE(""https://docs.google.com/spreadsheets/d/1DY4XTNNwjluuxqdfdn6qvOSlMRrZqUtmYcZR0ttFiG4/edit?usp=sharing"",""ลำปาง!L328"")+IMPORTRANGE(""https://docs.goog"&amp;"le.com/spreadsheets/d/1ICwG78r0OFT8biBlxnBF8r7she7gNSzOvJ958PWT09c/edit?usp=sharing"",""ลำพูน!L328"")+IMPORTRANGE(""https://docs.google.com/spreadsheets/d/1B0f2xJpZUC6Z0xXnqKlZtEPzsf6L84eP1r1Q15seqRM/edit?usp=sharing"",""สุโขทัย!L328"")+IMPORTRANGE(""http"&amp;"s://docs.google.com/spreadsheets/d/1v0b9pFQCsKUVExMei7AgY2yQkdeNQvtOssygGsXbiKo/edit?usp=sharing"",""อุตรดิตถ์!L328"")+IMPORTRANGE(""https://docs.google.com/spreadsheets/d/1UsNK1e-WWiCo2PvGqdNfdme4m17_Ezd3J69EeeiQPD0/edit?usp=sharing"",""อุทัยธานี!L328"")"),0)</f>
        <v>0</v>
      </c>
      <c r="M328" s="46">
        <f ca="1">IFERROR(__xludf.DUMMYFUNCTION("IMPORTRANGE(""https://docs.google.com/spreadsheets/d/1jTcq05yEiRwXcBMLjiodW9e4biSGYWAHcDj22rKWQ3s/edit?usp=sharing"",""กำแพงเพชร!M328"")+IMPORTRANGE(""https://docs.google.com/spreadsheets/d/1KS0zmDSZPk8KnTAbGN-Xk6MtX1YRZD0ldgdt20K4CRk/edit?usp=sharing"","&amp;"""เชียงราย!M328"")+IMPORTRANGE(""https://docs.google.com/spreadsheets/d/1rEDxBtusbi64tE0zunoIbsTVV16HeL0oJ6trHQeQ7K8/edit?usp=sharing"",""เชียงใหม่!M328"")+IMPORTRANGE(""https://docs.google.com/spreadsheets/d/1W6MnUbDkMi6xHnHko_XkFDO9kkuL6Wqyc-6OCDFjW9I/e"&amp;"dit?usp=sharing"",""ตาก!M328"")+IMPORTRANGE(""https://docs.google.com/spreadsheets/d/1IQAWArduLkta9LpYo4a_ULsyqdta6-6aDDiwpUnQT6c/edit?usp=sharing"",""นครสวรรค์!M328"")+IMPORTRANGE(""https://docs.google.com/spreadsheets/d/10s13Sk5xrltsiR-Zkbmk5DwIaDIKO8Xl"&amp;"bJAfqyT7Gvg/edit?usp=sharing"",""น่าน!M328"")+IMPORTRANGE(""https://docs.google.com/spreadsheets/d/1uu4nAn4Dbi1XREnLKKotUANlKXa7yCgRcgq8HEzQYW8/edit?usp=sharing"",""พะเยา!M328"")+IMPORTRANGE(""https://docs.google.com/spreadsheets/d/1xfJKIQxVOaPDIICqsflNlL"&amp;"u3JacTDk1FP9RH4phX7mI/edit?usp=sharing"",""พิจิตร!M328"")+IMPORTRANGE(""https://docs.google.com/spreadsheets/d/1JtRfZkJMHtEhI5RdRHxYUG4FIZHqKDpNyIuN7A1Q0_k/edit?usp=sharing"",""พิษณุโลก!M328"")+IMPORTRANGE(""https://docs.google.com/spreadsheets/d/1xlcVZWU"&amp;"Nn6SuWm0c307h32SiGkd9BaeQWlAktfD3KO8/edit?usp=sharing"",""เพชรบูรณ์!M328"")+IMPORTRANGE(""https://docs.google.com/spreadsheets/d/1lOVebEIsI9qjGXl6EX66luk7wiuP2tBaryw-wKvv4e0/edit?usp=sharing"",""แพร่!M328"")+IMPORTRANGE(""https://docs.google.com/spreadshe"&amp;"ets/d/1dQrvX0vEcN7Gu0fnZ0B5S90AeR19zth4XlExFBeExMY/edit?usp=sharing"",""แม่ฮ่องสอน!M328"")+IMPORTRANGE(""https://docs.google.com/spreadsheets/d/1DY4XTNNwjluuxqdfdn6qvOSlMRrZqUtmYcZR0ttFiG4/edit?usp=sharing"",""ลำปาง!M328"")+IMPORTRANGE(""https://docs.goog"&amp;"le.com/spreadsheets/d/1ICwG78r0OFT8biBlxnBF8r7she7gNSzOvJ958PWT09c/edit?usp=sharing"",""ลำพูน!M328"")+IMPORTRANGE(""https://docs.google.com/spreadsheets/d/1B0f2xJpZUC6Z0xXnqKlZtEPzsf6L84eP1r1Q15seqRM/edit?usp=sharing"",""สุโขทัย!M328"")+IMPORTRANGE(""http"&amp;"s://docs.google.com/spreadsheets/d/1v0b9pFQCsKUVExMei7AgY2yQkdeNQvtOssygGsXbiKo/edit?usp=sharing"",""อุตรดิตถ์!M328"")+IMPORTRANGE(""https://docs.google.com/spreadsheets/d/1UsNK1e-WWiCo2PvGqdNfdme4m17_Ezd3J69EeeiQPD0/edit?usp=sharing"",""อุทัยธานี!M328"")"),0)</f>
        <v>0</v>
      </c>
      <c r="N328" s="46">
        <f ca="1">IFERROR(__xludf.DUMMYFUNCTION("IMPORTRANGE(""https://docs.google.com/spreadsheets/d/1jTcq05yEiRwXcBMLjiodW9e4biSGYWAHcDj22rKWQ3s/edit?usp=sharing"",""กำแพงเพชร!N328"")+IMPORTRANGE(""https://docs.google.com/spreadsheets/d/1KS0zmDSZPk8KnTAbGN-Xk6MtX1YRZD0ldgdt20K4CRk/edit?usp=sharing"","&amp;"""เชียงราย!N328"")+IMPORTRANGE(""https://docs.google.com/spreadsheets/d/1rEDxBtusbi64tE0zunoIbsTVV16HeL0oJ6trHQeQ7K8/edit?usp=sharing"",""เชียงใหม่!N328"")+IMPORTRANGE(""https://docs.google.com/spreadsheets/d/1W6MnUbDkMi6xHnHko_XkFDO9kkuL6Wqyc-6OCDFjW9I/e"&amp;"dit?usp=sharing"",""ตาก!N328"")+IMPORTRANGE(""https://docs.google.com/spreadsheets/d/1IQAWArduLkta9LpYo4a_ULsyqdta6-6aDDiwpUnQT6c/edit?usp=sharing"",""นครสวรรค์!N328"")+IMPORTRANGE(""https://docs.google.com/spreadsheets/d/10s13Sk5xrltsiR-Zkbmk5DwIaDIKO8Xl"&amp;"bJAfqyT7Gvg/edit?usp=sharing"",""น่าน!N328"")+IMPORTRANGE(""https://docs.google.com/spreadsheets/d/1uu4nAn4Dbi1XREnLKKotUANlKXa7yCgRcgq8HEzQYW8/edit?usp=sharing"",""พะเยา!N328"")+IMPORTRANGE(""https://docs.google.com/spreadsheets/d/1xfJKIQxVOaPDIICqsflNlL"&amp;"u3JacTDk1FP9RH4phX7mI/edit?usp=sharing"",""พิจิตร!N328"")+IMPORTRANGE(""https://docs.google.com/spreadsheets/d/1JtRfZkJMHtEhI5RdRHxYUG4FIZHqKDpNyIuN7A1Q0_k/edit?usp=sharing"",""พิษณุโลก!N328"")+IMPORTRANGE(""https://docs.google.com/spreadsheets/d/1xlcVZWU"&amp;"Nn6SuWm0c307h32SiGkd9BaeQWlAktfD3KO8/edit?usp=sharing"",""เพชรบูรณ์!N328"")+IMPORTRANGE(""https://docs.google.com/spreadsheets/d/1lOVebEIsI9qjGXl6EX66luk7wiuP2tBaryw-wKvv4e0/edit?usp=sharing"",""แพร่!N328"")+IMPORTRANGE(""https://docs.google.com/spreadshe"&amp;"ets/d/1dQrvX0vEcN7Gu0fnZ0B5S90AeR19zth4XlExFBeExMY/edit?usp=sharing"",""แม่ฮ่องสอน!N328"")+IMPORTRANGE(""https://docs.google.com/spreadsheets/d/1DY4XTNNwjluuxqdfdn6qvOSlMRrZqUtmYcZR0ttFiG4/edit?usp=sharing"",""ลำปาง!N328"")+IMPORTRANGE(""https://docs.goog"&amp;"le.com/spreadsheets/d/1ICwG78r0OFT8biBlxnBF8r7she7gNSzOvJ958PWT09c/edit?usp=sharing"",""ลำพูน!N328"")+IMPORTRANGE(""https://docs.google.com/spreadsheets/d/1B0f2xJpZUC6Z0xXnqKlZtEPzsf6L84eP1r1Q15seqRM/edit?usp=sharing"",""สุโขทัย!N328"")+IMPORTRANGE(""http"&amp;"s://docs.google.com/spreadsheets/d/1v0b9pFQCsKUVExMei7AgY2yQkdeNQvtOssygGsXbiKo/edit?usp=sharing"",""อุตรดิตถ์!N328"")+IMPORTRANGE(""https://docs.google.com/spreadsheets/d/1UsNK1e-WWiCo2PvGqdNfdme4m17_Ezd3J69EeeiQPD0/edit?usp=sharing"",""อุทัยธานี!N328"")"),0)</f>
        <v>0</v>
      </c>
      <c r="O328" s="46">
        <f t="shared" ca="1" si="239"/>
        <v>0</v>
      </c>
      <c r="P328" s="46">
        <f t="shared" ca="1" si="240"/>
        <v>0</v>
      </c>
      <c r="Q328" s="46">
        <f ca="1">IFERROR(__xludf.DUMMYFUNCTION("IMPORTRANGE(""https://docs.google.com/spreadsheets/d/1jTcq05yEiRwXcBMLjiodW9e4biSGYWAHcDj22rKWQ3s/edit?usp=sharing"",""กำแพงเพชร!Q328"")+IMPORTRANGE(""https://docs.google.com/spreadsheets/d/1KS0zmDSZPk8KnTAbGN-Xk6MtX1YRZD0ldgdt20K4CRk/edit?usp=sharing"","&amp;"""เชียงราย!Q328"")+IMPORTRANGE(""https://docs.google.com/spreadsheets/d/1rEDxBtusbi64tE0zunoIbsTVV16HeL0oJ6trHQeQ7K8/edit?usp=sharing"",""เชียงใหม่!Q328"")+IMPORTRANGE(""https://docs.google.com/spreadsheets/d/1W6MnUbDkMi6xHnHko_XkFDO9kkuL6Wqyc-6OCDFjW9I/e"&amp;"dit?usp=sharing"",""ตาก!Q328"")+IMPORTRANGE(""https://docs.google.com/spreadsheets/d/1IQAWArduLkta9LpYo4a_ULsyqdta6-6aDDiwpUnQT6c/edit?usp=sharing"",""นครสวรรค์!Q328"")+IMPORTRANGE(""https://docs.google.com/spreadsheets/d/10s13Sk5xrltsiR-Zkbmk5DwIaDIKO8Xl"&amp;"bJAfqyT7Gvg/edit?usp=sharing"",""น่าน!Q328"")+IMPORTRANGE(""https://docs.google.com/spreadsheets/d/1uu4nAn4Dbi1XREnLKKotUANlKXa7yCgRcgq8HEzQYW8/edit?usp=sharing"",""พะเยา!Q328"")+IMPORTRANGE(""https://docs.google.com/spreadsheets/d/1xfJKIQxVOaPDIICqsflNlL"&amp;"u3JacTDk1FP9RH4phX7mI/edit?usp=sharing"",""พิจิตร!Q328"")+IMPORTRANGE(""https://docs.google.com/spreadsheets/d/1JtRfZkJMHtEhI5RdRHxYUG4FIZHqKDpNyIuN7A1Q0_k/edit?usp=sharing"",""พิษณุโลก!Q328"")+IMPORTRANGE(""https://docs.google.com/spreadsheets/d/1xlcVZWU"&amp;"Nn6SuWm0c307h32SiGkd9BaeQWlAktfD3KO8/edit?usp=sharing"",""เพชรบูรณ์!Q328"")+IMPORTRANGE(""https://docs.google.com/spreadsheets/d/1lOVebEIsI9qjGXl6EX66luk7wiuP2tBaryw-wKvv4e0/edit?usp=sharing"",""แพร่!Q328"")+IMPORTRANGE(""https://docs.google.com/spreadshe"&amp;"ets/d/1dQrvX0vEcN7Gu0fnZ0B5S90AeR19zth4XlExFBeExMY/edit?usp=sharing"",""แม่ฮ่องสอน!Q328"")+IMPORTRANGE(""https://docs.google.com/spreadsheets/d/1DY4XTNNwjluuxqdfdn6qvOSlMRrZqUtmYcZR0ttFiG4/edit?usp=sharing"",""ลำปาง!Q328"")+IMPORTRANGE(""https://docs.goog"&amp;"le.com/spreadsheets/d/1ICwG78r0OFT8biBlxnBF8r7she7gNSzOvJ958PWT09c/edit?usp=sharing"",""ลำพูน!Q328"")+IMPORTRANGE(""https://docs.google.com/spreadsheets/d/1B0f2xJpZUC6Z0xXnqKlZtEPzsf6L84eP1r1Q15seqRM/edit?usp=sharing"",""สุโขทัย!Q328"")+IMPORTRANGE(""http"&amp;"s://docs.google.com/spreadsheets/d/1v0b9pFQCsKUVExMei7AgY2yQkdeNQvtOssygGsXbiKo/edit?usp=sharing"",""อุตรดิตถ์!Q328"")+IMPORTRANGE(""https://docs.google.com/spreadsheets/d/1UsNK1e-WWiCo2PvGqdNfdme4m17_Ezd3J69EeeiQPD0/edit?usp=sharing"",""อุทัยธานี!Q328"")"),0)</f>
        <v>0</v>
      </c>
      <c r="R328" s="46">
        <f ca="1">IFERROR(__xludf.DUMMYFUNCTION("IMPORTRANGE(""https://docs.google.com/spreadsheets/d/1jTcq05yEiRwXcBMLjiodW9e4biSGYWAHcDj22rKWQ3s/edit?usp=sharing"",""กำแพงเพชร!R328"")+IMPORTRANGE(""https://docs.google.com/spreadsheets/d/1KS0zmDSZPk8KnTAbGN-Xk6MtX1YRZD0ldgdt20K4CRk/edit?usp=sharing"","&amp;"""เชียงราย!R328"")+IMPORTRANGE(""https://docs.google.com/spreadsheets/d/1rEDxBtusbi64tE0zunoIbsTVV16HeL0oJ6trHQeQ7K8/edit?usp=sharing"",""เชียงใหม่!R328"")+IMPORTRANGE(""https://docs.google.com/spreadsheets/d/1W6MnUbDkMi6xHnHko_XkFDO9kkuL6Wqyc-6OCDFjW9I/e"&amp;"dit?usp=sharing"",""ตาก!R328"")+IMPORTRANGE(""https://docs.google.com/spreadsheets/d/1IQAWArduLkta9LpYo4a_ULsyqdta6-6aDDiwpUnQT6c/edit?usp=sharing"",""นครสวรรค์!R328"")+IMPORTRANGE(""https://docs.google.com/spreadsheets/d/10s13Sk5xrltsiR-Zkbmk5DwIaDIKO8Xl"&amp;"bJAfqyT7Gvg/edit?usp=sharing"",""น่าน!R328"")+IMPORTRANGE(""https://docs.google.com/spreadsheets/d/1uu4nAn4Dbi1XREnLKKotUANlKXa7yCgRcgq8HEzQYW8/edit?usp=sharing"",""พะเยา!R328"")+IMPORTRANGE(""https://docs.google.com/spreadsheets/d/1xfJKIQxVOaPDIICqsflNlL"&amp;"u3JacTDk1FP9RH4phX7mI/edit?usp=sharing"",""พิจิตร!R328"")+IMPORTRANGE(""https://docs.google.com/spreadsheets/d/1JtRfZkJMHtEhI5RdRHxYUG4FIZHqKDpNyIuN7A1Q0_k/edit?usp=sharing"",""พิษณุโลก!R328"")+IMPORTRANGE(""https://docs.google.com/spreadsheets/d/1xlcVZWU"&amp;"Nn6SuWm0c307h32SiGkd9BaeQWlAktfD3KO8/edit?usp=sharing"",""เพชรบูรณ์!R328"")+IMPORTRANGE(""https://docs.google.com/spreadsheets/d/1lOVebEIsI9qjGXl6EX66luk7wiuP2tBaryw-wKvv4e0/edit?usp=sharing"",""แพร่!R328"")+IMPORTRANGE(""https://docs.google.com/spreadshe"&amp;"ets/d/1dQrvX0vEcN7Gu0fnZ0B5S90AeR19zth4XlExFBeExMY/edit?usp=sharing"",""แม่ฮ่องสอน!R328"")+IMPORTRANGE(""https://docs.google.com/spreadsheets/d/1DY4XTNNwjluuxqdfdn6qvOSlMRrZqUtmYcZR0ttFiG4/edit?usp=sharing"",""ลำปาง!R328"")+IMPORTRANGE(""https://docs.goog"&amp;"le.com/spreadsheets/d/1ICwG78r0OFT8biBlxnBF8r7she7gNSzOvJ958PWT09c/edit?usp=sharing"",""ลำพูน!R328"")+IMPORTRANGE(""https://docs.google.com/spreadsheets/d/1B0f2xJpZUC6Z0xXnqKlZtEPzsf6L84eP1r1Q15seqRM/edit?usp=sharing"",""สุโขทัย!R328"")+IMPORTRANGE(""http"&amp;"s://docs.google.com/spreadsheets/d/1v0b9pFQCsKUVExMei7AgY2yQkdeNQvtOssygGsXbiKo/edit?usp=sharing"",""อุตรดิตถ์!R328"")+IMPORTRANGE(""https://docs.google.com/spreadsheets/d/1UsNK1e-WWiCo2PvGqdNfdme4m17_Ezd3J69EeeiQPD0/edit?usp=sharing"",""อุทัยธานี!R328"")"),0)</f>
        <v>0</v>
      </c>
      <c r="S328" s="46">
        <f ca="1">IFERROR(__xludf.DUMMYFUNCTION("IMPORTRANGE(""https://docs.google.com/spreadsheets/d/1jTcq05yEiRwXcBMLjiodW9e4biSGYWAHcDj22rKWQ3s/edit?usp=sharing"",""กำแพงเพชร!S328"")+IMPORTRANGE(""https://docs.google.com/spreadsheets/d/1KS0zmDSZPk8KnTAbGN-Xk6MtX1YRZD0ldgdt20K4CRk/edit?usp=sharing"","&amp;"""เชียงราย!S328"")+IMPORTRANGE(""https://docs.google.com/spreadsheets/d/1rEDxBtusbi64tE0zunoIbsTVV16HeL0oJ6trHQeQ7K8/edit?usp=sharing"",""เชียงใหม่!S328"")+IMPORTRANGE(""https://docs.google.com/spreadsheets/d/1W6MnUbDkMi6xHnHko_XkFDO9kkuL6Wqyc-6OCDFjW9I/e"&amp;"dit?usp=sharing"",""ตาก!S328"")+IMPORTRANGE(""https://docs.google.com/spreadsheets/d/1IQAWArduLkta9LpYo4a_ULsyqdta6-6aDDiwpUnQT6c/edit?usp=sharing"",""นครสวรรค์!S328"")+IMPORTRANGE(""https://docs.google.com/spreadsheets/d/10s13Sk5xrltsiR-Zkbmk5DwIaDIKO8Xl"&amp;"bJAfqyT7Gvg/edit?usp=sharing"",""น่าน!S328"")+IMPORTRANGE(""https://docs.google.com/spreadsheets/d/1uu4nAn4Dbi1XREnLKKotUANlKXa7yCgRcgq8HEzQYW8/edit?usp=sharing"",""พะเยา!S328"")+IMPORTRANGE(""https://docs.google.com/spreadsheets/d/1xfJKIQxVOaPDIICqsflNlL"&amp;"u3JacTDk1FP9RH4phX7mI/edit?usp=sharing"",""พิจิตร!S328"")+IMPORTRANGE(""https://docs.google.com/spreadsheets/d/1JtRfZkJMHtEhI5RdRHxYUG4FIZHqKDpNyIuN7A1Q0_k/edit?usp=sharing"",""พิษณุโลก!S328"")+IMPORTRANGE(""https://docs.google.com/spreadsheets/d/1xlcVZWU"&amp;"Nn6SuWm0c307h32SiGkd9BaeQWlAktfD3KO8/edit?usp=sharing"",""เพชรบูรณ์!S328"")+IMPORTRANGE(""https://docs.google.com/spreadsheets/d/1lOVebEIsI9qjGXl6EX66luk7wiuP2tBaryw-wKvv4e0/edit?usp=sharing"",""แพร่!S328"")+IMPORTRANGE(""https://docs.google.com/spreadshe"&amp;"ets/d/1dQrvX0vEcN7Gu0fnZ0B5S90AeR19zth4XlExFBeExMY/edit?usp=sharing"",""แม่ฮ่องสอน!S328"")+IMPORTRANGE(""https://docs.google.com/spreadsheets/d/1DY4XTNNwjluuxqdfdn6qvOSlMRrZqUtmYcZR0ttFiG4/edit?usp=sharing"",""ลำปาง!S328"")+IMPORTRANGE(""https://docs.goog"&amp;"le.com/spreadsheets/d/1ICwG78r0OFT8biBlxnBF8r7she7gNSzOvJ958PWT09c/edit?usp=sharing"",""ลำพูน!S328"")+IMPORTRANGE(""https://docs.google.com/spreadsheets/d/1B0f2xJpZUC6Z0xXnqKlZtEPzsf6L84eP1r1Q15seqRM/edit?usp=sharing"",""สุโขทัย!S328"")+IMPORTRANGE(""http"&amp;"s://docs.google.com/spreadsheets/d/1v0b9pFQCsKUVExMei7AgY2yQkdeNQvtOssygGsXbiKo/edit?usp=sharing"",""อุตรดิตถ์!S328"")+IMPORTRANGE(""https://docs.google.com/spreadsheets/d/1UsNK1e-WWiCo2PvGqdNfdme4m17_Ezd3J69EeeiQPD0/edit?usp=sharing"",""อุทัยธานี!S328"")"),0)</f>
        <v>0</v>
      </c>
      <c r="T328" s="46">
        <f t="shared" ca="1" si="242"/>
        <v>0</v>
      </c>
      <c r="U328" s="46">
        <f t="shared" ca="1" si="243"/>
        <v>0</v>
      </c>
    </row>
    <row r="329" spans="1:21" ht="19.5" x14ac:dyDescent="0.3">
      <c r="A329" s="138"/>
      <c r="B329" s="139"/>
      <c r="C329" s="129" t="s">
        <v>18</v>
      </c>
      <c r="D329" s="140" t="s">
        <v>38</v>
      </c>
      <c r="E329" s="141"/>
      <c r="F329" s="141"/>
      <c r="G329" s="142"/>
      <c r="H329" s="143"/>
      <c r="I329" s="135"/>
      <c r="J329" s="44"/>
      <c r="K329" s="45"/>
      <c r="L329" s="45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66">
        <f ca="1">IFERROR(__xludf.DUMMYFUNCTION("IMPORTRANGE(""https://docs.google.com/spreadsheets/d/1jTcq05yEiRwXcBMLjiodW9e4biSGYWAHcDj22rKWQ3s/edit?usp=sharing"",""กำแพงเพชร!I330"")+IMPORTRANGE(""https://docs.google.com/spreadsheets/d/1KS0zmDSZPk8KnTAbGN-Xk6MtX1YRZD0ldgdt20K4CRk/edit?usp=sharing"","&amp;"""เชียงราย!I330"")+IMPORTRANGE(""https://docs.google.com/spreadsheets/d/1rEDxBtusbi64tE0zunoIbsTVV16HeL0oJ6trHQeQ7K8/edit?usp=sharing"",""เชียงใหม่!I330"")+IMPORTRANGE(""https://docs.google.com/spreadsheets/d/1W6MnUbDkMi6xHnHko_XkFDO9kkuL6Wqyc-6OCDFjW9I/e"&amp;"dit?usp=sharing"",""ตาก!I330"")+IMPORTRANGE(""https://docs.google.com/spreadsheets/d/1IQAWArduLkta9LpYo4a_ULsyqdta6-6aDDiwpUnQT6c/edit?usp=sharing"",""นครสวรรค์!I330"")+IMPORTRANGE(""https://docs.google.com/spreadsheets/d/10s13Sk5xrltsiR-Zkbmk5DwIaDIKO8Xl"&amp;"bJAfqyT7Gvg/edit?usp=sharing"",""น่าน!I330"")+IMPORTRANGE(""https://docs.google.com/spreadsheets/d/1uu4nAn4Dbi1XREnLKKotUANlKXa7yCgRcgq8HEzQYW8/edit?usp=sharing"",""พะเยา!I330"")+IMPORTRANGE(""https://docs.google.com/spreadsheets/d/1xfJKIQxVOaPDIICqsflNlL"&amp;"u3JacTDk1FP9RH4phX7mI/edit?usp=sharing"",""พิจิตร!I330"")+IMPORTRANGE(""https://docs.google.com/spreadsheets/d/1JtRfZkJMHtEhI5RdRHxYUG4FIZHqKDpNyIuN7A1Q0_k/edit?usp=sharing"",""พิษณุโลก!I330"")+IMPORTRANGE(""https://docs.google.com/spreadsheets/d/1xlcVZWU"&amp;"Nn6SuWm0c307h32SiGkd9BaeQWlAktfD3KO8/edit?usp=sharing"",""เพชรบูรณ์!I330"")+IMPORTRANGE(""https://docs.google.com/spreadsheets/d/1lOVebEIsI9qjGXl6EX66luk7wiuP2tBaryw-wKvv4e0/edit?usp=sharing"",""แพร่!I330"")+IMPORTRANGE(""https://docs.google.com/spreadshe"&amp;"ets/d/1dQrvX0vEcN7Gu0fnZ0B5S90AeR19zth4XlExFBeExMY/edit?usp=sharing"",""แม่ฮ่องสอน!I330"")+IMPORTRANGE(""https://docs.google.com/spreadsheets/d/1DY4XTNNwjluuxqdfdn6qvOSlMRrZqUtmYcZR0ttFiG4/edit?usp=sharing"",""ลำปาง!I330"")+IMPORTRANGE(""https://docs.goog"&amp;"le.com/spreadsheets/d/1ICwG78r0OFT8biBlxnBF8r7she7gNSzOvJ958PWT09c/edit?usp=sharing"",""ลำพูน!I330"")+IMPORTRANGE(""https://docs.google.com/spreadsheets/d/1B0f2xJpZUC6Z0xXnqKlZtEPzsf6L84eP1r1Q15seqRM/edit?usp=sharing"",""สุโขทัย!I330"")+IMPORTRANGE(""http"&amp;"s://docs.google.com/spreadsheets/d/1v0b9pFQCsKUVExMei7AgY2yQkdeNQvtOssygGsXbiKo/edit?usp=sharing"",""อุตรดิตถ์!I330"")+IMPORTRANGE(""https://docs.google.com/spreadsheets/d/1UsNK1e-WWiCo2PvGqdNfdme4m17_Ezd3J69EeeiQPD0/edit?usp=sharing"",""อุทัยธานี!I330"")"),1)</f>
        <v>1</v>
      </c>
      <c r="J330" s="166">
        <f ca="1">IFERROR(__xludf.DUMMYFUNCTION("IMPORTRANGE(""https://docs.google.com/spreadsheets/d/1jTcq05yEiRwXcBMLjiodW9e4biSGYWAHcDj22rKWQ3s/edit?usp=sharing"",""กำแพงเพชร!J330"")+IMPORTRANGE(""https://docs.google.com/spreadsheets/d/1KS0zmDSZPk8KnTAbGN-Xk6MtX1YRZD0ldgdt20K4CRk/edit?usp=sharing"","&amp;"""เชียงราย!J330"")+IMPORTRANGE(""https://docs.google.com/spreadsheets/d/1rEDxBtusbi64tE0zunoIbsTVV16HeL0oJ6trHQeQ7K8/edit?usp=sharing"",""เชียงใหม่!J330"")+IMPORTRANGE(""https://docs.google.com/spreadsheets/d/1W6MnUbDkMi6xHnHko_XkFDO9kkuL6Wqyc-6OCDFjW9I/e"&amp;"dit?usp=sharing"",""ตาก!J330"")+IMPORTRANGE(""https://docs.google.com/spreadsheets/d/1IQAWArduLkta9LpYo4a_ULsyqdta6-6aDDiwpUnQT6c/edit?usp=sharing"",""นครสวรรค์!J330"")+IMPORTRANGE(""https://docs.google.com/spreadsheets/d/10s13Sk5xrltsiR-Zkbmk5DwIaDIKO8Xl"&amp;"bJAfqyT7Gvg/edit?usp=sharing"",""น่าน!J330"")+IMPORTRANGE(""https://docs.google.com/spreadsheets/d/1uu4nAn4Dbi1XREnLKKotUANlKXa7yCgRcgq8HEzQYW8/edit?usp=sharing"",""พะเยา!J330"")+IMPORTRANGE(""https://docs.google.com/spreadsheets/d/1xfJKIQxVOaPDIICqsflNlL"&amp;"u3JacTDk1FP9RH4phX7mI/edit?usp=sharing"",""พิจิตร!J330"")+IMPORTRANGE(""https://docs.google.com/spreadsheets/d/1JtRfZkJMHtEhI5RdRHxYUG4FIZHqKDpNyIuN7A1Q0_k/edit?usp=sharing"",""พิษณุโลก!J330"")+IMPORTRANGE(""https://docs.google.com/spreadsheets/d/1xlcVZWU"&amp;"Nn6SuWm0c307h32SiGkd9BaeQWlAktfD3KO8/edit?usp=sharing"",""เพชรบูรณ์!J330"")+IMPORTRANGE(""https://docs.google.com/spreadsheets/d/1lOVebEIsI9qjGXl6EX66luk7wiuP2tBaryw-wKvv4e0/edit?usp=sharing"",""แพร่!J330"")+IMPORTRANGE(""https://docs.google.com/spreadshe"&amp;"ets/d/1dQrvX0vEcN7Gu0fnZ0B5S90AeR19zth4XlExFBeExMY/edit?usp=sharing"",""แม่ฮ่องสอน!J330"")+IMPORTRANGE(""https://docs.google.com/spreadsheets/d/1DY4XTNNwjluuxqdfdn6qvOSlMRrZqUtmYcZR0ttFiG4/edit?usp=sharing"",""ลำปาง!J330"")+IMPORTRANGE(""https://docs.goog"&amp;"le.com/spreadsheets/d/1ICwG78r0OFT8biBlxnBF8r7she7gNSzOvJ958PWT09c/edit?usp=sharing"",""ลำพูน!J330"")+IMPORTRANGE(""https://docs.google.com/spreadsheets/d/1B0f2xJpZUC6Z0xXnqKlZtEPzsf6L84eP1r1Q15seqRM/edit?usp=sharing"",""สุโขทัย!J330"")+IMPORTRANGE(""http"&amp;"s://docs.google.com/spreadsheets/d/1v0b9pFQCsKUVExMei7AgY2yQkdeNQvtOssygGsXbiKo/edit?usp=sharing"",""อุตรดิตถ์!J330"")+IMPORTRANGE(""https://docs.google.com/spreadsheets/d/1UsNK1e-WWiCo2PvGqdNfdme4m17_Ezd3J69EeeiQPD0/edit?usp=sharing"",""อุทัยธานี!J330"")"),1)</f>
        <v>1</v>
      </c>
      <c r="K330" s="46">
        <f ca="1">IF(I330&gt;0,J330*100/I330,0)</f>
        <v>100</v>
      </c>
      <c r="L330" s="45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29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296">
        <f ca="1">I344</f>
        <v>31240</v>
      </c>
      <c r="J332" s="296">
        <f ca="1">J344+J347+J348+J349+J353</f>
        <v>99209</v>
      </c>
      <c r="K332" s="297">
        <f ca="1">IF(I332&gt;0,J332*100/I332,0)</f>
        <v>317.57042253521126</v>
      </c>
      <c r="L332" s="298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13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132">
        <f t="shared" ref="L333:N333" ca="1" si="252">L334+L335</f>
        <v>1861000</v>
      </c>
      <c r="M333" s="132">
        <f t="shared" ca="1" si="252"/>
        <v>1946000</v>
      </c>
      <c r="N333" s="132">
        <f t="shared" ca="1" si="252"/>
        <v>1459563.50999999</v>
      </c>
      <c r="O333" s="132">
        <f t="shared" ref="O333:O341" ca="1" si="253">IF(L333&gt;0,N333*100/L333,0)</f>
        <v>78.428990327780213</v>
      </c>
      <c r="P333" s="132">
        <f t="shared" ref="P333:P341" ca="1" si="254">IF(M333&gt;0,N333*100/M333,0)</f>
        <v>75.003263617676765</v>
      </c>
      <c r="Q333" s="132">
        <f t="shared" ref="Q333:S333" ca="1" si="255">Q334+Q335</f>
        <v>0</v>
      </c>
      <c r="R333" s="132">
        <f t="shared" ca="1" si="255"/>
        <v>0</v>
      </c>
      <c r="S333" s="132">
        <f t="shared" ca="1" si="255"/>
        <v>0</v>
      </c>
      <c r="T333" s="132">
        <f t="shared" ref="T333:T341" ca="1" si="256">IF(Q333&gt;0,S333*100/Q333,0)</f>
        <v>0</v>
      </c>
      <c r="U333" s="132">
        <f t="shared" ref="U333:U341" ca="1" si="257">IF(R333&gt;0,S333*100/R333,0)</f>
        <v>0</v>
      </c>
    </row>
    <row r="334" spans="1:21" ht="18.75" x14ac:dyDescent="0.25">
      <c r="A334" s="128"/>
      <c r="B334" s="40"/>
      <c r="C334" s="40"/>
      <c r="D334" s="40"/>
      <c r="E334" s="47" t="s">
        <v>20</v>
      </c>
      <c r="F334" s="40"/>
      <c r="G334" s="42"/>
      <c r="H334" s="133" t="s">
        <v>14</v>
      </c>
      <c r="I334" s="44"/>
      <c r="J334" s="44"/>
      <c r="K334" s="45"/>
      <c r="L334" s="46">
        <f t="shared" ref="L334:N334" ca="1" si="258">L337+L340</f>
        <v>0</v>
      </c>
      <c r="M334" s="46">
        <f t="shared" ca="1" si="258"/>
        <v>0</v>
      </c>
      <c r="N334" s="46">
        <f t="shared" ca="1" si="258"/>
        <v>0</v>
      </c>
      <c r="O334" s="46">
        <f t="shared" ca="1" si="253"/>
        <v>0</v>
      </c>
      <c r="P334" s="46">
        <f t="shared" ca="1" si="254"/>
        <v>0</v>
      </c>
      <c r="Q334" s="48">
        <f t="shared" ref="Q334:S334" ca="1" si="259">Q337+Q340</f>
        <v>0</v>
      </c>
      <c r="R334" s="48">
        <f t="shared" ca="1" si="259"/>
        <v>0</v>
      </c>
      <c r="S334" s="48">
        <f t="shared" ca="1" si="259"/>
        <v>0</v>
      </c>
      <c r="T334" s="48">
        <f t="shared" ca="1" si="256"/>
        <v>0</v>
      </c>
      <c r="U334" s="48">
        <f t="shared" ca="1" si="257"/>
        <v>0</v>
      </c>
    </row>
    <row r="335" spans="1:21" ht="18.75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46">
        <f t="shared" ref="L335:N335" ca="1" si="260">L338+L341</f>
        <v>1861000</v>
      </c>
      <c r="M335" s="46">
        <f t="shared" ca="1" si="260"/>
        <v>1946000</v>
      </c>
      <c r="N335" s="46">
        <f t="shared" ca="1" si="260"/>
        <v>1459563.50999999</v>
      </c>
      <c r="O335" s="46">
        <f t="shared" ca="1" si="253"/>
        <v>78.428990327780213</v>
      </c>
      <c r="P335" s="46">
        <f t="shared" ca="1" si="254"/>
        <v>75.003263617676765</v>
      </c>
      <c r="Q335" s="46">
        <f t="shared" ref="Q335:S335" ca="1" si="261">Q338+Q341</f>
        <v>0</v>
      </c>
      <c r="R335" s="46">
        <f t="shared" ca="1" si="261"/>
        <v>0</v>
      </c>
      <c r="S335" s="46">
        <f t="shared" ca="1" si="261"/>
        <v>0</v>
      </c>
      <c r="T335" s="46">
        <f t="shared" ca="1" si="256"/>
        <v>0</v>
      </c>
      <c r="U335" s="46">
        <f t="shared" ca="1" si="257"/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46">
        <f t="shared" ref="L336:N336" ca="1" si="262">L337+L338</f>
        <v>1861000</v>
      </c>
      <c r="M336" s="46">
        <f t="shared" ca="1" si="262"/>
        <v>1946000</v>
      </c>
      <c r="N336" s="46">
        <f t="shared" ca="1" si="262"/>
        <v>1459563.50999999</v>
      </c>
      <c r="O336" s="46">
        <f t="shared" ca="1" si="253"/>
        <v>78.428990327780213</v>
      </c>
      <c r="P336" s="46">
        <f t="shared" ca="1" si="254"/>
        <v>75.003263617676765</v>
      </c>
      <c r="Q336" s="46">
        <f t="shared" ref="Q336:S336" ca="1" si="263">Q337+Q338</f>
        <v>0</v>
      </c>
      <c r="R336" s="46">
        <f t="shared" ca="1" si="263"/>
        <v>0</v>
      </c>
      <c r="S336" s="46">
        <f t="shared" ca="1" si="263"/>
        <v>0</v>
      </c>
      <c r="T336" s="46">
        <f t="shared" ca="1" si="256"/>
        <v>0</v>
      </c>
      <c r="U336" s="46">
        <f t="shared" ca="1" si="257"/>
        <v>0</v>
      </c>
    </row>
    <row r="337" spans="1:21" ht="18.75" x14ac:dyDescent="0.25">
      <c r="A337" s="128"/>
      <c r="B337" s="40"/>
      <c r="C337" s="40"/>
      <c r="D337" s="40"/>
      <c r="E337" s="47" t="s">
        <v>36</v>
      </c>
      <c r="F337" s="40"/>
      <c r="G337" s="42"/>
      <c r="H337" s="134" t="s">
        <v>14</v>
      </c>
      <c r="I337" s="135"/>
      <c r="J337" s="135"/>
      <c r="K337" s="136"/>
      <c r="L337" s="46">
        <f ca="1">IFERROR(__xludf.DUMMYFUNCTION("IMPORTRANGE(""https://docs.google.com/spreadsheets/d/1jTcq05yEiRwXcBMLjiodW9e4biSGYWAHcDj22rKWQ3s/edit?usp=sharing"",""กำแพงเพชร!L337"")+IMPORTRANGE(""https://docs.google.com/spreadsheets/d/1KS0zmDSZPk8KnTAbGN-Xk6MtX1YRZD0ldgdt20K4CRk/edit?usp=sharing"","&amp;"""เชียงราย!L337"")+IMPORTRANGE(""https://docs.google.com/spreadsheets/d/1rEDxBtusbi64tE0zunoIbsTVV16HeL0oJ6trHQeQ7K8/edit?usp=sharing"",""เชียงใหม่!L337"")+IMPORTRANGE(""https://docs.google.com/spreadsheets/d/1W6MnUbDkMi6xHnHko_XkFDO9kkuL6Wqyc-6OCDFjW9I/e"&amp;"dit?usp=sharing"",""ตาก!L337"")+IMPORTRANGE(""https://docs.google.com/spreadsheets/d/1IQAWArduLkta9LpYo4a_ULsyqdta6-6aDDiwpUnQT6c/edit?usp=sharing"",""นครสวรรค์!L337"")+IMPORTRANGE(""https://docs.google.com/spreadsheets/d/10s13Sk5xrltsiR-Zkbmk5DwIaDIKO8Xl"&amp;"bJAfqyT7Gvg/edit?usp=sharing"",""น่าน!L337"")+IMPORTRANGE(""https://docs.google.com/spreadsheets/d/1uu4nAn4Dbi1XREnLKKotUANlKXa7yCgRcgq8HEzQYW8/edit?usp=sharing"",""พะเยา!L337"")+IMPORTRANGE(""https://docs.google.com/spreadsheets/d/1xfJKIQxVOaPDIICqsflNlL"&amp;"u3JacTDk1FP9RH4phX7mI/edit?usp=sharing"",""พิจิตร!L337"")+IMPORTRANGE(""https://docs.google.com/spreadsheets/d/1JtRfZkJMHtEhI5RdRHxYUG4FIZHqKDpNyIuN7A1Q0_k/edit?usp=sharing"",""พิษณุโลก!L337"")+IMPORTRANGE(""https://docs.google.com/spreadsheets/d/1xlcVZWU"&amp;"Nn6SuWm0c307h32SiGkd9BaeQWlAktfD3KO8/edit?usp=sharing"",""เพชรบูรณ์!L337"")+IMPORTRANGE(""https://docs.google.com/spreadsheets/d/1lOVebEIsI9qjGXl6EX66luk7wiuP2tBaryw-wKvv4e0/edit?usp=sharing"",""แพร่!L337"")+IMPORTRANGE(""https://docs.google.com/spreadshe"&amp;"ets/d/1dQrvX0vEcN7Gu0fnZ0B5S90AeR19zth4XlExFBeExMY/edit?usp=sharing"",""แม่ฮ่องสอน!L337"")+IMPORTRANGE(""https://docs.google.com/spreadsheets/d/1DY4XTNNwjluuxqdfdn6qvOSlMRrZqUtmYcZR0ttFiG4/edit?usp=sharing"",""ลำปาง!L337"")+IMPORTRANGE(""https://docs.goog"&amp;"le.com/spreadsheets/d/1ICwG78r0OFT8biBlxnBF8r7she7gNSzOvJ958PWT09c/edit?usp=sharing"",""ลำพูน!L337"")+IMPORTRANGE(""https://docs.google.com/spreadsheets/d/1B0f2xJpZUC6Z0xXnqKlZtEPzsf6L84eP1r1Q15seqRM/edit?usp=sharing"",""สุโขทัย!L337"")+IMPORTRANGE(""http"&amp;"s://docs.google.com/spreadsheets/d/1v0b9pFQCsKUVExMei7AgY2yQkdeNQvtOssygGsXbiKo/edit?usp=sharing"",""อุตรดิตถ์!L337"")+IMPORTRANGE(""https://docs.google.com/spreadsheets/d/1UsNK1e-WWiCo2PvGqdNfdme4m17_Ezd3J69EeeiQPD0/edit?usp=sharing"",""อุทัยธานี!L337"")"),0)</f>
        <v>0</v>
      </c>
      <c r="M337" s="46">
        <f ca="1">IFERROR(__xludf.DUMMYFUNCTION("IMPORTRANGE(""https://docs.google.com/spreadsheets/d/1jTcq05yEiRwXcBMLjiodW9e4biSGYWAHcDj22rKWQ3s/edit?usp=sharing"",""กำแพงเพชร!M337"")+IMPORTRANGE(""https://docs.google.com/spreadsheets/d/1KS0zmDSZPk8KnTAbGN-Xk6MtX1YRZD0ldgdt20K4CRk/edit?usp=sharing"","&amp;"""เชียงราย!M337"")+IMPORTRANGE(""https://docs.google.com/spreadsheets/d/1rEDxBtusbi64tE0zunoIbsTVV16HeL0oJ6trHQeQ7K8/edit?usp=sharing"",""เชียงใหม่!M337"")+IMPORTRANGE(""https://docs.google.com/spreadsheets/d/1W6MnUbDkMi6xHnHko_XkFDO9kkuL6Wqyc-6OCDFjW9I/e"&amp;"dit?usp=sharing"",""ตาก!M337"")+IMPORTRANGE(""https://docs.google.com/spreadsheets/d/1IQAWArduLkta9LpYo4a_ULsyqdta6-6aDDiwpUnQT6c/edit?usp=sharing"",""นครสวรรค์!M337"")+IMPORTRANGE(""https://docs.google.com/spreadsheets/d/10s13Sk5xrltsiR-Zkbmk5DwIaDIKO8Xl"&amp;"bJAfqyT7Gvg/edit?usp=sharing"",""น่าน!M337"")+IMPORTRANGE(""https://docs.google.com/spreadsheets/d/1uu4nAn4Dbi1XREnLKKotUANlKXa7yCgRcgq8HEzQYW8/edit?usp=sharing"",""พะเยา!M337"")+IMPORTRANGE(""https://docs.google.com/spreadsheets/d/1xfJKIQxVOaPDIICqsflNlL"&amp;"u3JacTDk1FP9RH4phX7mI/edit?usp=sharing"",""พิจิตร!M337"")+IMPORTRANGE(""https://docs.google.com/spreadsheets/d/1JtRfZkJMHtEhI5RdRHxYUG4FIZHqKDpNyIuN7A1Q0_k/edit?usp=sharing"",""พิษณุโลก!M337"")+IMPORTRANGE(""https://docs.google.com/spreadsheets/d/1xlcVZWU"&amp;"Nn6SuWm0c307h32SiGkd9BaeQWlAktfD3KO8/edit?usp=sharing"",""เพชรบูรณ์!M337"")+IMPORTRANGE(""https://docs.google.com/spreadsheets/d/1lOVebEIsI9qjGXl6EX66luk7wiuP2tBaryw-wKvv4e0/edit?usp=sharing"",""แพร่!M337"")+IMPORTRANGE(""https://docs.google.com/spreadshe"&amp;"ets/d/1dQrvX0vEcN7Gu0fnZ0B5S90AeR19zth4XlExFBeExMY/edit?usp=sharing"",""แม่ฮ่องสอน!M337"")+IMPORTRANGE(""https://docs.google.com/spreadsheets/d/1DY4XTNNwjluuxqdfdn6qvOSlMRrZqUtmYcZR0ttFiG4/edit?usp=sharing"",""ลำปาง!M337"")+IMPORTRANGE(""https://docs.goog"&amp;"le.com/spreadsheets/d/1ICwG78r0OFT8biBlxnBF8r7she7gNSzOvJ958PWT09c/edit?usp=sharing"",""ลำพูน!M337"")+IMPORTRANGE(""https://docs.google.com/spreadsheets/d/1B0f2xJpZUC6Z0xXnqKlZtEPzsf6L84eP1r1Q15seqRM/edit?usp=sharing"",""สุโขทัย!M337"")+IMPORTRANGE(""http"&amp;"s://docs.google.com/spreadsheets/d/1v0b9pFQCsKUVExMei7AgY2yQkdeNQvtOssygGsXbiKo/edit?usp=sharing"",""อุตรดิตถ์!M337"")+IMPORTRANGE(""https://docs.google.com/spreadsheets/d/1UsNK1e-WWiCo2PvGqdNfdme4m17_Ezd3J69EeeiQPD0/edit?usp=sharing"",""อุทัยธานี!M337"")"),0)</f>
        <v>0</v>
      </c>
      <c r="N337" s="46">
        <f ca="1">IFERROR(__xludf.DUMMYFUNCTION("IMPORTRANGE(""https://docs.google.com/spreadsheets/d/1jTcq05yEiRwXcBMLjiodW9e4biSGYWAHcDj22rKWQ3s/edit?usp=sharing"",""กำแพงเพชร!N337"")+IMPORTRANGE(""https://docs.google.com/spreadsheets/d/1KS0zmDSZPk8KnTAbGN-Xk6MtX1YRZD0ldgdt20K4CRk/edit?usp=sharing"","&amp;"""เชียงราย!N337"")+IMPORTRANGE(""https://docs.google.com/spreadsheets/d/1rEDxBtusbi64tE0zunoIbsTVV16HeL0oJ6trHQeQ7K8/edit?usp=sharing"",""เชียงใหม่!N337"")+IMPORTRANGE(""https://docs.google.com/spreadsheets/d/1W6MnUbDkMi6xHnHko_XkFDO9kkuL6Wqyc-6OCDFjW9I/e"&amp;"dit?usp=sharing"",""ตาก!N337"")+IMPORTRANGE(""https://docs.google.com/spreadsheets/d/1IQAWArduLkta9LpYo4a_ULsyqdta6-6aDDiwpUnQT6c/edit?usp=sharing"",""นครสวรรค์!N337"")+IMPORTRANGE(""https://docs.google.com/spreadsheets/d/10s13Sk5xrltsiR-Zkbmk5DwIaDIKO8Xl"&amp;"bJAfqyT7Gvg/edit?usp=sharing"",""น่าน!N337"")+IMPORTRANGE(""https://docs.google.com/spreadsheets/d/1uu4nAn4Dbi1XREnLKKotUANlKXa7yCgRcgq8HEzQYW8/edit?usp=sharing"",""พะเยา!N337"")+IMPORTRANGE(""https://docs.google.com/spreadsheets/d/1xfJKIQxVOaPDIICqsflNlL"&amp;"u3JacTDk1FP9RH4phX7mI/edit?usp=sharing"",""พิจิตร!N337"")+IMPORTRANGE(""https://docs.google.com/spreadsheets/d/1JtRfZkJMHtEhI5RdRHxYUG4FIZHqKDpNyIuN7A1Q0_k/edit?usp=sharing"",""พิษณุโลก!N337"")+IMPORTRANGE(""https://docs.google.com/spreadsheets/d/1xlcVZWU"&amp;"Nn6SuWm0c307h32SiGkd9BaeQWlAktfD3KO8/edit?usp=sharing"",""เพชรบูรณ์!N337"")+IMPORTRANGE(""https://docs.google.com/spreadsheets/d/1lOVebEIsI9qjGXl6EX66luk7wiuP2tBaryw-wKvv4e0/edit?usp=sharing"",""แพร่!N337"")+IMPORTRANGE(""https://docs.google.com/spreadshe"&amp;"ets/d/1dQrvX0vEcN7Gu0fnZ0B5S90AeR19zth4XlExFBeExMY/edit?usp=sharing"",""แม่ฮ่องสอน!N337"")+IMPORTRANGE(""https://docs.google.com/spreadsheets/d/1DY4XTNNwjluuxqdfdn6qvOSlMRrZqUtmYcZR0ttFiG4/edit?usp=sharing"",""ลำปาง!N337"")+IMPORTRANGE(""https://docs.goog"&amp;"le.com/spreadsheets/d/1ICwG78r0OFT8biBlxnBF8r7she7gNSzOvJ958PWT09c/edit?usp=sharing"",""ลำพูน!N337"")+IMPORTRANGE(""https://docs.google.com/spreadsheets/d/1B0f2xJpZUC6Z0xXnqKlZtEPzsf6L84eP1r1Q15seqRM/edit?usp=sharing"",""สุโขทัย!N337"")+IMPORTRANGE(""http"&amp;"s://docs.google.com/spreadsheets/d/1v0b9pFQCsKUVExMei7AgY2yQkdeNQvtOssygGsXbiKo/edit?usp=sharing"",""อุตรดิตถ์!N337"")+IMPORTRANGE(""https://docs.google.com/spreadsheets/d/1UsNK1e-WWiCo2PvGqdNfdme4m17_Ezd3J69EeeiQPD0/edit?usp=sharing"",""อุทัยธานี!N337"")"),0)</f>
        <v>0</v>
      </c>
      <c r="O337" s="46">
        <f t="shared" ca="1" si="253"/>
        <v>0</v>
      </c>
      <c r="P337" s="46">
        <f t="shared" ca="1" si="254"/>
        <v>0</v>
      </c>
      <c r="Q337" s="48">
        <f ca="1">IFERROR(__xludf.DUMMYFUNCTION("IMPORTRANGE(""https://docs.google.com/spreadsheets/d/1jTcq05yEiRwXcBMLjiodW9e4biSGYWAHcDj22rKWQ3s/edit?usp=sharing"",""กำแพงเพชร!Q337"")+IMPORTRANGE(""https://docs.google.com/spreadsheets/d/1KS0zmDSZPk8KnTAbGN-Xk6MtX1YRZD0ldgdt20K4CRk/edit?usp=sharing"","&amp;"""เชียงราย!Q337"")+IMPORTRANGE(""https://docs.google.com/spreadsheets/d/1rEDxBtusbi64tE0zunoIbsTVV16HeL0oJ6trHQeQ7K8/edit?usp=sharing"",""เชียงใหม่!Q337"")+IMPORTRANGE(""https://docs.google.com/spreadsheets/d/1W6MnUbDkMi6xHnHko_XkFDO9kkuL6Wqyc-6OCDFjW9I/e"&amp;"dit?usp=sharing"",""ตาก!Q337"")+IMPORTRANGE(""https://docs.google.com/spreadsheets/d/1IQAWArduLkta9LpYo4a_ULsyqdta6-6aDDiwpUnQT6c/edit?usp=sharing"",""นครสวรรค์!Q337"")+IMPORTRANGE(""https://docs.google.com/spreadsheets/d/10s13Sk5xrltsiR-Zkbmk5DwIaDIKO8Xl"&amp;"bJAfqyT7Gvg/edit?usp=sharing"",""น่าน!Q337"")+IMPORTRANGE(""https://docs.google.com/spreadsheets/d/1uu4nAn4Dbi1XREnLKKotUANlKXa7yCgRcgq8HEzQYW8/edit?usp=sharing"",""พะเยา!Q337"")+IMPORTRANGE(""https://docs.google.com/spreadsheets/d/1xfJKIQxVOaPDIICqsflNlL"&amp;"u3JacTDk1FP9RH4phX7mI/edit?usp=sharing"",""พิจิตร!Q337"")+IMPORTRANGE(""https://docs.google.com/spreadsheets/d/1JtRfZkJMHtEhI5RdRHxYUG4FIZHqKDpNyIuN7A1Q0_k/edit?usp=sharing"",""พิษณุโลก!Q337"")+IMPORTRANGE(""https://docs.google.com/spreadsheets/d/1xlcVZWU"&amp;"Nn6SuWm0c307h32SiGkd9BaeQWlAktfD3KO8/edit?usp=sharing"",""เพชรบูรณ์!Q337"")+IMPORTRANGE(""https://docs.google.com/spreadsheets/d/1lOVebEIsI9qjGXl6EX66luk7wiuP2tBaryw-wKvv4e0/edit?usp=sharing"",""แพร่!Q337"")+IMPORTRANGE(""https://docs.google.com/spreadshe"&amp;"ets/d/1dQrvX0vEcN7Gu0fnZ0B5S90AeR19zth4XlExFBeExMY/edit?usp=sharing"",""แม่ฮ่องสอน!Q337"")+IMPORTRANGE(""https://docs.google.com/spreadsheets/d/1DY4XTNNwjluuxqdfdn6qvOSlMRrZqUtmYcZR0ttFiG4/edit?usp=sharing"",""ลำปาง!Q337"")+IMPORTRANGE(""https://docs.goog"&amp;"le.com/spreadsheets/d/1ICwG78r0OFT8biBlxnBF8r7she7gNSzOvJ958PWT09c/edit?usp=sharing"",""ลำพูน!Q337"")+IMPORTRANGE(""https://docs.google.com/spreadsheets/d/1B0f2xJpZUC6Z0xXnqKlZtEPzsf6L84eP1r1Q15seqRM/edit?usp=sharing"",""สุโขทัย!Q337"")+IMPORTRANGE(""http"&amp;"s://docs.google.com/spreadsheets/d/1v0b9pFQCsKUVExMei7AgY2yQkdeNQvtOssygGsXbiKo/edit?usp=sharing"",""อุตรดิตถ์!Q337"")+IMPORTRANGE(""https://docs.google.com/spreadsheets/d/1UsNK1e-WWiCo2PvGqdNfdme4m17_Ezd3J69EeeiQPD0/edit?usp=sharing"",""อุทัยธานี!Q337"")"),0)</f>
        <v>0</v>
      </c>
      <c r="R337" s="48">
        <f ca="1">IFERROR(__xludf.DUMMYFUNCTION("IMPORTRANGE(""https://docs.google.com/spreadsheets/d/1jTcq05yEiRwXcBMLjiodW9e4biSGYWAHcDj22rKWQ3s/edit?usp=sharing"",""กำแพงเพชร!R337"")+IMPORTRANGE(""https://docs.google.com/spreadsheets/d/1KS0zmDSZPk8KnTAbGN-Xk6MtX1YRZD0ldgdt20K4CRk/edit?usp=sharing"","&amp;"""เชียงราย!R337"")+IMPORTRANGE(""https://docs.google.com/spreadsheets/d/1rEDxBtusbi64tE0zunoIbsTVV16HeL0oJ6trHQeQ7K8/edit?usp=sharing"",""เชียงใหม่!R337"")+IMPORTRANGE(""https://docs.google.com/spreadsheets/d/1W6MnUbDkMi6xHnHko_XkFDO9kkuL6Wqyc-6OCDFjW9I/e"&amp;"dit?usp=sharing"",""ตาก!R337"")+IMPORTRANGE(""https://docs.google.com/spreadsheets/d/1IQAWArduLkta9LpYo4a_ULsyqdta6-6aDDiwpUnQT6c/edit?usp=sharing"",""นครสวรรค์!R337"")+IMPORTRANGE(""https://docs.google.com/spreadsheets/d/10s13Sk5xrltsiR-Zkbmk5DwIaDIKO8Xl"&amp;"bJAfqyT7Gvg/edit?usp=sharing"",""น่าน!R337"")+IMPORTRANGE(""https://docs.google.com/spreadsheets/d/1uu4nAn4Dbi1XREnLKKotUANlKXa7yCgRcgq8HEzQYW8/edit?usp=sharing"",""พะเยา!R337"")+IMPORTRANGE(""https://docs.google.com/spreadsheets/d/1xfJKIQxVOaPDIICqsflNlL"&amp;"u3JacTDk1FP9RH4phX7mI/edit?usp=sharing"",""พิจิตร!R337"")+IMPORTRANGE(""https://docs.google.com/spreadsheets/d/1JtRfZkJMHtEhI5RdRHxYUG4FIZHqKDpNyIuN7A1Q0_k/edit?usp=sharing"",""พิษณุโลก!R337"")+IMPORTRANGE(""https://docs.google.com/spreadsheets/d/1xlcVZWU"&amp;"Nn6SuWm0c307h32SiGkd9BaeQWlAktfD3KO8/edit?usp=sharing"",""เพชรบูรณ์!R337"")+IMPORTRANGE(""https://docs.google.com/spreadsheets/d/1lOVebEIsI9qjGXl6EX66luk7wiuP2tBaryw-wKvv4e0/edit?usp=sharing"",""แพร่!R337"")+IMPORTRANGE(""https://docs.google.com/spreadshe"&amp;"ets/d/1dQrvX0vEcN7Gu0fnZ0B5S90AeR19zth4XlExFBeExMY/edit?usp=sharing"",""แม่ฮ่องสอน!R337"")+IMPORTRANGE(""https://docs.google.com/spreadsheets/d/1DY4XTNNwjluuxqdfdn6qvOSlMRrZqUtmYcZR0ttFiG4/edit?usp=sharing"",""ลำปาง!R337"")+IMPORTRANGE(""https://docs.goog"&amp;"le.com/spreadsheets/d/1ICwG78r0OFT8biBlxnBF8r7she7gNSzOvJ958PWT09c/edit?usp=sharing"",""ลำพูน!R337"")+IMPORTRANGE(""https://docs.google.com/spreadsheets/d/1B0f2xJpZUC6Z0xXnqKlZtEPzsf6L84eP1r1Q15seqRM/edit?usp=sharing"",""สุโขทัย!R337"")+IMPORTRANGE(""http"&amp;"s://docs.google.com/spreadsheets/d/1v0b9pFQCsKUVExMei7AgY2yQkdeNQvtOssygGsXbiKo/edit?usp=sharing"",""อุตรดิตถ์!R337"")+IMPORTRANGE(""https://docs.google.com/spreadsheets/d/1UsNK1e-WWiCo2PvGqdNfdme4m17_Ezd3J69EeeiQPD0/edit?usp=sharing"",""อุทัยธานี!R337"")"),0)</f>
        <v>0</v>
      </c>
      <c r="S337" s="48">
        <f ca="1">IFERROR(__xludf.DUMMYFUNCTION("IMPORTRANGE(""https://docs.google.com/spreadsheets/d/1jTcq05yEiRwXcBMLjiodW9e4biSGYWAHcDj22rKWQ3s/edit?usp=sharing"",""กำแพงเพชร!S337"")+IMPORTRANGE(""https://docs.google.com/spreadsheets/d/1KS0zmDSZPk8KnTAbGN-Xk6MtX1YRZD0ldgdt20K4CRk/edit?usp=sharing"","&amp;"""เชียงราย!S337"")+IMPORTRANGE(""https://docs.google.com/spreadsheets/d/1rEDxBtusbi64tE0zunoIbsTVV16HeL0oJ6trHQeQ7K8/edit?usp=sharing"",""เชียงใหม่!S337"")+IMPORTRANGE(""https://docs.google.com/spreadsheets/d/1W6MnUbDkMi6xHnHko_XkFDO9kkuL6Wqyc-6OCDFjW9I/e"&amp;"dit?usp=sharing"",""ตาก!S337"")+IMPORTRANGE(""https://docs.google.com/spreadsheets/d/1IQAWArduLkta9LpYo4a_ULsyqdta6-6aDDiwpUnQT6c/edit?usp=sharing"",""นครสวรรค์!S337"")+IMPORTRANGE(""https://docs.google.com/spreadsheets/d/10s13Sk5xrltsiR-Zkbmk5DwIaDIKO8Xl"&amp;"bJAfqyT7Gvg/edit?usp=sharing"",""น่าน!S337"")+IMPORTRANGE(""https://docs.google.com/spreadsheets/d/1uu4nAn4Dbi1XREnLKKotUANlKXa7yCgRcgq8HEzQYW8/edit?usp=sharing"",""พะเยา!S337"")+IMPORTRANGE(""https://docs.google.com/spreadsheets/d/1xfJKIQxVOaPDIICqsflNlL"&amp;"u3JacTDk1FP9RH4phX7mI/edit?usp=sharing"",""พิจิตร!S337"")+IMPORTRANGE(""https://docs.google.com/spreadsheets/d/1JtRfZkJMHtEhI5RdRHxYUG4FIZHqKDpNyIuN7A1Q0_k/edit?usp=sharing"",""พิษณุโลก!S337"")+IMPORTRANGE(""https://docs.google.com/spreadsheets/d/1xlcVZWU"&amp;"Nn6SuWm0c307h32SiGkd9BaeQWlAktfD3KO8/edit?usp=sharing"",""เพชรบูรณ์!S337"")+IMPORTRANGE(""https://docs.google.com/spreadsheets/d/1lOVebEIsI9qjGXl6EX66luk7wiuP2tBaryw-wKvv4e0/edit?usp=sharing"",""แพร่!S337"")+IMPORTRANGE(""https://docs.google.com/spreadshe"&amp;"ets/d/1dQrvX0vEcN7Gu0fnZ0B5S90AeR19zth4XlExFBeExMY/edit?usp=sharing"",""แม่ฮ่องสอน!S337"")+IMPORTRANGE(""https://docs.google.com/spreadsheets/d/1DY4XTNNwjluuxqdfdn6qvOSlMRrZqUtmYcZR0ttFiG4/edit?usp=sharing"",""ลำปาง!S337"")+IMPORTRANGE(""https://docs.goog"&amp;"le.com/spreadsheets/d/1ICwG78r0OFT8biBlxnBF8r7she7gNSzOvJ958PWT09c/edit?usp=sharing"",""ลำพูน!S337"")+IMPORTRANGE(""https://docs.google.com/spreadsheets/d/1B0f2xJpZUC6Z0xXnqKlZtEPzsf6L84eP1r1Q15seqRM/edit?usp=sharing"",""สุโขทัย!S337"")+IMPORTRANGE(""http"&amp;"s://docs.google.com/spreadsheets/d/1v0b9pFQCsKUVExMei7AgY2yQkdeNQvtOssygGsXbiKo/edit?usp=sharing"",""อุตรดิตถ์!S337"")+IMPORTRANGE(""https://docs.google.com/spreadsheets/d/1UsNK1e-WWiCo2PvGqdNfdme4m17_Ezd3J69EeeiQPD0/edit?usp=sharing"",""อุทัยธานี!S337"")"),0)</f>
        <v>0</v>
      </c>
      <c r="T337" s="48">
        <f t="shared" ca="1" si="256"/>
        <v>0</v>
      </c>
      <c r="U337" s="48">
        <f t="shared" ca="1" si="257"/>
        <v>0</v>
      </c>
    </row>
    <row r="338" spans="1:21" ht="18.75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46">
        <f ca="1">IFERROR(__xludf.DUMMYFUNCTION("IMPORTRANGE(""https://docs.google.com/spreadsheets/d/1jTcq05yEiRwXcBMLjiodW9e4biSGYWAHcDj22rKWQ3s/edit?usp=sharing"",""กำแพงเพชร!L338"")+IMPORTRANGE(""https://docs.google.com/spreadsheets/d/1KS0zmDSZPk8KnTAbGN-Xk6MtX1YRZD0ldgdt20K4CRk/edit?usp=sharing"","&amp;"""เชียงราย!L338"")+IMPORTRANGE(""https://docs.google.com/spreadsheets/d/1rEDxBtusbi64tE0zunoIbsTVV16HeL0oJ6trHQeQ7K8/edit?usp=sharing"",""เชียงใหม่!L338"")+IMPORTRANGE(""https://docs.google.com/spreadsheets/d/1W6MnUbDkMi6xHnHko_XkFDO9kkuL6Wqyc-6OCDFjW9I/e"&amp;"dit?usp=sharing"",""ตาก!L338"")+IMPORTRANGE(""https://docs.google.com/spreadsheets/d/1IQAWArduLkta9LpYo4a_ULsyqdta6-6aDDiwpUnQT6c/edit?usp=sharing"",""นครสวรรค์!L338"")+IMPORTRANGE(""https://docs.google.com/spreadsheets/d/10s13Sk5xrltsiR-Zkbmk5DwIaDIKO8Xl"&amp;"bJAfqyT7Gvg/edit?usp=sharing"",""น่าน!L338"")+IMPORTRANGE(""https://docs.google.com/spreadsheets/d/1uu4nAn4Dbi1XREnLKKotUANlKXa7yCgRcgq8HEzQYW8/edit?usp=sharing"",""พะเยา!L338"")+IMPORTRANGE(""https://docs.google.com/spreadsheets/d/1xfJKIQxVOaPDIICqsflNlL"&amp;"u3JacTDk1FP9RH4phX7mI/edit?usp=sharing"",""พิจิตร!L338"")+IMPORTRANGE(""https://docs.google.com/spreadsheets/d/1JtRfZkJMHtEhI5RdRHxYUG4FIZHqKDpNyIuN7A1Q0_k/edit?usp=sharing"",""พิษณุโลก!L338"")+IMPORTRANGE(""https://docs.google.com/spreadsheets/d/1xlcVZWU"&amp;"Nn6SuWm0c307h32SiGkd9BaeQWlAktfD3KO8/edit?usp=sharing"",""เพชรบูรณ์!L338"")+IMPORTRANGE(""https://docs.google.com/spreadsheets/d/1lOVebEIsI9qjGXl6EX66luk7wiuP2tBaryw-wKvv4e0/edit?usp=sharing"",""แพร่!L338"")+IMPORTRANGE(""https://docs.google.com/spreadshe"&amp;"ets/d/1dQrvX0vEcN7Gu0fnZ0B5S90AeR19zth4XlExFBeExMY/edit?usp=sharing"",""แม่ฮ่องสอน!L338"")+IMPORTRANGE(""https://docs.google.com/spreadsheets/d/1DY4XTNNwjluuxqdfdn6qvOSlMRrZqUtmYcZR0ttFiG4/edit?usp=sharing"",""ลำปาง!L338"")+IMPORTRANGE(""https://docs.goog"&amp;"le.com/spreadsheets/d/1ICwG78r0OFT8biBlxnBF8r7she7gNSzOvJ958PWT09c/edit?usp=sharing"",""ลำพูน!L338"")+IMPORTRANGE(""https://docs.google.com/spreadsheets/d/1B0f2xJpZUC6Z0xXnqKlZtEPzsf6L84eP1r1Q15seqRM/edit?usp=sharing"",""สุโขทัย!L338"")+IMPORTRANGE(""http"&amp;"s://docs.google.com/spreadsheets/d/1v0b9pFQCsKUVExMei7AgY2yQkdeNQvtOssygGsXbiKo/edit?usp=sharing"",""อุตรดิตถ์!L338"")+IMPORTRANGE(""https://docs.google.com/spreadsheets/d/1UsNK1e-WWiCo2PvGqdNfdme4m17_Ezd3J69EeeiQPD0/edit?usp=sharing"",""อุทัยธานี!L338"")"),1861000)</f>
        <v>1861000</v>
      </c>
      <c r="M338" s="46">
        <f ca="1">IFERROR(__xludf.DUMMYFUNCTION("IMPORTRANGE(""https://docs.google.com/spreadsheets/d/1jTcq05yEiRwXcBMLjiodW9e4biSGYWAHcDj22rKWQ3s/edit?usp=sharing"",""กำแพงเพชร!M338"")+IMPORTRANGE(""https://docs.google.com/spreadsheets/d/1KS0zmDSZPk8KnTAbGN-Xk6MtX1YRZD0ldgdt20K4CRk/edit?usp=sharing"","&amp;"""เชียงราย!M338"")+IMPORTRANGE(""https://docs.google.com/spreadsheets/d/1rEDxBtusbi64tE0zunoIbsTVV16HeL0oJ6trHQeQ7K8/edit?usp=sharing"",""เชียงใหม่!M338"")+IMPORTRANGE(""https://docs.google.com/spreadsheets/d/1W6MnUbDkMi6xHnHko_XkFDO9kkuL6Wqyc-6OCDFjW9I/e"&amp;"dit?usp=sharing"",""ตาก!M338"")+IMPORTRANGE(""https://docs.google.com/spreadsheets/d/1IQAWArduLkta9LpYo4a_ULsyqdta6-6aDDiwpUnQT6c/edit?usp=sharing"",""นครสวรรค์!M338"")+IMPORTRANGE(""https://docs.google.com/spreadsheets/d/10s13Sk5xrltsiR-Zkbmk5DwIaDIKO8Xl"&amp;"bJAfqyT7Gvg/edit?usp=sharing"",""น่าน!M338"")+IMPORTRANGE(""https://docs.google.com/spreadsheets/d/1uu4nAn4Dbi1XREnLKKotUANlKXa7yCgRcgq8HEzQYW8/edit?usp=sharing"",""พะเยา!M338"")+IMPORTRANGE(""https://docs.google.com/spreadsheets/d/1xfJKIQxVOaPDIICqsflNlL"&amp;"u3JacTDk1FP9RH4phX7mI/edit?usp=sharing"",""พิจิตร!M338"")+IMPORTRANGE(""https://docs.google.com/spreadsheets/d/1JtRfZkJMHtEhI5RdRHxYUG4FIZHqKDpNyIuN7A1Q0_k/edit?usp=sharing"",""พิษณุโลก!M338"")+IMPORTRANGE(""https://docs.google.com/spreadsheets/d/1xlcVZWU"&amp;"Nn6SuWm0c307h32SiGkd9BaeQWlAktfD3KO8/edit?usp=sharing"",""เพชรบูรณ์!M338"")+IMPORTRANGE(""https://docs.google.com/spreadsheets/d/1lOVebEIsI9qjGXl6EX66luk7wiuP2tBaryw-wKvv4e0/edit?usp=sharing"",""แพร่!M338"")+IMPORTRANGE(""https://docs.google.com/spreadshe"&amp;"ets/d/1dQrvX0vEcN7Gu0fnZ0B5S90AeR19zth4XlExFBeExMY/edit?usp=sharing"",""แม่ฮ่องสอน!M338"")+IMPORTRANGE(""https://docs.google.com/spreadsheets/d/1DY4XTNNwjluuxqdfdn6qvOSlMRrZqUtmYcZR0ttFiG4/edit?usp=sharing"",""ลำปาง!M338"")+IMPORTRANGE(""https://docs.goog"&amp;"le.com/spreadsheets/d/1ICwG78r0OFT8biBlxnBF8r7she7gNSzOvJ958PWT09c/edit?usp=sharing"",""ลำพูน!M338"")+IMPORTRANGE(""https://docs.google.com/spreadsheets/d/1B0f2xJpZUC6Z0xXnqKlZtEPzsf6L84eP1r1Q15seqRM/edit?usp=sharing"",""สุโขทัย!M338"")+IMPORTRANGE(""http"&amp;"s://docs.google.com/spreadsheets/d/1v0b9pFQCsKUVExMei7AgY2yQkdeNQvtOssygGsXbiKo/edit?usp=sharing"",""อุตรดิตถ์!M338"")+IMPORTRANGE(""https://docs.google.com/spreadsheets/d/1UsNK1e-WWiCo2PvGqdNfdme4m17_Ezd3J69EeeiQPD0/edit?usp=sharing"",""อุทัยธานี!M338"")"),1946000)</f>
        <v>1946000</v>
      </c>
      <c r="N338" s="46">
        <f ca="1">IFERROR(__xludf.DUMMYFUNCTION("IMPORTRANGE(""https://docs.google.com/spreadsheets/d/1jTcq05yEiRwXcBMLjiodW9e4biSGYWAHcDj22rKWQ3s/edit?usp=sharing"",""กำแพงเพชร!N338"")+IMPORTRANGE(""https://docs.google.com/spreadsheets/d/1KS0zmDSZPk8KnTAbGN-Xk6MtX1YRZD0ldgdt20K4CRk/edit?usp=sharing"","&amp;"""เชียงราย!N338"")+IMPORTRANGE(""https://docs.google.com/spreadsheets/d/1rEDxBtusbi64tE0zunoIbsTVV16HeL0oJ6trHQeQ7K8/edit?usp=sharing"",""เชียงใหม่!N338"")+IMPORTRANGE(""https://docs.google.com/spreadsheets/d/1W6MnUbDkMi6xHnHko_XkFDO9kkuL6Wqyc-6OCDFjW9I/e"&amp;"dit?usp=sharing"",""ตาก!N338"")+IMPORTRANGE(""https://docs.google.com/spreadsheets/d/1IQAWArduLkta9LpYo4a_ULsyqdta6-6aDDiwpUnQT6c/edit?usp=sharing"",""นครสวรรค์!N338"")+IMPORTRANGE(""https://docs.google.com/spreadsheets/d/10s13Sk5xrltsiR-Zkbmk5DwIaDIKO8Xl"&amp;"bJAfqyT7Gvg/edit?usp=sharing"",""น่าน!N338"")+IMPORTRANGE(""https://docs.google.com/spreadsheets/d/1uu4nAn4Dbi1XREnLKKotUANlKXa7yCgRcgq8HEzQYW8/edit?usp=sharing"",""พะเยา!N338"")+IMPORTRANGE(""https://docs.google.com/spreadsheets/d/1xfJKIQxVOaPDIICqsflNlL"&amp;"u3JacTDk1FP9RH4phX7mI/edit?usp=sharing"",""พิจิตร!N338"")+IMPORTRANGE(""https://docs.google.com/spreadsheets/d/1JtRfZkJMHtEhI5RdRHxYUG4FIZHqKDpNyIuN7A1Q0_k/edit?usp=sharing"",""พิษณุโลก!N338"")+IMPORTRANGE(""https://docs.google.com/spreadsheets/d/1xlcVZWU"&amp;"Nn6SuWm0c307h32SiGkd9BaeQWlAktfD3KO8/edit?usp=sharing"",""เพชรบูรณ์!N338"")+IMPORTRANGE(""https://docs.google.com/spreadsheets/d/1lOVebEIsI9qjGXl6EX66luk7wiuP2tBaryw-wKvv4e0/edit?usp=sharing"",""แพร่!N338"")+IMPORTRANGE(""https://docs.google.com/spreadshe"&amp;"ets/d/1dQrvX0vEcN7Gu0fnZ0B5S90AeR19zth4XlExFBeExMY/edit?usp=sharing"",""แม่ฮ่องสอน!N338"")+IMPORTRANGE(""https://docs.google.com/spreadsheets/d/1DY4XTNNwjluuxqdfdn6qvOSlMRrZqUtmYcZR0ttFiG4/edit?usp=sharing"",""ลำปาง!N338"")+IMPORTRANGE(""https://docs.goog"&amp;"le.com/spreadsheets/d/1ICwG78r0OFT8biBlxnBF8r7she7gNSzOvJ958PWT09c/edit?usp=sharing"",""ลำพูน!N338"")+IMPORTRANGE(""https://docs.google.com/spreadsheets/d/1B0f2xJpZUC6Z0xXnqKlZtEPzsf6L84eP1r1Q15seqRM/edit?usp=sharing"",""สุโขทัย!N338"")+IMPORTRANGE(""http"&amp;"s://docs.google.com/spreadsheets/d/1v0b9pFQCsKUVExMei7AgY2yQkdeNQvtOssygGsXbiKo/edit?usp=sharing"",""อุตรดิตถ์!N338"")+IMPORTRANGE(""https://docs.google.com/spreadsheets/d/1UsNK1e-WWiCo2PvGqdNfdme4m17_Ezd3J69EeeiQPD0/edit?usp=sharing"",""อุทัยธานี!N338"")"),1459563.50999999)</f>
        <v>1459563.50999999</v>
      </c>
      <c r="O338" s="46">
        <f t="shared" ca="1" si="253"/>
        <v>78.428990327780213</v>
      </c>
      <c r="P338" s="46">
        <f t="shared" ca="1" si="254"/>
        <v>75.003263617676765</v>
      </c>
      <c r="Q338" s="46">
        <f ca="1">IFERROR(__xludf.DUMMYFUNCTION("IMPORTRANGE(""https://docs.google.com/spreadsheets/d/1jTcq05yEiRwXcBMLjiodW9e4biSGYWAHcDj22rKWQ3s/edit?usp=sharing"",""กำแพงเพชร!Q338"")+IMPORTRANGE(""https://docs.google.com/spreadsheets/d/1KS0zmDSZPk8KnTAbGN-Xk6MtX1YRZD0ldgdt20K4CRk/edit?usp=sharing"","&amp;"""เชียงราย!Q338"")+IMPORTRANGE(""https://docs.google.com/spreadsheets/d/1rEDxBtusbi64tE0zunoIbsTVV16HeL0oJ6trHQeQ7K8/edit?usp=sharing"",""เชียงใหม่!Q338"")+IMPORTRANGE(""https://docs.google.com/spreadsheets/d/1W6MnUbDkMi6xHnHko_XkFDO9kkuL6Wqyc-6OCDFjW9I/e"&amp;"dit?usp=sharing"",""ตาก!Q338"")+IMPORTRANGE(""https://docs.google.com/spreadsheets/d/1IQAWArduLkta9LpYo4a_ULsyqdta6-6aDDiwpUnQT6c/edit?usp=sharing"",""นครสวรรค์!Q338"")+IMPORTRANGE(""https://docs.google.com/spreadsheets/d/10s13Sk5xrltsiR-Zkbmk5DwIaDIKO8Xl"&amp;"bJAfqyT7Gvg/edit?usp=sharing"",""น่าน!Q338"")+IMPORTRANGE(""https://docs.google.com/spreadsheets/d/1uu4nAn4Dbi1XREnLKKotUANlKXa7yCgRcgq8HEzQYW8/edit?usp=sharing"",""พะเยา!Q338"")+IMPORTRANGE(""https://docs.google.com/spreadsheets/d/1xfJKIQxVOaPDIICqsflNlL"&amp;"u3JacTDk1FP9RH4phX7mI/edit?usp=sharing"",""พิจิตร!Q338"")+IMPORTRANGE(""https://docs.google.com/spreadsheets/d/1JtRfZkJMHtEhI5RdRHxYUG4FIZHqKDpNyIuN7A1Q0_k/edit?usp=sharing"",""พิษณุโลก!Q338"")+IMPORTRANGE(""https://docs.google.com/spreadsheets/d/1xlcVZWU"&amp;"Nn6SuWm0c307h32SiGkd9BaeQWlAktfD3KO8/edit?usp=sharing"",""เพชรบูรณ์!Q338"")+IMPORTRANGE(""https://docs.google.com/spreadsheets/d/1lOVebEIsI9qjGXl6EX66luk7wiuP2tBaryw-wKvv4e0/edit?usp=sharing"",""แพร่!Q338"")+IMPORTRANGE(""https://docs.google.com/spreadshe"&amp;"ets/d/1dQrvX0vEcN7Gu0fnZ0B5S90AeR19zth4XlExFBeExMY/edit?usp=sharing"",""แม่ฮ่องสอน!Q338"")+IMPORTRANGE(""https://docs.google.com/spreadsheets/d/1DY4XTNNwjluuxqdfdn6qvOSlMRrZqUtmYcZR0ttFiG4/edit?usp=sharing"",""ลำปาง!Q338"")+IMPORTRANGE(""https://docs.goog"&amp;"le.com/spreadsheets/d/1ICwG78r0OFT8biBlxnBF8r7she7gNSzOvJ958PWT09c/edit?usp=sharing"",""ลำพูน!Q338"")+IMPORTRANGE(""https://docs.google.com/spreadsheets/d/1B0f2xJpZUC6Z0xXnqKlZtEPzsf6L84eP1r1Q15seqRM/edit?usp=sharing"",""สุโขทัย!Q338"")+IMPORTRANGE(""http"&amp;"s://docs.google.com/spreadsheets/d/1v0b9pFQCsKUVExMei7AgY2yQkdeNQvtOssygGsXbiKo/edit?usp=sharing"",""อุตรดิตถ์!Q338"")+IMPORTRANGE(""https://docs.google.com/spreadsheets/d/1UsNK1e-WWiCo2PvGqdNfdme4m17_Ezd3J69EeeiQPD0/edit?usp=sharing"",""อุทัยธานี!Q338"")"),0)</f>
        <v>0</v>
      </c>
      <c r="R338" s="46">
        <f ca="1">IFERROR(__xludf.DUMMYFUNCTION("IMPORTRANGE(""https://docs.google.com/spreadsheets/d/1jTcq05yEiRwXcBMLjiodW9e4biSGYWAHcDj22rKWQ3s/edit?usp=sharing"",""กำแพงเพชร!R338"")+IMPORTRANGE(""https://docs.google.com/spreadsheets/d/1KS0zmDSZPk8KnTAbGN-Xk6MtX1YRZD0ldgdt20K4CRk/edit?usp=sharing"","&amp;"""เชียงราย!R338"")+IMPORTRANGE(""https://docs.google.com/spreadsheets/d/1rEDxBtusbi64tE0zunoIbsTVV16HeL0oJ6trHQeQ7K8/edit?usp=sharing"",""เชียงใหม่!R338"")+IMPORTRANGE(""https://docs.google.com/spreadsheets/d/1W6MnUbDkMi6xHnHko_XkFDO9kkuL6Wqyc-6OCDFjW9I/e"&amp;"dit?usp=sharing"",""ตาก!R338"")+IMPORTRANGE(""https://docs.google.com/spreadsheets/d/1IQAWArduLkta9LpYo4a_ULsyqdta6-6aDDiwpUnQT6c/edit?usp=sharing"",""นครสวรรค์!R338"")+IMPORTRANGE(""https://docs.google.com/spreadsheets/d/10s13Sk5xrltsiR-Zkbmk5DwIaDIKO8Xl"&amp;"bJAfqyT7Gvg/edit?usp=sharing"",""น่าน!R338"")+IMPORTRANGE(""https://docs.google.com/spreadsheets/d/1uu4nAn4Dbi1XREnLKKotUANlKXa7yCgRcgq8HEzQYW8/edit?usp=sharing"",""พะเยา!R338"")+IMPORTRANGE(""https://docs.google.com/spreadsheets/d/1xfJKIQxVOaPDIICqsflNlL"&amp;"u3JacTDk1FP9RH4phX7mI/edit?usp=sharing"",""พิจิตร!R338"")+IMPORTRANGE(""https://docs.google.com/spreadsheets/d/1JtRfZkJMHtEhI5RdRHxYUG4FIZHqKDpNyIuN7A1Q0_k/edit?usp=sharing"",""พิษณุโลก!R338"")+IMPORTRANGE(""https://docs.google.com/spreadsheets/d/1xlcVZWU"&amp;"Nn6SuWm0c307h32SiGkd9BaeQWlAktfD3KO8/edit?usp=sharing"",""เพชรบูรณ์!R338"")+IMPORTRANGE(""https://docs.google.com/spreadsheets/d/1lOVebEIsI9qjGXl6EX66luk7wiuP2tBaryw-wKvv4e0/edit?usp=sharing"",""แพร่!R338"")+IMPORTRANGE(""https://docs.google.com/spreadshe"&amp;"ets/d/1dQrvX0vEcN7Gu0fnZ0B5S90AeR19zth4XlExFBeExMY/edit?usp=sharing"",""แม่ฮ่องสอน!R338"")+IMPORTRANGE(""https://docs.google.com/spreadsheets/d/1DY4XTNNwjluuxqdfdn6qvOSlMRrZqUtmYcZR0ttFiG4/edit?usp=sharing"",""ลำปาง!R338"")+IMPORTRANGE(""https://docs.goog"&amp;"le.com/spreadsheets/d/1ICwG78r0OFT8biBlxnBF8r7she7gNSzOvJ958PWT09c/edit?usp=sharing"",""ลำพูน!R338"")+IMPORTRANGE(""https://docs.google.com/spreadsheets/d/1B0f2xJpZUC6Z0xXnqKlZtEPzsf6L84eP1r1Q15seqRM/edit?usp=sharing"",""สุโขทัย!R338"")+IMPORTRANGE(""http"&amp;"s://docs.google.com/spreadsheets/d/1v0b9pFQCsKUVExMei7AgY2yQkdeNQvtOssygGsXbiKo/edit?usp=sharing"",""อุตรดิตถ์!R338"")+IMPORTRANGE(""https://docs.google.com/spreadsheets/d/1UsNK1e-WWiCo2PvGqdNfdme4m17_Ezd3J69EeeiQPD0/edit?usp=sharing"",""อุทัยธานี!R338"")"),0)</f>
        <v>0</v>
      </c>
      <c r="S338" s="46">
        <f ca="1">IFERROR(__xludf.DUMMYFUNCTION("IMPORTRANGE(""https://docs.google.com/spreadsheets/d/1jTcq05yEiRwXcBMLjiodW9e4biSGYWAHcDj22rKWQ3s/edit?usp=sharing"",""กำแพงเพชร!S338"")+IMPORTRANGE(""https://docs.google.com/spreadsheets/d/1KS0zmDSZPk8KnTAbGN-Xk6MtX1YRZD0ldgdt20K4CRk/edit?usp=sharing"","&amp;"""เชียงราย!S338"")+IMPORTRANGE(""https://docs.google.com/spreadsheets/d/1rEDxBtusbi64tE0zunoIbsTVV16HeL0oJ6trHQeQ7K8/edit?usp=sharing"",""เชียงใหม่!S338"")+IMPORTRANGE(""https://docs.google.com/spreadsheets/d/1W6MnUbDkMi6xHnHko_XkFDO9kkuL6Wqyc-6OCDFjW9I/e"&amp;"dit?usp=sharing"",""ตาก!S338"")+IMPORTRANGE(""https://docs.google.com/spreadsheets/d/1IQAWArduLkta9LpYo4a_ULsyqdta6-6aDDiwpUnQT6c/edit?usp=sharing"",""นครสวรรค์!S338"")+IMPORTRANGE(""https://docs.google.com/spreadsheets/d/10s13Sk5xrltsiR-Zkbmk5DwIaDIKO8Xl"&amp;"bJAfqyT7Gvg/edit?usp=sharing"",""น่าน!S338"")+IMPORTRANGE(""https://docs.google.com/spreadsheets/d/1uu4nAn4Dbi1XREnLKKotUANlKXa7yCgRcgq8HEzQYW8/edit?usp=sharing"",""พะเยา!S338"")+IMPORTRANGE(""https://docs.google.com/spreadsheets/d/1xfJKIQxVOaPDIICqsflNlL"&amp;"u3JacTDk1FP9RH4phX7mI/edit?usp=sharing"",""พิจิตร!S338"")+IMPORTRANGE(""https://docs.google.com/spreadsheets/d/1JtRfZkJMHtEhI5RdRHxYUG4FIZHqKDpNyIuN7A1Q0_k/edit?usp=sharing"",""พิษณุโลก!S338"")+IMPORTRANGE(""https://docs.google.com/spreadsheets/d/1xlcVZWU"&amp;"Nn6SuWm0c307h32SiGkd9BaeQWlAktfD3KO8/edit?usp=sharing"",""เพชรบูรณ์!S338"")+IMPORTRANGE(""https://docs.google.com/spreadsheets/d/1lOVebEIsI9qjGXl6EX66luk7wiuP2tBaryw-wKvv4e0/edit?usp=sharing"",""แพร่!S338"")+IMPORTRANGE(""https://docs.google.com/spreadshe"&amp;"ets/d/1dQrvX0vEcN7Gu0fnZ0B5S90AeR19zth4XlExFBeExMY/edit?usp=sharing"",""แม่ฮ่องสอน!S338"")+IMPORTRANGE(""https://docs.google.com/spreadsheets/d/1DY4XTNNwjluuxqdfdn6qvOSlMRrZqUtmYcZR0ttFiG4/edit?usp=sharing"",""ลำปาง!S338"")+IMPORTRANGE(""https://docs.goog"&amp;"le.com/spreadsheets/d/1ICwG78r0OFT8biBlxnBF8r7she7gNSzOvJ958PWT09c/edit?usp=sharing"",""ลำพูน!S338"")+IMPORTRANGE(""https://docs.google.com/spreadsheets/d/1B0f2xJpZUC6Z0xXnqKlZtEPzsf6L84eP1r1Q15seqRM/edit?usp=sharing"",""สุโขทัย!S338"")+IMPORTRANGE(""http"&amp;"s://docs.google.com/spreadsheets/d/1v0b9pFQCsKUVExMei7AgY2yQkdeNQvtOssygGsXbiKo/edit?usp=sharing"",""อุตรดิตถ์!S338"")+IMPORTRANGE(""https://docs.google.com/spreadsheets/d/1UsNK1e-WWiCo2PvGqdNfdme4m17_Ezd3J69EeeiQPD0/edit?usp=sharing"",""อุทัยธานี!S338"")"),0)</f>
        <v>0</v>
      </c>
      <c r="T338" s="46">
        <f t="shared" ca="1" si="256"/>
        <v>0</v>
      </c>
      <c r="U338" s="46">
        <f t="shared" ca="1" si="257"/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46">
        <f t="shared" ref="L339:N339" ca="1" si="264">L340+L341</f>
        <v>0</v>
      </c>
      <c r="M339" s="46">
        <f t="shared" ca="1" si="264"/>
        <v>0</v>
      </c>
      <c r="N339" s="46">
        <f t="shared" ca="1" si="264"/>
        <v>0</v>
      </c>
      <c r="O339" s="46">
        <f t="shared" ca="1" si="253"/>
        <v>0</v>
      </c>
      <c r="P339" s="46">
        <f t="shared" ca="1" si="254"/>
        <v>0</v>
      </c>
      <c r="Q339" s="46">
        <f t="shared" ref="Q339:S339" ca="1" si="265">Q340+Q341</f>
        <v>0</v>
      </c>
      <c r="R339" s="46">
        <f t="shared" ca="1" si="265"/>
        <v>0</v>
      </c>
      <c r="S339" s="46">
        <f t="shared" ca="1" si="265"/>
        <v>0</v>
      </c>
      <c r="T339" s="46">
        <f t="shared" ca="1" si="256"/>
        <v>0</v>
      </c>
      <c r="U339" s="46">
        <f t="shared" ca="1" si="257"/>
        <v>0</v>
      </c>
    </row>
    <row r="340" spans="1:21" ht="18.75" x14ac:dyDescent="0.25">
      <c r="A340" s="128"/>
      <c r="B340" s="40"/>
      <c r="C340" s="40"/>
      <c r="D340" s="40"/>
      <c r="E340" s="47" t="s">
        <v>20</v>
      </c>
      <c r="F340" s="40"/>
      <c r="G340" s="42"/>
      <c r="H340" s="134" t="s">
        <v>14</v>
      </c>
      <c r="I340" s="135"/>
      <c r="J340" s="135"/>
      <c r="K340" s="136"/>
      <c r="L340" s="46">
        <f ca="1">IFERROR(__xludf.DUMMYFUNCTION("IMPORTRANGE(""https://docs.google.com/spreadsheets/d/1jTcq05yEiRwXcBMLjiodW9e4biSGYWAHcDj22rKWQ3s/edit?usp=sharing"",""กำแพงเพชร!L340"")+IMPORTRANGE(""https://docs.google.com/spreadsheets/d/1KS0zmDSZPk8KnTAbGN-Xk6MtX1YRZD0ldgdt20K4CRk/edit?usp=sharing"","&amp;"""เชียงราย!L340"")+IMPORTRANGE(""https://docs.google.com/spreadsheets/d/1rEDxBtusbi64tE0zunoIbsTVV16HeL0oJ6trHQeQ7K8/edit?usp=sharing"",""เชียงใหม่!L340"")+IMPORTRANGE(""https://docs.google.com/spreadsheets/d/1W6MnUbDkMi6xHnHko_XkFDO9kkuL6Wqyc-6OCDFjW9I/e"&amp;"dit?usp=sharing"",""ตาก!L340"")+IMPORTRANGE(""https://docs.google.com/spreadsheets/d/1IQAWArduLkta9LpYo4a_ULsyqdta6-6aDDiwpUnQT6c/edit?usp=sharing"",""นครสวรรค์!L340"")+IMPORTRANGE(""https://docs.google.com/spreadsheets/d/10s13Sk5xrltsiR-Zkbmk5DwIaDIKO8Xl"&amp;"bJAfqyT7Gvg/edit?usp=sharing"",""น่าน!L340"")+IMPORTRANGE(""https://docs.google.com/spreadsheets/d/1uu4nAn4Dbi1XREnLKKotUANlKXa7yCgRcgq8HEzQYW8/edit?usp=sharing"",""พะเยา!L340"")+IMPORTRANGE(""https://docs.google.com/spreadsheets/d/1xfJKIQxVOaPDIICqsflNlL"&amp;"u3JacTDk1FP9RH4phX7mI/edit?usp=sharing"",""พิจิตร!L340"")+IMPORTRANGE(""https://docs.google.com/spreadsheets/d/1JtRfZkJMHtEhI5RdRHxYUG4FIZHqKDpNyIuN7A1Q0_k/edit?usp=sharing"",""พิษณุโลก!L340"")+IMPORTRANGE(""https://docs.google.com/spreadsheets/d/1xlcVZWU"&amp;"Nn6SuWm0c307h32SiGkd9BaeQWlAktfD3KO8/edit?usp=sharing"",""เพชรบูรณ์!L340"")+IMPORTRANGE(""https://docs.google.com/spreadsheets/d/1lOVebEIsI9qjGXl6EX66luk7wiuP2tBaryw-wKvv4e0/edit?usp=sharing"",""แพร่!L340"")+IMPORTRANGE(""https://docs.google.com/spreadshe"&amp;"ets/d/1dQrvX0vEcN7Gu0fnZ0B5S90AeR19zth4XlExFBeExMY/edit?usp=sharing"",""แม่ฮ่องสอน!L340"")+IMPORTRANGE(""https://docs.google.com/spreadsheets/d/1DY4XTNNwjluuxqdfdn6qvOSlMRrZqUtmYcZR0ttFiG4/edit?usp=sharing"",""ลำปาง!L340"")+IMPORTRANGE(""https://docs.goog"&amp;"le.com/spreadsheets/d/1ICwG78r0OFT8biBlxnBF8r7she7gNSzOvJ958PWT09c/edit?usp=sharing"",""ลำพูน!L340"")+IMPORTRANGE(""https://docs.google.com/spreadsheets/d/1B0f2xJpZUC6Z0xXnqKlZtEPzsf6L84eP1r1Q15seqRM/edit?usp=sharing"",""สุโขทัย!L340"")+IMPORTRANGE(""http"&amp;"s://docs.google.com/spreadsheets/d/1v0b9pFQCsKUVExMei7AgY2yQkdeNQvtOssygGsXbiKo/edit?usp=sharing"",""อุตรดิตถ์!L340"")+IMPORTRANGE(""https://docs.google.com/spreadsheets/d/1UsNK1e-WWiCo2PvGqdNfdme4m17_Ezd3J69EeeiQPD0/edit?usp=sharing"",""อุทัยธานี!L340"")"),0)</f>
        <v>0</v>
      </c>
      <c r="M340" s="46">
        <f ca="1">IFERROR(__xludf.DUMMYFUNCTION("IMPORTRANGE(""https://docs.google.com/spreadsheets/d/1jTcq05yEiRwXcBMLjiodW9e4biSGYWAHcDj22rKWQ3s/edit?usp=sharing"",""กำแพงเพชร!M340"")+IMPORTRANGE(""https://docs.google.com/spreadsheets/d/1KS0zmDSZPk8KnTAbGN-Xk6MtX1YRZD0ldgdt20K4CRk/edit?usp=sharing"","&amp;"""เชียงราย!M340"")+IMPORTRANGE(""https://docs.google.com/spreadsheets/d/1rEDxBtusbi64tE0zunoIbsTVV16HeL0oJ6trHQeQ7K8/edit?usp=sharing"",""เชียงใหม่!M340"")+IMPORTRANGE(""https://docs.google.com/spreadsheets/d/1W6MnUbDkMi6xHnHko_XkFDO9kkuL6Wqyc-6OCDFjW9I/e"&amp;"dit?usp=sharing"",""ตาก!M340"")+IMPORTRANGE(""https://docs.google.com/spreadsheets/d/1IQAWArduLkta9LpYo4a_ULsyqdta6-6aDDiwpUnQT6c/edit?usp=sharing"",""นครสวรรค์!M340"")+IMPORTRANGE(""https://docs.google.com/spreadsheets/d/10s13Sk5xrltsiR-Zkbmk5DwIaDIKO8Xl"&amp;"bJAfqyT7Gvg/edit?usp=sharing"",""น่าน!M340"")+IMPORTRANGE(""https://docs.google.com/spreadsheets/d/1uu4nAn4Dbi1XREnLKKotUANlKXa7yCgRcgq8HEzQYW8/edit?usp=sharing"",""พะเยา!M340"")+IMPORTRANGE(""https://docs.google.com/spreadsheets/d/1xfJKIQxVOaPDIICqsflNlL"&amp;"u3JacTDk1FP9RH4phX7mI/edit?usp=sharing"",""พิจิตร!M340"")+IMPORTRANGE(""https://docs.google.com/spreadsheets/d/1JtRfZkJMHtEhI5RdRHxYUG4FIZHqKDpNyIuN7A1Q0_k/edit?usp=sharing"",""พิษณุโลก!M340"")+IMPORTRANGE(""https://docs.google.com/spreadsheets/d/1xlcVZWU"&amp;"Nn6SuWm0c307h32SiGkd9BaeQWlAktfD3KO8/edit?usp=sharing"",""เพชรบูรณ์!M340"")+IMPORTRANGE(""https://docs.google.com/spreadsheets/d/1lOVebEIsI9qjGXl6EX66luk7wiuP2tBaryw-wKvv4e0/edit?usp=sharing"",""แพร่!M340"")+IMPORTRANGE(""https://docs.google.com/spreadshe"&amp;"ets/d/1dQrvX0vEcN7Gu0fnZ0B5S90AeR19zth4XlExFBeExMY/edit?usp=sharing"",""แม่ฮ่องสอน!M340"")+IMPORTRANGE(""https://docs.google.com/spreadsheets/d/1DY4XTNNwjluuxqdfdn6qvOSlMRrZqUtmYcZR0ttFiG4/edit?usp=sharing"",""ลำปาง!M340"")+IMPORTRANGE(""https://docs.goog"&amp;"le.com/spreadsheets/d/1ICwG78r0OFT8biBlxnBF8r7she7gNSzOvJ958PWT09c/edit?usp=sharing"",""ลำพูน!M340"")+IMPORTRANGE(""https://docs.google.com/spreadsheets/d/1B0f2xJpZUC6Z0xXnqKlZtEPzsf6L84eP1r1Q15seqRM/edit?usp=sharing"",""สุโขทัย!M340"")+IMPORTRANGE(""http"&amp;"s://docs.google.com/spreadsheets/d/1v0b9pFQCsKUVExMei7AgY2yQkdeNQvtOssygGsXbiKo/edit?usp=sharing"",""อุตรดิตถ์!M340"")+IMPORTRANGE(""https://docs.google.com/spreadsheets/d/1UsNK1e-WWiCo2PvGqdNfdme4m17_Ezd3J69EeeiQPD0/edit?usp=sharing"",""อุทัยธานี!M340"")"),0)</f>
        <v>0</v>
      </c>
      <c r="N340" s="46">
        <f ca="1">IFERROR(__xludf.DUMMYFUNCTION("IMPORTRANGE(""https://docs.google.com/spreadsheets/d/1jTcq05yEiRwXcBMLjiodW9e4biSGYWAHcDj22rKWQ3s/edit?usp=sharing"",""กำแพงเพชร!N340"")+IMPORTRANGE(""https://docs.google.com/spreadsheets/d/1KS0zmDSZPk8KnTAbGN-Xk6MtX1YRZD0ldgdt20K4CRk/edit?usp=sharing"","&amp;"""เชียงราย!N340"")+IMPORTRANGE(""https://docs.google.com/spreadsheets/d/1rEDxBtusbi64tE0zunoIbsTVV16HeL0oJ6trHQeQ7K8/edit?usp=sharing"",""เชียงใหม่!N340"")+IMPORTRANGE(""https://docs.google.com/spreadsheets/d/1W6MnUbDkMi6xHnHko_XkFDO9kkuL6Wqyc-6OCDFjW9I/e"&amp;"dit?usp=sharing"",""ตาก!N340"")+IMPORTRANGE(""https://docs.google.com/spreadsheets/d/1IQAWArduLkta9LpYo4a_ULsyqdta6-6aDDiwpUnQT6c/edit?usp=sharing"",""นครสวรรค์!N340"")+IMPORTRANGE(""https://docs.google.com/spreadsheets/d/10s13Sk5xrltsiR-Zkbmk5DwIaDIKO8Xl"&amp;"bJAfqyT7Gvg/edit?usp=sharing"",""น่าน!N340"")+IMPORTRANGE(""https://docs.google.com/spreadsheets/d/1uu4nAn4Dbi1XREnLKKotUANlKXa7yCgRcgq8HEzQYW8/edit?usp=sharing"",""พะเยา!N340"")+IMPORTRANGE(""https://docs.google.com/spreadsheets/d/1xfJKIQxVOaPDIICqsflNlL"&amp;"u3JacTDk1FP9RH4phX7mI/edit?usp=sharing"",""พิจิตร!N340"")+IMPORTRANGE(""https://docs.google.com/spreadsheets/d/1JtRfZkJMHtEhI5RdRHxYUG4FIZHqKDpNyIuN7A1Q0_k/edit?usp=sharing"",""พิษณุโลก!N340"")+IMPORTRANGE(""https://docs.google.com/spreadsheets/d/1xlcVZWU"&amp;"Nn6SuWm0c307h32SiGkd9BaeQWlAktfD3KO8/edit?usp=sharing"",""เพชรบูรณ์!N340"")+IMPORTRANGE(""https://docs.google.com/spreadsheets/d/1lOVebEIsI9qjGXl6EX66luk7wiuP2tBaryw-wKvv4e0/edit?usp=sharing"",""แพร่!N340"")+IMPORTRANGE(""https://docs.google.com/spreadshe"&amp;"ets/d/1dQrvX0vEcN7Gu0fnZ0B5S90AeR19zth4XlExFBeExMY/edit?usp=sharing"",""แม่ฮ่องสอน!N340"")+IMPORTRANGE(""https://docs.google.com/spreadsheets/d/1DY4XTNNwjluuxqdfdn6qvOSlMRrZqUtmYcZR0ttFiG4/edit?usp=sharing"",""ลำปาง!N340"")+IMPORTRANGE(""https://docs.goog"&amp;"le.com/spreadsheets/d/1ICwG78r0OFT8biBlxnBF8r7she7gNSzOvJ958PWT09c/edit?usp=sharing"",""ลำพูน!N340"")+IMPORTRANGE(""https://docs.google.com/spreadsheets/d/1B0f2xJpZUC6Z0xXnqKlZtEPzsf6L84eP1r1Q15seqRM/edit?usp=sharing"",""สุโขทัย!N340"")+IMPORTRANGE(""http"&amp;"s://docs.google.com/spreadsheets/d/1v0b9pFQCsKUVExMei7AgY2yQkdeNQvtOssygGsXbiKo/edit?usp=sharing"",""อุตรดิตถ์!N340"")+IMPORTRANGE(""https://docs.google.com/spreadsheets/d/1UsNK1e-WWiCo2PvGqdNfdme4m17_Ezd3J69EeeiQPD0/edit?usp=sharing"",""อุทัยธานี!N340"")"),0)</f>
        <v>0</v>
      </c>
      <c r="O340" s="46">
        <f t="shared" ca="1" si="253"/>
        <v>0</v>
      </c>
      <c r="P340" s="46">
        <f t="shared" ca="1" si="254"/>
        <v>0</v>
      </c>
      <c r="Q340" s="48">
        <f ca="1">IFERROR(__xludf.DUMMYFUNCTION("IMPORTRANGE(""https://docs.google.com/spreadsheets/d/1jTcq05yEiRwXcBMLjiodW9e4biSGYWAHcDj22rKWQ3s/edit?usp=sharing"",""กำแพงเพชร!Q340"")+IMPORTRANGE(""https://docs.google.com/spreadsheets/d/1KS0zmDSZPk8KnTAbGN-Xk6MtX1YRZD0ldgdt20K4CRk/edit?usp=sharing"","&amp;"""เชียงราย!Q340"")+IMPORTRANGE(""https://docs.google.com/spreadsheets/d/1rEDxBtusbi64tE0zunoIbsTVV16HeL0oJ6trHQeQ7K8/edit?usp=sharing"",""เชียงใหม่!Q340"")+IMPORTRANGE(""https://docs.google.com/spreadsheets/d/1W6MnUbDkMi6xHnHko_XkFDO9kkuL6Wqyc-6OCDFjW9I/e"&amp;"dit?usp=sharing"",""ตาก!Q340"")+IMPORTRANGE(""https://docs.google.com/spreadsheets/d/1IQAWArduLkta9LpYo4a_ULsyqdta6-6aDDiwpUnQT6c/edit?usp=sharing"",""นครสวรรค์!Q340"")+IMPORTRANGE(""https://docs.google.com/spreadsheets/d/10s13Sk5xrltsiR-Zkbmk5DwIaDIKO8Xl"&amp;"bJAfqyT7Gvg/edit?usp=sharing"",""น่าน!Q340"")+IMPORTRANGE(""https://docs.google.com/spreadsheets/d/1uu4nAn4Dbi1XREnLKKotUANlKXa7yCgRcgq8HEzQYW8/edit?usp=sharing"",""พะเยา!Q340"")+IMPORTRANGE(""https://docs.google.com/spreadsheets/d/1xfJKIQxVOaPDIICqsflNlL"&amp;"u3JacTDk1FP9RH4phX7mI/edit?usp=sharing"",""พิจิตร!Q340"")+IMPORTRANGE(""https://docs.google.com/spreadsheets/d/1JtRfZkJMHtEhI5RdRHxYUG4FIZHqKDpNyIuN7A1Q0_k/edit?usp=sharing"",""พิษณุโลก!Q340"")+IMPORTRANGE(""https://docs.google.com/spreadsheets/d/1xlcVZWU"&amp;"Nn6SuWm0c307h32SiGkd9BaeQWlAktfD3KO8/edit?usp=sharing"",""เพชรบูรณ์!Q340"")+IMPORTRANGE(""https://docs.google.com/spreadsheets/d/1lOVebEIsI9qjGXl6EX66luk7wiuP2tBaryw-wKvv4e0/edit?usp=sharing"",""แพร่!Q340"")+IMPORTRANGE(""https://docs.google.com/spreadshe"&amp;"ets/d/1dQrvX0vEcN7Gu0fnZ0B5S90AeR19zth4XlExFBeExMY/edit?usp=sharing"",""แม่ฮ่องสอน!Q340"")+IMPORTRANGE(""https://docs.google.com/spreadsheets/d/1DY4XTNNwjluuxqdfdn6qvOSlMRrZqUtmYcZR0ttFiG4/edit?usp=sharing"",""ลำปาง!Q340"")+IMPORTRANGE(""https://docs.goog"&amp;"le.com/spreadsheets/d/1ICwG78r0OFT8biBlxnBF8r7she7gNSzOvJ958PWT09c/edit?usp=sharing"",""ลำพูน!Q340"")+IMPORTRANGE(""https://docs.google.com/spreadsheets/d/1B0f2xJpZUC6Z0xXnqKlZtEPzsf6L84eP1r1Q15seqRM/edit?usp=sharing"",""สุโขทัย!Q340"")+IMPORTRANGE(""http"&amp;"s://docs.google.com/spreadsheets/d/1v0b9pFQCsKUVExMei7AgY2yQkdeNQvtOssygGsXbiKo/edit?usp=sharing"",""อุตรดิตถ์!Q340"")+IMPORTRANGE(""https://docs.google.com/spreadsheets/d/1UsNK1e-WWiCo2PvGqdNfdme4m17_Ezd3J69EeeiQPD0/edit?usp=sharing"",""อุทัยธานี!Q340"")"),0)</f>
        <v>0</v>
      </c>
      <c r="R340" s="48">
        <f ca="1">IFERROR(__xludf.DUMMYFUNCTION("IMPORTRANGE(""https://docs.google.com/spreadsheets/d/1jTcq05yEiRwXcBMLjiodW9e4biSGYWAHcDj22rKWQ3s/edit?usp=sharing"",""กำแพงเพชร!R340"")+IMPORTRANGE(""https://docs.google.com/spreadsheets/d/1KS0zmDSZPk8KnTAbGN-Xk6MtX1YRZD0ldgdt20K4CRk/edit?usp=sharing"","&amp;"""เชียงราย!R340"")+IMPORTRANGE(""https://docs.google.com/spreadsheets/d/1rEDxBtusbi64tE0zunoIbsTVV16HeL0oJ6trHQeQ7K8/edit?usp=sharing"",""เชียงใหม่!R340"")+IMPORTRANGE(""https://docs.google.com/spreadsheets/d/1W6MnUbDkMi6xHnHko_XkFDO9kkuL6Wqyc-6OCDFjW9I/e"&amp;"dit?usp=sharing"",""ตาก!R340"")+IMPORTRANGE(""https://docs.google.com/spreadsheets/d/1IQAWArduLkta9LpYo4a_ULsyqdta6-6aDDiwpUnQT6c/edit?usp=sharing"",""นครสวรรค์!R340"")+IMPORTRANGE(""https://docs.google.com/spreadsheets/d/10s13Sk5xrltsiR-Zkbmk5DwIaDIKO8Xl"&amp;"bJAfqyT7Gvg/edit?usp=sharing"",""น่าน!R340"")+IMPORTRANGE(""https://docs.google.com/spreadsheets/d/1uu4nAn4Dbi1XREnLKKotUANlKXa7yCgRcgq8HEzQYW8/edit?usp=sharing"",""พะเยา!R340"")+IMPORTRANGE(""https://docs.google.com/spreadsheets/d/1xfJKIQxVOaPDIICqsflNlL"&amp;"u3JacTDk1FP9RH4phX7mI/edit?usp=sharing"",""พิจิตร!R340"")+IMPORTRANGE(""https://docs.google.com/spreadsheets/d/1JtRfZkJMHtEhI5RdRHxYUG4FIZHqKDpNyIuN7A1Q0_k/edit?usp=sharing"",""พิษณุโลก!R340"")+IMPORTRANGE(""https://docs.google.com/spreadsheets/d/1xlcVZWU"&amp;"Nn6SuWm0c307h32SiGkd9BaeQWlAktfD3KO8/edit?usp=sharing"",""เพชรบูรณ์!R340"")+IMPORTRANGE(""https://docs.google.com/spreadsheets/d/1lOVebEIsI9qjGXl6EX66luk7wiuP2tBaryw-wKvv4e0/edit?usp=sharing"",""แพร่!R340"")+IMPORTRANGE(""https://docs.google.com/spreadshe"&amp;"ets/d/1dQrvX0vEcN7Gu0fnZ0B5S90AeR19zth4XlExFBeExMY/edit?usp=sharing"",""แม่ฮ่องสอน!R340"")+IMPORTRANGE(""https://docs.google.com/spreadsheets/d/1DY4XTNNwjluuxqdfdn6qvOSlMRrZqUtmYcZR0ttFiG4/edit?usp=sharing"",""ลำปาง!R340"")+IMPORTRANGE(""https://docs.goog"&amp;"le.com/spreadsheets/d/1ICwG78r0OFT8biBlxnBF8r7she7gNSzOvJ958PWT09c/edit?usp=sharing"",""ลำพูน!R340"")+IMPORTRANGE(""https://docs.google.com/spreadsheets/d/1B0f2xJpZUC6Z0xXnqKlZtEPzsf6L84eP1r1Q15seqRM/edit?usp=sharing"",""สุโขทัย!R340"")+IMPORTRANGE(""http"&amp;"s://docs.google.com/spreadsheets/d/1v0b9pFQCsKUVExMei7AgY2yQkdeNQvtOssygGsXbiKo/edit?usp=sharing"",""อุตรดิตถ์!R340"")+IMPORTRANGE(""https://docs.google.com/spreadsheets/d/1UsNK1e-WWiCo2PvGqdNfdme4m17_Ezd3J69EeeiQPD0/edit?usp=sharing"",""อุทัยธานี!R340"")"),0)</f>
        <v>0</v>
      </c>
      <c r="S340" s="48">
        <f ca="1">IFERROR(__xludf.DUMMYFUNCTION("IMPORTRANGE(""https://docs.google.com/spreadsheets/d/1jTcq05yEiRwXcBMLjiodW9e4biSGYWAHcDj22rKWQ3s/edit?usp=sharing"",""กำแพงเพชร!S340"")+IMPORTRANGE(""https://docs.google.com/spreadsheets/d/1KS0zmDSZPk8KnTAbGN-Xk6MtX1YRZD0ldgdt20K4CRk/edit?usp=sharing"","&amp;"""เชียงราย!S340"")+IMPORTRANGE(""https://docs.google.com/spreadsheets/d/1rEDxBtusbi64tE0zunoIbsTVV16HeL0oJ6trHQeQ7K8/edit?usp=sharing"",""เชียงใหม่!S340"")+IMPORTRANGE(""https://docs.google.com/spreadsheets/d/1W6MnUbDkMi6xHnHko_XkFDO9kkuL6Wqyc-6OCDFjW9I/e"&amp;"dit?usp=sharing"",""ตาก!S340"")+IMPORTRANGE(""https://docs.google.com/spreadsheets/d/1IQAWArduLkta9LpYo4a_ULsyqdta6-6aDDiwpUnQT6c/edit?usp=sharing"",""นครสวรรค์!S340"")+IMPORTRANGE(""https://docs.google.com/spreadsheets/d/10s13Sk5xrltsiR-Zkbmk5DwIaDIKO8Xl"&amp;"bJAfqyT7Gvg/edit?usp=sharing"",""น่าน!S340"")+IMPORTRANGE(""https://docs.google.com/spreadsheets/d/1uu4nAn4Dbi1XREnLKKotUANlKXa7yCgRcgq8HEzQYW8/edit?usp=sharing"",""พะเยา!S340"")+IMPORTRANGE(""https://docs.google.com/spreadsheets/d/1xfJKIQxVOaPDIICqsflNlL"&amp;"u3JacTDk1FP9RH4phX7mI/edit?usp=sharing"",""พิจิตร!S340"")+IMPORTRANGE(""https://docs.google.com/spreadsheets/d/1JtRfZkJMHtEhI5RdRHxYUG4FIZHqKDpNyIuN7A1Q0_k/edit?usp=sharing"",""พิษณุโลก!S340"")+IMPORTRANGE(""https://docs.google.com/spreadsheets/d/1xlcVZWU"&amp;"Nn6SuWm0c307h32SiGkd9BaeQWlAktfD3KO8/edit?usp=sharing"",""เพชรบูรณ์!S340"")+IMPORTRANGE(""https://docs.google.com/spreadsheets/d/1lOVebEIsI9qjGXl6EX66luk7wiuP2tBaryw-wKvv4e0/edit?usp=sharing"",""แพร่!S340"")+IMPORTRANGE(""https://docs.google.com/spreadshe"&amp;"ets/d/1dQrvX0vEcN7Gu0fnZ0B5S90AeR19zth4XlExFBeExMY/edit?usp=sharing"",""แม่ฮ่องสอน!S340"")+IMPORTRANGE(""https://docs.google.com/spreadsheets/d/1DY4XTNNwjluuxqdfdn6qvOSlMRrZqUtmYcZR0ttFiG4/edit?usp=sharing"",""ลำปาง!S340"")+IMPORTRANGE(""https://docs.goog"&amp;"le.com/spreadsheets/d/1ICwG78r0OFT8biBlxnBF8r7she7gNSzOvJ958PWT09c/edit?usp=sharing"",""ลำพูน!S340"")+IMPORTRANGE(""https://docs.google.com/spreadsheets/d/1B0f2xJpZUC6Z0xXnqKlZtEPzsf6L84eP1r1Q15seqRM/edit?usp=sharing"",""สุโขทัย!S340"")+IMPORTRANGE(""http"&amp;"s://docs.google.com/spreadsheets/d/1v0b9pFQCsKUVExMei7AgY2yQkdeNQvtOssygGsXbiKo/edit?usp=sharing"",""อุตรดิตถ์!S340"")+IMPORTRANGE(""https://docs.google.com/spreadsheets/d/1UsNK1e-WWiCo2PvGqdNfdme4m17_Ezd3J69EeeiQPD0/edit?usp=sharing"",""อุทัยธานี!S340"")"),0)</f>
        <v>0</v>
      </c>
      <c r="T340" s="48">
        <f t="shared" ca="1" si="256"/>
        <v>0</v>
      </c>
      <c r="U340" s="48">
        <f t="shared" ca="1" si="257"/>
        <v>0</v>
      </c>
    </row>
    <row r="341" spans="1:21" ht="18.75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46">
        <f ca="1">IFERROR(__xludf.DUMMYFUNCTION("IMPORTRANGE(""https://docs.google.com/spreadsheets/d/1jTcq05yEiRwXcBMLjiodW9e4biSGYWAHcDj22rKWQ3s/edit?usp=sharing"",""กำแพงเพชร!L341"")+IMPORTRANGE(""https://docs.google.com/spreadsheets/d/1KS0zmDSZPk8KnTAbGN-Xk6MtX1YRZD0ldgdt20K4CRk/edit?usp=sharing"","&amp;"""เชียงราย!L341"")+IMPORTRANGE(""https://docs.google.com/spreadsheets/d/1rEDxBtusbi64tE0zunoIbsTVV16HeL0oJ6trHQeQ7K8/edit?usp=sharing"",""เชียงใหม่!L341"")+IMPORTRANGE(""https://docs.google.com/spreadsheets/d/1W6MnUbDkMi6xHnHko_XkFDO9kkuL6Wqyc-6OCDFjW9I/e"&amp;"dit?usp=sharing"",""ตาก!L341"")+IMPORTRANGE(""https://docs.google.com/spreadsheets/d/1IQAWArduLkta9LpYo4a_ULsyqdta6-6aDDiwpUnQT6c/edit?usp=sharing"",""นครสวรรค์!L341"")+IMPORTRANGE(""https://docs.google.com/spreadsheets/d/10s13Sk5xrltsiR-Zkbmk5DwIaDIKO8Xl"&amp;"bJAfqyT7Gvg/edit?usp=sharing"",""น่าน!L341"")+IMPORTRANGE(""https://docs.google.com/spreadsheets/d/1uu4nAn4Dbi1XREnLKKotUANlKXa7yCgRcgq8HEzQYW8/edit?usp=sharing"",""พะเยา!L341"")+IMPORTRANGE(""https://docs.google.com/spreadsheets/d/1xfJKIQxVOaPDIICqsflNlL"&amp;"u3JacTDk1FP9RH4phX7mI/edit?usp=sharing"",""พิจิตร!L341"")+IMPORTRANGE(""https://docs.google.com/spreadsheets/d/1JtRfZkJMHtEhI5RdRHxYUG4FIZHqKDpNyIuN7A1Q0_k/edit?usp=sharing"",""พิษณุโลก!L341"")+IMPORTRANGE(""https://docs.google.com/spreadsheets/d/1xlcVZWU"&amp;"Nn6SuWm0c307h32SiGkd9BaeQWlAktfD3KO8/edit?usp=sharing"",""เพชรบูรณ์!L341"")+IMPORTRANGE(""https://docs.google.com/spreadsheets/d/1lOVebEIsI9qjGXl6EX66luk7wiuP2tBaryw-wKvv4e0/edit?usp=sharing"",""แพร่!L341"")+IMPORTRANGE(""https://docs.google.com/spreadshe"&amp;"ets/d/1dQrvX0vEcN7Gu0fnZ0B5S90AeR19zth4XlExFBeExMY/edit?usp=sharing"",""แม่ฮ่องสอน!L341"")+IMPORTRANGE(""https://docs.google.com/spreadsheets/d/1DY4XTNNwjluuxqdfdn6qvOSlMRrZqUtmYcZR0ttFiG4/edit?usp=sharing"",""ลำปาง!L341"")+IMPORTRANGE(""https://docs.goog"&amp;"le.com/spreadsheets/d/1ICwG78r0OFT8biBlxnBF8r7she7gNSzOvJ958PWT09c/edit?usp=sharing"",""ลำพูน!L341"")+IMPORTRANGE(""https://docs.google.com/spreadsheets/d/1B0f2xJpZUC6Z0xXnqKlZtEPzsf6L84eP1r1Q15seqRM/edit?usp=sharing"",""สุโขทัย!L341"")+IMPORTRANGE(""http"&amp;"s://docs.google.com/spreadsheets/d/1v0b9pFQCsKUVExMei7AgY2yQkdeNQvtOssygGsXbiKo/edit?usp=sharing"",""อุตรดิตถ์!L341"")+IMPORTRANGE(""https://docs.google.com/spreadsheets/d/1UsNK1e-WWiCo2PvGqdNfdme4m17_Ezd3J69EeeiQPD0/edit?usp=sharing"",""อุทัยธานี!L341"")"),0)</f>
        <v>0</v>
      </c>
      <c r="M341" s="46">
        <f ca="1">IFERROR(__xludf.DUMMYFUNCTION("IMPORTRANGE(""https://docs.google.com/spreadsheets/d/1jTcq05yEiRwXcBMLjiodW9e4biSGYWAHcDj22rKWQ3s/edit?usp=sharing"",""กำแพงเพชร!M341"")+IMPORTRANGE(""https://docs.google.com/spreadsheets/d/1KS0zmDSZPk8KnTAbGN-Xk6MtX1YRZD0ldgdt20K4CRk/edit?usp=sharing"","&amp;"""เชียงราย!M341"")+IMPORTRANGE(""https://docs.google.com/spreadsheets/d/1rEDxBtusbi64tE0zunoIbsTVV16HeL0oJ6trHQeQ7K8/edit?usp=sharing"",""เชียงใหม่!M341"")+IMPORTRANGE(""https://docs.google.com/spreadsheets/d/1W6MnUbDkMi6xHnHko_XkFDO9kkuL6Wqyc-6OCDFjW9I/e"&amp;"dit?usp=sharing"",""ตาก!M341"")+IMPORTRANGE(""https://docs.google.com/spreadsheets/d/1IQAWArduLkta9LpYo4a_ULsyqdta6-6aDDiwpUnQT6c/edit?usp=sharing"",""นครสวรรค์!M341"")+IMPORTRANGE(""https://docs.google.com/spreadsheets/d/10s13Sk5xrltsiR-Zkbmk5DwIaDIKO8Xl"&amp;"bJAfqyT7Gvg/edit?usp=sharing"",""น่าน!M341"")+IMPORTRANGE(""https://docs.google.com/spreadsheets/d/1uu4nAn4Dbi1XREnLKKotUANlKXa7yCgRcgq8HEzQYW8/edit?usp=sharing"",""พะเยา!M341"")+IMPORTRANGE(""https://docs.google.com/spreadsheets/d/1xfJKIQxVOaPDIICqsflNlL"&amp;"u3JacTDk1FP9RH4phX7mI/edit?usp=sharing"",""พิจิตร!M341"")+IMPORTRANGE(""https://docs.google.com/spreadsheets/d/1JtRfZkJMHtEhI5RdRHxYUG4FIZHqKDpNyIuN7A1Q0_k/edit?usp=sharing"",""พิษณุโลก!M341"")+IMPORTRANGE(""https://docs.google.com/spreadsheets/d/1xlcVZWU"&amp;"Nn6SuWm0c307h32SiGkd9BaeQWlAktfD3KO8/edit?usp=sharing"",""เพชรบูรณ์!M341"")+IMPORTRANGE(""https://docs.google.com/spreadsheets/d/1lOVebEIsI9qjGXl6EX66luk7wiuP2tBaryw-wKvv4e0/edit?usp=sharing"",""แพร่!M341"")+IMPORTRANGE(""https://docs.google.com/spreadshe"&amp;"ets/d/1dQrvX0vEcN7Gu0fnZ0B5S90AeR19zth4XlExFBeExMY/edit?usp=sharing"",""แม่ฮ่องสอน!M341"")+IMPORTRANGE(""https://docs.google.com/spreadsheets/d/1DY4XTNNwjluuxqdfdn6qvOSlMRrZqUtmYcZR0ttFiG4/edit?usp=sharing"",""ลำปาง!M341"")+IMPORTRANGE(""https://docs.goog"&amp;"le.com/spreadsheets/d/1ICwG78r0OFT8biBlxnBF8r7she7gNSzOvJ958PWT09c/edit?usp=sharing"",""ลำพูน!M341"")+IMPORTRANGE(""https://docs.google.com/spreadsheets/d/1B0f2xJpZUC6Z0xXnqKlZtEPzsf6L84eP1r1Q15seqRM/edit?usp=sharing"",""สุโขทัย!M341"")+IMPORTRANGE(""http"&amp;"s://docs.google.com/spreadsheets/d/1v0b9pFQCsKUVExMei7AgY2yQkdeNQvtOssygGsXbiKo/edit?usp=sharing"",""อุตรดิตถ์!M341"")+IMPORTRANGE(""https://docs.google.com/spreadsheets/d/1UsNK1e-WWiCo2PvGqdNfdme4m17_Ezd3J69EeeiQPD0/edit?usp=sharing"",""อุทัยธานี!M341"")"),0)</f>
        <v>0</v>
      </c>
      <c r="N341" s="46">
        <f ca="1">IFERROR(__xludf.DUMMYFUNCTION("IMPORTRANGE(""https://docs.google.com/spreadsheets/d/1jTcq05yEiRwXcBMLjiodW9e4biSGYWAHcDj22rKWQ3s/edit?usp=sharing"",""กำแพงเพชร!N341"")+IMPORTRANGE(""https://docs.google.com/spreadsheets/d/1KS0zmDSZPk8KnTAbGN-Xk6MtX1YRZD0ldgdt20K4CRk/edit?usp=sharing"","&amp;"""เชียงราย!N341"")+IMPORTRANGE(""https://docs.google.com/spreadsheets/d/1rEDxBtusbi64tE0zunoIbsTVV16HeL0oJ6trHQeQ7K8/edit?usp=sharing"",""เชียงใหม่!N341"")+IMPORTRANGE(""https://docs.google.com/spreadsheets/d/1W6MnUbDkMi6xHnHko_XkFDO9kkuL6Wqyc-6OCDFjW9I/e"&amp;"dit?usp=sharing"",""ตาก!N341"")+IMPORTRANGE(""https://docs.google.com/spreadsheets/d/1IQAWArduLkta9LpYo4a_ULsyqdta6-6aDDiwpUnQT6c/edit?usp=sharing"",""นครสวรรค์!N341"")+IMPORTRANGE(""https://docs.google.com/spreadsheets/d/10s13Sk5xrltsiR-Zkbmk5DwIaDIKO8Xl"&amp;"bJAfqyT7Gvg/edit?usp=sharing"",""น่าน!N341"")+IMPORTRANGE(""https://docs.google.com/spreadsheets/d/1uu4nAn4Dbi1XREnLKKotUANlKXa7yCgRcgq8HEzQYW8/edit?usp=sharing"",""พะเยา!N341"")+IMPORTRANGE(""https://docs.google.com/spreadsheets/d/1xfJKIQxVOaPDIICqsflNlL"&amp;"u3JacTDk1FP9RH4phX7mI/edit?usp=sharing"",""พิจิตร!N341"")+IMPORTRANGE(""https://docs.google.com/spreadsheets/d/1JtRfZkJMHtEhI5RdRHxYUG4FIZHqKDpNyIuN7A1Q0_k/edit?usp=sharing"",""พิษณุโลก!N341"")+IMPORTRANGE(""https://docs.google.com/spreadsheets/d/1xlcVZWU"&amp;"Nn6SuWm0c307h32SiGkd9BaeQWlAktfD3KO8/edit?usp=sharing"",""เพชรบูรณ์!N341"")+IMPORTRANGE(""https://docs.google.com/spreadsheets/d/1lOVebEIsI9qjGXl6EX66luk7wiuP2tBaryw-wKvv4e0/edit?usp=sharing"",""แพร่!N341"")+IMPORTRANGE(""https://docs.google.com/spreadshe"&amp;"ets/d/1dQrvX0vEcN7Gu0fnZ0B5S90AeR19zth4XlExFBeExMY/edit?usp=sharing"",""แม่ฮ่องสอน!N341"")+IMPORTRANGE(""https://docs.google.com/spreadsheets/d/1DY4XTNNwjluuxqdfdn6qvOSlMRrZqUtmYcZR0ttFiG4/edit?usp=sharing"",""ลำปาง!N341"")+IMPORTRANGE(""https://docs.goog"&amp;"le.com/spreadsheets/d/1ICwG78r0OFT8biBlxnBF8r7she7gNSzOvJ958PWT09c/edit?usp=sharing"",""ลำพูน!N341"")+IMPORTRANGE(""https://docs.google.com/spreadsheets/d/1B0f2xJpZUC6Z0xXnqKlZtEPzsf6L84eP1r1Q15seqRM/edit?usp=sharing"",""สุโขทัย!N341"")+IMPORTRANGE(""http"&amp;"s://docs.google.com/spreadsheets/d/1v0b9pFQCsKUVExMei7AgY2yQkdeNQvtOssygGsXbiKo/edit?usp=sharing"",""อุตรดิตถ์!N341"")+IMPORTRANGE(""https://docs.google.com/spreadsheets/d/1UsNK1e-WWiCo2PvGqdNfdme4m17_Ezd3J69EeeiQPD0/edit?usp=sharing"",""อุทัยธานี!N341"")"),0)</f>
        <v>0</v>
      </c>
      <c r="O341" s="46">
        <f t="shared" ca="1" si="253"/>
        <v>0</v>
      </c>
      <c r="P341" s="46">
        <f t="shared" ca="1" si="254"/>
        <v>0</v>
      </c>
      <c r="Q341" s="46">
        <f ca="1">IFERROR(__xludf.DUMMYFUNCTION("IMPORTRANGE(""https://docs.google.com/spreadsheets/d/1jTcq05yEiRwXcBMLjiodW9e4biSGYWAHcDj22rKWQ3s/edit?usp=sharing"",""กำแพงเพชร!Q341"")+IMPORTRANGE(""https://docs.google.com/spreadsheets/d/1KS0zmDSZPk8KnTAbGN-Xk6MtX1YRZD0ldgdt20K4CRk/edit?usp=sharing"","&amp;"""เชียงราย!Q341"")+IMPORTRANGE(""https://docs.google.com/spreadsheets/d/1rEDxBtusbi64tE0zunoIbsTVV16HeL0oJ6trHQeQ7K8/edit?usp=sharing"",""เชียงใหม่!Q341"")+IMPORTRANGE(""https://docs.google.com/spreadsheets/d/1W6MnUbDkMi6xHnHko_XkFDO9kkuL6Wqyc-6OCDFjW9I/e"&amp;"dit?usp=sharing"",""ตาก!Q341"")+IMPORTRANGE(""https://docs.google.com/spreadsheets/d/1IQAWArduLkta9LpYo4a_ULsyqdta6-6aDDiwpUnQT6c/edit?usp=sharing"",""นครสวรรค์!Q341"")+IMPORTRANGE(""https://docs.google.com/spreadsheets/d/10s13Sk5xrltsiR-Zkbmk5DwIaDIKO8Xl"&amp;"bJAfqyT7Gvg/edit?usp=sharing"",""น่าน!Q341"")+IMPORTRANGE(""https://docs.google.com/spreadsheets/d/1uu4nAn4Dbi1XREnLKKotUANlKXa7yCgRcgq8HEzQYW8/edit?usp=sharing"",""พะเยา!Q341"")+IMPORTRANGE(""https://docs.google.com/spreadsheets/d/1xfJKIQxVOaPDIICqsflNlL"&amp;"u3JacTDk1FP9RH4phX7mI/edit?usp=sharing"",""พิจิตร!Q341"")+IMPORTRANGE(""https://docs.google.com/spreadsheets/d/1JtRfZkJMHtEhI5RdRHxYUG4FIZHqKDpNyIuN7A1Q0_k/edit?usp=sharing"",""พิษณุโลก!Q341"")+IMPORTRANGE(""https://docs.google.com/spreadsheets/d/1xlcVZWU"&amp;"Nn6SuWm0c307h32SiGkd9BaeQWlAktfD3KO8/edit?usp=sharing"",""เพชรบูรณ์!Q341"")+IMPORTRANGE(""https://docs.google.com/spreadsheets/d/1lOVebEIsI9qjGXl6EX66luk7wiuP2tBaryw-wKvv4e0/edit?usp=sharing"",""แพร่!Q341"")+IMPORTRANGE(""https://docs.google.com/spreadshe"&amp;"ets/d/1dQrvX0vEcN7Gu0fnZ0B5S90AeR19zth4XlExFBeExMY/edit?usp=sharing"",""แม่ฮ่องสอน!Q341"")+IMPORTRANGE(""https://docs.google.com/spreadsheets/d/1DY4XTNNwjluuxqdfdn6qvOSlMRrZqUtmYcZR0ttFiG4/edit?usp=sharing"",""ลำปาง!Q341"")+IMPORTRANGE(""https://docs.goog"&amp;"le.com/spreadsheets/d/1ICwG78r0OFT8biBlxnBF8r7she7gNSzOvJ958PWT09c/edit?usp=sharing"",""ลำพูน!Q341"")+IMPORTRANGE(""https://docs.google.com/spreadsheets/d/1B0f2xJpZUC6Z0xXnqKlZtEPzsf6L84eP1r1Q15seqRM/edit?usp=sharing"",""สุโขทัย!Q341"")+IMPORTRANGE(""http"&amp;"s://docs.google.com/spreadsheets/d/1v0b9pFQCsKUVExMei7AgY2yQkdeNQvtOssygGsXbiKo/edit?usp=sharing"",""อุตรดิตถ์!Q341"")+IMPORTRANGE(""https://docs.google.com/spreadsheets/d/1UsNK1e-WWiCo2PvGqdNfdme4m17_Ezd3J69EeeiQPD0/edit?usp=sharing"",""อุทัยธานี!Q341"")"),0)</f>
        <v>0</v>
      </c>
      <c r="R341" s="46">
        <f ca="1">IFERROR(__xludf.DUMMYFUNCTION("IMPORTRANGE(""https://docs.google.com/spreadsheets/d/1jTcq05yEiRwXcBMLjiodW9e4biSGYWAHcDj22rKWQ3s/edit?usp=sharing"",""กำแพงเพชร!R341"")+IMPORTRANGE(""https://docs.google.com/spreadsheets/d/1KS0zmDSZPk8KnTAbGN-Xk6MtX1YRZD0ldgdt20K4CRk/edit?usp=sharing"","&amp;"""เชียงราย!R341"")+IMPORTRANGE(""https://docs.google.com/spreadsheets/d/1rEDxBtusbi64tE0zunoIbsTVV16HeL0oJ6trHQeQ7K8/edit?usp=sharing"",""เชียงใหม่!R341"")+IMPORTRANGE(""https://docs.google.com/spreadsheets/d/1W6MnUbDkMi6xHnHko_XkFDO9kkuL6Wqyc-6OCDFjW9I/e"&amp;"dit?usp=sharing"",""ตาก!R341"")+IMPORTRANGE(""https://docs.google.com/spreadsheets/d/1IQAWArduLkta9LpYo4a_ULsyqdta6-6aDDiwpUnQT6c/edit?usp=sharing"",""นครสวรรค์!R341"")+IMPORTRANGE(""https://docs.google.com/spreadsheets/d/10s13Sk5xrltsiR-Zkbmk5DwIaDIKO8Xl"&amp;"bJAfqyT7Gvg/edit?usp=sharing"",""น่าน!R341"")+IMPORTRANGE(""https://docs.google.com/spreadsheets/d/1uu4nAn4Dbi1XREnLKKotUANlKXa7yCgRcgq8HEzQYW8/edit?usp=sharing"",""พะเยา!R341"")+IMPORTRANGE(""https://docs.google.com/spreadsheets/d/1xfJKIQxVOaPDIICqsflNlL"&amp;"u3JacTDk1FP9RH4phX7mI/edit?usp=sharing"",""พิจิตร!R341"")+IMPORTRANGE(""https://docs.google.com/spreadsheets/d/1JtRfZkJMHtEhI5RdRHxYUG4FIZHqKDpNyIuN7A1Q0_k/edit?usp=sharing"",""พิษณุโลก!R341"")+IMPORTRANGE(""https://docs.google.com/spreadsheets/d/1xlcVZWU"&amp;"Nn6SuWm0c307h32SiGkd9BaeQWlAktfD3KO8/edit?usp=sharing"",""เพชรบูรณ์!R341"")+IMPORTRANGE(""https://docs.google.com/spreadsheets/d/1lOVebEIsI9qjGXl6EX66luk7wiuP2tBaryw-wKvv4e0/edit?usp=sharing"",""แพร่!R341"")+IMPORTRANGE(""https://docs.google.com/spreadshe"&amp;"ets/d/1dQrvX0vEcN7Gu0fnZ0B5S90AeR19zth4XlExFBeExMY/edit?usp=sharing"",""แม่ฮ่องสอน!R341"")+IMPORTRANGE(""https://docs.google.com/spreadsheets/d/1DY4XTNNwjluuxqdfdn6qvOSlMRrZqUtmYcZR0ttFiG4/edit?usp=sharing"",""ลำปาง!R341"")+IMPORTRANGE(""https://docs.goog"&amp;"le.com/spreadsheets/d/1ICwG78r0OFT8biBlxnBF8r7she7gNSzOvJ958PWT09c/edit?usp=sharing"",""ลำพูน!R341"")+IMPORTRANGE(""https://docs.google.com/spreadsheets/d/1B0f2xJpZUC6Z0xXnqKlZtEPzsf6L84eP1r1Q15seqRM/edit?usp=sharing"",""สุโขทัย!R341"")+IMPORTRANGE(""http"&amp;"s://docs.google.com/spreadsheets/d/1v0b9pFQCsKUVExMei7AgY2yQkdeNQvtOssygGsXbiKo/edit?usp=sharing"",""อุตรดิตถ์!R341"")+IMPORTRANGE(""https://docs.google.com/spreadsheets/d/1UsNK1e-WWiCo2PvGqdNfdme4m17_Ezd3J69EeeiQPD0/edit?usp=sharing"",""อุทัยธานี!R341"")"),0)</f>
        <v>0</v>
      </c>
      <c r="S341" s="46">
        <f ca="1">IFERROR(__xludf.DUMMYFUNCTION("IMPORTRANGE(""https://docs.google.com/spreadsheets/d/1jTcq05yEiRwXcBMLjiodW9e4biSGYWAHcDj22rKWQ3s/edit?usp=sharing"",""กำแพงเพชร!S341"")+IMPORTRANGE(""https://docs.google.com/spreadsheets/d/1KS0zmDSZPk8KnTAbGN-Xk6MtX1YRZD0ldgdt20K4CRk/edit?usp=sharing"","&amp;"""เชียงราย!S341"")+IMPORTRANGE(""https://docs.google.com/spreadsheets/d/1rEDxBtusbi64tE0zunoIbsTVV16HeL0oJ6trHQeQ7K8/edit?usp=sharing"",""เชียงใหม่!S341"")+IMPORTRANGE(""https://docs.google.com/spreadsheets/d/1W6MnUbDkMi6xHnHko_XkFDO9kkuL6Wqyc-6OCDFjW9I/e"&amp;"dit?usp=sharing"",""ตาก!S341"")+IMPORTRANGE(""https://docs.google.com/spreadsheets/d/1IQAWArduLkta9LpYo4a_ULsyqdta6-6aDDiwpUnQT6c/edit?usp=sharing"",""นครสวรรค์!S341"")+IMPORTRANGE(""https://docs.google.com/spreadsheets/d/10s13Sk5xrltsiR-Zkbmk5DwIaDIKO8Xl"&amp;"bJAfqyT7Gvg/edit?usp=sharing"",""น่าน!S341"")+IMPORTRANGE(""https://docs.google.com/spreadsheets/d/1uu4nAn4Dbi1XREnLKKotUANlKXa7yCgRcgq8HEzQYW8/edit?usp=sharing"",""พะเยา!S341"")+IMPORTRANGE(""https://docs.google.com/spreadsheets/d/1xfJKIQxVOaPDIICqsflNlL"&amp;"u3JacTDk1FP9RH4phX7mI/edit?usp=sharing"",""พิจิตร!S341"")+IMPORTRANGE(""https://docs.google.com/spreadsheets/d/1JtRfZkJMHtEhI5RdRHxYUG4FIZHqKDpNyIuN7A1Q0_k/edit?usp=sharing"",""พิษณุโลก!S341"")+IMPORTRANGE(""https://docs.google.com/spreadsheets/d/1xlcVZWU"&amp;"Nn6SuWm0c307h32SiGkd9BaeQWlAktfD3KO8/edit?usp=sharing"",""เพชรบูรณ์!S341"")+IMPORTRANGE(""https://docs.google.com/spreadsheets/d/1lOVebEIsI9qjGXl6EX66luk7wiuP2tBaryw-wKvv4e0/edit?usp=sharing"",""แพร่!S341"")+IMPORTRANGE(""https://docs.google.com/spreadshe"&amp;"ets/d/1dQrvX0vEcN7Gu0fnZ0B5S90AeR19zth4XlExFBeExMY/edit?usp=sharing"",""แม่ฮ่องสอน!S341"")+IMPORTRANGE(""https://docs.google.com/spreadsheets/d/1DY4XTNNwjluuxqdfdn6qvOSlMRrZqUtmYcZR0ttFiG4/edit?usp=sharing"",""ลำปาง!S341"")+IMPORTRANGE(""https://docs.goog"&amp;"le.com/spreadsheets/d/1ICwG78r0OFT8biBlxnBF8r7she7gNSzOvJ958PWT09c/edit?usp=sharing"",""ลำพูน!S341"")+IMPORTRANGE(""https://docs.google.com/spreadsheets/d/1B0f2xJpZUC6Z0xXnqKlZtEPzsf6L84eP1r1Q15seqRM/edit?usp=sharing"",""สุโขทัย!S341"")+IMPORTRANGE(""http"&amp;"s://docs.google.com/spreadsheets/d/1v0b9pFQCsKUVExMei7AgY2yQkdeNQvtOssygGsXbiKo/edit?usp=sharing"",""อุตรดิตถ์!S341"")+IMPORTRANGE(""https://docs.google.com/spreadsheets/d/1UsNK1e-WWiCo2PvGqdNfdme4m17_Ezd3J69EeeiQPD0/edit?usp=sharing"",""อุทัยธานี!S341"")"),0)</f>
        <v>0</v>
      </c>
      <c r="T341" s="46">
        <f t="shared" ca="1" si="256"/>
        <v>0</v>
      </c>
      <c r="U341" s="46">
        <f t="shared" ca="1" si="257"/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45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211"/>
      <c r="B343" s="214"/>
      <c r="C343" s="212"/>
      <c r="D343" s="214"/>
      <c r="E343" s="302" t="s">
        <v>137</v>
      </c>
      <c r="F343" s="214"/>
      <c r="G343" s="215"/>
      <c r="H343" s="216" t="s">
        <v>35</v>
      </c>
      <c r="I343" s="303">
        <v>0</v>
      </c>
      <c r="J343" s="217">
        <f ca="1">J344+J347+J348+J349</f>
        <v>39117</v>
      </c>
      <c r="K343" s="304">
        <v>0</v>
      </c>
      <c r="L343" s="21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66">
        <f ca="1">IFERROR(__xludf.DUMMYFUNCTION("IMPORTRANGE(""https://docs.google.com/spreadsheets/d/1jTcq05yEiRwXcBMLjiodW9e4biSGYWAHcDj22rKWQ3s/edit?usp=sharing"",""กำแพงเพชร!I344"")+IMPORTRANGE(""https://docs.google.com/spreadsheets/d/1KS0zmDSZPk8KnTAbGN-Xk6MtX1YRZD0ldgdt20K4CRk/edit?usp=sharing"","&amp;"""เชียงราย!I344"")+IMPORTRANGE(""https://docs.google.com/spreadsheets/d/1rEDxBtusbi64tE0zunoIbsTVV16HeL0oJ6trHQeQ7K8/edit?usp=sharing"",""เชียงใหม่!I344"")+IMPORTRANGE(""https://docs.google.com/spreadsheets/d/1W6MnUbDkMi6xHnHko_XkFDO9kkuL6Wqyc-6OCDFjW9I/e"&amp;"dit?usp=sharing"",""ตาก!I344"")+IMPORTRANGE(""https://docs.google.com/spreadsheets/d/1IQAWArduLkta9LpYo4a_ULsyqdta6-6aDDiwpUnQT6c/edit?usp=sharing"",""นครสวรรค์!I344"")+IMPORTRANGE(""https://docs.google.com/spreadsheets/d/10s13Sk5xrltsiR-Zkbmk5DwIaDIKO8Xl"&amp;"bJAfqyT7Gvg/edit?usp=sharing"",""น่าน!I344"")+IMPORTRANGE(""https://docs.google.com/spreadsheets/d/1uu4nAn4Dbi1XREnLKKotUANlKXa7yCgRcgq8HEzQYW8/edit?usp=sharing"",""พะเยา!I344"")+IMPORTRANGE(""https://docs.google.com/spreadsheets/d/1xfJKIQxVOaPDIICqsflNlL"&amp;"u3JacTDk1FP9RH4phX7mI/edit?usp=sharing"",""พิจิตร!I344"")+IMPORTRANGE(""https://docs.google.com/spreadsheets/d/1JtRfZkJMHtEhI5RdRHxYUG4FIZHqKDpNyIuN7A1Q0_k/edit?usp=sharing"",""พิษณุโลก!I344"")+IMPORTRANGE(""https://docs.google.com/spreadsheets/d/1xlcVZWU"&amp;"Nn6SuWm0c307h32SiGkd9BaeQWlAktfD3KO8/edit?usp=sharing"",""เพชรบูรณ์!I344"")+IMPORTRANGE(""https://docs.google.com/spreadsheets/d/1lOVebEIsI9qjGXl6EX66luk7wiuP2tBaryw-wKvv4e0/edit?usp=sharing"",""แพร่!I344"")+IMPORTRANGE(""https://docs.google.com/spreadshe"&amp;"ets/d/1dQrvX0vEcN7Gu0fnZ0B5S90AeR19zth4XlExFBeExMY/edit?usp=sharing"",""แม่ฮ่องสอน!I344"")+IMPORTRANGE(""https://docs.google.com/spreadsheets/d/1DY4XTNNwjluuxqdfdn6qvOSlMRrZqUtmYcZR0ttFiG4/edit?usp=sharing"",""ลำปาง!I344"")+IMPORTRANGE(""https://docs.goog"&amp;"le.com/spreadsheets/d/1ICwG78r0OFT8biBlxnBF8r7she7gNSzOvJ958PWT09c/edit?usp=sharing"",""ลำพูน!I344"")+IMPORTRANGE(""https://docs.google.com/spreadsheets/d/1B0f2xJpZUC6Z0xXnqKlZtEPzsf6L84eP1r1Q15seqRM/edit?usp=sharing"",""สุโขทัย!I344"")+IMPORTRANGE(""http"&amp;"s://docs.google.com/spreadsheets/d/1v0b9pFQCsKUVExMei7AgY2yQkdeNQvtOssygGsXbiKo/edit?usp=sharing"",""อุตรดิตถ์!I344"")+IMPORTRANGE(""https://docs.google.com/spreadsheets/d/1UsNK1e-WWiCo2PvGqdNfdme4m17_Ezd3J69EeeiQPD0/edit?usp=sharing"",""อุทัยธานี!I344"")"),31240)</f>
        <v>31240</v>
      </c>
      <c r="J344" s="166">
        <f ca="1">IFERROR(__xludf.DUMMYFUNCTION("IMPORTRANGE(""https://docs.google.com/spreadsheets/d/1jTcq05yEiRwXcBMLjiodW9e4biSGYWAHcDj22rKWQ3s/edit?usp=sharing"",""กำแพงเพชร!J344"")+IMPORTRANGE(""https://docs.google.com/spreadsheets/d/1KS0zmDSZPk8KnTAbGN-Xk6MtX1YRZD0ldgdt20K4CRk/edit?usp=sharing"","&amp;"""เชียงราย!J344"")+IMPORTRANGE(""https://docs.google.com/spreadsheets/d/1rEDxBtusbi64tE0zunoIbsTVV16HeL0oJ6trHQeQ7K8/edit?usp=sharing"",""เชียงใหม่!J344"")+IMPORTRANGE(""https://docs.google.com/spreadsheets/d/1W6MnUbDkMi6xHnHko_XkFDO9kkuL6Wqyc-6OCDFjW9I/e"&amp;"dit?usp=sharing"",""ตาก!J344"")+IMPORTRANGE(""https://docs.google.com/spreadsheets/d/1IQAWArduLkta9LpYo4a_ULsyqdta6-6aDDiwpUnQT6c/edit?usp=sharing"",""นครสวรรค์!J344"")+IMPORTRANGE(""https://docs.google.com/spreadsheets/d/10s13Sk5xrltsiR-Zkbmk5DwIaDIKO8Xl"&amp;"bJAfqyT7Gvg/edit?usp=sharing"",""น่าน!J344"")+IMPORTRANGE(""https://docs.google.com/spreadsheets/d/1uu4nAn4Dbi1XREnLKKotUANlKXa7yCgRcgq8HEzQYW8/edit?usp=sharing"",""พะเยา!J344"")+IMPORTRANGE(""https://docs.google.com/spreadsheets/d/1xfJKIQxVOaPDIICqsflNlL"&amp;"u3JacTDk1FP9RH4phX7mI/edit?usp=sharing"",""พิจิตร!J344"")+IMPORTRANGE(""https://docs.google.com/spreadsheets/d/1JtRfZkJMHtEhI5RdRHxYUG4FIZHqKDpNyIuN7A1Q0_k/edit?usp=sharing"",""พิษณุโลก!J344"")+IMPORTRANGE(""https://docs.google.com/spreadsheets/d/1xlcVZWU"&amp;"Nn6SuWm0c307h32SiGkd9BaeQWlAktfD3KO8/edit?usp=sharing"",""เพชรบูรณ์!J344"")+IMPORTRANGE(""https://docs.google.com/spreadsheets/d/1lOVebEIsI9qjGXl6EX66luk7wiuP2tBaryw-wKvv4e0/edit?usp=sharing"",""แพร่!J344"")+IMPORTRANGE(""https://docs.google.com/spreadshe"&amp;"ets/d/1dQrvX0vEcN7Gu0fnZ0B5S90AeR19zth4XlExFBeExMY/edit?usp=sharing"",""แม่ฮ่องสอน!J344"")+IMPORTRANGE(""https://docs.google.com/spreadsheets/d/1DY4XTNNwjluuxqdfdn6qvOSlMRrZqUtmYcZR0ttFiG4/edit?usp=sharing"",""ลำปาง!J344"")+IMPORTRANGE(""https://docs.goog"&amp;"le.com/spreadsheets/d/1ICwG78r0OFT8biBlxnBF8r7she7gNSzOvJ958PWT09c/edit?usp=sharing"",""ลำพูน!J344"")+IMPORTRANGE(""https://docs.google.com/spreadsheets/d/1B0f2xJpZUC6Z0xXnqKlZtEPzsf6L84eP1r1Q15seqRM/edit?usp=sharing"",""สุโขทัย!J344"")+IMPORTRANGE(""http"&amp;"s://docs.google.com/spreadsheets/d/1v0b9pFQCsKUVExMei7AgY2yQkdeNQvtOssygGsXbiKo/edit?usp=sharing"",""อุตรดิตถ์!J344"")+IMPORTRANGE(""https://docs.google.com/spreadsheets/d/1UsNK1e-WWiCo2PvGqdNfdme4m17_Ezd3J69EeeiQPD0/edit?usp=sharing"",""อุทัยธานี!J344"")"),37404)</f>
        <v>37404</v>
      </c>
      <c r="K344" s="46">
        <f ca="1">IF(I344&gt;0,J344*100/I344,0)</f>
        <v>119.73111395646607</v>
      </c>
      <c r="L344" s="45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66">
        <f ca="1">IFERROR(__xludf.DUMMYFUNCTION("IMPORTRANGE(""https://docs.google.com/spreadsheets/d/1jTcq05yEiRwXcBMLjiodW9e4biSGYWAHcDj22rKWQ3s/edit?usp=sharing"",""กำแพงเพชร!I346"")+IMPORTRANGE(""https://docs.google.com/spreadsheets/d/1KS0zmDSZPk8KnTAbGN-Xk6MtX1YRZD0ldgdt20K4CRk/edit?usp=sharing"","&amp;"""เชียงราย!I346"")+IMPORTRANGE(""https://docs.google.com/spreadsheets/d/1rEDxBtusbi64tE0zunoIbsTVV16HeL0oJ6trHQeQ7K8/edit?usp=sharing"",""เชียงใหม่!I346"")+IMPORTRANGE(""https://docs.google.com/spreadsheets/d/1W6MnUbDkMi6xHnHko_XkFDO9kkuL6Wqyc-6OCDFjW9I/e"&amp;"dit?usp=sharing"",""ตาก!I346"")+IMPORTRANGE(""https://docs.google.com/spreadsheets/d/1IQAWArduLkta9LpYo4a_ULsyqdta6-6aDDiwpUnQT6c/edit?usp=sharing"",""นครสวรรค์!I346"")+IMPORTRANGE(""https://docs.google.com/spreadsheets/d/10s13Sk5xrltsiR-Zkbmk5DwIaDIKO8Xl"&amp;"bJAfqyT7Gvg/edit?usp=sharing"",""น่าน!I346"")+IMPORTRANGE(""https://docs.google.com/spreadsheets/d/1uu4nAn4Dbi1XREnLKKotUANlKXa7yCgRcgq8HEzQYW8/edit?usp=sharing"",""พะเยา!I346"")+IMPORTRANGE(""https://docs.google.com/spreadsheets/d/1xfJKIQxVOaPDIICqsflNlL"&amp;"u3JacTDk1FP9RH4phX7mI/edit?usp=sharing"",""พิจิตร!I346"")+IMPORTRANGE(""https://docs.google.com/spreadsheets/d/1JtRfZkJMHtEhI5RdRHxYUG4FIZHqKDpNyIuN7A1Q0_k/edit?usp=sharing"",""พิษณุโลก!I346"")+IMPORTRANGE(""https://docs.google.com/spreadsheets/d/1xlcVZWU"&amp;"Nn6SuWm0c307h32SiGkd9BaeQWlAktfD3KO8/edit?usp=sharing"",""เพชรบูรณ์!I346"")+IMPORTRANGE(""https://docs.google.com/spreadsheets/d/1lOVebEIsI9qjGXl6EX66luk7wiuP2tBaryw-wKvv4e0/edit?usp=sharing"",""แพร่!I346"")+IMPORTRANGE(""https://docs.google.com/spreadshe"&amp;"ets/d/1dQrvX0vEcN7Gu0fnZ0B5S90AeR19zth4XlExFBeExMY/edit?usp=sharing"",""แม่ฮ่องสอน!I346"")+IMPORTRANGE(""https://docs.google.com/spreadsheets/d/1DY4XTNNwjluuxqdfdn6qvOSlMRrZqUtmYcZR0ttFiG4/edit?usp=sharing"",""ลำปาง!I346"")+IMPORTRANGE(""https://docs.goog"&amp;"le.com/spreadsheets/d/1ICwG78r0OFT8biBlxnBF8r7she7gNSzOvJ958PWT09c/edit?usp=sharing"",""ลำพูน!I346"")+IMPORTRANGE(""https://docs.google.com/spreadsheets/d/1B0f2xJpZUC6Z0xXnqKlZtEPzsf6L84eP1r1Q15seqRM/edit?usp=sharing"",""สุโขทัย!I346"")+IMPORTRANGE(""http"&amp;"s://docs.google.com/spreadsheets/d/1v0b9pFQCsKUVExMei7AgY2yQkdeNQvtOssygGsXbiKo/edit?usp=sharing"",""อุตรดิตถ์!I346"")+IMPORTRANGE(""https://docs.google.com/spreadsheets/d/1UsNK1e-WWiCo2PvGqdNfdme4m17_Ezd3J69EeeiQPD0/edit?usp=sharing"",""อุทัยธานี!I346"")"),73)</f>
        <v>73</v>
      </c>
      <c r="J346" s="166">
        <f ca="1">IFERROR(__xludf.DUMMYFUNCTION("IMPORTRANGE(""https://docs.google.com/spreadsheets/d/1jTcq05yEiRwXcBMLjiodW9e4biSGYWAHcDj22rKWQ3s/edit?usp=sharing"",""กำแพงเพชร!J346"")+IMPORTRANGE(""https://docs.google.com/spreadsheets/d/1KS0zmDSZPk8KnTAbGN-Xk6MtX1YRZD0ldgdt20K4CRk/edit?usp=sharing"","&amp;"""เชียงราย!J346"")+IMPORTRANGE(""https://docs.google.com/spreadsheets/d/1rEDxBtusbi64tE0zunoIbsTVV16HeL0oJ6trHQeQ7K8/edit?usp=sharing"",""เชียงใหม่!J346"")+IMPORTRANGE(""https://docs.google.com/spreadsheets/d/1W6MnUbDkMi6xHnHko_XkFDO9kkuL6Wqyc-6OCDFjW9I/e"&amp;"dit?usp=sharing"",""ตาก!J346"")+IMPORTRANGE(""https://docs.google.com/spreadsheets/d/1IQAWArduLkta9LpYo4a_ULsyqdta6-6aDDiwpUnQT6c/edit?usp=sharing"",""นครสวรรค์!J346"")+IMPORTRANGE(""https://docs.google.com/spreadsheets/d/10s13Sk5xrltsiR-Zkbmk5DwIaDIKO8Xl"&amp;"bJAfqyT7Gvg/edit?usp=sharing"",""น่าน!J346"")+IMPORTRANGE(""https://docs.google.com/spreadsheets/d/1uu4nAn4Dbi1XREnLKKotUANlKXa7yCgRcgq8HEzQYW8/edit?usp=sharing"",""พะเยา!J346"")+IMPORTRANGE(""https://docs.google.com/spreadsheets/d/1xfJKIQxVOaPDIICqsflNlL"&amp;"u3JacTDk1FP9RH4phX7mI/edit?usp=sharing"",""พิจิตร!J346"")+IMPORTRANGE(""https://docs.google.com/spreadsheets/d/1JtRfZkJMHtEhI5RdRHxYUG4FIZHqKDpNyIuN7A1Q0_k/edit?usp=sharing"",""พิษณุโลก!J346"")+IMPORTRANGE(""https://docs.google.com/spreadsheets/d/1xlcVZWU"&amp;"Nn6SuWm0c307h32SiGkd9BaeQWlAktfD3KO8/edit?usp=sharing"",""เพชรบูรณ์!J346"")+IMPORTRANGE(""https://docs.google.com/spreadsheets/d/1lOVebEIsI9qjGXl6EX66luk7wiuP2tBaryw-wKvv4e0/edit?usp=sharing"",""แพร่!J346"")+IMPORTRANGE(""https://docs.google.com/spreadshe"&amp;"ets/d/1dQrvX0vEcN7Gu0fnZ0B5S90AeR19zth4XlExFBeExMY/edit?usp=sharing"",""แม่ฮ่องสอน!J346"")+IMPORTRANGE(""https://docs.google.com/spreadsheets/d/1DY4XTNNwjluuxqdfdn6qvOSlMRrZqUtmYcZR0ttFiG4/edit?usp=sharing"",""ลำปาง!J346"")+IMPORTRANGE(""https://docs.goog"&amp;"le.com/spreadsheets/d/1ICwG78r0OFT8biBlxnBF8r7she7gNSzOvJ958PWT09c/edit?usp=sharing"",""ลำพูน!J346"")+IMPORTRANGE(""https://docs.google.com/spreadsheets/d/1B0f2xJpZUC6Z0xXnqKlZtEPzsf6L84eP1r1Q15seqRM/edit?usp=sharing"",""สุโขทัย!J346"")+IMPORTRANGE(""http"&amp;"s://docs.google.com/spreadsheets/d/1v0b9pFQCsKUVExMei7AgY2yQkdeNQvtOssygGsXbiKo/edit?usp=sharing"",""อุตรดิตถ์!J346"")+IMPORTRANGE(""https://docs.google.com/spreadsheets/d/1UsNK1e-WWiCo2PvGqdNfdme4m17_Ezd3J69EeeiQPD0/edit?usp=sharing"",""อุทัยธานี!J346"")"),56)</f>
        <v>56</v>
      </c>
      <c r="K346" s="46">
        <f ca="1">IF(I346&gt;0,J346*100/I346,0)</f>
        <v>76.712328767123282</v>
      </c>
      <c r="L346" s="45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66">
        <f ca="1">IFERROR(__xludf.DUMMYFUNCTION("IMPORTRANGE(""https://docs.google.com/spreadsheets/d/1jTcq05yEiRwXcBMLjiodW9e4biSGYWAHcDj22rKWQ3s/edit?usp=sharing"",""กำแพงเพชร!J347"")+IMPORTRANGE(""https://docs.google.com/spreadsheets/d/1KS0zmDSZPk8KnTAbGN-Xk6MtX1YRZD0ldgdt20K4CRk/edit?usp=sharing"","&amp;"""เชียงราย!J347"")+IMPORTRANGE(""https://docs.google.com/spreadsheets/d/1rEDxBtusbi64tE0zunoIbsTVV16HeL0oJ6trHQeQ7K8/edit?usp=sharing"",""เชียงใหม่!J347"")+IMPORTRANGE(""https://docs.google.com/spreadsheets/d/1W6MnUbDkMi6xHnHko_XkFDO9kkuL6Wqyc-6OCDFjW9I/e"&amp;"dit?usp=sharing"",""ตาก!J347"")+IMPORTRANGE(""https://docs.google.com/spreadsheets/d/1IQAWArduLkta9LpYo4a_ULsyqdta6-6aDDiwpUnQT6c/edit?usp=sharing"",""นครสวรรค์!J347"")+IMPORTRANGE(""https://docs.google.com/spreadsheets/d/10s13Sk5xrltsiR-Zkbmk5DwIaDIKO8Xl"&amp;"bJAfqyT7Gvg/edit?usp=sharing"",""น่าน!J347"")+IMPORTRANGE(""https://docs.google.com/spreadsheets/d/1uu4nAn4Dbi1XREnLKKotUANlKXa7yCgRcgq8HEzQYW8/edit?usp=sharing"",""พะเยา!J347"")+IMPORTRANGE(""https://docs.google.com/spreadsheets/d/1xfJKIQxVOaPDIICqsflNlL"&amp;"u3JacTDk1FP9RH4phX7mI/edit?usp=sharing"",""พิจิตร!J347"")+IMPORTRANGE(""https://docs.google.com/spreadsheets/d/1JtRfZkJMHtEhI5RdRHxYUG4FIZHqKDpNyIuN7A1Q0_k/edit?usp=sharing"",""พิษณุโลก!J347"")+IMPORTRANGE(""https://docs.google.com/spreadsheets/d/1xlcVZWU"&amp;"Nn6SuWm0c307h32SiGkd9BaeQWlAktfD3KO8/edit?usp=sharing"",""เพชรบูรณ์!J347"")+IMPORTRANGE(""https://docs.google.com/spreadsheets/d/1lOVebEIsI9qjGXl6EX66luk7wiuP2tBaryw-wKvv4e0/edit?usp=sharing"",""แพร่!J347"")+IMPORTRANGE(""https://docs.google.com/spreadshe"&amp;"ets/d/1dQrvX0vEcN7Gu0fnZ0B5S90AeR19zth4XlExFBeExMY/edit?usp=sharing"",""แม่ฮ่องสอน!J347"")+IMPORTRANGE(""https://docs.google.com/spreadsheets/d/1DY4XTNNwjluuxqdfdn6qvOSlMRrZqUtmYcZR0ttFiG4/edit?usp=sharing"",""ลำปาง!J347"")+IMPORTRANGE(""https://docs.goog"&amp;"le.com/spreadsheets/d/1ICwG78r0OFT8biBlxnBF8r7she7gNSzOvJ958PWT09c/edit?usp=sharing"",""ลำพูน!J347"")+IMPORTRANGE(""https://docs.google.com/spreadsheets/d/1B0f2xJpZUC6Z0xXnqKlZtEPzsf6L84eP1r1Q15seqRM/edit?usp=sharing"",""สุโขทัย!J347"")+IMPORTRANGE(""http"&amp;"s://docs.google.com/spreadsheets/d/1v0b9pFQCsKUVExMei7AgY2yQkdeNQvtOssygGsXbiKo/edit?usp=sharing"",""อุตรดิตถ์!J347"")+IMPORTRANGE(""https://docs.google.com/spreadsheets/d/1UsNK1e-WWiCo2PvGqdNfdme4m17_Ezd3J69EeeiQPD0/edit?usp=sharing"",""อุทัยธานี!J347"")"),1225)</f>
        <v>1225</v>
      </c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66">
        <f ca="1">IFERROR(__xludf.DUMMYFUNCTION("IMPORTRANGE(""https://docs.google.com/spreadsheets/d/1jTcq05yEiRwXcBMLjiodW9e4biSGYWAHcDj22rKWQ3s/edit?usp=sharing"",""กำแพงเพชร!J348"")+IMPORTRANGE(""https://docs.google.com/spreadsheets/d/1KS0zmDSZPk8KnTAbGN-Xk6MtX1YRZD0ldgdt20K4CRk/edit?usp=sharing"","&amp;"""เชียงราย!J348"")+IMPORTRANGE(""https://docs.google.com/spreadsheets/d/1rEDxBtusbi64tE0zunoIbsTVV16HeL0oJ6trHQeQ7K8/edit?usp=sharing"",""เชียงใหม่!J348"")+IMPORTRANGE(""https://docs.google.com/spreadsheets/d/1W6MnUbDkMi6xHnHko_XkFDO9kkuL6Wqyc-6OCDFjW9I/e"&amp;"dit?usp=sharing"",""ตาก!J348"")+IMPORTRANGE(""https://docs.google.com/spreadsheets/d/1IQAWArduLkta9LpYo4a_ULsyqdta6-6aDDiwpUnQT6c/edit?usp=sharing"",""นครสวรรค์!J348"")+IMPORTRANGE(""https://docs.google.com/spreadsheets/d/10s13Sk5xrltsiR-Zkbmk5DwIaDIKO8Xl"&amp;"bJAfqyT7Gvg/edit?usp=sharing"",""น่าน!J348"")+IMPORTRANGE(""https://docs.google.com/spreadsheets/d/1uu4nAn4Dbi1XREnLKKotUANlKXa7yCgRcgq8HEzQYW8/edit?usp=sharing"",""พะเยา!J348"")+IMPORTRANGE(""https://docs.google.com/spreadsheets/d/1xfJKIQxVOaPDIICqsflNlL"&amp;"u3JacTDk1FP9RH4phX7mI/edit?usp=sharing"",""พิจิตร!J348"")+IMPORTRANGE(""https://docs.google.com/spreadsheets/d/1JtRfZkJMHtEhI5RdRHxYUG4FIZHqKDpNyIuN7A1Q0_k/edit?usp=sharing"",""พิษณุโลก!J348"")+IMPORTRANGE(""https://docs.google.com/spreadsheets/d/1xlcVZWU"&amp;"Nn6SuWm0c307h32SiGkd9BaeQWlAktfD3KO8/edit?usp=sharing"",""เพชรบูรณ์!J348"")+IMPORTRANGE(""https://docs.google.com/spreadsheets/d/1lOVebEIsI9qjGXl6EX66luk7wiuP2tBaryw-wKvv4e0/edit?usp=sharing"",""แพร่!J348"")+IMPORTRANGE(""https://docs.google.com/spreadshe"&amp;"ets/d/1dQrvX0vEcN7Gu0fnZ0B5S90AeR19zth4XlExFBeExMY/edit?usp=sharing"",""แม่ฮ่องสอน!J348"")+IMPORTRANGE(""https://docs.google.com/spreadsheets/d/1DY4XTNNwjluuxqdfdn6qvOSlMRrZqUtmYcZR0ttFiG4/edit?usp=sharing"",""ลำปาง!J348"")+IMPORTRANGE(""https://docs.goog"&amp;"le.com/spreadsheets/d/1ICwG78r0OFT8biBlxnBF8r7she7gNSzOvJ958PWT09c/edit?usp=sharing"",""ลำพูน!J348"")+IMPORTRANGE(""https://docs.google.com/spreadsheets/d/1B0f2xJpZUC6Z0xXnqKlZtEPzsf6L84eP1r1Q15seqRM/edit?usp=sharing"",""สุโขทัย!J348"")+IMPORTRANGE(""http"&amp;"s://docs.google.com/spreadsheets/d/1v0b9pFQCsKUVExMei7AgY2yQkdeNQvtOssygGsXbiKo/edit?usp=sharing"",""อุตรดิตถ์!J348"")+IMPORTRANGE(""https://docs.google.com/spreadsheets/d/1UsNK1e-WWiCo2PvGqdNfdme4m17_Ezd3J69EeeiQPD0/edit?usp=sharing"",""อุทัยธานี!J348"")"),358)</f>
        <v>358</v>
      </c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66">
        <f ca="1">IFERROR(__xludf.DUMMYFUNCTION("IMPORTRANGE(""https://docs.google.com/spreadsheets/d/1jTcq05yEiRwXcBMLjiodW9e4biSGYWAHcDj22rKWQ3s/edit?usp=sharing"",""กำแพงเพชร!J349"")+IMPORTRANGE(""https://docs.google.com/spreadsheets/d/1KS0zmDSZPk8KnTAbGN-Xk6MtX1YRZD0ldgdt20K4CRk/edit?usp=sharing"","&amp;"""เชียงราย!J349"")+IMPORTRANGE(""https://docs.google.com/spreadsheets/d/1rEDxBtusbi64tE0zunoIbsTVV16HeL0oJ6trHQeQ7K8/edit?usp=sharing"",""เชียงใหม่!J349"")+IMPORTRANGE(""https://docs.google.com/spreadsheets/d/1W6MnUbDkMi6xHnHko_XkFDO9kkuL6Wqyc-6OCDFjW9I/e"&amp;"dit?usp=sharing"",""ตาก!J349"")+IMPORTRANGE(""https://docs.google.com/spreadsheets/d/1IQAWArduLkta9LpYo4a_ULsyqdta6-6aDDiwpUnQT6c/edit?usp=sharing"",""นครสวรรค์!J349"")+IMPORTRANGE(""https://docs.google.com/spreadsheets/d/10s13Sk5xrltsiR-Zkbmk5DwIaDIKO8Xl"&amp;"bJAfqyT7Gvg/edit?usp=sharing"",""น่าน!J349"")+IMPORTRANGE(""https://docs.google.com/spreadsheets/d/1uu4nAn4Dbi1XREnLKKotUANlKXa7yCgRcgq8HEzQYW8/edit?usp=sharing"",""พะเยา!J349"")+IMPORTRANGE(""https://docs.google.com/spreadsheets/d/1xfJKIQxVOaPDIICqsflNlL"&amp;"u3JacTDk1FP9RH4phX7mI/edit?usp=sharing"",""พิจิตร!J349"")+IMPORTRANGE(""https://docs.google.com/spreadsheets/d/1JtRfZkJMHtEhI5RdRHxYUG4FIZHqKDpNyIuN7A1Q0_k/edit?usp=sharing"",""พิษณุโลก!J349"")+IMPORTRANGE(""https://docs.google.com/spreadsheets/d/1xlcVZWU"&amp;"Nn6SuWm0c307h32SiGkd9BaeQWlAktfD3KO8/edit?usp=sharing"",""เพชรบูรณ์!J349"")+IMPORTRANGE(""https://docs.google.com/spreadsheets/d/1lOVebEIsI9qjGXl6EX66luk7wiuP2tBaryw-wKvv4e0/edit?usp=sharing"",""แพร่!J349"")+IMPORTRANGE(""https://docs.google.com/spreadshe"&amp;"ets/d/1dQrvX0vEcN7Gu0fnZ0B5S90AeR19zth4XlExFBeExMY/edit?usp=sharing"",""แม่ฮ่องสอน!J349"")+IMPORTRANGE(""https://docs.google.com/spreadsheets/d/1DY4XTNNwjluuxqdfdn6qvOSlMRrZqUtmYcZR0ttFiG4/edit?usp=sharing"",""ลำปาง!J349"")+IMPORTRANGE(""https://docs.goog"&amp;"le.com/spreadsheets/d/1ICwG78r0OFT8biBlxnBF8r7she7gNSzOvJ958PWT09c/edit?usp=sharing"",""ลำพูน!J349"")+IMPORTRANGE(""https://docs.google.com/spreadsheets/d/1B0f2xJpZUC6Z0xXnqKlZtEPzsf6L84eP1r1Q15seqRM/edit?usp=sharing"",""สุโขทัย!J349"")+IMPORTRANGE(""http"&amp;"s://docs.google.com/spreadsheets/d/1v0b9pFQCsKUVExMei7AgY2yQkdeNQvtOssygGsXbiKo/edit?usp=sharing"",""อุตรดิตถ์!J349"")+IMPORTRANGE(""https://docs.google.com/spreadsheets/d/1UsNK1e-WWiCo2PvGqdNfdme4m17_Ezd3J69EeeiQPD0/edit?usp=sharing"",""อุทัยธานี!J349"")"),130)</f>
        <v>130</v>
      </c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0"/>
      <c r="F350" s="40"/>
      <c r="G350" s="42"/>
      <c r="H350" s="180"/>
      <c r="I350" s="44"/>
      <c r="J350" s="44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306" t="s">
        <v>145</v>
      </c>
      <c r="F351" s="214"/>
      <c r="G351" s="215"/>
      <c r="H351" s="216" t="s">
        <v>35</v>
      </c>
      <c r="I351" s="303">
        <v>0</v>
      </c>
      <c r="J351" s="217">
        <f ca="1">J352+J353</f>
        <v>90220</v>
      </c>
      <c r="K351" s="304">
        <v>0</v>
      </c>
      <c r="L351" s="21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66">
        <f ca="1">IFERROR(__xludf.DUMMYFUNCTION("IMPORTRANGE(""https://docs.google.com/spreadsheets/d/1jTcq05yEiRwXcBMLjiodW9e4biSGYWAHcDj22rKWQ3s/edit?usp=sharing"",""กำแพงเพชร!J352"")+IMPORTRANGE(""https://docs.google.com/spreadsheets/d/1KS0zmDSZPk8KnTAbGN-Xk6MtX1YRZD0ldgdt20K4CRk/edit?usp=sharing"","&amp;"""เชียงราย!J352"")+IMPORTRANGE(""https://docs.google.com/spreadsheets/d/1rEDxBtusbi64tE0zunoIbsTVV16HeL0oJ6trHQeQ7K8/edit?usp=sharing"",""เชียงใหม่!J352"")+IMPORTRANGE(""https://docs.google.com/spreadsheets/d/1W6MnUbDkMi6xHnHko_XkFDO9kkuL6Wqyc-6OCDFjW9I/e"&amp;"dit?usp=sharing"",""ตาก!J352"")+IMPORTRANGE(""https://docs.google.com/spreadsheets/d/1IQAWArduLkta9LpYo4a_ULsyqdta6-6aDDiwpUnQT6c/edit?usp=sharing"",""นครสวรรค์!J352"")+IMPORTRANGE(""https://docs.google.com/spreadsheets/d/10s13Sk5xrltsiR-Zkbmk5DwIaDIKO8Xl"&amp;"bJAfqyT7Gvg/edit?usp=sharing"",""น่าน!J352"")+IMPORTRANGE(""https://docs.google.com/spreadsheets/d/1uu4nAn4Dbi1XREnLKKotUANlKXa7yCgRcgq8HEzQYW8/edit?usp=sharing"",""พะเยา!J352"")+IMPORTRANGE(""https://docs.google.com/spreadsheets/d/1xfJKIQxVOaPDIICqsflNlL"&amp;"u3JacTDk1FP9RH4phX7mI/edit?usp=sharing"",""พิจิตร!J352"")+IMPORTRANGE(""https://docs.google.com/spreadsheets/d/1JtRfZkJMHtEhI5RdRHxYUG4FIZHqKDpNyIuN7A1Q0_k/edit?usp=sharing"",""พิษณุโลก!J352"")+IMPORTRANGE(""https://docs.google.com/spreadsheets/d/1xlcVZWU"&amp;"Nn6SuWm0c307h32SiGkd9BaeQWlAktfD3KO8/edit?usp=sharing"",""เพชรบูรณ์!J352"")+IMPORTRANGE(""https://docs.google.com/spreadsheets/d/1lOVebEIsI9qjGXl6EX66luk7wiuP2tBaryw-wKvv4e0/edit?usp=sharing"",""แพร่!J352"")+IMPORTRANGE(""https://docs.google.com/spreadshe"&amp;"ets/d/1dQrvX0vEcN7Gu0fnZ0B5S90AeR19zth4XlExFBeExMY/edit?usp=sharing"",""แม่ฮ่องสอน!J352"")+IMPORTRANGE(""https://docs.google.com/spreadsheets/d/1DY4XTNNwjluuxqdfdn6qvOSlMRrZqUtmYcZR0ttFiG4/edit?usp=sharing"",""ลำปาง!J352"")+IMPORTRANGE(""https://docs.goog"&amp;"le.com/spreadsheets/d/1ICwG78r0OFT8biBlxnBF8r7she7gNSzOvJ958PWT09c/edit?usp=sharing"",""ลำพูน!J352"")+IMPORTRANGE(""https://docs.google.com/spreadsheets/d/1B0f2xJpZUC6Z0xXnqKlZtEPzsf6L84eP1r1Q15seqRM/edit?usp=sharing"",""สุโขทัย!J352"")+IMPORTRANGE(""http"&amp;"s://docs.google.com/spreadsheets/d/1v0b9pFQCsKUVExMei7AgY2yQkdeNQvtOssygGsXbiKo/edit?usp=sharing"",""อุตรดิตถ์!J352"")+IMPORTRANGE(""https://docs.google.com/spreadsheets/d/1UsNK1e-WWiCo2PvGqdNfdme4m17_Ezd3J69EeeiQPD0/edit?usp=sharing"",""อุทัยธานี!J352"")"),30128)</f>
        <v>30128</v>
      </c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66">
        <f ca="1">IFERROR(__xludf.DUMMYFUNCTION("IMPORTRANGE(""https://docs.google.com/spreadsheets/d/1jTcq05yEiRwXcBMLjiodW9e4biSGYWAHcDj22rKWQ3s/edit?usp=sharing"",""กำแพงเพชร!J353"")+IMPORTRANGE(""https://docs.google.com/spreadsheets/d/1KS0zmDSZPk8KnTAbGN-Xk6MtX1YRZD0ldgdt20K4CRk/edit?usp=sharing"","&amp;"""เชียงราย!J353"")+IMPORTRANGE(""https://docs.google.com/spreadsheets/d/1rEDxBtusbi64tE0zunoIbsTVV16HeL0oJ6trHQeQ7K8/edit?usp=sharing"",""เชียงใหม่!J353"")+IMPORTRANGE(""https://docs.google.com/spreadsheets/d/1W6MnUbDkMi6xHnHko_XkFDO9kkuL6Wqyc-6OCDFjW9I/e"&amp;"dit?usp=sharing"",""ตาก!J353"")+IMPORTRANGE(""https://docs.google.com/spreadsheets/d/1IQAWArduLkta9LpYo4a_ULsyqdta6-6aDDiwpUnQT6c/edit?usp=sharing"",""นครสวรรค์!J353"")+IMPORTRANGE(""https://docs.google.com/spreadsheets/d/10s13Sk5xrltsiR-Zkbmk5DwIaDIKO8Xl"&amp;"bJAfqyT7Gvg/edit?usp=sharing"",""น่าน!J353"")+IMPORTRANGE(""https://docs.google.com/spreadsheets/d/1uu4nAn4Dbi1XREnLKKotUANlKXa7yCgRcgq8HEzQYW8/edit?usp=sharing"",""พะเยา!J353"")+IMPORTRANGE(""https://docs.google.com/spreadsheets/d/1xfJKIQxVOaPDIICqsflNlL"&amp;"u3JacTDk1FP9RH4phX7mI/edit?usp=sharing"",""พิจิตร!J353"")+IMPORTRANGE(""https://docs.google.com/spreadsheets/d/1JtRfZkJMHtEhI5RdRHxYUG4FIZHqKDpNyIuN7A1Q0_k/edit?usp=sharing"",""พิษณุโลก!J353"")+IMPORTRANGE(""https://docs.google.com/spreadsheets/d/1xlcVZWU"&amp;"Nn6SuWm0c307h32SiGkd9BaeQWlAktfD3KO8/edit?usp=sharing"",""เพชรบูรณ์!J353"")+IMPORTRANGE(""https://docs.google.com/spreadsheets/d/1lOVebEIsI9qjGXl6EX66luk7wiuP2tBaryw-wKvv4e0/edit?usp=sharing"",""แพร่!J353"")+IMPORTRANGE(""https://docs.google.com/spreadshe"&amp;"ets/d/1dQrvX0vEcN7Gu0fnZ0B5S90AeR19zth4XlExFBeExMY/edit?usp=sharing"",""แม่ฮ่องสอน!J353"")+IMPORTRANGE(""https://docs.google.com/spreadsheets/d/1DY4XTNNwjluuxqdfdn6qvOSlMRrZqUtmYcZR0ttFiG4/edit?usp=sharing"",""ลำปาง!J353"")+IMPORTRANGE(""https://docs.goog"&amp;"le.com/spreadsheets/d/1ICwG78r0OFT8biBlxnBF8r7she7gNSzOvJ958PWT09c/edit?usp=sharing"",""ลำพูน!J353"")+IMPORTRANGE(""https://docs.google.com/spreadsheets/d/1B0f2xJpZUC6Z0xXnqKlZtEPzsf6L84eP1r1Q15seqRM/edit?usp=sharing"",""สุโขทัย!J353"")+IMPORTRANGE(""http"&amp;"s://docs.google.com/spreadsheets/d/1v0b9pFQCsKUVExMei7AgY2yQkdeNQvtOssygGsXbiKo/edit?usp=sharing"",""อุตรดิตถ์!J353"")+IMPORTRANGE(""https://docs.google.com/spreadsheets/d/1UsNK1e-WWiCo2PvGqdNfdme4m17_Ezd3J69EeeiQPD0/edit?usp=sharing"",""อุทัยธานี!J353"")"),60092)</f>
        <v>60092</v>
      </c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0"/>
      <c r="F354" s="40"/>
      <c r="G354" s="42"/>
      <c r="H354" s="180"/>
      <c r="I354" s="44"/>
      <c r="J354" s="44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298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13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132">
        <f t="shared" ref="L356:N356" ca="1" si="266">L357+L358</f>
        <v>9127945</v>
      </c>
      <c r="M356" s="132">
        <f t="shared" ca="1" si="266"/>
        <v>9235580</v>
      </c>
      <c r="N356" s="132">
        <f t="shared" ca="1" si="266"/>
        <v>5678003.6399999997</v>
      </c>
      <c r="O356" s="132">
        <f t="shared" ref="O356:O364" ca="1" si="267">IF(L356&gt;0,N356*100/L356,0)</f>
        <v>62.204621522149836</v>
      </c>
      <c r="P356" s="132">
        <f t="shared" ref="P356:P364" ca="1" si="268">IF(M356&gt;0,N356*100/M356,0)</f>
        <v>61.479664947951292</v>
      </c>
      <c r="Q356" s="132">
        <f t="shared" ref="Q356:S356" ca="1" si="269">Q357+Q358</f>
        <v>0</v>
      </c>
      <c r="R356" s="132">
        <f t="shared" ca="1" si="269"/>
        <v>0</v>
      </c>
      <c r="S356" s="132">
        <f t="shared" ca="1" si="269"/>
        <v>0</v>
      </c>
      <c r="T356" s="132">
        <f t="shared" ref="T356:T364" ca="1" si="270">IF(Q356&gt;0,S356*100/Q356,0)</f>
        <v>0</v>
      </c>
      <c r="U356" s="132">
        <f t="shared" ref="U356:U364" ca="1" si="271">IF(R356&gt;0,S356*100/R356,0)</f>
        <v>0</v>
      </c>
    </row>
    <row r="357" spans="1:21" ht="18.75" x14ac:dyDescent="0.25">
      <c r="A357" s="128"/>
      <c r="B357" s="40"/>
      <c r="C357" s="40"/>
      <c r="D357" s="40"/>
      <c r="E357" s="47" t="s">
        <v>20</v>
      </c>
      <c r="F357" s="40"/>
      <c r="G357" s="42"/>
      <c r="H357" s="133" t="s">
        <v>14</v>
      </c>
      <c r="I357" s="44"/>
      <c r="J357" s="44"/>
      <c r="K357" s="45"/>
      <c r="L357" s="46">
        <f t="shared" ref="L357:N357" ca="1" si="272">L360+L363</f>
        <v>0</v>
      </c>
      <c r="M357" s="46">
        <f t="shared" ca="1" si="272"/>
        <v>0</v>
      </c>
      <c r="N357" s="46">
        <f t="shared" ca="1" si="272"/>
        <v>0</v>
      </c>
      <c r="O357" s="46">
        <f t="shared" ca="1" si="267"/>
        <v>0</v>
      </c>
      <c r="P357" s="46">
        <f t="shared" ca="1" si="268"/>
        <v>0</v>
      </c>
      <c r="Q357" s="48">
        <f t="shared" ref="Q357:S357" ca="1" si="273">Q360+Q363</f>
        <v>0</v>
      </c>
      <c r="R357" s="48">
        <f t="shared" ca="1" si="273"/>
        <v>0</v>
      </c>
      <c r="S357" s="48">
        <f t="shared" ca="1" si="273"/>
        <v>0</v>
      </c>
      <c r="T357" s="48">
        <f t="shared" ca="1" si="270"/>
        <v>0</v>
      </c>
      <c r="U357" s="48">
        <f t="shared" ca="1" si="271"/>
        <v>0</v>
      </c>
    </row>
    <row r="358" spans="1:21" ht="18.75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46">
        <f t="shared" ref="L358:N358" ca="1" si="274">L361+L364</f>
        <v>9127945</v>
      </c>
      <c r="M358" s="46">
        <f t="shared" ca="1" si="274"/>
        <v>9235580</v>
      </c>
      <c r="N358" s="46">
        <f t="shared" ca="1" si="274"/>
        <v>5678003.6399999997</v>
      </c>
      <c r="O358" s="46">
        <f t="shared" ca="1" si="267"/>
        <v>62.204621522149836</v>
      </c>
      <c r="P358" s="46">
        <f t="shared" ca="1" si="268"/>
        <v>61.479664947951292</v>
      </c>
      <c r="Q358" s="46">
        <f t="shared" ref="Q358:S358" ca="1" si="275">Q361+Q364</f>
        <v>0</v>
      </c>
      <c r="R358" s="46">
        <f t="shared" ca="1" si="275"/>
        <v>0</v>
      </c>
      <c r="S358" s="46">
        <f t="shared" ca="1" si="275"/>
        <v>0</v>
      </c>
      <c r="T358" s="46">
        <f t="shared" ca="1" si="270"/>
        <v>0</v>
      </c>
      <c r="U358" s="46">
        <f t="shared" ca="1" si="271"/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46">
        <f t="shared" ref="L359:N359" ca="1" si="276">L360+L361</f>
        <v>9127945</v>
      </c>
      <c r="M359" s="46">
        <f t="shared" ca="1" si="276"/>
        <v>9235580</v>
      </c>
      <c r="N359" s="46">
        <f t="shared" ca="1" si="276"/>
        <v>5678003.6399999997</v>
      </c>
      <c r="O359" s="46">
        <f t="shared" ca="1" si="267"/>
        <v>62.204621522149836</v>
      </c>
      <c r="P359" s="46">
        <f t="shared" ca="1" si="268"/>
        <v>61.479664947951292</v>
      </c>
      <c r="Q359" s="46">
        <f t="shared" ref="Q359:S359" ca="1" si="277">Q360+Q361</f>
        <v>0</v>
      </c>
      <c r="R359" s="46">
        <f t="shared" ca="1" si="277"/>
        <v>0</v>
      </c>
      <c r="S359" s="46">
        <f t="shared" ca="1" si="277"/>
        <v>0</v>
      </c>
      <c r="T359" s="46">
        <f t="shared" ca="1" si="270"/>
        <v>0</v>
      </c>
      <c r="U359" s="46">
        <f t="shared" ca="1" si="271"/>
        <v>0</v>
      </c>
    </row>
    <row r="360" spans="1:21" ht="18.75" x14ac:dyDescent="0.25">
      <c r="A360" s="128"/>
      <c r="B360" s="40"/>
      <c r="C360" s="40"/>
      <c r="D360" s="40"/>
      <c r="E360" s="47" t="s">
        <v>36</v>
      </c>
      <c r="F360" s="40"/>
      <c r="G360" s="42"/>
      <c r="H360" s="134" t="s">
        <v>14</v>
      </c>
      <c r="I360" s="135"/>
      <c r="J360" s="135"/>
      <c r="K360" s="136"/>
      <c r="L360" s="46">
        <f ca="1">IFERROR(__xludf.DUMMYFUNCTION("IMPORTRANGE(""https://docs.google.com/spreadsheets/d/1jTcq05yEiRwXcBMLjiodW9e4biSGYWAHcDj22rKWQ3s/edit?usp=sharing"",""กำแพงเพชร!L360"")+IMPORTRANGE(""https://docs.google.com/spreadsheets/d/1KS0zmDSZPk8KnTAbGN-Xk6MtX1YRZD0ldgdt20K4CRk/edit?usp=sharing"","&amp;"""เชียงราย!L360"")+IMPORTRANGE(""https://docs.google.com/spreadsheets/d/1rEDxBtusbi64tE0zunoIbsTVV16HeL0oJ6trHQeQ7K8/edit?usp=sharing"",""เชียงใหม่!L360"")+IMPORTRANGE(""https://docs.google.com/spreadsheets/d/1W6MnUbDkMi6xHnHko_XkFDO9kkuL6Wqyc-6OCDFjW9I/e"&amp;"dit?usp=sharing"",""ตาก!L360"")+IMPORTRANGE(""https://docs.google.com/spreadsheets/d/1IQAWArduLkta9LpYo4a_ULsyqdta6-6aDDiwpUnQT6c/edit?usp=sharing"",""นครสวรรค์!L360"")+IMPORTRANGE(""https://docs.google.com/spreadsheets/d/10s13Sk5xrltsiR-Zkbmk5DwIaDIKO8Xl"&amp;"bJAfqyT7Gvg/edit?usp=sharing"",""น่าน!L360"")+IMPORTRANGE(""https://docs.google.com/spreadsheets/d/1uu4nAn4Dbi1XREnLKKotUANlKXa7yCgRcgq8HEzQYW8/edit?usp=sharing"",""พะเยา!L360"")+IMPORTRANGE(""https://docs.google.com/spreadsheets/d/1xfJKIQxVOaPDIICqsflNlL"&amp;"u3JacTDk1FP9RH4phX7mI/edit?usp=sharing"",""พิจิตร!L360"")+IMPORTRANGE(""https://docs.google.com/spreadsheets/d/1JtRfZkJMHtEhI5RdRHxYUG4FIZHqKDpNyIuN7A1Q0_k/edit?usp=sharing"",""พิษณุโลก!L360"")+IMPORTRANGE(""https://docs.google.com/spreadsheets/d/1xlcVZWU"&amp;"Nn6SuWm0c307h32SiGkd9BaeQWlAktfD3KO8/edit?usp=sharing"",""เพชรบูรณ์!L360"")+IMPORTRANGE(""https://docs.google.com/spreadsheets/d/1lOVebEIsI9qjGXl6EX66luk7wiuP2tBaryw-wKvv4e0/edit?usp=sharing"",""แพร่!L360"")+IMPORTRANGE(""https://docs.google.com/spreadshe"&amp;"ets/d/1dQrvX0vEcN7Gu0fnZ0B5S90AeR19zth4XlExFBeExMY/edit?usp=sharing"",""แม่ฮ่องสอน!L360"")+IMPORTRANGE(""https://docs.google.com/spreadsheets/d/1DY4XTNNwjluuxqdfdn6qvOSlMRrZqUtmYcZR0ttFiG4/edit?usp=sharing"",""ลำปาง!L360"")+IMPORTRANGE(""https://docs.goog"&amp;"le.com/spreadsheets/d/1ICwG78r0OFT8biBlxnBF8r7she7gNSzOvJ958PWT09c/edit?usp=sharing"",""ลำพูน!L360"")+IMPORTRANGE(""https://docs.google.com/spreadsheets/d/1B0f2xJpZUC6Z0xXnqKlZtEPzsf6L84eP1r1Q15seqRM/edit?usp=sharing"",""สุโขทัย!L360"")+IMPORTRANGE(""http"&amp;"s://docs.google.com/spreadsheets/d/1v0b9pFQCsKUVExMei7AgY2yQkdeNQvtOssygGsXbiKo/edit?usp=sharing"",""อุตรดิตถ์!L360"")+IMPORTRANGE(""https://docs.google.com/spreadsheets/d/1UsNK1e-WWiCo2PvGqdNfdme4m17_Ezd3J69EeeiQPD0/edit?usp=sharing"",""อุทัยธานี!L360"")"),0)</f>
        <v>0</v>
      </c>
      <c r="M360" s="46">
        <f ca="1">IFERROR(__xludf.DUMMYFUNCTION("IMPORTRANGE(""https://docs.google.com/spreadsheets/d/1jTcq05yEiRwXcBMLjiodW9e4biSGYWAHcDj22rKWQ3s/edit?usp=sharing"",""กำแพงเพชร!M360"")+IMPORTRANGE(""https://docs.google.com/spreadsheets/d/1KS0zmDSZPk8KnTAbGN-Xk6MtX1YRZD0ldgdt20K4CRk/edit?usp=sharing"","&amp;"""เชียงราย!M360"")+IMPORTRANGE(""https://docs.google.com/spreadsheets/d/1rEDxBtusbi64tE0zunoIbsTVV16HeL0oJ6trHQeQ7K8/edit?usp=sharing"",""เชียงใหม่!M360"")+IMPORTRANGE(""https://docs.google.com/spreadsheets/d/1W6MnUbDkMi6xHnHko_XkFDO9kkuL6Wqyc-6OCDFjW9I/e"&amp;"dit?usp=sharing"",""ตาก!M360"")+IMPORTRANGE(""https://docs.google.com/spreadsheets/d/1IQAWArduLkta9LpYo4a_ULsyqdta6-6aDDiwpUnQT6c/edit?usp=sharing"",""นครสวรรค์!M360"")+IMPORTRANGE(""https://docs.google.com/spreadsheets/d/10s13Sk5xrltsiR-Zkbmk5DwIaDIKO8Xl"&amp;"bJAfqyT7Gvg/edit?usp=sharing"",""น่าน!M360"")+IMPORTRANGE(""https://docs.google.com/spreadsheets/d/1uu4nAn4Dbi1XREnLKKotUANlKXa7yCgRcgq8HEzQYW8/edit?usp=sharing"",""พะเยา!M360"")+IMPORTRANGE(""https://docs.google.com/spreadsheets/d/1xfJKIQxVOaPDIICqsflNlL"&amp;"u3JacTDk1FP9RH4phX7mI/edit?usp=sharing"",""พิจิตร!M360"")+IMPORTRANGE(""https://docs.google.com/spreadsheets/d/1JtRfZkJMHtEhI5RdRHxYUG4FIZHqKDpNyIuN7A1Q0_k/edit?usp=sharing"",""พิษณุโลก!M360"")+IMPORTRANGE(""https://docs.google.com/spreadsheets/d/1xlcVZWU"&amp;"Nn6SuWm0c307h32SiGkd9BaeQWlAktfD3KO8/edit?usp=sharing"",""เพชรบูรณ์!M360"")+IMPORTRANGE(""https://docs.google.com/spreadsheets/d/1lOVebEIsI9qjGXl6EX66luk7wiuP2tBaryw-wKvv4e0/edit?usp=sharing"",""แพร่!M360"")+IMPORTRANGE(""https://docs.google.com/spreadshe"&amp;"ets/d/1dQrvX0vEcN7Gu0fnZ0B5S90AeR19zth4XlExFBeExMY/edit?usp=sharing"",""แม่ฮ่องสอน!M360"")+IMPORTRANGE(""https://docs.google.com/spreadsheets/d/1DY4XTNNwjluuxqdfdn6qvOSlMRrZqUtmYcZR0ttFiG4/edit?usp=sharing"",""ลำปาง!M360"")+IMPORTRANGE(""https://docs.goog"&amp;"le.com/spreadsheets/d/1ICwG78r0OFT8biBlxnBF8r7she7gNSzOvJ958PWT09c/edit?usp=sharing"",""ลำพูน!M360"")+IMPORTRANGE(""https://docs.google.com/spreadsheets/d/1B0f2xJpZUC6Z0xXnqKlZtEPzsf6L84eP1r1Q15seqRM/edit?usp=sharing"",""สุโขทัย!M360"")+IMPORTRANGE(""http"&amp;"s://docs.google.com/spreadsheets/d/1v0b9pFQCsKUVExMei7AgY2yQkdeNQvtOssygGsXbiKo/edit?usp=sharing"",""อุตรดิตถ์!M360"")+IMPORTRANGE(""https://docs.google.com/spreadsheets/d/1UsNK1e-WWiCo2PvGqdNfdme4m17_Ezd3J69EeeiQPD0/edit?usp=sharing"",""อุทัยธานี!M360"")"),0)</f>
        <v>0</v>
      </c>
      <c r="N360" s="46">
        <f ca="1">IFERROR(__xludf.DUMMYFUNCTION("IMPORTRANGE(""https://docs.google.com/spreadsheets/d/1jTcq05yEiRwXcBMLjiodW9e4biSGYWAHcDj22rKWQ3s/edit?usp=sharing"",""กำแพงเพชร!N360"")+IMPORTRANGE(""https://docs.google.com/spreadsheets/d/1KS0zmDSZPk8KnTAbGN-Xk6MtX1YRZD0ldgdt20K4CRk/edit?usp=sharing"","&amp;"""เชียงราย!N360"")+IMPORTRANGE(""https://docs.google.com/spreadsheets/d/1rEDxBtusbi64tE0zunoIbsTVV16HeL0oJ6trHQeQ7K8/edit?usp=sharing"",""เชียงใหม่!N360"")+IMPORTRANGE(""https://docs.google.com/spreadsheets/d/1W6MnUbDkMi6xHnHko_XkFDO9kkuL6Wqyc-6OCDFjW9I/e"&amp;"dit?usp=sharing"",""ตาก!N360"")+IMPORTRANGE(""https://docs.google.com/spreadsheets/d/1IQAWArduLkta9LpYo4a_ULsyqdta6-6aDDiwpUnQT6c/edit?usp=sharing"",""นครสวรรค์!N360"")+IMPORTRANGE(""https://docs.google.com/spreadsheets/d/10s13Sk5xrltsiR-Zkbmk5DwIaDIKO8Xl"&amp;"bJAfqyT7Gvg/edit?usp=sharing"",""น่าน!N360"")+IMPORTRANGE(""https://docs.google.com/spreadsheets/d/1uu4nAn4Dbi1XREnLKKotUANlKXa7yCgRcgq8HEzQYW8/edit?usp=sharing"",""พะเยา!N360"")+IMPORTRANGE(""https://docs.google.com/spreadsheets/d/1xfJKIQxVOaPDIICqsflNlL"&amp;"u3JacTDk1FP9RH4phX7mI/edit?usp=sharing"",""พิจิตร!N360"")+IMPORTRANGE(""https://docs.google.com/spreadsheets/d/1JtRfZkJMHtEhI5RdRHxYUG4FIZHqKDpNyIuN7A1Q0_k/edit?usp=sharing"",""พิษณุโลก!N360"")+IMPORTRANGE(""https://docs.google.com/spreadsheets/d/1xlcVZWU"&amp;"Nn6SuWm0c307h32SiGkd9BaeQWlAktfD3KO8/edit?usp=sharing"",""เพชรบูรณ์!N360"")+IMPORTRANGE(""https://docs.google.com/spreadsheets/d/1lOVebEIsI9qjGXl6EX66luk7wiuP2tBaryw-wKvv4e0/edit?usp=sharing"",""แพร่!N360"")+IMPORTRANGE(""https://docs.google.com/spreadshe"&amp;"ets/d/1dQrvX0vEcN7Gu0fnZ0B5S90AeR19zth4XlExFBeExMY/edit?usp=sharing"",""แม่ฮ่องสอน!N360"")+IMPORTRANGE(""https://docs.google.com/spreadsheets/d/1DY4XTNNwjluuxqdfdn6qvOSlMRrZqUtmYcZR0ttFiG4/edit?usp=sharing"",""ลำปาง!N360"")+IMPORTRANGE(""https://docs.goog"&amp;"le.com/spreadsheets/d/1ICwG78r0OFT8biBlxnBF8r7she7gNSzOvJ958PWT09c/edit?usp=sharing"",""ลำพูน!N360"")+IMPORTRANGE(""https://docs.google.com/spreadsheets/d/1B0f2xJpZUC6Z0xXnqKlZtEPzsf6L84eP1r1Q15seqRM/edit?usp=sharing"",""สุโขทัย!N360"")+IMPORTRANGE(""http"&amp;"s://docs.google.com/spreadsheets/d/1v0b9pFQCsKUVExMei7AgY2yQkdeNQvtOssygGsXbiKo/edit?usp=sharing"",""อุตรดิตถ์!N360"")+IMPORTRANGE(""https://docs.google.com/spreadsheets/d/1UsNK1e-WWiCo2PvGqdNfdme4m17_Ezd3J69EeeiQPD0/edit?usp=sharing"",""อุทัยธานี!N360"")"),0)</f>
        <v>0</v>
      </c>
      <c r="O360" s="46">
        <f t="shared" ca="1" si="267"/>
        <v>0</v>
      </c>
      <c r="P360" s="46">
        <f t="shared" ca="1" si="268"/>
        <v>0</v>
      </c>
      <c r="Q360" s="48">
        <f ca="1">IFERROR(__xludf.DUMMYFUNCTION("IMPORTRANGE(""https://docs.google.com/spreadsheets/d/1jTcq05yEiRwXcBMLjiodW9e4biSGYWAHcDj22rKWQ3s/edit?usp=sharing"",""กำแพงเพชร!Q360"")+IMPORTRANGE(""https://docs.google.com/spreadsheets/d/1KS0zmDSZPk8KnTAbGN-Xk6MtX1YRZD0ldgdt20K4CRk/edit?usp=sharing"","&amp;"""เชียงราย!Q360"")+IMPORTRANGE(""https://docs.google.com/spreadsheets/d/1rEDxBtusbi64tE0zunoIbsTVV16HeL0oJ6trHQeQ7K8/edit?usp=sharing"",""เชียงใหม่!Q360"")+IMPORTRANGE(""https://docs.google.com/spreadsheets/d/1W6MnUbDkMi6xHnHko_XkFDO9kkuL6Wqyc-6OCDFjW9I/e"&amp;"dit?usp=sharing"",""ตาก!Q360"")+IMPORTRANGE(""https://docs.google.com/spreadsheets/d/1IQAWArduLkta9LpYo4a_ULsyqdta6-6aDDiwpUnQT6c/edit?usp=sharing"",""นครสวรรค์!Q360"")+IMPORTRANGE(""https://docs.google.com/spreadsheets/d/10s13Sk5xrltsiR-Zkbmk5DwIaDIKO8Xl"&amp;"bJAfqyT7Gvg/edit?usp=sharing"",""น่าน!Q360"")+IMPORTRANGE(""https://docs.google.com/spreadsheets/d/1uu4nAn4Dbi1XREnLKKotUANlKXa7yCgRcgq8HEzQYW8/edit?usp=sharing"",""พะเยา!Q360"")+IMPORTRANGE(""https://docs.google.com/spreadsheets/d/1xfJKIQxVOaPDIICqsflNlL"&amp;"u3JacTDk1FP9RH4phX7mI/edit?usp=sharing"",""พิจิตร!Q360"")+IMPORTRANGE(""https://docs.google.com/spreadsheets/d/1JtRfZkJMHtEhI5RdRHxYUG4FIZHqKDpNyIuN7A1Q0_k/edit?usp=sharing"",""พิษณุโลก!Q360"")+IMPORTRANGE(""https://docs.google.com/spreadsheets/d/1xlcVZWU"&amp;"Nn6SuWm0c307h32SiGkd9BaeQWlAktfD3KO8/edit?usp=sharing"",""เพชรบูรณ์!Q360"")+IMPORTRANGE(""https://docs.google.com/spreadsheets/d/1lOVebEIsI9qjGXl6EX66luk7wiuP2tBaryw-wKvv4e0/edit?usp=sharing"",""แพร่!Q360"")+IMPORTRANGE(""https://docs.google.com/spreadshe"&amp;"ets/d/1dQrvX0vEcN7Gu0fnZ0B5S90AeR19zth4XlExFBeExMY/edit?usp=sharing"",""แม่ฮ่องสอน!Q360"")+IMPORTRANGE(""https://docs.google.com/spreadsheets/d/1DY4XTNNwjluuxqdfdn6qvOSlMRrZqUtmYcZR0ttFiG4/edit?usp=sharing"",""ลำปาง!Q360"")+IMPORTRANGE(""https://docs.goog"&amp;"le.com/spreadsheets/d/1ICwG78r0OFT8biBlxnBF8r7she7gNSzOvJ958PWT09c/edit?usp=sharing"",""ลำพูน!Q360"")+IMPORTRANGE(""https://docs.google.com/spreadsheets/d/1B0f2xJpZUC6Z0xXnqKlZtEPzsf6L84eP1r1Q15seqRM/edit?usp=sharing"",""สุโขทัย!Q360"")+IMPORTRANGE(""http"&amp;"s://docs.google.com/spreadsheets/d/1v0b9pFQCsKUVExMei7AgY2yQkdeNQvtOssygGsXbiKo/edit?usp=sharing"",""อุตรดิตถ์!Q360"")+IMPORTRANGE(""https://docs.google.com/spreadsheets/d/1UsNK1e-WWiCo2PvGqdNfdme4m17_Ezd3J69EeeiQPD0/edit?usp=sharing"",""อุทัยธานี!Q360"")"),0)</f>
        <v>0</v>
      </c>
      <c r="R360" s="48">
        <f ca="1">IFERROR(__xludf.DUMMYFUNCTION("IMPORTRANGE(""https://docs.google.com/spreadsheets/d/1jTcq05yEiRwXcBMLjiodW9e4biSGYWAHcDj22rKWQ3s/edit?usp=sharing"",""กำแพงเพชร!R360"")+IMPORTRANGE(""https://docs.google.com/spreadsheets/d/1KS0zmDSZPk8KnTAbGN-Xk6MtX1YRZD0ldgdt20K4CRk/edit?usp=sharing"","&amp;"""เชียงราย!R360"")+IMPORTRANGE(""https://docs.google.com/spreadsheets/d/1rEDxBtusbi64tE0zunoIbsTVV16HeL0oJ6trHQeQ7K8/edit?usp=sharing"",""เชียงใหม่!R360"")+IMPORTRANGE(""https://docs.google.com/spreadsheets/d/1W6MnUbDkMi6xHnHko_XkFDO9kkuL6Wqyc-6OCDFjW9I/e"&amp;"dit?usp=sharing"",""ตาก!R360"")+IMPORTRANGE(""https://docs.google.com/spreadsheets/d/1IQAWArduLkta9LpYo4a_ULsyqdta6-6aDDiwpUnQT6c/edit?usp=sharing"",""นครสวรรค์!R360"")+IMPORTRANGE(""https://docs.google.com/spreadsheets/d/10s13Sk5xrltsiR-Zkbmk5DwIaDIKO8Xl"&amp;"bJAfqyT7Gvg/edit?usp=sharing"",""น่าน!R360"")+IMPORTRANGE(""https://docs.google.com/spreadsheets/d/1uu4nAn4Dbi1XREnLKKotUANlKXa7yCgRcgq8HEzQYW8/edit?usp=sharing"",""พะเยา!R360"")+IMPORTRANGE(""https://docs.google.com/spreadsheets/d/1xfJKIQxVOaPDIICqsflNlL"&amp;"u3JacTDk1FP9RH4phX7mI/edit?usp=sharing"",""พิจิตร!R360"")+IMPORTRANGE(""https://docs.google.com/spreadsheets/d/1JtRfZkJMHtEhI5RdRHxYUG4FIZHqKDpNyIuN7A1Q0_k/edit?usp=sharing"",""พิษณุโลก!R360"")+IMPORTRANGE(""https://docs.google.com/spreadsheets/d/1xlcVZWU"&amp;"Nn6SuWm0c307h32SiGkd9BaeQWlAktfD3KO8/edit?usp=sharing"",""เพชรบูรณ์!R360"")+IMPORTRANGE(""https://docs.google.com/spreadsheets/d/1lOVebEIsI9qjGXl6EX66luk7wiuP2tBaryw-wKvv4e0/edit?usp=sharing"",""แพร่!R360"")+IMPORTRANGE(""https://docs.google.com/spreadshe"&amp;"ets/d/1dQrvX0vEcN7Gu0fnZ0B5S90AeR19zth4XlExFBeExMY/edit?usp=sharing"",""แม่ฮ่องสอน!R360"")+IMPORTRANGE(""https://docs.google.com/spreadsheets/d/1DY4XTNNwjluuxqdfdn6qvOSlMRrZqUtmYcZR0ttFiG4/edit?usp=sharing"",""ลำปาง!R360"")+IMPORTRANGE(""https://docs.goog"&amp;"le.com/spreadsheets/d/1ICwG78r0OFT8biBlxnBF8r7she7gNSzOvJ958PWT09c/edit?usp=sharing"",""ลำพูน!R360"")+IMPORTRANGE(""https://docs.google.com/spreadsheets/d/1B0f2xJpZUC6Z0xXnqKlZtEPzsf6L84eP1r1Q15seqRM/edit?usp=sharing"",""สุโขทัย!R360"")+IMPORTRANGE(""http"&amp;"s://docs.google.com/spreadsheets/d/1v0b9pFQCsKUVExMei7AgY2yQkdeNQvtOssygGsXbiKo/edit?usp=sharing"",""อุตรดิตถ์!R360"")+IMPORTRANGE(""https://docs.google.com/spreadsheets/d/1UsNK1e-WWiCo2PvGqdNfdme4m17_Ezd3J69EeeiQPD0/edit?usp=sharing"",""อุทัยธานี!R360"")"),0)</f>
        <v>0</v>
      </c>
      <c r="S360" s="48">
        <f ca="1">IFERROR(__xludf.DUMMYFUNCTION("IMPORTRANGE(""https://docs.google.com/spreadsheets/d/1jTcq05yEiRwXcBMLjiodW9e4biSGYWAHcDj22rKWQ3s/edit?usp=sharing"",""กำแพงเพชร!S360"")+IMPORTRANGE(""https://docs.google.com/spreadsheets/d/1KS0zmDSZPk8KnTAbGN-Xk6MtX1YRZD0ldgdt20K4CRk/edit?usp=sharing"","&amp;"""เชียงราย!S360"")+IMPORTRANGE(""https://docs.google.com/spreadsheets/d/1rEDxBtusbi64tE0zunoIbsTVV16HeL0oJ6trHQeQ7K8/edit?usp=sharing"",""เชียงใหม่!S360"")+IMPORTRANGE(""https://docs.google.com/spreadsheets/d/1W6MnUbDkMi6xHnHko_XkFDO9kkuL6Wqyc-6OCDFjW9I/e"&amp;"dit?usp=sharing"",""ตาก!S360"")+IMPORTRANGE(""https://docs.google.com/spreadsheets/d/1IQAWArduLkta9LpYo4a_ULsyqdta6-6aDDiwpUnQT6c/edit?usp=sharing"",""นครสวรรค์!S360"")+IMPORTRANGE(""https://docs.google.com/spreadsheets/d/10s13Sk5xrltsiR-Zkbmk5DwIaDIKO8Xl"&amp;"bJAfqyT7Gvg/edit?usp=sharing"",""น่าน!S360"")+IMPORTRANGE(""https://docs.google.com/spreadsheets/d/1uu4nAn4Dbi1XREnLKKotUANlKXa7yCgRcgq8HEzQYW8/edit?usp=sharing"",""พะเยา!S360"")+IMPORTRANGE(""https://docs.google.com/spreadsheets/d/1xfJKIQxVOaPDIICqsflNlL"&amp;"u3JacTDk1FP9RH4phX7mI/edit?usp=sharing"",""พิจิตร!S360"")+IMPORTRANGE(""https://docs.google.com/spreadsheets/d/1JtRfZkJMHtEhI5RdRHxYUG4FIZHqKDpNyIuN7A1Q0_k/edit?usp=sharing"",""พิษณุโลก!S360"")+IMPORTRANGE(""https://docs.google.com/spreadsheets/d/1xlcVZWU"&amp;"Nn6SuWm0c307h32SiGkd9BaeQWlAktfD3KO8/edit?usp=sharing"",""เพชรบูรณ์!S360"")+IMPORTRANGE(""https://docs.google.com/spreadsheets/d/1lOVebEIsI9qjGXl6EX66luk7wiuP2tBaryw-wKvv4e0/edit?usp=sharing"",""แพร่!S360"")+IMPORTRANGE(""https://docs.google.com/spreadshe"&amp;"ets/d/1dQrvX0vEcN7Gu0fnZ0B5S90AeR19zth4XlExFBeExMY/edit?usp=sharing"",""แม่ฮ่องสอน!S360"")+IMPORTRANGE(""https://docs.google.com/spreadsheets/d/1DY4XTNNwjluuxqdfdn6qvOSlMRrZqUtmYcZR0ttFiG4/edit?usp=sharing"",""ลำปาง!S360"")+IMPORTRANGE(""https://docs.goog"&amp;"le.com/spreadsheets/d/1ICwG78r0OFT8biBlxnBF8r7she7gNSzOvJ958PWT09c/edit?usp=sharing"",""ลำพูน!S360"")+IMPORTRANGE(""https://docs.google.com/spreadsheets/d/1B0f2xJpZUC6Z0xXnqKlZtEPzsf6L84eP1r1Q15seqRM/edit?usp=sharing"",""สุโขทัย!S360"")+IMPORTRANGE(""http"&amp;"s://docs.google.com/spreadsheets/d/1v0b9pFQCsKUVExMei7AgY2yQkdeNQvtOssygGsXbiKo/edit?usp=sharing"",""อุตรดิตถ์!S360"")+IMPORTRANGE(""https://docs.google.com/spreadsheets/d/1UsNK1e-WWiCo2PvGqdNfdme4m17_Ezd3J69EeeiQPD0/edit?usp=sharing"",""อุทัยธานี!S360"")"),0)</f>
        <v>0</v>
      </c>
      <c r="T360" s="48">
        <f t="shared" ca="1" si="270"/>
        <v>0</v>
      </c>
      <c r="U360" s="48">
        <f t="shared" ca="1" si="271"/>
        <v>0</v>
      </c>
    </row>
    <row r="361" spans="1:21" ht="18.75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46">
        <f ca="1">IFERROR(__xludf.DUMMYFUNCTION("IMPORTRANGE(""https://docs.google.com/spreadsheets/d/1jTcq05yEiRwXcBMLjiodW9e4biSGYWAHcDj22rKWQ3s/edit?usp=sharing"",""กำแพงเพชร!L361"")+IMPORTRANGE(""https://docs.google.com/spreadsheets/d/1KS0zmDSZPk8KnTAbGN-Xk6MtX1YRZD0ldgdt20K4CRk/edit?usp=sharing"","&amp;"""เชียงราย!L361"")+IMPORTRANGE(""https://docs.google.com/spreadsheets/d/1rEDxBtusbi64tE0zunoIbsTVV16HeL0oJ6trHQeQ7K8/edit?usp=sharing"",""เชียงใหม่!L361"")+IMPORTRANGE(""https://docs.google.com/spreadsheets/d/1W6MnUbDkMi6xHnHko_XkFDO9kkuL6Wqyc-6OCDFjW9I/e"&amp;"dit?usp=sharing"",""ตาก!L361"")+IMPORTRANGE(""https://docs.google.com/spreadsheets/d/1IQAWArduLkta9LpYo4a_ULsyqdta6-6aDDiwpUnQT6c/edit?usp=sharing"",""นครสวรรค์!L361"")+IMPORTRANGE(""https://docs.google.com/spreadsheets/d/10s13Sk5xrltsiR-Zkbmk5DwIaDIKO8Xl"&amp;"bJAfqyT7Gvg/edit?usp=sharing"",""น่าน!L361"")+IMPORTRANGE(""https://docs.google.com/spreadsheets/d/1uu4nAn4Dbi1XREnLKKotUANlKXa7yCgRcgq8HEzQYW8/edit?usp=sharing"",""พะเยา!L361"")+IMPORTRANGE(""https://docs.google.com/spreadsheets/d/1xfJKIQxVOaPDIICqsflNlL"&amp;"u3JacTDk1FP9RH4phX7mI/edit?usp=sharing"",""พิจิตร!L361"")+IMPORTRANGE(""https://docs.google.com/spreadsheets/d/1JtRfZkJMHtEhI5RdRHxYUG4FIZHqKDpNyIuN7A1Q0_k/edit?usp=sharing"",""พิษณุโลก!L361"")+IMPORTRANGE(""https://docs.google.com/spreadsheets/d/1xlcVZWU"&amp;"Nn6SuWm0c307h32SiGkd9BaeQWlAktfD3KO8/edit?usp=sharing"",""เพชรบูรณ์!L361"")+IMPORTRANGE(""https://docs.google.com/spreadsheets/d/1lOVebEIsI9qjGXl6EX66luk7wiuP2tBaryw-wKvv4e0/edit?usp=sharing"",""แพร่!L361"")+IMPORTRANGE(""https://docs.google.com/spreadshe"&amp;"ets/d/1dQrvX0vEcN7Gu0fnZ0B5S90AeR19zth4XlExFBeExMY/edit?usp=sharing"",""แม่ฮ่องสอน!L361"")+IMPORTRANGE(""https://docs.google.com/spreadsheets/d/1DY4XTNNwjluuxqdfdn6qvOSlMRrZqUtmYcZR0ttFiG4/edit?usp=sharing"",""ลำปาง!L361"")+IMPORTRANGE(""https://docs.goog"&amp;"le.com/spreadsheets/d/1ICwG78r0OFT8biBlxnBF8r7she7gNSzOvJ958PWT09c/edit?usp=sharing"",""ลำพูน!L361"")+IMPORTRANGE(""https://docs.google.com/spreadsheets/d/1B0f2xJpZUC6Z0xXnqKlZtEPzsf6L84eP1r1Q15seqRM/edit?usp=sharing"",""สุโขทัย!L361"")+IMPORTRANGE(""http"&amp;"s://docs.google.com/spreadsheets/d/1v0b9pFQCsKUVExMei7AgY2yQkdeNQvtOssygGsXbiKo/edit?usp=sharing"",""อุตรดิตถ์!L361"")+IMPORTRANGE(""https://docs.google.com/spreadsheets/d/1UsNK1e-WWiCo2PvGqdNfdme4m17_Ezd3J69EeeiQPD0/edit?usp=sharing"",""อุทัยธานี!L361"")"),9127945)</f>
        <v>9127945</v>
      </c>
      <c r="M361" s="46">
        <f ca="1">IFERROR(__xludf.DUMMYFUNCTION("IMPORTRANGE(""https://docs.google.com/spreadsheets/d/1jTcq05yEiRwXcBMLjiodW9e4biSGYWAHcDj22rKWQ3s/edit?usp=sharing"",""กำแพงเพชร!M361"")+IMPORTRANGE(""https://docs.google.com/spreadsheets/d/1KS0zmDSZPk8KnTAbGN-Xk6MtX1YRZD0ldgdt20K4CRk/edit?usp=sharing"","&amp;"""เชียงราย!M361"")+IMPORTRANGE(""https://docs.google.com/spreadsheets/d/1rEDxBtusbi64tE0zunoIbsTVV16HeL0oJ6trHQeQ7K8/edit?usp=sharing"",""เชียงใหม่!M361"")+IMPORTRANGE(""https://docs.google.com/spreadsheets/d/1W6MnUbDkMi6xHnHko_XkFDO9kkuL6Wqyc-6OCDFjW9I/e"&amp;"dit?usp=sharing"",""ตาก!M361"")+IMPORTRANGE(""https://docs.google.com/spreadsheets/d/1IQAWArduLkta9LpYo4a_ULsyqdta6-6aDDiwpUnQT6c/edit?usp=sharing"",""นครสวรรค์!M361"")+IMPORTRANGE(""https://docs.google.com/spreadsheets/d/10s13Sk5xrltsiR-Zkbmk5DwIaDIKO8Xl"&amp;"bJAfqyT7Gvg/edit?usp=sharing"",""น่าน!M361"")+IMPORTRANGE(""https://docs.google.com/spreadsheets/d/1uu4nAn4Dbi1XREnLKKotUANlKXa7yCgRcgq8HEzQYW8/edit?usp=sharing"",""พะเยา!M361"")+IMPORTRANGE(""https://docs.google.com/spreadsheets/d/1xfJKIQxVOaPDIICqsflNlL"&amp;"u3JacTDk1FP9RH4phX7mI/edit?usp=sharing"",""พิจิตร!M361"")+IMPORTRANGE(""https://docs.google.com/spreadsheets/d/1JtRfZkJMHtEhI5RdRHxYUG4FIZHqKDpNyIuN7A1Q0_k/edit?usp=sharing"",""พิษณุโลก!M361"")+IMPORTRANGE(""https://docs.google.com/spreadsheets/d/1xlcVZWU"&amp;"Nn6SuWm0c307h32SiGkd9BaeQWlAktfD3KO8/edit?usp=sharing"",""เพชรบูรณ์!M361"")+IMPORTRANGE(""https://docs.google.com/spreadsheets/d/1lOVebEIsI9qjGXl6EX66luk7wiuP2tBaryw-wKvv4e0/edit?usp=sharing"",""แพร่!M361"")+IMPORTRANGE(""https://docs.google.com/spreadshe"&amp;"ets/d/1dQrvX0vEcN7Gu0fnZ0B5S90AeR19zth4XlExFBeExMY/edit?usp=sharing"",""แม่ฮ่องสอน!M361"")+IMPORTRANGE(""https://docs.google.com/spreadsheets/d/1DY4XTNNwjluuxqdfdn6qvOSlMRrZqUtmYcZR0ttFiG4/edit?usp=sharing"",""ลำปาง!M361"")+IMPORTRANGE(""https://docs.goog"&amp;"le.com/spreadsheets/d/1ICwG78r0OFT8biBlxnBF8r7she7gNSzOvJ958PWT09c/edit?usp=sharing"",""ลำพูน!M361"")+IMPORTRANGE(""https://docs.google.com/spreadsheets/d/1B0f2xJpZUC6Z0xXnqKlZtEPzsf6L84eP1r1Q15seqRM/edit?usp=sharing"",""สุโขทัย!M361"")+IMPORTRANGE(""http"&amp;"s://docs.google.com/spreadsheets/d/1v0b9pFQCsKUVExMei7AgY2yQkdeNQvtOssygGsXbiKo/edit?usp=sharing"",""อุตรดิตถ์!M361"")+IMPORTRANGE(""https://docs.google.com/spreadsheets/d/1UsNK1e-WWiCo2PvGqdNfdme4m17_Ezd3J69EeeiQPD0/edit?usp=sharing"",""อุทัยธานี!M361"")"),9235580)</f>
        <v>9235580</v>
      </c>
      <c r="N361" s="46">
        <f ca="1">IFERROR(__xludf.DUMMYFUNCTION("IMPORTRANGE(""https://docs.google.com/spreadsheets/d/1jTcq05yEiRwXcBMLjiodW9e4biSGYWAHcDj22rKWQ3s/edit?usp=sharing"",""กำแพงเพชร!N361"")+IMPORTRANGE(""https://docs.google.com/spreadsheets/d/1KS0zmDSZPk8KnTAbGN-Xk6MtX1YRZD0ldgdt20K4CRk/edit?usp=sharing"","&amp;"""เชียงราย!N361"")+IMPORTRANGE(""https://docs.google.com/spreadsheets/d/1rEDxBtusbi64tE0zunoIbsTVV16HeL0oJ6trHQeQ7K8/edit?usp=sharing"",""เชียงใหม่!N361"")+IMPORTRANGE(""https://docs.google.com/spreadsheets/d/1W6MnUbDkMi6xHnHko_XkFDO9kkuL6Wqyc-6OCDFjW9I/e"&amp;"dit?usp=sharing"",""ตาก!N361"")+IMPORTRANGE(""https://docs.google.com/spreadsheets/d/1IQAWArduLkta9LpYo4a_ULsyqdta6-6aDDiwpUnQT6c/edit?usp=sharing"",""นครสวรรค์!N361"")+IMPORTRANGE(""https://docs.google.com/spreadsheets/d/10s13Sk5xrltsiR-Zkbmk5DwIaDIKO8Xl"&amp;"bJAfqyT7Gvg/edit?usp=sharing"",""น่าน!N361"")+IMPORTRANGE(""https://docs.google.com/spreadsheets/d/1uu4nAn4Dbi1XREnLKKotUANlKXa7yCgRcgq8HEzQYW8/edit?usp=sharing"",""พะเยา!N361"")+IMPORTRANGE(""https://docs.google.com/spreadsheets/d/1xfJKIQxVOaPDIICqsflNlL"&amp;"u3JacTDk1FP9RH4phX7mI/edit?usp=sharing"",""พิจิตร!N361"")+IMPORTRANGE(""https://docs.google.com/spreadsheets/d/1JtRfZkJMHtEhI5RdRHxYUG4FIZHqKDpNyIuN7A1Q0_k/edit?usp=sharing"",""พิษณุโลก!N361"")+IMPORTRANGE(""https://docs.google.com/spreadsheets/d/1xlcVZWU"&amp;"Nn6SuWm0c307h32SiGkd9BaeQWlAktfD3KO8/edit?usp=sharing"",""เพชรบูรณ์!N361"")+IMPORTRANGE(""https://docs.google.com/spreadsheets/d/1lOVebEIsI9qjGXl6EX66luk7wiuP2tBaryw-wKvv4e0/edit?usp=sharing"",""แพร่!N361"")+IMPORTRANGE(""https://docs.google.com/spreadshe"&amp;"ets/d/1dQrvX0vEcN7Gu0fnZ0B5S90AeR19zth4XlExFBeExMY/edit?usp=sharing"",""แม่ฮ่องสอน!N361"")+IMPORTRANGE(""https://docs.google.com/spreadsheets/d/1DY4XTNNwjluuxqdfdn6qvOSlMRrZqUtmYcZR0ttFiG4/edit?usp=sharing"",""ลำปาง!N361"")+IMPORTRANGE(""https://docs.goog"&amp;"le.com/spreadsheets/d/1ICwG78r0OFT8biBlxnBF8r7she7gNSzOvJ958PWT09c/edit?usp=sharing"",""ลำพูน!N361"")+IMPORTRANGE(""https://docs.google.com/spreadsheets/d/1B0f2xJpZUC6Z0xXnqKlZtEPzsf6L84eP1r1Q15seqRM/edit?usp=sharing"",""สุโขทัย!N361"")+IMPORTRANGE(""http"&amp;"s://docs.google.com/spreadsheets/d/1v0b9pFQCsKUVExMei7AgY2yQkdeNQvtOssygGsXbiKo/edit?usp=sharing"",""อุตรดิตถ์!N361"")+IMPORTRANGE(""https://docs.google.com/spreadsheets/d/1UsNK1e-WWiCo2PvGqdNfdme4m17_Ezd3J69EeeiQPD0/edit?usp=sharing"",""อุทัยธานี!N361"")"),5678003.64)</f>
        <v>5678003.6399999997</v>
      </c>
      <c r="O361" s="46">
        <f t="shared" ca="1" si="267"/>
        <v>62.204621522149836</v>
      </c>
      <c r="P361" s="46">
        <f t="shared" ca="1" si="268"/>
        <v>61.479664947951292</v>
      </c>
      <c r="Q361" s="46">
        <f ca="1">IFERROR(__xludf.DUMMYFUNCTION("IMPORTRANGE(""https://docs.google.com/spreadsheets/d/1jTcq05yEiRwXcBMLjiodW9e4biSGYWAHcDj22rKWQ3s/edit?usp=sharing"",""กำแพงเพชร!Q361"")+IMPORTRANGE(""https://docs.google.com/spreadsheets/d/1KS0zmDSZPk8KnTAbGN-Xk6MtX1YRZD0ldgdt20K4CRk/edit?usp=sharing"","&amp;"""เชียงราย!Q361"")+IMPORTRANGE(""https://docs.google.com/spreadsheets/d/1rEDxBtusbi64tE0zunoIbsTVV16HeL0oJ6trHQeQ7K8/edit?usp=sharing"",""เชียงใหม่!Q361"")+IMPORTRANGE(""https://docs.google.com/spreadsheets/d/1W6MnUbDkMi6xHnHko_XkFDO9kkuL6Wqyc-6OCDFjW9I/e"&amp;"dit?usp=sharing"",""ตาก!Q361"")+IMPORTRANGE(""https://docs.google.com/spreadsheets/d/1IQAWArduLkta9LpYo4a_ULsyqdta6-6aDDiwpUnQT6c/edit?usp=sharing"",""นครสวรรค์!Q361"")+IMPORTRANGE(""https://docs.google.com/spreadsheets/d/10s13Sk5xrltsiR-Zkbmk5DwIaDIKO8Xl"&amp;"bJAfqyT7Gvg/edit?usp=sharing"",""น่าน!Q361"")+IMPORTRANGE(""https://docs.google.com/spreadsheets/d/1uu4nAn4Dbi1XREnLKKotUANlKXa7yCgRcgq8HEzQYW8/edit?usp=sharing"",""พะเยา!Q361"")+IMPORTRANGE(""https://docs.google.com/spreadsheets/d/1xfJKIQxVOaPDIICqsflNlL"&amp;"u3JacTDk1FP9RH4phX7mI/edit?usp=sharing"",""พิจิตร!Q361"")+IMPORTRANGE(""https://docs.google.com/spreadsheets/d/1JtRfZkJMHtEhI5RdRHxYUG4FIZHqKDpNyIuN7A1Q0_k/edit?usp=sharing"",""พิษณุโลก!Q361"")+IMPORTRANGE(""https://docs.google.com/spreadsheets/d/1xlcVZWU"&amp;"Nn6SuWm0c307h32SiGkd9BaeQWlAktfD3KO8/edit?usp=sharing"",""เพชรบูรณ์!Q361"")+IMPORTRANGE(""https://docs.google.com/spreadsheets/d/1lOVebEIsI9qjGXl6EX66luk7wiuP2tBaryw-wKvv4e0/edit?usp=sharing"",""แพร่!Q361"")+IMPORTRANGE(""https://docs.google.com/spreadshe"&amp;"ets/d/1dQrvX0vEcN7Gu0fnZ0B5S90AeR19zth4XlExFBeExMY/edit?usp=sharing"",""แม่ฮ่องสอน!Q361"")+IMPORTRANGE(""https://docs.google.com/spreadsheets/d/1DY4XTNNwjluuxqdfdn6qvOSlMRrZqUtmYcZR0ttFiG4/edit?usp=sharing"",""ลำปาง!Q361"")+IMPORTRANGE(""https://docs.goog"&amp;"le.com/spreadsheets/d/1ICwG78r0OFT8biBlxnBF8r7she7gNSzOvJ958PWT09c/edit?usp=sharing"",""ลำพูน!Q361"")+IMPORTRANGE(""https://docs.google.com/spreadsheets/d/1B0f2xJpZUC6Z0xXnqKlZtEPzsf6L84eP1r1Q15seqRM/edit?usp=sharing"",""สุโขทัย!Q361"")+IMPORTRANGE(""http"&amp;"s://docs.google.com/spreadsheets/d/1v0b9pFQCsKUVExMei7AgY2yQkdeNQvtOssygGsXbiKo/edit?usp=sharing"",""อุตรดิตถ์!Q361"")+IMPORTRANGE(""https://docs.google.com/spreadsheets/d/1UsNK1e-WWiCo2PvGqdNfdme4m17_Ezd3J69EeeiQPD0/edit?usp=sharing"",""อุทัยธานี!Q361"")"),0)</f>
        <v>0</v>
      </c>
      <c r="R361" s="46">
        <f ca="1">IFERROR(__xludf.DUMMYFUNCTION("IMPORTRANGE(""https://docs.google.com/spreadsheets/d/1jTcq05yEiRwXcBMLjiodW9e4biSGYWAHcDj22rKWQ3s/edit?usp=sharing"",""กำแพงเพชร!R361"")+IMPORTRANGE(""https://docs.google.com/spreadsheets/d/1KS0zmDSZPk8KnTAbGN-Xk6MtX1YRZD0ldgdt20K4CRk/edit?usp=sharing"","&amp;"""เชียงราย!R361"")+IMPORTRANGE(""https://docs.google.com/spreadsheets/d/1rEDxBtusbi64tE0zunoIbsTVV16HeL0oJ6trHQeQ7K8/edit?usp=sharing"",""เชียงใหม่!R361"")+IMPORTRANGE(""https://docs.google.com/spreadsheets/d/1W6MnUbDkMi6xHnHko_XkFDO9kkuL6Wqyc-6OCDFjW9I/e"&amp;"dit?usp=sharing"",""ตาก!R361"")+IMPORTRANGE(""https://docs.google.com/spreadsheets/d/1IQAWArduLkta9LpYo4a_ULsyqdta6-6aDDiwpUnQT6c/edit?usp=sharing"",""นครสวรรค์!R361"")+IMPORTRANGE(""https://docs.google.com/spreadsheets/d/10s13Sk5xrltsiR-Zkbmk5DwIaDIKO8Xl"&amp;"bJAfqyT7Gvg/edit?usp=sharing"",""น่าน!R361"")+IMPORTRANGE(""https://docs.google.com/spreadsheets/d/1uu4nAn4Dbi1XREnLKKotUANlKXa7yCgRcgq8HEzQYW8/edit?usp=sharing"",""พะเยา!R361"")+IMPORTRANGE(""https://docs.google.com/spreadsheets/d/1xfJKIQxVOaPDIICqsflNlL"&amp;"u3JacTDk1FP9RH4phX7mI/edit?usp=sharing"",""พิจิตร!R361"")+IMPORTRANGE(""https://docs.google.com/spreadsheets/d/1JtRfZkJMHtEhI5RdRHxYUG4FIZHqKDpNyIuN7A1Q0_k/edit?usp=sharing"",""พิษณุโลก!R361"")+IMPORTRANGE(""https://docs.google.com/spreadsheets/d/1xlcVZWU"&amp;"Nn6SuWm0c307h32SiGkd9BaeQWlAktfD3KO8/edit?usp=sharing"",""เพชรบูรณ์!R361"")+IMPORTRANGE(""https://docs.google.com/spreadsheets/d/1lOVebEIsI9qjGXl6EX66luk7wiuP2tBaryw-wKvv4e0/edit?usp=sharing"",""แพร่!R361"")+IMPORTRANGE(""https://docs.google.com/spreadshe"&amp;"ets/d/1dQrvX0vEcN7Gu0fnZ0B5S90AeR19zth4XlExFBeExMY/edit?usp=sharing"",""แม่ฮ่องสอน!R361"")+IMPORTRANGE(""https://docs.google.com/spreadsheets/d/1DY4XTNNwjluuxqdfdn6qvOSlMRrZqUtmYcZR0ttFiG4/edit?usp=sharing"",""ลำปาง!R361"")+IMPORTRANGE(""https://docs.goog"&amp;"le.com/spreadsheets/d/1ICwG78r0OFT8biBlxnBF8r7she7gNSzOvJ958PWT09c/edit?usp=sharing"",""ลำพูน!R361"")+IMPORTRANGE(""https://docs.google.com/spreadsheets/d/1B0f2xJpZUC6Z0xXnqKlZtEPzsf6L84eP1r1Q15seqRM/edit?usp=sharing"",""สุโขทัย!R361"")+IMPORTRANGE(""http"&amp;"s://docs.google.com/spreadsheets/d/1v0b9pFQCsKUVExMei7AgY2yQkdeNQvtOssygGsXbiKo/edit?usp=sharing"",""อุตรดิตถ์!R361"")+IMPORTRANGE(""https://docs.google.com/spreadsheets/d/1UsNK1e-WWiCo2PvGqdNfdme4m17_Ezd3J69EeeiQPD0/edit?usp=sharing"",""อุทัยธานี!R361"")"),0)</f>
        <v>0</v>
      </c>
      <c r="S361" s="46">
        <f ca="1">IFERROR(__xludf.DUMMYFUNCTION("IMPORTRANGE(""https://docs.google.com/spreadsheets/d/1jTcq05yEiRwXcBMLjiodW9e4biSGYWAHcDj22rKWQ3s/edit?usp=sharing"",""กำแพงเพชร!S361"")+IMPORTRANGE(""https://docs.google.com/spreadsheets/d/1KS0zmDSZPk8KnTAbGN-Xk6MtX1YRZD0ldgdt20K4CRk/edit?usp=sharing"","&amp;"""เชียงราย!S361"")+IMPORTRANGE(""https://docs.google.com/spreadsheets/d/1rEDxBtusbi64tE0zunoIbsTVV16HeL0oJ6trHQeQ7K8/edit?usp=sharing"",""เชียงใหม่!S361"")+IMPORTRANGE(""https://docs.google.com/spreadsheets/d/1W6MnUbDkMi6xHnHko_XkFDO9kkuL6Wqyc-6OCDFjW9I/e"&amp;"dit?usp=sharing"",""ตาก!S361"")+IMPORTRANGE(""https://docs.google.com/spreadsheets/d/1IQAWArduLkta9LpYo4a_ULsyqdta6-6aDDiwpUnQT6c/edit?usp=sharing"",""นครสวรรค์!S361"")+IMPORTRANGE(""https://docs.google.com/spreadsheets/d/10s13Sk5xrltsiR-Zkbmk5DwIaDIKO8Xl"&amp;"bJAfqyT7Gvg/edit?usp=sharing"",""น่าน!S361"")+IMPORTRANGE(""https://docs.google.com/spreadsheets/d/1uu4nAn4Dbi1XREnLKKotUANlKXa7yCgRcgq8HEzQYW8/edit?usp=sharing"",""พะเยา!S361"")+IMPORTRANGE(""https://docs.google.com/spreadsheets/d/1xfJKIQxVOaPDIICqsflNlL"&amp;"u3JacTDk1FP9RH4phX7mI/edit?usp=sharing"",""พิจิตร!S361"")+IMPORTRANGE(""https://docs.google.com/spreadsheets/d/1JtRfZkJMHtEhI5RdRHxYUG4FIZHqKDpNyIuN7A1Q0_k/edit?usp=sharing"",""พิษณุโลก!S361"")+IMPORTRANGE(""https://docs.google.com/spreadsheets/d/1xlcVZWU"&amp;"Nn6SuWm0c307h32SiGkd9BaeQWlAktfD3KO8/edit?usp=sharing"",""เพชรบูรณ์!S361"")+IMPORTRANGE(""https://docs.google.com/spreadsheets/d/1lOVebEIsI9qjGXl6EX66luk7wiuP2tBaryw-wKvv4e0/edit?usp=sharing"",""แพร่!S361"")+IMPORTRANGE(""https://docs.google.com/spreadshe"&amp;"ets/d/1dQrvX0vEcN7Gu0fnZ0B5S90AeR19zth4XlExFBeExMY/edit?usp=sharing"",""แม่ฮ่องสอน!S361"")+IMPORTRANGE(""https://docs.google.com/spreadsheets/d/1DY4XTNNwjluuxqdfdn6qvOSlMRrZqUtmYcZR0ttFiG4/edit?usp=sharing"",""ลำปาง!S361"")+IMPORTRANGE(""https://docs.goog"&amp;"le.com/spreadsheets/d/1ICwG78r0OFT8biBlxnBF8r7she7gNSzOvJ958PWT09c/edit?usp=sharing"",""ลำพูน!S361"")+IMPORTRANGE(""https://docs.google.com/spreadsheets/d/1B0f2xJpZUC6Z0xXnqKlZtEPzsf6L84eP1r1Q15seqRM/edit?usp=sharing"",""สุโขทัย!S361"")+IMPORTRANGE(""http"&amp;"s://docs.google.com/spreadsheets/d/1v0b9pFQCsKUVExMei7AgY2yQkdeNQvtOssygGsXbiKo/edit?usp=sharing"",""อุตรดิตถ์!S361"")+IMPORTRANGE(""https://docs.google.com/spreadsheets/d/1UsNK1e-WWiCo2PvGqdNfdme4m17_Ezd3J69EeeiQPD0/edit?usp=sharing"",""อุทัยธานี!S361"")"),0)</f>
        <v>0</v>
      </c>
      <c r="T361" s="46">
        <f t="shared" ca="1" si="270"/>
        <v>0</v>
      </c>
      <c r="U361" s="46">
        <f t="shared" ca="1" si="271"/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46">
        <f t="shared" ref="L362:N362" ca="1" si="278">L363+L364</f>
        <v>0</v>
      </c>
      <c r="M362" s="46">
        <f t="shared" ca="1" si="278"/>
        <v>0</v>
      </c>
      <c r="N362" s="46">
        <f t="shared" ca="1" si="278"/>
        <v>0</v>
      </c>
      <c r="O362" s="46">
        <f t="shared" ca="1" si="267"/>
        <v>0</v>
      </c>
      <c r="P362" s="46">
        <f t="shared" ca="1" si="268"/>
        <v>0</v>
      </c>
      <c r="Q362" s="46">
        <f t="shared" ref="Q362:S362" ca="1" si="279">Q363+Q364</f>
        <v>0</v>
      </c>
      <c r="R362" s="46">
        <f t="shared" ca="1" si="279"/>
        <v>0</v>
      </c>
      <c r="S362" s="46">
        <f t="shared" ca="1" si="279"/>
        <v>0</v>
      </c>
      <c r="T362" s="46">
        <f t="shared" ca="1" si="270"/>
        <v>0</v>
      </c>
      <c r="U362" s="46">
        <f t="shared" ca="1" si="271"/>
        <v>0</v>
      </c>
    </row>
    <row r="363" spans="1:21" ht="18.75" x14ac:dyDescent="0.25">
      <c r="A363" s="128"/>
      <c r="B363" s="40"/>
      <c r="C363" s="40"/>
      <c r="D363" s="40"/>
      <c r="E363" s="47" t="s">
        <v>20</v>
      </c>
      <c r="F363" s="40"/>
      <c r="G363" s="42"/>
      <c r="H363" s="134" t="s">
        <v>14</v>
      </c>
      <c r="I363" s="135"/>
      <c r="J363" s="135"/>
      <c r="K363" s="136"/>
      <c r="L363" s="46">
        <f ca="1">IFERROR(__xludf.DUMMYFUNCTION("IMPORTRANGE(""https://docs.google.com/spreadsheets/d/1jTcq05yEiRwXcBMLjiodW9e4biSGYWAHcDj22rKWQ3s/edit?usp=sharing"",""กำแพงเพชร!L363"")+IMPORTRANGE(""https://docs.google.com/spreadsheets/d/1KS0zmDSZPk8KnTAbGN-Xk6MtX1YRZD0ldgdt20K4CRk/edit?usp=sharing"","&amp;"""เชียงราย!L363"")+IMPORTRANGE(""https://docs.google.com/spreadsheets/d/1rEDxBtusbi64tE0zunoIbsTVV16HeL0oJ6trHQeQ7K8/edit?usp=sharing"",""เชียงใหม่!L363"")+IMPORTRANGE(""https://docs.google.com/spreadsheets/d/1W6MnUbDkMi6xHnHko_XkFDO9kkuL6Wqyc-6OCDFjW9I/e"&amp;"dit?usp=sharing"",""ตาก!L363"")+IMPORTRANGE(""https://docs.google.com/spreadsheets/d/1IQAWArduLkta9LpYo4a_ULsyqdta6-6aDDiwpUnQT6c/edit?usp=sharing"",""นครสวรรค์!L363"")+IMPORTRANGE(""https://docs.google.com/spreadsheets/d/10s13Sk5xrltsiR-Zkbmk5DwIaDIKO8Xl"&amp;"bJAfqyT7Gvg/edit?usp=sharing"",""น่าน!L363"")+IMPORTRANGE(""https://docs.google.com/spreadsheets/d/1uu4nAn4Dbi1XREnLKKotUANlKXa7yCgRcgq8HEzQYW8/edit?usp=sharing"",""พะเยา!L363"")+IMPORTRANGE(""https://docs.google.com/spreadsheets/d/1xfJKIQxVOaPDIICqsflNlL"&amp;"u3JacTDk1FP9RH4phX7mI/edit?usp=sharing"",""พิจิตร!L363"")+IMPORTRANGE(""https://docs.google.com/spreadsheets/d/1JtRfZkJMHtEhI5RdRHxYUG4FIZHqKDpNyIuN7A1Q0_k/edit?usp=sharing"",""พิษณุโลก!L363"")+IMPORTRANGE(""https://docs.google.com/spreadsheets/d/1xlcVZWU"&amp;"Nn6SuWm0c307h32SiGkd9BaeQWlAktfD3KO8/edit?usp=sharing"",""เพชรบูรณ์!L363"")+IMPORTRANGE(""https://docs.google.com/spreadsheets/d/1lOVebEIsI9qjGXl6EX66luk7wiuP2tBaryw-wKvv4e0/edit?usp=sharing"",""แพร่!L363"")+IMPORTRANGE(""https://docs.google.com/spreadshe"&amp;"ets/d/1dQrvX0vEcN7Gu0fnZ0B5S90AeR19zth4XlExFBeExMY/edit?usp=sharing"",""แม่ฮ่องสอน!L363"")+IMPORTRANGE(""https://docs.google.com/spreadsheets/d/1DY4XTNNwjluuxqdfdn6qvOSlMRrZqUtmYcZR0ttFiG4/edit?usp=sharing"",""ลำปาง!L363"")+IMPORTRANGE(""https://docs.goog"&amp;"le.com/spreadsheets/d/1ICwG78r0OFT8biBlxnBF8r7she7gNSzOvJ958PWT09c/edit?usp=sharing"",""ลำพูน!L363"")+IMPORTRANGE(""https://docs.google.com/spreadsheets/d/1B0f2xJpZUC6Z0xXnqKlZtEPzsf6L84eP1r1Q15seqRM/edit?usp=sharing"",""สุโขทัย!L363"")+IMPORTRANGE(""http"&amp;"s://docs.google.com/spreadsheets/d/1v0b9pFQCsKUVExMei7AgY2yQkdeNQvtOssygGsXbiKo/edit?usp=sharing"",""อุตรดิตถ์!L363"")+IMPORTRANGE(""https://docs.google.com/spreadsheets/d/1UsNK1e-WWiCo2PvGqdNfdme4m17_Ezd3J69EeeiQPD0/edit?usp=sharing"",""อุทัยธานี!L363"")"),0)</f>
        <v>0</v>
      </c>
      <c r="M363" s="46">
        <f ca="1">IFERROR(__xludf.DUMMYFUNCTION("IMPORTRANGE(""https://docs.google.com/spreadsheets/d/1jTcq05yEiRwXcBMLjiodW9e4biSGYWAHcDj22rKWQ3s/edit?usp=sharing"",""กำแพงเพชร!M363"")+IMPORTRANGE(""https://docs.google.com/spreadsheets/d/1KS0zmDSZPk8KnTAbGN-Xk6MtX1YRZD0ldgdt20K4CRk/edit?usp=sharing"","&amp;"""เชียงราย!M363"")+IMPORTRANGE(""https://docs.google.com/spreadsheets/d/1rEDxBtusbi64tE0zunoIbsTVV16HeL0oJ6trHQeQ7K8/edit?usp=sharing"",""เชียงใหม่!M363"")+IMPORTRANGE(""https://docs.google.com/spreadsheets/d/1W6MnUbDkMi6xHnHko_XkFDO9kkuL6Wqyc-6OCDFjW9I/e"&amp;"dit?usp=sharing"",""ตาก!M363"")+IMPORTRANGE(""https://docs.google.com/spreadsheets/d/1IQAWArduLkta9LpYo4a_ULsyqdta6-6aDDiwpUnQT6c/edit?usp=sharing"",""นครสวรรค์!M363"")+IMPORTRANGE(""https://docs.google.com/spreadsheets/d/10s13Sk5xrltsiR-Zkbmk5DwIaDIKO8Xl"&amp;"bJAfqyT7Gvg/edit?usp=sharing"",""น่าน!M363"")+IMPORTRANGE(""https://docs.google.com/spreadsheets/d/1uu4nAn4Dbi1XREnLKKotUANlKXa7yCgRcgq8HEzQYW8/edit?usp=sharing"",""พะเยา!M363"")+IMPORTRANGE(""https://docs.google.com/spreadsheets/d/1xfJKIQxVOaPDIICqsflNlL"&amp;"u3JacTDk1FP9RH4phX7mI/edit?usp=sharing"",""พิจิตร!M363"")+IMPORTRANGE(""https://docs.google.com/spreadsheets/d/1JtRfZkJMHtEhI5RdRHxYUG4FIZHqKDpNyIuN7A1Q0_k/edit?usp=sharing"",""พิษณุโลก!M363"")+IMPORTRANGE(""https://docs.google.com/spreadsheets/d/1xlcVZWU"&amp;"Nn6SuWm0c307h32SiGkd9BaeQWlAktfD3KO8/edit?usp=sharing"",""เพชรบูรณ์!M363"")+IMPORTRANGE(""https://docs.google.com/spreadsheets/d/1lOVebEIsI9qjGXl6EX66luk7wiuP2tBaryw-wKvv4e0/edit?usp=sharing"",""แพร่!M363"")+IMPORTRANGE(""https://docs.google.com/spreadshe"&amp;"ets/d/1dQrvX0vEcN7Gu0fnZ0B5S90AeR19zth4XlExFBeExMY/edit?usp=sharing"",""แม่ฮ่องสอน!M363"")+IMPORTRANGE(""https://docs.google.com/spreadsheets/d/1DY4XTNNwjluuxqdfdn6qvOSlMRrZqUtmYcZR0ttFiG4/edit?usp=sharing"",""ลำปาง!M363"")+IMPORTRANGE(""https://docs.goog"&amp;"le.com/spreadsheets/d/1ICwG78r0OFT8biBlxnBF8r7she7gNSzOvJ958PWT09c/edit?usp=sharing"",""ลำพูน!M363"")+IMPORTRANGE(""https://docs.google.com/spreadsheets/d/1B0f2xJpZUC6Z0xXnqKlZtEPzsf6L84eP1r1Q15seqRM/edit?usp=sharing"",""สุโขทัย!M363"")+IMPORTRANGE(""http"&amp;"s://docs.google.com/spreadsheets/d/1v0b9pFQCsKUVExMei7AgY2yQkdeNQvtOssygGsXbiKo/edit?usp=sharing"",""อุตรดิตถ์!M363"")+IMPORTRANGE(""https://docs.google.com/spreadsheets/d/1UsNK1e-WWiCo2PvGqdNfdme4m17_Ezd3J69EeeiQPD0/edit?usp=sharing"",""อุทัยธานี!M363"")"),0)</f>
        <v>0</v>
      </c>
      <c r="N363" s="46">
        <f ca="1">IFERROR(__xludf.DUMMYFUNCTION("IMPORTRANGE(""https://docs.google.com/spreadsheets/d/1jTcq05yEiRwXcBMLjiodW9e4biSGYWAHcDj22rKWQ3s/edit?usp=sharing"",""กำแพงเพชร!N363"")+IMPORTRANGE(""https://docs.google.com/spreadsheets/d/1KS0zmDSZPk8KnTAbGN-Xk6MtX1YRZD0ldgdt20K4CRk/edit?usp=sharing"","&amp;"""เชียงราย!N363"")+IMPORTRANGE(""https://docs.google.com/spreadsheets/d/1rEDxBtusbi64tE0zunoIbsTVV16HeL0oJ6trHQeQ7K8/edit?usp=sharing"",""เชียงใหม่!N363"")+IMPORTRANGE(""https://docs.google.com/spreadsheets/d/1W6MnUbDkMi6xHnHko_XkFDO9kkuL6Wqyc-6OCDFjW9I/e"&amp;"dit?usp=sharing"",""ตาก!N363"")+IMPORTRANGE(""https://docs.google.com/spreadsheets/d/1IQAWArduLkta9LpYo4a_ULsyqdta6-6aDDiwpUnQT6c/edit?usp=sharing"",""นครสวรรค์!N363"")+IMPORTRANGE(""https://docs.google.com/spreadsheets/d/10s13Sk5xrltsiR-Zkbmk5DwIaDIKO8Xl"&amp;"bJAfqyT7Gvg/edit?usp=sharing"",""น่าน!N363"")+IMPORTRANGE(""https://docs.google.com/spreadsheets/d/1uu4nAn4Dbi1XREnLKKotUANlKXa7yCgRcgq8HEzQYW8/edit?usp=sharing"",""พะเยา!N363"")+IMPORTRANGE(""https://docs.google.com/spreadsheets/d/1xfJKIQxVOaPDIICqsflNlL"&amp;"u3JacTDk1FP9RH4phX7mI/edit?usp=sharing"",""พิจิตร!N363"")+IMPORTRANGE(""https://docs.google.com/spreadsheets/d/1JtRfZkJMHtEhI5RdRHxYUG4FIZHqKDpNyIuN7A1Q0_k/edit?usp=sharing"",""พิษณุโลก!N363"")+IMPORTRANGE(""https://docs.google.com/spreadsheets/d/1xlcVZWU"&amp;"Nn6SuWm0c307h32SiGkd9BaeQWlAktfD3KO8/edit?usp=sharing"",""เพชรบูรณ์!N363"")+IMPORTRANGE(""https://docs.google.com/spreadsheets/d/1lOVebEIsI9qjGXl6EX66luk7wiuP2tBaryw-wKvv4e0/edit?usp=sharing"",""แพร่!N363"")+IMPORTRANGE(""https://docs.google.com/spreadshe"&amp;"ets/d/1dQrvX0vEcN7Gu0fnZ0B5S90AeR19zth4XlExFBeExMY/edit?usp=sharing"",""แม่ฮ่องสอน!N363"")+IMPORTRANGE(""https://docs.google.com/spreadsheets/d/1DY4XTNNwjluuxqdfdn6qvOSlMRrZqUtmYcZR0ttFiG4/edit?usp=sharing"",""ลำปาง!N363"")+IMPORTRANGE(""https://docs.goog"&amp;"le.com/spreadsheets/d/1ICwG78r0OFT8biBlxnBF8r7she7gNSzOvJ958PWT09c/edit?usp=sharing"",""ลำพูน!N363"")+IMPORTRANGE(""https://docs.google.com/spreadsheets/d/1B0f2xJpZUC6Z0xXnqKlZtEPzsf6L84eP1r1Q15seqRM/edit?usp=sharing"",""สุโขทัย!N363"")+IMPORTRANGE(""http"&amp;"s://docs.google.com/spreadsheets/d/1v0b9pFQCsKUVExMei7AgY2yQkdeNQvtOssygGsXbiKo/edit?usp=sharing"",""อุตรดิตถ์!N363"")+IMPORTRANGE(""https://docs.google.com/spreadsheets/d/1UsNK1e-WWiCo2PvGqdNfdme4m17_Ezd3J69EeeiQPD0/edit?usp=sharing"",""อุทัยธานี!N363"")"),0)</f>
        <v>0</v>
      </c>
      <c r="O363" s="46">
        <f t="shared" ca="1" si="267"/>
        <v>0</v>
      </c>
      <c r="P363" s="46">
        <f t="shared" ca="1" si="268"/>
        <v>0</v>
      </c>
      <c r="Q363" s="48">
        <f ca="1">IFERROR(__xludf.DUMMYFUNCTION("IMPORTRANGE(""https://docs.google.com/spreadsheets/d/1jTcq05yEiRwXcBMLjiodW9e4biSGYWAHcDj22rKWQ3s/edit?usp=sharing"",""กำแพงเพชร!Q363"")+IMPORTRANGE(""https://docs.google.com/spreadsheets/d/1KS0zmDSZPk8KnTAbGN-Xk6MtX1YRZD0ldgdt20K4CRk/edit?usp=sharing"","&amp;"""เชียงราย!Q363"")+IMPORTRANGE(""https://docs.google.com/spreadsheets/d/1rEDxBtusbi64tE0zunoIbsTVV16HeL0oJ6trHQeQ7K8/edit?usp=sharing"",""เชียงใหม่!Q363"")+IMPORTRANGE(""https://docs.google.com/spreadsheets/d/1W6MnUbDkMi6xHnHko_XkFDO9kkuL6Wqyc-6OCDFjW9I/e"&amp;"dit?usp=sharing"",""ตาก!Q363"")+IMPORTRANGE(""https://docs.google.com/spreadsheets/d/1IQAWArduLkta9LpYo4a_ULsyqdta6-6aDDiwpUnQT6c/edit?usp=sharing"",""นครสวรรค์!Q363"")+IMPORTRANGE(""https://docs.google.com/spreadsheets/d/10s13Sk5xrltsiR-Zkbmk5DwIaDIKO8Xl"&amp;"bJAfqyT7Gvg/edit?usp=sharing"",""น่าน!Q363"")+IMPORTRANGE(""https://docs.google.com/spreadsheets/d/1uu4nAn4Dbi1XREnLKKotUANlKXa7yCgRcgq8HEzQYW8/edit?usp=sharing"",""พะเยา!Q363"")+IMPORTRANGE(""https://docs.google.com/spreadsheets/d/1xfJKIQxVOaPDIICqsflNlL"&amp;"u3JacTDk1FP9RH4phX7mI/edit?usp=sharing"",""พิจิตร!Q363"")+IMPORTRANGE(""https://docs.google.com/spreadsheets/d/1JtRfZkJMHtEhI5RdRHxYUG4FIZHqKDpNyIuN7A1Q0_k/edit?usp=sharing"",""พิษณุโลก!Q363"")+IMPORTRANGE(""https://docs.google.com/spreadsheets/d/1xlcVZWU"&amp;"Nn6SuWm0c307h32SiGkd9BaeQWlAktfD3KO8/edit?usp=sharing"",""เพชรบูรณ์!Q363"")+IMPORTRANGE(""https://docs.google.com/spreadsheets/d/1lOVebEIsI9qjGXl6EX66luk7wiuP2tBaryw-wKvv4e0/edit?usp=sharing"",""แพร่!Q363"")+IMPORTRANGE(""https://docs.google.com/spreadshe"&amp;"ets/d/1dQrvX0vEcN7Gu0fnZ0B5S90AeR19zth4XlExFBeExMY/edit?usp=sharing"",""แม่ฮ่องสอน!Q363"")+IMPORTRANGE(""https://docs.google.com/spreadsheets/d/1DY4XTNNwjluuxqdfdn6qvOSlMRrZqUtmYcZR0ttFiG4/edit?usp=sharing"",""ลำปาง!Q363"")+IMPORTRANGE(""https://docs.goog"&amp;"le.com/spreadsheets/d/1ICwG78r0OFT8biBlxnBF8r7she7gNSzOvJ958PWT09c/edit?usp=sharing"",""ลำพูน!Q363"")+IMPORTRANGE(""https://docs.google.com/spreadsheets/d/1B0f2xJpZUC6Z0xXnqKlZtEPzsf6L84eP1r1Q15seqRM/edit?usp=sharing"",""สุโขทัย!Q363"")+IMPORTRANGE(""http"&amp;"s://docs.google.com/spreadsheets/d/1v0b9pFQCsKUVExMei7AgY2yQkdeNQvtOssygGsXbiKo/edit?usp=sharing"",""อุตรดิตถ์!Q363"")+IMPORTRANGE(""https://docs.google.com/spreadsheets/d/1UsNK1e-WWiCo2PvGqdNfdme4m17_Ezd3J69EeeiQPD0/edit?usp=sharing"",""อุทัยธานี!Q363"")"),0)</f>
        <v>0</v>
      </c>
      <c r="R363" s="48">
        <f ca="1">IFERROR(__xludf.DUMMYFUNCTION("IMPORTRANGE(""https://docs.google.com/spreadsheets/d/1jTcq05yEiRwXcBMLjiodW9e4biSGYWAHcDj22rKWQ3s/edit?usp=sharing"",""กำแพงเพชร!R363"")+IMPORTRANGE(""https://docs.google.com/spreadsheets/d/1KS0zmDSZPk8KnTAbGN-Xk6MtX1YRZD0ldgdt20K4CRk/edit?usp=sharing"","&amp;"""เชียงราย!R363"")+IMPORTRANGE(""https://docs.google.com/spreadsheets/d/1rEDxBtusbi64tE0zunoIbsTVV16HeL0oJ6trHQeQ7K8/edit?usp=sharing"",""เชียงใหม่!R363"")+IMPORTRANGE(""https://docs.google.com/spreadsheets/d/1W6MnUbDkMi6xHnHko_XkFDO9kkuL6Wqyc-6OCDFjW9I/e"&amp;"dit?usp=sharing"",""ตาก!R363"")+IMPORTRANGE(""https://docs.google.com/spreadsheets/d/1IQAWArduLkta9LpYo4a_ULsyqdta6-6aDDiwpUnQT6c/edit?usp=sharing"",""นครสวรรค์!R363"")+IMPORTRANGE(""https://docs.google.com/spreadsheets/d/10s13Sk5xrltsiR-Zkbmk5DwIaDIKO8Xl"&amp;"bJAfqyT7Gvg/edit?usp=sharing"",""น่าน!R363"")+IMPORTRANGE(""https://docs.google.com/spreadsheets/d/1uu4nAn4Dbi1XREnLKKotUANlKXa7yCgRcgq8HEzQYW8/edit?usp=sharing"",""พะเยา!R363"")+IMPORTRANGE(""https://docs.google.com/spreadsheets/d/1xfJKIQxVOaPDIICqsflNlL"&amp;"u3JacTDk1FP9RH4phX7mI/edit?usp=sharing"",""พิจิตร!R363"")+IMPORTRANGE(""https://docs.google.com/spreadsheets/d/1JtRfZkJMHtEhI5RdRHxYUG4FIZHqKDpNyIuN7A1Q0_k/edit?usp=sharing"",""พิษณุโลก!R363"")+IMPORTRANGE(""https://docs.google.com/spreadsheets/d/1xlcVZWU"&amp;"Nn6SuWm0c307h32SiGkd9BaeQWlAktfD3KO8/edit?usp=sharing"",""เพชรบูรณ์!R363"")+IMPORTRANGE(""https://docs.google.com/spreadsheets/d/1lOVebEIsI9qjGXl6EX66luk7wiuP2tBaryw-wKvv4e0/edit?usp=sharing"",""แพร่!R363"")+IMPORTRANGE(""https://docs.google.com/spreadshe"&amp;"ets/d/1dQrvX0vEcN7Gu0fnZ0B5S90AeR19zth4XlExFBeExMY/edit?usp=sharing"",""แม่ฮ่องสอน!R363"")+IMPORTRANGE(""https://docs.google.com/spreadsheets/d/1DY4XTNNwjluuxqdfdn6qvOSlMRrZqUtmYcZR0ttFiG4/edit?usp=sharing"",""ลำปาง!R363"")+IMPORTRANGE(""https://docs.goog"&amp;"le.com/spreadsheets/d/1ICwG78r0OFT8biBlxnBF8r7she7gNSzOvJ958PWT09c/edit?usp=sharing"",""ลำพูน!R363"")+IMPORTRANGE(""https://docs.google.com/spreadsheets/d/1B0f2xJpZUC6Z0xXnqKlZtEPzsf6L84eP1r1Q15seqRM/edit?usp=sharing"",""สุโขทัย!R363"")+IMPORTRANGE(""http"&amp;"s://docs.google.com/spreadsheets/d/1v0b9pFQCsKUVExMei7AgY2yQkdeNQvtOssygGsXbiKo/edit?usp=sharing"",""อุตรดิตถ์!R363"")+IMPORTRANGE(""https://docs.google.com/spreadsheets/d/1UsNK1e-WWiCo2PvGqdNfdme4m17_Ezd3J69EeeiQPD0/edit?usp=sharing"",""อุทัยธานี!R363"")"),0)</f>
        <v>0</v>
      </c>
      <c r="S363" s="48">
        <f ca="1">IFERROR(__xludf.DUMMYFUNCTION("IMPORTRANGE(""https://docs.google.com/spreadsheets/d/1jTcq05yEiRwXcBMLjiodW9e4biSGYWAHcDj22rKWQ3s/edit?usp=sharing"",""กำแพงเพชร!S363"")+IMPORTRANGE(""https://docs.google.com/spreadsheets/d/1KS0zmDSZPk8KnTAbGN-Xk6MtX1YRZD0ldgdt20K4CRk/edit?usp=sharing"","&amp;"""เชียงราย!S363"")+IMPORTRANGE(""https://docs.google.com/spreadsheets/d/1rEDxBtusbi64tE0zunoIbsTVV16HeL0oJ6trHQeQ7K8/edit?usp=sharing"",""เชียงใหม่!S363"")+IMPORTRANGE(""https://docs.google.com/spreadsheets/d/1W6MnUbDkMi6xHnHko_XkFDO9kkuL6Wqyc-6OCDFjW9I/e"&amp;"dit?usp=sharing"",""ตาก!S363"")+IMPORTRANGE(""https://docs.google.com/spreadsheets/d/1IQAWArduLkta9LpYo4a_ULsyqdta6-6aDDiwpUnQT6c/edit?usp=sharing"",""นครสวรรค์!S363"")+IMPORTRANGE(""https://docs.google.com/spreadsheets/d/10s13Sk5xrltsiR-Zkbmk5DwIaDIKO8Xl"&amp;"bJAfqyT7Gvg/edit?usp=sharing"",""น่าน!S363"")+IMPORTRANGE(""https://docs.google.com/spreadsheets/d/1uu4nAn4Dbi1XREnLKKotUANlKXa7yCgRcgq8HEzQYW8/edit?usp=sharing"",""พะเยา!S363"")+IMPORTRANGE(""https://docs.google.com/spreadsheets/d/1xfJKIQxVOaPDIICqsflNlL"&amp;"u3JacTDk1FP9RH4phX7mI/edit?usp=sharing"",""พิจิตร!S363"")+IMPORTRANGE(""https://docs.google.com/spreadsheets/d/1JtRfZkJMHtEhI5RdRHxYUG4FIZHqKDpNyIuN7A1Q0_k/edit?usp=sharing"",""พิษณุโลก!S363"")+IMPORTRANGE(""https://docs.google.com/spreadsheets/d/1xlcVZWU"&amp;"Nn6SuWm0c307h32SiGkd9BaeQWlAktfD3KO8/edit?usp=sharing"",""เพชรบูรณ์!S363"")+IMPORTRANGE(""https://docs.google.com/spreadsheets/d/1lOVebEIsI9qjGXl6EX66luk7wiuP2tBaryw-wKvv4e0/edit?usp=sharing"",""แพร่!S363"")+IMPORTRANGE(""https://docs.google.com/spreadshe"&amp;"ets/d/1dQrvX0vEcN7Gu0fnZ0B5S90AeR19zth4XlExFBeExMY/edit?usp=sharing"",""แม่ฮ่องสอน!S363"")+IMPORTRANGE(""https://docs.google.com/spreadsheets/d/1DY4XTNNwjluuxqdfdn6qvOSlMRrZqUtmYcZR0ttFiG4/edit?usp=sharing"",""ลำปาง!S363"")+IMPORTRANGE(""https://docs.goog"&amp;"le.com/spreadsheets/d/1ICwG78r0OFT8biBlxnBF8r7she7gNSzOvJ958PWT09c/edit?usp=sharing"",""ลำพูน!S363"")+IMPORTRANGE(""https://docs.google.com/spreadsheets/d/1B0f2xJpZUC6Z0xXnqKlZtEPzsf6L84eP1r1Q15seqRM/edit?usp=sharing"",""สุโขทัย!S363"")+IMPORTRANGE(""http"&amp;"s://docs.google.com/spreadsheets/d/1v0b9pFQCsKUVExMei7AgY2yQkdeNQvtOssygGsXbiKo/edit?usp=sharing"",""อุตรดิตถ์!S363"")+IMPORTRANGE(""https://docs.google.com/spreadsheets/d/1UsNK1e-WWiCo2PvGqdNfdme4m17_Ezd3J69EeeiQPD0/edit?usp=sharing"",""อุทัยธานี!S363"")"),0)</f>
        <v>0</v>
      </c>
      <c r="T363" s="48">
        <f t="shared" ca="1" si="270"/>
        <v>0</v>
      </c>
      <c r="U363" s="48">
        <f t="shared" ca="1" si="271"/>
        <v>0</v>
      </c>
    </row>
    <row r="364" spans="1:21" ht="18.75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46">
        <f ca="1">IFERROR(__xludf.DUMMYFUNCTION("IMPORTRANGE(""https://docs.google.com/spreadsheets/d/1jTcq05yEiRwXcBMLjiodW9e4biSGYWAHcDj22rKWQ3s/edit?usp=sharing"",""กำแพงเพชร!L364"")+IMPORTRANGE(""https://docs.google.com/spreadsheets/d/1KS0zmDSZPk8KnTAbGN-Xk6MtX1YRZD0ldgdt20K4CRk/edit?usp=sharing"","&amp;"""เชียงราย!L364"")+IMPORTRANGE(""https://docs.google.com/spreadsheets/d/1rEDxBtusbi64tE0zunoIbsTVV16HeL0oJ6trHQeQ7K8/edit?usp=sharing"",""เชียงใหม่!L364"")+IMPORTRANGE(""https://docs.google.com/spreadsheets/d/1W6MnUbDkMi6xHnHko_XkFDO9kkuL6Wqyc-6OCDFjW9I/e"&amp;"dit?usp=sharing"",""ตาก!L364"")+IMPORTRANGE(""https://docs.google.com/spreadsheets/d/1IQAWArduLkta9LpYo4a_ULsyqdta6-6aDDiwpUnQT6c/edit?usp=sharing"",""นครสวรรค์!L364"")+IMPORTRANGE(""https://docs.google.com/spreadsheets/d/10s13Sk5xrltsiR-Zkbmk5DwIaDIKO8Xl"&amp;"bJAfqyT7Gvg/edit?usp=sharing"",""น่าน!L364"")+IMPORTRANGE(""https://docs.google.com/spreadsheets/d/1uu4nAn4Dbi1XREnLKKotUANlKXa7yCgRcgq8HEzQYW8/edit?usp=sharing"",""พะเยา!L364"")+IMPORTRANGE(""https://docs.google.com/spreadsheets/d/1xfJKIQxVOaPDIICqsflNlL"&amp;"u3JacTDk1FP9RH4phX7mI/edit?usp=sharing"",""พิจิตร!L364"")+IMPORTRANGE(""https://docs.google.com/spreadsheets/d/1JtRfZkJMHtEhI5RdRHxYUG4FIZHqKDpNyIuN7A1Q0_k/edit?usp=sharing"",""พิษณุโลก!L364"")+IMPORTRANGE(""https://docs.google.com/spreadsheets/d/1xlcVZWU"&amp;"Nn6SuWm0c307h32SiGkd9BaeQWlAktfD3KO8/edit?usp=sharing"",""เพชรบูรณ์!L364"")+IMPORTRANGE(""https://docs.google.com/spreadsheets/d/1lOVebEIsI9qjGXl6EX66luk7wiuP2tBaryw-wKvv4e0/edit?usp=sharing"",""แพร่!L364"")+IMPORTRANGE(""https://docs.google.com/spreadshe"&amp;"ets/d/1dQrvX0vEcN7Gu0fnZ0B5S90AeR19zth4XlExFBeExMY/edit?usp=sharing"",""แม่ฮ่องสอน!L364"")+IMPORTRANGE(""https://docs.google.com/spreadsheets/d/1DY4XTNNwjluuxqdfdn6qvOSlMRrZqUtmYcZR0ttFiG4/edit?usp=sharing"",""ลำปาง!L364"")+IMPORTRANGE(""https://docs.goog"&amp;"le.com/spreadsheets/d/1ICwG78r0OFT8biBlxnBF8r7she7gNSzOvJ958PWT09c/edit?usp=sharing"",""ลำพูน!L364"")+IMPORTRANGE(""https://docs.google.com/spreadsheets/d/1B0f2xJpZUC6Z0xXnqKlZtEPzsf6L84eP1r1Q15seqRM/edit?usp=sharing"",""สุโขทัย!L364"")+IMPORTRANGE(""http"&amp;"s://docs.google.com/spreadsheets/d/1v0b9pFQCsKUVExMei7AgY2yQkdeNQvtOssygGsXbiKo/edit?usp=sharing"",""อุตรดิตถ์!L364"")+IMPORTRANGE(""https://docs.google.com/spreadsheets/d/1UsNK1e-WWiCo2PvGqdNfdme4m17_Ezd3J69EeeiQPD0/edit?usp=sharing"",""อุทัยธานี!L364"")"),0)</f>
        <v>0</v>
      </c>
      <c r="M364" s="46">
        <f ca="1">IFERROR(__xludf.DUMMYFUNCTION("IMPORTRANGE(""https://docs.google.com/spreadsheets/d/1jTcq05yEiRwXcBMLjiodW9e4biSGYWAHcDj22rKWQ3s/edit?usp=sharing"",""กำแพงเพชร!M364"")+IMPORTRANGE(""https://docs.google.com/spreadsheets/d/1KS0zmDSZPk8KnTAbGN-Xk6MtX1YRZD0ldgdt20K4CRk/edit?usp=sharing"","&amp;"""เชียงราย!M364"")+IMPORTRANGE(""https://docs.google.com/spreadsheets/d/1rEDxBtusbi64tE0zunoIbsTVV16HeL0oJ6trHQeQ7K8/edit?usp=sharing"",""เชียงใหม่!M364"")+IMPORTRANGE(""https://docs.google.com/spreadsheets/d/1W6MnUbDkMi6xHnHko_XkFDO9kkuL6Wqyc-6OCDFjW9I/e"&amp;"dit?usp=sharing"",""ตาก!M364"")+IMPORTRANGE(""https://docs.google.com/spreadsheets/d/1IQAWArduLkta9LpYo4a_ULsyqdta6-6aDDiwpUnQT6c/edit?usp=sharing"",""นครสวรรค์!M364"")+IMPORTRANGE(""https://docs.google.com/spreadsheets/d/10s13Sk5xrltsiR-Zkbmk5DwIaDIKO8Xl"&amp;"bJAfqyT7Gvg/edit?usp=sharing"",""น่าน!M364"")+IMPORTRANGE(""https://docs.google.com/spreadsheets/d/1uu4nAn4Dbi1XREnLKKotUANlKXa7yCgRcgq8HEzQYW8/edit?usp=sharing"",""พะเยา!M364"")+IMPORTRANGE(""https://docs.google.com/spreadsheets/d/1xfJKIQxVOaPDIICqsflNlL"&amp;"u3JacTDk1FP9RH4phX7mI/edit?usp=sharing"",""พิจิตร!M364"")+IMPORTRANGE(""https://docs.google.com/spreadsheets/d/1JtRfZkJMHtEhI5RdRHxYUG4FIZHqKDpNyIuN7A1Q0_k/edit?usp=sharing"",""พิษณุโลก!M364"")+IMPORTRANGE(""https://docs.google.com/spreadsheets/d/1xlcVZWU"&amp;"Nn6SuWm0c307h32SiGkd9BaeQWlAktfD3KO8/edit?usp=sharing"",""เพชรบูรณ์!M364"")+IMPORTRANGE(""https://docs.google.com/spreadsheets/d/1lOVebEIsI9qjGXl6EX66luk7wiuP2tBaryw-wKvv4e0/edit?usp=sharing"",""แพร่!M364"")+IMPORTRANGE(""https://docs.google.com/spreadshe"&amp;"ets/d/1dQrvX0vEcN7Gu0fnZ0B5S90AeR19zth4XlExFBeExMY/edit?usp=sharing"",""แม่ฮ่องสอน!M364"")+IMPORTRANGE(""https://docs.google.com/spreadsheets/d/1DY4XTNNwjluuxqdfdn6qvOSlMRrZqUtmYcZR0ttFiG4/edit?usp=sharing"",""ลำปาง!M364"")+IMPORTRANGE(""https://docs.goog"&amp;"le.com/spreadsheets/d/1ICwG78r0OFT8biBlxnBF8r7she7gNSzOvJ958PWT09c/edit?usp=sharing"",""ลำพูน!M364"")+IMPORTRANGE(""https://docs.google.com/spreadsheets/d/1B0f2xJpZUC6Z0xXnqKlZtEPzsf6L84eP1r1Q15seqRM/edit?usp=sharing"",""สุโขทัย!M364"")+IMPORTRANGE(""http"&amp;"s://docs.google.com/spreadsheets/d/1v0b9pFQCsKUVExMei7AgY2yQkdeNQvtOssygGsXbiKo/edit?usp=sharing"",""อุตรดิตถ์!M364"")+IMPORTRANGE(""https://docs.google.com/spreadsheets/d/1UsNK1e-WWiCo2PvGqdNfdme4m17_Ezd3J69EeeiQPD0/edit?usp=sharing"",""อุทัยธานี!M364"")"),0)</f>
        <v>0</v>
      </c>
      <c r="N364" s="46">
        <f ca="1">IFERROR(__xludf.DUMMYFUNCTION("IMPORTRANGE(""https://docs.google.com/spreadsheets/d/1jTcq05yEiRwXcBMLjiodW9e4biSGYWAHcDj22rKWQ3s/edit?usp=sharing"",""กำแพงเพชร!N364"")+IMPORTRANGE(""https://docs.google.com/spreadsheets/d/1KS0zmDSZPk8KnTAbGN-Xk6MtX1YRZD0ldgdt20K4CRk/edit?usp=sharing"","&amp;"""เชียงราย!N364"")+IMPORTRANGE(""https://docs.google.com/spreadsheets/d/1rEDxBtusbi64tE0zunoIbsTVV16HeL0oJ6trHQeQ7K8/edit?usp=sharing"",""เชียงใหม่!N364"")+IMPORTRANGE(""https://docs.google.com/spreadsheets/d/1W6MnUbDkMi6xHnHko_XkFDO9kkuL6Wqyc-6OCDFjW9I/e"&amp;"dit?usp=sharing"",""ตาก!N364"")+IMPORTRANGE(""https://docs.google.com/spreadsheets/d/1IQAWArduLkta9LpYo4a_ULsyqdta6-6aDDiwpUnQT6c/edit?usp=sharing"",""นครสวรรค์!N364"")+IMPORTRANGE(""https://docs.google.com/spreadsheets/d/10s13Sk5xrltsiR-Zkbmk5DwIaDIKO8Xl"&amp;"bJAfqyT7Gvg/edit?usp=sharing"",""น่าน!N364"")+IMPORTRANGE(""https://docs.google.com/spreadsheets/d/1uu4nAn4Dbi1XREnLKKotUANlKXa7yCgRcgq8HEzQYW8/edit?usp=sharing"",""พะเยา!N364"")+IMPORTRANGE(""https://docs.google.com/spreadsheets/d/1xfJKIQxVOaPDIICqsflNlL"&amp;"u3JacTDk1FP9RH4phX7mI/edit?usp=sharing"",""พิจิตร!N364"")+IMPORTRANGE(""https://docs.google.com/spreadsheets/d/1JtRfZkJMHtEhI5RdRHxYUG4FIZHqKDpNyIuN7A1Q0_k/edit?usp=sharing"",""พิษณุโลก!N364"")+IMPORTRANGE(""https://docs.google.com/spreadsheets/d/1xlcVZWU"&amp;"Nn6SuWm0c307h32SiGkd9BaeQWlAktfD3KO8/edit?usp=sharing"",""เพชรบูรณ์!N364"")+IMPORTRANGE(""https://docs.google.com/spreadsheets/d/1lOVebEIsI9qjGXl6EX66luk7wiuP2tBaryw-wKvv4e0/edit?usp=sharing"",""แพร่!N364"")+IMPORTRANGE(""https://docs.google.com/spreadshe"&amp;"ets/d/1dQrvX0vEcN7Gu0fnZ0B5S90AeR19zth4XlExFBeExMY/edit?usp=sharing"",""แม่ฮ่องสอน!N364"")+IMPORTRANGE(""https://docs.google.com/spreadsheets/d/1DY4XTNNwjluuxqdfdn6qvOSlMRrZqUtmYcZR0ttFiG4/edit?usp=sharing"",""ลำปาง!N364"")+IMPORTRANGE(""https://docs.goog"&amp;"le.com/spreadsheets/d/1ICwG78r0OFT8biBlxnBF8r7she7gNSzOvJ958PWT09c/edit?usp=sharing"",""ลำพูน!N364"")+IMPORTRANGE(""https://docs.google.com/spreadsheets/d/1B0f2xJpZUC6Z0xXnqKlZtEPzsf6L84eP1r1Q15seqRM/edit?usp=sharing"",""สุโขทัย!N364"")+IMPORTRANGE(""http"&amp;"s://docs.google.com/spreadsheets/d/1v0b9pFQCsKUVExMei7AgY2yQkdeNQvtOssygGsXbiKo/edit?usp=sharing"",""อุตรดิตถ์!N364"")+IMPORTRANGE(""https://docs.google.com/spreadsheets/d/1UsNK1e-WWiCo2PvGqdNfdme4m17_Ezd3J69EeeiQPD0/edit?usp=sharing"",""อุทัยธานี!N364"")"),0)</f>
        <v>0</v>
      </c>
      <c r="O364" s="46">
        <f t="shared" ca="1" si="267"/>
        <v>0</v>
      </c>
      <c r="P364" s="46">
        <f t="shared" ca="1" si="268"/>
        <v>0</v>
      </c>
      <c r="Q364" s="46">
        <f ca="1">IFERROR(__xludf.DUMMYFUNCTION("IMPORTRANGE(""https://docs.google.com/spreadsheets/d/1jTcq05yEiRwXcBMLjiodW9e4biSGYWAHcDj22rKWQ3s/edit?usp=sharing"",""กำแพงเพชร!Q364"")+IMPORTRANGE(""https://docs.google.com/spreadsheets/d/1KS0zmDSZPk8KnTAbGN-Xk6MtX1YRZD0ldgdt20K4CRk/edit?usp=sharing"","&amp;"""เชียงราย!Q364"")+IMPORTRANGE(""https://docs.google.com/spreadsheets/d/1rEDxBtusbi64tE0zunoIbsTVV16HeL0oJ6trHQeQ7K8/edit?usp=sharing"",""เชียงใหม่!Q364"")+IMPORTRANGE(""https://docs.google.com/spreadsheets/d/1W6MnUbDkMi6xHnHko_XkFDO9kkuL6Wqyc-6OCDFjW9I/e"&amp;"dit?usp=sharing"",""ตาก!Q364"")+IMPORTRANGE(""https://docs.google.com/spreadsheets/d/1IQAWArduLkta9LpYo4a_ULsyqdta6-6aDDiwpUnQT6c/edit?usp=sharing"",""นครสวรรค์!Q364"")+IMPORTRANGE(""https://docs.google.com/spreadsheets/d/10s13Sk5xrltsiR-Zkbmk5DwIaDIKO8Xl"&amp;"bJAfqyT7Gvg/edit?usp=sharing"",""น่าน!Q364"")+IMPORTRANGE(""https://docs.google.com/spreadsheets/d/1uu4nAn4Dbi1XREnLKKotUANlKXa7yCgRcgq8HEzQYW8/edit?usp=sharing"",""พะเยา!Q364"")+IMPORTRANGE(""https://docs.google.com/spreadsheets/d/1xfJKIQxVOaPDIICqsflNlL"&amp;"u3JacTDk1FP9RH4phX7mI/edit?usp=sharing"",""พิจิตร!Q364"")+IMPORTRANGE(""https://docs.google.com/spreadsheets/d/1JtRfZkJMHtEhI5RdRHxYUG4FIZHqKDpNyIuN7A1Q0_k/edit?usp=sharing"",""พิษณุโลก!Q364"")+IMPORTRANGE(""https://docs.google.com/spreadsheets/d/1xlcVZWU"&amp;"Nn6SuWm0c307h32SiGkd9BaeQWlAktfD3KO8/edit?usp=sharing"",""เพชรบูรณ์!Q364"")+IMPORTRANGE(""https://docs.google.com/spreadsheets/d/1lOVebEIsI9qjGXl6EX66luk7wiuP2tBaryw-wKvv4e0/edit?usp=sharing"",""แพร่!Q364"")+IMPORTRANGE(""https://docs.google.com/spreadshe"&amp;"ets/d/1dQrvX0vEcN7Gu0fnZ0B5S90AeR19zth4XlExFBeExMY/edit?usp=sharing"",""แม่ฮ่องสอน!Q364"")+IMPORTRANGE(""https://docs.google.com/spreadsheets/d/1DY4XTNNwjluuxqdfdn6qvOSlMRrZqUtmYcZR0ttFiG4/edit?usp=sharing"",""ลำปาง!Q364"")+IMPORTRANGE(""https://docs.goog"&amp;"le.com/spreadsheets/d/1ICwG78r0OFT8biBlxnBF8r7she7gNSzOvJ958PWT09c/edit?usp=sharing"",""ลำพูน!Q364"")+IMPORTRANGE(""https://docs.google.com/spreadsheets/d/1B0f2xJpZUC6Z0xXnqKlZtEPzsf6L84eP1r1Q15seqRM/edit?usp=sharing"",""สุโขทัย!Q364"")+IMPORTRANGE(""http"&amp;"s://docs.google.com/spreadsheets/d/1v0b9pFQCsKUVExMei7AgY2yQkdeNQvtOssygGsXbiKo/edit?usp=sharing"",""อุตรดิตถ์!Q364"")+IMPORTRANGE(""https://docs.google.com/spreadsheets/d/1UsNK1e-WWiCo2PvGqdNfdme4m17_Ezd3J69EeeiQPD0/edit?usp=sharing"",""อุทัยธานี!Q364"")"),0)</f>
        <v>0</v>
      </c>
      <c r="R364" s="46">
        <f ca="1">IFERROR(__xludf.DUMMYFUNCTION("IMPORTRANGE(""https://docs.google.com/spreadsheets/d/1jTcq05yEiRwXcBMLjiodW9e4biSGYWAHcDj22rKWQ3s/edit?usp=sharing"",""กำแพงเพชร!R364"")+IMPORTRANGE(""https://docs.google.com/spreadsheets/d/1KS0zmDSZPk8KnTAbGN-Xk6MtX1YRZD0ldgdt20K4CRk/edit?usp=sharing"","&amp;"""เชียงราย!R364"")+IMPORTRANGE(""https://docs.google.com/spreadsheets/d/1rEDxBtusbi64tE0zunoIbsTVV16HeL0oJ6trHQeQ7K8/edit?usp=sharing"",""เชียงใหม่!R364"")+IMPORTRANGE(""https://docs.google.com/spreadsheets/d/1W6MnUbDkMi6xHnHko_XkFDO9kkuL6Wqyc-6OCDFjW9I/e"&amp;"dit?usp=sharing"",""ตาก!R364"")+IMPORTRANGE(""https://docs.google.com/spreadsheets/d/1IQAWArduLkta9LpYo4a_ULsyqdta6-6aDDiwpUnQT6c/edit?usp=sharing"",""นครสวรรค์!R364"")+IMPORTRANGE(""https://docs.google.com/spreadsheets/d/10s13Sk5xrltsiR-Zkbmk5DwIaDIKO8Xl"&amp;"bJAfqyT7Gvg/edit?usp=sharing"",""น่าน!R364"")+IMPORTRANGE(""https://docs.google.com/spreadsheets/d/1uu4nAn4Dbi1XREnLKKotUANlKXa7yCgRcgq8HEzQYW8/edit?usp=sharing"",""พะเยา!R364"")+IMPORTRANGE(""https://docs.google.com/spreadsheets/d/1xfJKIQxVOaPDIICqsflNlL"&amp;"u3JacTDk1FP9RH4phX7mI/edit?usp=sharing"",""พิจิตร!R364"")+IMPORTRANGE(""https://docs.google.com/spreadsheets/d/1JtRfZkJMHtEhI5RdRHxYUG4FIZHqKDpNyIuN7A1Q0_k/edit?usp=sharing"",""พิษณุโลก!R364"")+IMPORTRANGE(""https://docs.google.com/spreadsheets/d/1xlcVZWU"&amp;"Nn6SuWm0c307h32SiGkd9BaeQWlAktfD3KO8/edit?usp=sharing"",""เพชรบูรณ์!R364"")+IMPORTRANGE(""https://docs.google.com/spreadsheets/d/1lOVebEIsI9qjGXl6EX66luk7wiuP2tBaryw-wKvv4e0/edit?usp=sharing"",""แพร่!R364"")+IMPORTRANGE(""https://docs.google.com/spreadshe"&amp;"ets/d/1dQrvX0vEcN7Gu0fnZ0B5S90AeR19zth4XlExFBeExMY/edit?usp=sharing"",""แม่ฮ่องสอน!R364"")+IMPORTRANGE(""https://docs.google.com/spreadsheets/d/1DY4XTNNwjluuxqdfdn6qvOSlMRrZqUtmYcZR0ttFiG4/edit?usp=sharing"",""ลำปาง!R364"")+IMPORTRANGE(""https://docs.goog"&amp;"le.com/spreadsheets/d/1ICwG78r0OFT8biBlxnBF8r7she7gNSzOvJ958PWT09c/edit?usp=sharing"",""ลำพูน!R364"")+IMPORTRANGE(""https://docs.google.com/spreadsheets/d/1B0f2xJpZUC6Z0xXnqKlZtEPzsf6L84eP1r1Q15seqRM/edit?usp=sharing"",""สุโขทัย!R364"")+IMPORTRANGE(""http"&amp;"s://docs.google.com/spreadsheets/d/1v0b9pFQCsKUVExMei7AgY2yQkdeNQvtOssygGsXbiKo/edit?usp=sharing"",""อุตรดิตถ์!R364"")+IMPORTRANGE(""https://docs.google.com/spreadsheets/d/1UsNK1e-WWiCo2PvGqdNfdme4m17_Ezd3J69EeeiQPD0/edit?usp=sharing"",""อุทัยธานี!R364"")"),0)</f>
        <v>0</v>
      </c>
      <c r="S364" s="46">
        <f ca="1">IFERROR(__xludf.DUMMYFUNCTION("IMPORTRANGE(""https://docs.google.com/spreadsheets/d/1jTcq05yEiRwXcBMLjiodW9e4biSGYWAHcDj22rKWQ3s/edit?usp=sharing"",""กำแพงเพชร!S364"")+IMPORTRANGE(""https://docs.google.com/spreadsheets/d/1KS0zmDSZPk8KnTAbGN-Xk6MtX1YRZD0ldgdt20K4CRk/edit?usp=sharing"","&amp;"""เชียงราย!S364"")+IMPORTRANGE(""https://docs.google.com/spreadsheets/d/1rEDxBtusbi64tE0zunoIbsTVV16HeL0oJ6trHQeQ7K8/edit?usp=sharing"",""เชียงใหม่!S364"")+IMPORTRANGE(""https://docs.google.com/spreadsheets/d/1W6MnUbDkMi6xHnHko_XkFDO9kkuL6Wqyc-6OCDFjW9I/e"&amp;"dit?usp=sharing"",""ตาก!S364"")+IMPORTRANGE(""https://docs.google.com/spreadsheets/d/1IQAWArduLkta9LpYo4a_ULsyqdta6-6aDDiwpUnQT6c/edit?usp=sharing"",""นครสวรรค์!S364"")+IMPORTRANGE(""https://docs.google.com/spreadsheets/d/10s13Sk5xrltsiR-Zkbmk5DwIaDIKO8Xl"&amp;"bJAfqyT7Gvg/edit?usp=sharing"",""น่าน!S364"")+IMPORTRANGE(""https://docs.google.com/spreadsheets/d/1uu4nAn4Dbi1XREnLKKotUANlKXa7yCgRcgq8HEzQYW8/edit?usp=sharing"",""พะเยา!S364"")+IMPORTRANGE(""https://docs.google.com/spreadsheets/d/1xfJKIQxVOaPDIICqsflNlL"&amp;"u3JacTDk1FP9RH4phX7mI/edit?usp=sharing"",""พิจิตร!S364"")+IMPORTRANGE(""https://docs.google.com/spreadsheets/d/1JtRfZkJMHtEhI5RdRHxYUG4FIZHqKDpNyIuN7A1Q0_k/edit?usp=sharing"",""พิษณุโลก!S364"")+IMPORTRANGE(""https://docs.google.com/spreadsheets/d/1xlcVZWU"&amp;"Nn6SuWm0c307h32SiGkd9BaeQWlAktfD3KO8/edit?usp=sharing"",""เพชรบูรณ์!S364"")+IMPORTRANGE(""https://docs.google.com/spreadsheets/d/1lOVebEIsI9qjGXl6EX66luk7wiuP2tBaryw-wKvv4e0/edit?usp=sharing"",""แพร่!S364"")+IMPORTRANGE(""https://docs.google.com/spreadshe"&amp;"ets/d/1dQrvX0vEcN7Gu0fnZ0B5S90AeR19zth4XlExFBeExMY/edit?usp=sharing"",""แม่ฮ่องสอน!S364"")+IMPORTRANGE(""https://docs.google.com/spreadsheets/d/1DY4XTNNwjluuxqdfdn6qvOSlMRrZqUtmYcZR0ttFiG4/edit?usp=sharing"",""ลำปาง!S364"")+IMPORTRANGE(""https://docs.goog"&amp;"le.com/spreadsheets/d/1ICwG78r0OFT8biBlxnBF8r7she7gNSzOvJ958PWT09c/edit?usp=sharing"",""ลำพูน!S364"")+IMPORTRANGE(""https://docs.google.com/spreadsheets/d/1B0f2xJpZUC6Z0xXnqKlZtEPzsf6L84eP1r1Q15seqRM/edit?usp=sharing"",""สุโขทัย!S364"")+IMPORTRANGE(""http"&amp;"s://docs.google.com/spreadsheets/d/1v0b9pFQCsKUVExMei7AgY2yQkdeNQvtOssygGsXbiKo/edit?usp=sharing"",""อุตรดิตถ์!S364"")+IMPORTRANGE(""https://docs.google.com/spreadsheets/d/1UsNK1e-WWiCo2PvGqdNfdme4m17_Ezd3J69EeeiQPD0/edit?usp=sharing"",""อุทัยธานี!S364"")"),0)</f>
        <v>0</v>
      </c>
      <c r="T364" s="46">
        <f t="shared" ca="1" si="270"/>
        <v>0</v>
      </c>
      <c r="U364" s="46">
        <f t="shared" ca="1" si="271"/>
        <v>0</v>
      </c>
    </row>
    <row r="365" spans="1:21" ht="19.5" x14ac:dyDescent="0.3">
      <c r="A365" s="211"/>
      <c r="B365" s="212"/>
      <c r="C365" s="214"/>
      <c r="D365" s="306" t="s">
        <v>149</v>
      </c>
      <c r="E365" s="214"/>
      <c r="F365" s="214"/>
      <c r="G365" s="215"/>
      <c r="H365" s="223" t="s">
        <v>35</v>
      </c>
      <c r="I365" s="217">
        <f t="shared" ref="I365:J365" ca="1" si="280">I371</f>
        <v>6265</v>
      </c>
      <c r="J365" s="217">
        <f t="shared" ca="1" si="280"/>
        <v>4873</v>
      </c>
      <c r="K365" s="218">
        <f ca="1">IF(I365&gt;0,J365*100/I365,0)</f>
        <v>77.781324820430967</v>
      </c>
      <c r="L365" s="21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140" t="s">
        <v>38</v>
      </c>
      <c r="E366" s="141"/>
      <c r="F366" s="141"/>
      <c r="G366" s="142"/>
      <c r="H366" s="143"/>
      <c r="I366" s="44"/>
      <c r="J366" s="44"/>
      <c r="K366" s="45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66">
        <f ca="1">IFERROR(__xludf.DUMMYFUNCTION("IMPORTRANGE(""https://docs.google.com/spreadsheets/d/1jTcq05yEiRwXcBMLjiodW9e4biSGYWAHcDj22rKWQ3s/edit?usp=sharing"",""กำแพงเพชร!J367"")+IMPORTRANGE(""https://docs.google.com/spreadsheets/d/1KS0zmDSZPk8KnTAbGN-Xk6MtX1YRZD0ldgdt20K4CRk/edit?usp=sharing"","&amp;"""เชียงราย!J367"")+IMPORTRANGE(""https://docs.google.com/spreadsheets/d/1rEDxBtusbi64tE0zunoIbsTVV16HeL0oJ6trHQeQ7K8/edit?usp=sharing"",""เชียงใหม่!J367"")+IMPORTRANGE(""https://docs.google.com/spreadsheets/d/1W6MnUbDkMi6xHnHko_XkFDO9kkuL6Wqyc-6OCDFjW9I/e"&amp;"dit?usp=sharing"",""ตาก!J367"")+IMPORTRANGE(""https://docs.google.com/spreadsheets/d/1IQAWArduLkta9LpYo4a_ULsyqdta6-6aDDiwpUnQT6c/edit?usp=sharing"",""นครสวรรค์!J367"")+IMPORTRANGE(""https://docs.google.com/spreadsheets/d/10s13Sk5xrltsiR-Zkbmk5DwIaDIKO8Xl"&amp;"bJAfqyT7Gvg/edit?usp=sharing"",""น่าน!J367"")+IMPORTRANGE(""https://docs.google.com/spreadsheets/d/1uu4nAn4Dbi1XREnLKKotUANlKXa7yCgRcgq8HEzQYW8/edit?usp=sharing"",""พะเยา!J367"")+IMPORTRANGE(""https://docs.google.com/spreadsheets/d/1xfJKIQxVOaPDIICqsflNlL"&amp;"u3JacTDk1FP9RH4phX7mI/edit?usp=sharing"",""พิจิตร!J367"")+IMPORTRANGE(""https://docs.google.com/spreadsheets/d/1JtRfZkJMHtEhI5RdRHxYUG4FIZHqKDpNyIuN7A1Q0_k/edit?usp=sharing"",""พิษณุโลก!J367"")+IMPORTRANGE(""https://docs.google.com/spreadsheets/d/1xlcVZWU"&amp;"Nn6SuWm0c307h32SiGkd9BaeQWlAktfD3KO8/edit?usp=sharing"",""เพชรบูรณ์!J367"")+IMPORTRANGE(""https://docs.google.com/spreadsheets/d/1lOVebEIsI9qjGXl6EX66luk7wiuP2tBaryw-wKvv4e0/edit?usp=sharing"",""แพร่!J367"")+IMPORTRANGE(""https://docs.google.com/spreadshe"&amp;"ets/d/1dQrvX0vEcN7Gu0fnZ0B5S90AeR19zth4XlExFBeExMY/edit?usp=sharing"",""แม่ฮ่องสอน!J367"")+IMPORTRANGE(""https://docs.google.com/spreadsheets/d/1DY4XTNNwjluuxqdfdn6qvOSlMRrZqUtmYcZR0ttFiG4/edit?usp=sharing"",""ลำปาง!J367"")+IMPORTRANGE(""https://docs.goog"&amp;"le.com/spreadsheets/d/1ICwG78r0OFT8biBlxnBF8r7she7gNSzOvJ958PWT09c/edit?usp=sharing"",""ลำพูน!J367"")+IMPORTRANGE(""https://docs.google.com/spreadsheets/d/1B0f2xJpZUC6Z0xXnqKlZtEPzsf6L84eP1r1Q15seqRM/edit?usp=sharing"",""สุโขทัย!J367"")+IMPORTRANGE(""http"&amp;"s://docs.google.com/spreadsheets/d/1v0b9pFQCsKUVExMei7AgY2yQkdeNQvtOssygGsXbiKo/edit?usp=sharing"",""อุตรดิตถ์!J367"")+IMPORTRANGE(""https://docs.google.com/spreadsheets/d/1UsNK1e-WWiCo2PvGqdNfdme4m17_Ezd3J69EeeiQPD0/edit?usp=sharing"",""อุทัยธานี!J367"")"),2359)</f>
        <v>2359</v>
      </c>
      <c r="K367" s="46">
        <f t="shared" ref="K367:K372" si="281">IF(I367&gt;0,J367*100/I367,0)</f>
        <v>0</v>
      </c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66">
        <f ca="1">IFERROR(__xludf.DUMMYFUNCTION("IMPORTRANGE(""https://docs.google.com/spreadsheets/d/1jTcq05yEiRwXcBMLjiodW9e4biSGYWAHcDj22rKWQ3s/edit?usp=sharing"",""กำแพงเพชร!I368"")+IMPORTRANGE(""https://docs.google.com/spreadsheets/d/1KS0zmDSZPk8KnTAbGN-Xk6MtX1YRZD0ldgdt20K4CRk/edit?usp=sharing"","&amp;"""เชียงราย!I368"")+IMPORTRANGE(""https://docs.google.com/spreadsheets/d/1rEDxBtusbi64tE0zunoIbsTVV16HeL0oJ6trHQeQ7K8/edit?usp=sharing"",""เชียงใหม่!I368"")+IMPORTRANGE(""https://docs.google.com/spreadsheets/d/1W6MnUbDkMi6xHnHko_XkFDO9kkuL6Wqyc-6OCDFjW9I/e"&amp;"dit?usp=sharing"",""ตาก!I368"")+IMPORTRANGE(""https://docs.google.com/spreadsheets/d/1IQAWArduLkta9LpYo4a_ULsyqdta6-6aDDiwpUnQT6c/edit?usp=sharing"",""นครสวรรค์!I368"")+IMPORTRANGE(""https://docs.google.com/spreadsheets/d/10s13Sk5xrltsiR-Zkbmk5DwIaDIKO8Xl"&amp;"bJAfqyT7Gvg/edit?usp=sharing"",""น่าน!I368"")+IMPORTRANGE(""https://docs.google.com/spreadsheets/d/1uu4nAn4Dbi1XREnLKKotUANlKXa7yCgRcgq8HEzQYW8/edit?usp=sharing"",""พะเยา!I368"")+IMPORTRANGE(""https://docs.google.com/spreadsheets/d/1xfJKIQxVOaPDIICqsflNlL"&amp;"u3JacTDk1FP9RH4phX7mI/edit?usp=sharing"",""พิจิตร!I368"")+IMPORTRANGE(""https://docs.google.com/spreadsheets/d/1JtRfZkJMHtEhI5RdRHxYUG4FIZHqKDpNyIuN7A1Q0_k/edit?usp=sharing"",""พิษณุโลก!I368"")+IMPORTRANGE(""https://docs.google.com/spreadsheets/d/1xlcVZWU"&amp;"Nn6SuWm0c307h32SiGkd9BaeQWlAktfD3KO8/edit?usp=sharing"",""เพชรบูรณ์!I368"")+IMPORTRANGE(""https://docs.google.com/spreadsheets/d/1lOVebEIsI9qjGXl6EX66luk7wiuP2tBaryw-wKvv4e0/edit?usp=sharing"",""แพร่!I368"")+IMPORTRANGE(""https://docs.google.com/spreadshe"&amp;"ets/d/1dQrvX0vEcN7Gu0fnZ0B5S90AeR19zth4XlExFBeExMY/edit?usp=sharing"",""แม่ฮ่องสอน!I368"")+IMPORTRANGE(""https://docs.google.com/spreadsheets/d/1DY4XTNNwjluuxqdfdn6qvOSlMRrZqUtmYcZR0ttFiG4/edit?usp=sharing"",""ลำปาง!I368"")+IMPORTRANGE(""https://docs.goog"&amp;"le.com/spreadsheets/d/1ICwG78r0OFT8biBlxnBF8r7she7gNSzOvJ958PWT09c/edit?usp=sharing"",""ลำพูน!I368"")+IMPORTRANGE(""https://docs.google.com/spreadsheets/d/1B0f2xJpZUC6Z0xXnqKlZtEPzsf6L84eP1r1Q15seqRM/edit?usp=sharing"",""สุโขทัย!I368"")+IMPORTRANGE(""http"&amp;"s://docs.google.com/spreadsheets/d/1v0b9pFQCsKUVExMei7AgY2yQkdeNQvtOssygGsXbiKo/edit?usp=sharing"",""อุตรดิตถ์!I368"")+IMPORTRANGE(""https://docs.google.com/spreadsheets/d/1UsNK1e-WWiCo2PvGqdNfdme4m17_Ezd3J69EeeiQPD0/edit?usp=sharing"",""อุทัยธานี!I368"")"),14490)</f>
        <v>14490</v>
      </c>
      <c r="J368" s="166">
        <f ca="1">IFERROR(__xludf.DUMMYFUNCTION("IMPORTRANGE(""https://docs.google.com/spreadsheets/d/1jTcq05yEiRwXcBMLjiodW9e4biSGYWAHcDj22rKWQ3s/edit?usp=sharing"",""กำแพงเพชร!J368"")+IMPORTRANGE(""https://docs.google.com/spreadsheets/d/1KS0zmDSZPk8KnTAbGN-Xk6MtX1YRZD0ldgdt20K4CRk/edit?usp=sharing"","&amp;"""เชียงราย!J368"")+IMPORTRANGE(""https://docs.google.com/spreadsheets/d/1rEDxBtusbi64tE0zunoIbsTVV16HeL0oJ6trHQeQ7K8/edit?usp=sharing"",""เชียงใหม่!J368"")+IMPORTRANGE(""https://docs.google.com/spreadsheets/d/1W6MnUbDkMi6xHnHko_XkFDO9kkuL6Wqyc-6OCDFjW9I/e"&amp;"dit?usp=sharing"",""ตาก!J368"")+IMPORTRANGE(""https://docs.google.com/spreadsheets/d/1IQAWArduLkta9LpYo4a_ULsyqdta6-6aDDiwpUnQT6c/edit?usp=sharing"",""นครสวรรค์!J368"")+IMPORTRANGE(""https://docs.google.com/spreadsheets/d/10s13Sk5xrltsiR-Zkbmk5DwIaDIKO8Xl"&amp;"bJAfqyT7Gvg/edit?usp=sharing"",""น่าน!J368"")+IMPORTRANGE(""https://docs.google.com/spreadsheets/d/1uu4nAn4Dbi1XREnLKKotUANlKXa7yCgRcgq8HEzQYW8/edit?usp=sharing"",""พะเยา!J368"")+IMPORTRANGE(""https://docs.google.com/spreadsheets/d/1xfJKIQxVOaPDIICqsflNlL"&amp;"u3JacTDk1FP9RH4phX7mI/edit?usp=sharing"",""พิจิตร!J368"")+IMPORTRANGE(""https://docs.google.com/spreadsheets/d/1JtRfZkJMHtEhI5RdRHxYUG4FIZHqKDpNyIuN7A1Q0_k/edit?usp=sharing"",""พิษณุโลก!J368"")+IMPORTRANGE(""https://docs.google.com/spreadsheets/d/1xlcVZWU"&amp;"Nn6SuWm0c307h32SiGkd9BaeQWlAktfD3KO8/edit?usp=sharing"",""เพชรบูรณ์!J368"")+IMPORTRANGE(""https://docs.google.com/spreadsheets/d/1lOVebEIsI9qjGXl6EX66luk7wiuP2tBaryw-wKvv4e0/edit?usp=sharing"",""แพร่!J368"")+IMPORTRANGE(""https://docs.google.com/spreadshe"&amp;"ets/d/1dQrvX0vEcN7Gu0fnZ0B5S90AeR19zth4XlExFBeExMY/edit?usp=sharing"",""แม่ฮ่องสอน!J368"")+IMPORTRANGE(""https://docs.google.com/spreadsheets/d/1DY4XTNNwjluuxqdfdn6qvOSlMRrZqUtmYcZR0ttFiG4/edit?usp=sharing"",""ลำปาง!J368"")+IMPORTRANGE(""https://docs.goog"&amp;"le.com/spreadsheets/d/1ICwG78r0OFT8biBlxnBF8r7she7gNSzOvJ958PWT09c/edit?usp=sharing"",""ลำพูน!J368"")+IMPORTRANGE(""https://docs.google.com/spreadsheets/d/1B0f2xJpZUC6Z0xXnqKlZtEPzsf6L84eP1r1Q15seqRM/edit?usp=sharing"",""สุโขทัย!J368"")+IMPORTRANGE(""http"&amp;"s://docs.google.com/spreadsheets/d/1v0b9pFQCsKUVExMei7AgY2yQkdeNQvtOssygGsXbiKo/edit?usp=sharing"",""อุตรดิตถ์!J368"")+IMPORTRANGE(""https://docs.google.com/spreadsheets/d/1UsNK1e-WWiCo2PvGqdNfdme4m17_Ezd3J69EeeiQPD0/edit?usp=sharing"",""อุทัยธานี!J368"")"),16434.48)</f>
        <v>16434.48</v>
      </c>
      <c r="K368" s="46">
        <f t="shared" ca="1" si="281"/>
        <v>113.41946169772257</v>
      </c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66">
        <f ca="1">IFERROR(__xludf.DUMMYFUNCTION("IMPORTRANGE(""https://docs.google.com/spreadsheets/d/1jTcq05yEiRwXcBMLjiodW9e4biSGYWAHcDj22rKWQ3s/edit?usp=sharing"",""กำแพงเพชร!I369"")+IMPORTRANGE(""https://docs.google.com/spreadsheets/d/1KS0zmDSZPk8KnTAbGN-Xk6MtX1YRZD0ldgdt20K4CRk/edit?usp=sharing"","&amp;"""เชียงราย!I369"")+IMPORTRANGE(""https://docs.google.com/spreadsheets/d/1rEDxBtusbi64tE0zunoIbsTVV16HeL0oJ6trHQeQ7K8/edit?usp=sharing"",""เชียงใหม่!I369"")+IMPORTRANGE(""https://docs.google.com/spreadsheets/d/1W6MnUbDkMi6xHnHko_XkFDO9kkuL6Wqyc-6OCDFjW9I/e"&amp;"dit?usp=sharing"",""ตาก!I369"")+IMPORTRANGE(""https://docs.google.com/spreadsheets/d/1IQAWArduLkta9LpYo4a_ULsyqdta6-6aDDiwpUnQT6c/edit?usp=sharing"",""นครสวรรค์!I369"")+IMPORTRANGE(""https://docs.google.com/spreadsheets/d/10s13Sk5xrltsiR-Zkbmk5DwIaDIKO8Xl"&amp;"bJAfqyT7Gvg/edit?usp=sharing"",""น่าน!I369"")+IMPORTRANGE(""https://docs.google.com/spreadsheets/d/1uu4nAn4Dbi1XREnLKKotUANlKXa7yCgRcgq8HEzQYW8/edit?usp=sharing"",""พะเยา!I369"")+IMPORTRANGE(""https://docs.google.com/spreadsheets/d/1xfJKIQxVOaPDIICqsflNlL"&amp;"u3JacTDk1FP9RH4phX7mI/edit?usp=sharing"",""พิจิตร!I369"")+IMPORTRANGE(""https://docs.google.com/spreadsheets/d/1JtRfZkJMHtEhI5RdRHxYUG4FIZHqKDpNyIuN7A1Q0_k/edit?usp=sharing"",""พิษณุโลก!I369"")+IMPORTRANGE(""https://docs.google.com/spreadsheets/d/1xlcVZWU"&amp;"Nn6SuWm0c307h32SiGkd9BaeQWlAktfD3KO8/edit?usp=sharing"",""เพชรบูรณ์!I369"")+IMPORTRANGE(""https://docs.google.com/spreadsheets/d/1lOVebEIsI9qjGXl6EX66luk7wiuP2tBaryw-wKvv4e0/edit?usp=sharing"",""แพร่!I369"")+IMPORTRANGE(""https://docs.google.com/spreadshe"&amp;"ets/d/1dQrvX0vEcN7Gu0fnZ0B5S90AeR19zth4XlExFBeExMY/edit?usp=sharing"",""แม่ฮ่องสอน!I369"")+IMPORTRANGE(""https://docs.google.com/spreadsheets/d/1DY4XTNNwjluuxqdfdn6qvOSlMRrZqUtmYcZR0ttFiG4/edit?usp=sharing"",""ลำปาง!I369"")+IMPORTRANGE(""https://docs.goog"&amp;"le.com/spreadsheets/d/1ICwG78r0OFT8biBlxnBF8r7she7gNSzOvJ958PWT09c/edit?usp=sharing"",""ลำพูน!I369"")+IMPORTRANGE(""https://docs.google.com/spreadsheets/d/1B0f2xJpZUC6Z0xXnqKlZtEPzsf6L84eP1r1Q15seqRM/edit?usp=sharing"",""สุโขทัย!I369"")+IMPORTRANGE(""http"&amp;"s://docs.google.com/spreadsheets/d/1v0b9pFQCsKUVExMei7AgY2yQkdeNQvtOssygGsXbiKo/edit?usp=sharing"",""อุตรดิตถ์!I369"")+IMPORTRANGE(""https://docs.google.com/spreadsheets/d/1UsNK1e-WWiCo2PvGqdNfdme4m17_Ezd3J69EeeiQPD0/edit?usp=sharing"",""อุทัยธานี!I369"")"),6265)</f>
        <v>6265</v>
      </c>
      <c r="J369" s="166">
        <f ca="1">IFERROR(__xludf.DUMMYFUNCTION("IMPORTRANGE(""https://docs.google.com/spreadsheets/d/1jTcq05yEiRwXcBMLjiodW9e4biSGYWAHcDj22rKWQ3s/edit?usp=sharing"",""กำแพงเพชร!J369"")+IMPORTRANGE(""https://docs.google.com/spreadsheets/d/1KS0zmDSZPk8KnTAbGN-Xk6MtX1YRZD0ldgdt20K4CRk/edit?usp=sharing"","&amp;"""เชียงราย!J369"")+IMPORTRANGE(""https://docs.google.com/spreadsheets/d/1rEDxBtusbi64tE0zunoIbsTVV16HeL0oJ6trHQeQ7K8/edit?usp=sharing"",""เชียงใหม่!J369"")+IMPORTRANGE(""https://docs.google.com/spreadsheets/d/1W6MnUbDkMi6xHnHko_XkFDO9kkuL6Wqyc-6OCDFjW9I/e"&amp;"dit?usp=sharing"",""ตาก!J369"")+IMPORTRANGE(""https://docs.google.com/spreadsheets/d/1IQAWArduLkta9LpYo4a_ULsyqdta6-6aDDiwpUnQT6c/edit?usp=sharing"",""นครสวรรค์!J369"")+IMPORTRANGE(""https://docs.google.com/spreadsheets/d/10s13Sk5xrltsiR-Zkbmk5DwIaDIKO8Xl"&amp;"bJAfqyT7Gvg/edit?usp=sharing"",""น่าน!J369"")+IMPORTRANGE(""https://docs.google.com/spreadsheets/d/1uu4nAn4Dbi1XREnLKKotUANlKXa7yCgRcgq8HEzQYW8/edit?usp=sharing"",""พะเยา!J369"")+IMPORTRANGE(""https://docs.google.com/spreadsheets/d/1xfJKIQxVOaPDIICqsflNlL"&amp;"u3JacTDk1FP9RH4phX7mI/edit?usp=sharing"",""พิจิตร!J369"")+IMPORTRANGE(""https://docs.google.com/spreadsheets/d/1JtRfZkJMHtEhI5RdRHxYUG4FIZHqKDpNyIuN7A1Q0_k/edit?usp=sharing"",""พิษณุโลก!J369"")+IMPORTRANGE(""https://docs.google.com/spreadsheets/d/1xlcVZWU"&amp;"Nn6SuWm0c307h32SiGkd9BaeQWlAktfD3KO8/edit?usp=sharing"",""เพชรบูรณ์!J369"")+IMPORTRANGE(""https://docs.google.com/spreadsheets/d/1lOVebEIsI9qjGXl6EX66luk7wiuP2tBaryw-wKvv4e0/edit?usp=sharing"",""แพร่!J369"")+IMPORTRANGE(""https://docs.google.com/spreadshe"&amp;"ets/d/1dQrvX0vEcN7Gu0fnZ0B5S90AeR19zth4XlExFBeExMY/edit?usp=sharing"",""แม่ฮ่องสอน!J369"")+IMPORTRANGE(""https://docs.google.com/spreadsheets/d/1DY4XTNNwjluuxqdfdn6qvOSlMRrZqUtmYcZR0ttFiG4/edit?usp=sharing"",""ลำปาง!J369"")+IMPORTRANGE(""https://docs.goog"&amp;"le.com/spreadsheets/d/1ICwG78r0OFT8biBlxnBF8r7she7gNSzOvJ958PWT09c/edit?usp=sharing"",""ลำพูน!J369"")+IMPORTRANGE(""https://docs.google.com/spreadsheets/d/1B0f2xJpZUC6Z0xXnqKlZtEPzsf6L84eP1r1Q15seqRM/edit?usp=sharing"",""สุโขทัย!J369"")+IMPORTRANGE(""http"&amp;"s://docs.google.com/spreadsheets/d/1v0b9pFQCsKUVExMei7AgY2yQkdeNQvtOssygGsXbiKo/edit?usp=sharing"",""อุตรดิตถ์!J369"")+IMPORTRANGE(""https://docs.google.com/spreadsheets/d/1UsNK1e-WWiCo2PvGqdNfdme4m17_Ezd3J69EeeiQPD0/edit?usp=sharing"",""อุทัยธานี!J369"")"),5682)</f>
        <v>5682</v>
      </c>
      <c r="K369" s="46">
        <f t="shared" ca="1" si="281"/>
        <v>90.694333599361528</v>
      </c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166">
        <f ca="1">IFERROR(__xludf.DUMMYFUNCTION("IMPORTRANGE(""https://docs.google.com/spreadsheets/d/1jTcq05yEiRwXcBMLjiodW9e4biSGYWAHcDj22rKWQ3s/edit?usp=sharing"",""กำแพงเพชร!J370"")+IMPORTRANGE(""https://docs.google.com/spreadsheets/d/1KS0zmDSZPk8KnTAbGN-Xk6MtX1YRZD0ldgdt20K4CRk/edit?usp=sharing"","&amp;"""เชียงราย!J370"")+IMPORTRANGE(""https://docs.google.com/spreadsheets/d/1rEDxBtusbi64tE0zunoIbsTVV16HeL0oJ6trHQeQ7K8/edit?usp=sharing"",""เชียงใหม่!J370"")+IMPORTRANGE(""https://docs.google.com/spreadsheets/d/1W6MnUbDkMi6xHnHko_XkFDO9kkuL6Wqyc-6OCDFjW9I/e"&amp;"dit?usp=sharing"",""ตาก!J370"")+IMPORTRANGE(""https://docs.google.com/spreadsheets/d/1IQAWArduLkta9LpYo4a_ULsyqdta6-6aDDiwpUnQT6c/edit?usp=sharing"",""นครสวรรค์!J370"")+IMPORTRANGE(""https://docs.google.com/spreadsheets/d/10s13Sk5xrltsiR-Zkbmk5DwIaDIKO8Xl"&amp;"bJAfqyT7Gvg/edit?usp=sharing"",""น่าน!J370"")+IMPORTRANGE(""https://docs.google.com/spreadsheets/d/1uu4nAn4Dbi1XREnLKKotUANlKXa7yCgRcgq8HEzQYW8/edit?usp=sharing"",""พะเยา!J370"")+IMPORTRANGE(""https://docs.google.com/spreadsheets/d/1xfJKIQxVOaPDIICqsflNlL"&amp;"u3JacTDk1FP9RH4phX7mI/edit?usp=sharing"",""พิจิตร!J370"")+IMPORTRANGE(""https://docs.google.com/spreadsheets/d/1JtRfZkJMHtEhI5RdRHxYUG4FIZHqKDpNyIuN7A1Q0_k/edit?usp=sharing"",""พิษณุโลก!J370"")+IMPORTRANGE(""https://docs.google.com/spreadsheets/d/1xlcVZWU"&amp;"Nn6SuWm0c307h32SiGkd9BaeQWlAktfD3KO8/edit?usp=sharing"",""เพชรบูรณ์!J370"")+IMPORTRANGE(""https://docs.google.com/spreadsheets/d/1lOVebEIsI9qjGXl6EX66luk7wiuP2tBaryw-wKvv4e0/edit?usp=sharing"",""แพร่!J370"")+IMPORTRANGE(""https://docs.google.com/spreadshe"&amp;"ets/d/1dQrvX0vEcN7Gu0fnZ0B5S90AeR19zth4XlExFBeExMY/edit?usp=sharing"",""แม่ฮ่องสอน!J370"")+IMPORTRANGE(""https://docs.google.com/spreadsheets/d/1DY4XTNNwjluuxqdfdn6qvOSlMRrZqUtmYcZR0ttFiG4/edit?usp=sharing"",""ลำปาง!J370"")+IMPORTRANGE(""https://docs.goog"&amp;"le.com/spreadsheets/d/1ICwG78r0OFT8biBlxnBF8r7she7gNSzOvJ958PWT09c/edit?usp=sharing"",""ลำพูน!J370"")+IMPORTRANGE(""https://docs.google.com/spreadsheets/d/1B0f2xJpZUC6Z0xXnqKlZtEPzsf6L84eP1r1Q15seqRM/edit?usp=sharing"",""สุโขทัย!J370"")+IMPORTRANGE(""http"&amp;"s://docs.google.com/spreadsheets/d/1v0b9pFQCsKUVExMei7AgY2yQkdeNQvtOssygGsXbiKo/edit?usp=sharing"",""อุตรดิตถ์!J370"")+IMPORTRANGE(""https://docs.google.com/spreadsheets/d/1UsNK1e-WWiCo2PvGqdNfdme4m17_Ezd3J69EeeiQPD0/edit?usp=sharing"",""อุทัยธานี!J370"")"),60460.4399999999)</f>
        <v>60460.4399999999</v>
      </c>
      <c r="K370" s="46">
        <f t="shared" si="281"/>
        <v>0</v>
      </c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66">
        <f ca="1">IFERROR(__xludf.DUMMYFUNCTION("IMPORTRANGE(""https://docs.google.com/spreadsheets/d/1jTcq05yEiRwXcBMLjiodW9e4biSGYWAHcDj22rKWQ3s/edit?usp=sharing"",""กำแพงเพชร!I371"")+IMPORTRANGE(""https://docs.google.com/spreadsheets/d/1KS0zmDSZPk8KnTAbGN-Xk6MtX1YRZD0ldgdt20K4CRk/edit?usp=sharing"","&amp;"""เชียงราย!I371"")+IMPORTRANGE(""https://docs.google.com/spreadsheets/d/1rEDxBtusbi64tE0zunoIbsTVV16HeL0oJ6trHQeQ7K8/edit?usp=sharing"",""เชียงใหม่!I371"")+IMPORTRANGE(""https://docs.google.com/spreadsheets/d/1W6MnUbDkMi6xHnHko_XkFDO9kkuL6Wqyc-6OCDFjW9I/e"&amp;"dit?usp=sharing"",""ตาก!I371"")+IMPORTRANGE(""https://docs.google.com/spreadsheets/d/1IQAWArduLkta9LpYo4a_ULsyqdta6-6aDDiwpUnQT6c/edit?usp=sharing"",""นครสวรรค์!I371"")+IMPORTRANGE(""https://docs.google.com/spreadsheets/d/10s13Sk5xrltsiR-Zkbmk5DwIaDIKO8Xl"&amp;"bJAfqyT7Gvg/edit?usp=sharing"",""น่าน!I371"")+IMPORTRANGE(""https://docs.google.com/spreadsheets/d/1uu4nAn4Dbi1XREnLKKotUANlKXa7yCgRcgq8HEzQYW8/edit?usp=sharing"",""พะเยา!I371"")+IMPORTRANGE(""https://docs.google.com/spreadsheets/d/1xfJKIQxVOaPDIICqsflNlL"&amp;"u3JacTDk1FP9RH4phX7mI/edit?usp=sharing"",""พิจิตร!I371"")+IMPORTRANGE(""https://docs.google.com/spreadsheets/d/1JtRfZkJMHtEhI5RdRHxYUG4FIZHqKDpNyIuN7A1Q0_k/edit?usp=sharing"",""พิษณุโลก!I371"")+IMPORTRANGE(""https://docs.google.com/spreadsheets/d/1xlcVZWU"&amp;"Nn6SuWm0c307h32SiGkd9BaeQWlAktfD3KO8/edit?usp=sharing"",""เพชรบูรณ์!I371"")+IMPORTRANGE(""https://docs.google.com/spreadsheets/d/1lOVebEIsI9qjGXl6EX66luk7wiuP2tBaryw-wKvv4e0/edit?usp=sharing"",""แพร่!I371"")+IMPORTRANGE(""https://docs.google.com/spreadshe"&amp;"ets/d/1dQrvX0vEcN7Gu0fnZ0B5S90AeR19zth4XlExFBeExMY/edit?usp=sharing"",""แม่ฮ่องสอน!I371"")+IMPORTRANGE(""https://docs.google.com/spreadsheets/d/1DY4XTNNwjluuxqdfdn6qvOSlMRrZqUtmYcZR0ttFiG4/edit?usp=sharing"",""ลำปาง!I371"")+IMPORTRANGE(""https://docs.goog"&amp;"le.com/spreadsheets/d/1ICwG78r0OFT8biBlxnBF8r7she7gNSzOvJ958PWT09c/edit?usp=sharing"",""ลำพูน!I371"")+IMPORTRANGE(""https://docs.google.com/spreadsheets/d/1B0f2xJpZUC6Z0xXnqKlZtEPzsf6L84eP1r1Q15seqRM/edit?usp=sharing"",""สุโขทัย!I371"")+IMPORTRANGE(""http"&amp;"s://docs.google.com/spreadsheets/d/1v0b9pFQCsKUVExMei7AgY2yQkdeNQvtOssygGsXbiKo/edit?usp=sharing"",""อุตรดิตถ์!I371"")+IMPORTRANGE(""https://docs.google.com/spreadsheets/d/1UsNK1e-WWiCo2PvGqdNfdme4m17_Ezd3J69EeeiQPD0/edit?usp=sharing"",""อุทัยธานี!I371"")"),6265)</f>
        <v>6265</v>
      </c>
      <c r="J371" s="166">
        <f ca="1">IFERROR(__xludf.DUMMYFUNCTION("IMPORTRANGE(""https://docs.google.com/spreadsheets/d/1jTcq05yEiRwXcBMLjiodW9e4biSGYWAHcDj22rKWQ3s/edit?usp=sharing"",""กำแพงเพชร!J371"")+IMPORTRANGE(""https://docs.google.com/spreadsheets/d/1KS0zmDSZPk8KnTAbGN-Xk6MtX1YRZD0ldgdt20K4CRk/edit?usp=sharing"","&amp;"""เชียงราย!J371"")+IMPORTRANGE(""https://docs.google.com/spreadsheets/d/1rEDxBtusbi64tE0zunoIbsTVV16HeL0oJ6trHQeQ7K8/edit?usp=sharing"",""เชียงใหม่!J371"")+IMPORTRANGE(""https://docs.google.com/spreadsheets/d/1W6MnUbDkMi6xHnHko_XkFDO9kkuL6Wqyc-6OCDFjW9I/e"&amp;"dit?usp=sharing"",""ตาก!J371"")+IMPORTRANGE(""https://docs.google.com/spreadsheets/d/1IQAWArduLkta9LpYo4a_ULsyqdta6-6aDDiwpUnQT6c/edit?usp=sharing"",""นครสวรรค์!J371"")+IMPORTRANGE(""https://docs.google.com/spreadsheets/d/10s13Sk5xrltsiR-Zkbmk5DwIaDIKO8Xl"&amp;"bJAfqyT7Gvg/edit?usp=sharing"",""น่าน!J371"")+IMPORTRANGE(""https://docs.google.com/spreadsheets/d/1uu4nAn4Dbi1XREnLKKotUANlKXa7yCgRcgq8HEzQYW8/edit?usp=sharing"",""พะเยา!J371"")+IMPORTRANGE(""https://docs.google.com/spreadsheets/d/1xfJKIQxVOaPDIICqsflNlL"&amp;"u3JacTDk1FP9RH4phX7mI/edit?usp=sharing"",""พิจิตร!J371"")+IMPORTRANGE(""https://docs.google.com/spreadsheets/d/1JtRfZkJMHtEhI5RdRHxYUG4FIZHqKDpNyIuN7A1Q0_k/edit?usp=sharing"",""พิษณุโลก!J371"")+IMPORTRANGE(""https://docs.google.com/spreadsheets/d/1xlcVZWU"&amp;"Nn6SuWm0c307h32SiGkd9BaeQWlAktfD3KO8/edit?usp=sharing"",""เพชรบูรณ์!J371"")+IMPORTRANGE(""https://docs.google.com/spreadsheets/d/1lOVebEIsI9qjGXl6EX66luk7wiuP2tBaryw-wKvv4e0/edit?usp=sharing"",""แพร่!J371"")+IMPORTRANGE(""https://docs.google.com/spreadshe"&amp;"ets/d/1dQrvX0vEcN7Gu0fnZ0B5S90AeR19zth4XlExFBeExMY/edit?usp=sharing"",""แม่ฮ่องสอน!J371"")+IMPORTRANGE(""https://docs.google.com/spreadsheets/d/1DY4XTNNwjluuxqdfdn6qvOSlMRrZqUtmYcZR0ttFiG4/edit?usp=sharing"",""ลำปาง!J371"")+IMPORTRANGE(""https://docs.goog"&amp;"le.com/spreadsheets/d/1ICwG78r0OFT8biBlxnBF8r7she7gNSzOvJ958PWT09c/edit?usp=sharing"",""ลำพูน!J371"")+IMPORTRANGE(""https://docs.google.com/spreadsheets/d/1B0f2xJpZUC6Z0xXnqKlZtEPzsf6L84eP1r1Q15seqRM/edit?usp=sharing"",""สุโขทัย!J371"")+IMPORTRANGE(""http"&amp;"s://docs.google.com/spreadsheets/d/1v0b9pFQCsKUVExMei7AgY2yQkdeNQvtOssygGsXbiKo/edit?usp=sharing"",""อุตรดิตถ์!J371"")+IMPORTRANGE(""https://docs.google.com/spreadsheets/d/1UsNK1e-WWiCo2PvGqdNfdme4m17_Ezd3J69EeeiQPD0/edit?usp=sharing"",""อุทัยธานี!J371"")"),4873)</f>
        <v>4873</v>
      </c>
      <c r="K371" s="46">
        <f t="shared" ca="1" si="281"/>
        <v>77.781324820430967</v>
      </c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166">
        <f ca="1">IFERROR(__xludf.DUMMYFUNCTION("IMPORTRANGE(""https://docs.google.com/spreadsheets/d/1jTcq05yEiRwXcBMLjiodW9e4biSGYWAHcDj22rKWQ3s/edit?usp=sharing"",""กำแพงเพชร!J372"")+IMPORTRANGE(""https://docs.google.com/spreadsheets/d/1KS0zmDSZPk8KnTAbGN-Xk6MtX1YRZD0ldgdt20K4CRk/edit?usp=sharing"","&amp;"""เชียงราย!J372"")+IMPORTRANGE(""https://docs.google.com/spreadsheets/d/1rEDxBtusbi64tE0zunoIbsTVV16HeL0oJ6trHQeQ7K8/edit?usp=sharing"",""เชียงใหม่!J372"")+IMPORTRANGE(""https://docs.google.com/spreadsheets/d/1W6MnUbDkMi6xHnHko_XkFDO9kkuL6Wqyc-6OCDFjW9I/e"&amp;"dit?usp=sharing"",""ตาก!J372"")+IMPORTRANGE(""https://docs.google.com/spreadsheets/d/1IQAWArduLkta9LpYo4a_ULsyqdta6-6aDDiwpUnQT6c/edit?usp=sharing"",""นครสวรรค์!J372"")+IMPORTRANGE(""https://docs.google.com/spreadsheets/d/10s13Sk5xrltsiR-Zkbmk5DwIaDIKO8Xl"&amp;"bJAfqyT7Gvg/edit?usp=sharing"",""น่าน!J372"")+IMPORTRANGE(""https://docs.google.com/spreadsheets/d/1uu4nAn4Dbi1XREnLKKotUANlKXa7yCgRcgq8HEzQYW8/edit?usp=sharing"",""พะเยา!J372"")+IMPORTRANGE(""https://docs.google.com/spreadsheets/d/1xfJKIQxVOaPDIICqsflNlL"&amp;"u3JacTDk1FP9RH4phX7mI/edit?usp=sharing"",""พิจิตร!J372"")+IMPORTRANGE(""https://docs.google.com/spreadsheets/d/1JtRfZkJMHtEhI5RdRHxYUG4FIZHqKDpNyIuN7A1Q0_k/edit?usp=sharing"",""พิษณุโลก!J372"")+IMPORTRANGE(""https://docs.google.com/spreadsheets/d/1xlcVZWU"&amp;"Nn6SuWm0c307h32SiGkd9BaeQWlAktfD3KO8/edit?usp=sharing"",""เพชรบูรณ์!J372"")+IMPORTRANGE(""https://docs.google.com/spreadsheets/d/1lOVebEIsI9qjGXl6EX66luk7wiuP2tBaryw-wKvv4e0/edit?usp=sharing"",""แพร่!J372"")+IMPORTRANGE(""https://docs.google.com/spreadshe"&amp;"ets/d/1dQrvX0vEcN7Gu0fnZ0B5S90AeR19zth4XlExFBeExMY/edit?usp=sharing"",""แม่ฮ่องสอน!J372"")+IMPORTRANGE(""https://docs.google.com/spreadsheets/d/1DY4XTNNwjluuxqdfdn6qvOSlMRrZqUtmYcZR0ttFiG4/edit?usp=sharing"",""ลำปาง!J372"")+IMPORTRANGE(""https://docs.goog"&amp;"le.com/spreadsheets/d/1ICwG78r0OFT8biBlxnBF8r7she7gNSzOvJ958PWT09c/edit?usp=sharing"",""ลำพูน!J372"")+IMPORTRANGE(""https://docs.google.com/spreadsheets/d/1B0f2xJpZUC6Z0xXnqKlZtEPzsf6L84eP1r1Q15seqRM/edit?usp=sharing"",""สุโขทัย!J372"")+IMPORTRANGE(""http"&amp;"s://docs.google.com/spreadsheets/d/1v0b9pFQCsKUVExMei7AgY2yQkdeNQvtOssygGsXbiKo/edit?usp=sharing"",""อุตรดิตถ์!J372"")+IMPORTRANGE(""https://docs.google.com/spreadsheets/d/1UsNK1e-WWiCo2PvGqdNfdme4m17_Ezd3J69EeeiQPD0/edit?usp=sharing"",""อุทัยธานี!J372"")"),54013.07)</f>
        <v>54013.07</v>
      </c>
      <c r="K372" s="46">
        <f t="shared" si="281"/>
        <v>0</v>
      </c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2"/>
      <c r="H373" s="52"/>
      <c r="I373" s="54"/>
      <c r="J373" s="54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299"/>
      <c r="B374" s="310" t="s">
        <v>153</v>
      </c>
      <c r="C374" s="300"/>
      <c r="D374" s="301"/>
      <c r="E374" s="293"/>
      <c r="F374" s="293"/>
      <c r="G374" s="294"/>
      <c r="H374" s="311" t="s">
        <v>46</v>
      </c>
      <c r="I374" s="296">
        <f ca="1">I385</f>
        <v>0</v>
      </c>
      <c r="J374" s="296">
        <f ca="1">J386+J388</f>
        <v>11713.74</v>
      </c>
      <c r="K374" s="297">
        <f ca="1">IF(I374&gt;0,J374*100/I374,0)</f>
        <v>0</v>
      </c>
      <c r="L374" s="298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128"/>
      <c r="B375" s="158"/>
      <c r="C375" s="161" t="s">
        <v>18</v>
      </c>
      <c r="D375" s="312" t="s">
        <v>19</v>
      </c>
      <c r="E375" s="158"/>
      <c r="F375" s="158"/>
      <c r="G375" s="180"/>
      <c r="H375" s="131" t="s">
        <v>14</v>
      </c>
      <c r="I375" s="44"/>
      <c r="J375" s="44"/>
      <c r="K375" s="45"/>
      <c r="L375" s="132">
        <f t="shared" ref="L375:N375" ca="1" si="282">L376+L377</f>
        <v>0</v>
      </c>
      <c r="M375" s="132">
        <f t="shared" ca="1" si="282"/>
        <v>0</v>
      </c>
      <c r="N375" s="132">
        <f t="shared" ca="1" si="282"/>
        <v>0</v>
      </c>
      <c r="O375" s="132">
        <f t="shared" ref="O375:O383" ca="1" si="283">IF(L375&gt;0,N375*100/L375,0)</f>
        <v>0</v>
      </c>
      <c r="P375" s="132">
        <f t="shared" ref="P375:P383" ca="1" si="284">IF(M375&gt;0,N375*100/M375,0)</f>
        <v>0</v>
      </c>
      <c r="Q375" s="132">
        <f t="shared" ref="Q375:S375" ca="1" si="285">Q376+Q377</f>
        <v>2437500</v>
      </c>
      <c r="R375" s="132">
        <f t="shared" ca="1" si="285"/>
        <v>1812500</v>
      </c>
      <c r="S375" s="132">
        <f t="shared" ca="1" si="285"/>
        <v>0</v>
      </c>
      <c r="T375" s="132">
        <f t="shared" ref="T375:T383" ca="1" si="286">IF(Q375&gt;0,S375*100/Q375,0)</f>
        <v>0</v>
      </c>
      <c r="U375" s="132">
        <f t="shared" ref="U375:U383" ca="1" si="287">IF(R375&gt;0,S375*100/R375,0)</f>
        <v>0</v>
      </c>
    </row>
    <row r="376" spans="1:21" ht="18.75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48">
        <f t="shared" ref="L376:N376" ca="1" si="288">L379+L382</f>
        <v>0</v>
      </c>
      <c r="M376" s="48">
        <f t="shared" ca="1" si="288"/>
        <v>0</v>
      </c>
      <c r="N376" s="48">
        <f t="shared" ca="1" si="288"/>
        <v>0</v>
      </c>
      <c r="O376" s="48">
        <f t="shared" ca="1" si="283"/>
        <v>0</v>
      </c>
      <c r="P376" s="48">
        <f t="shared" ca="1" si="284"/>
        <v>0</v>
      </c>
      <c r="Q376" s="48">
        <f t="shared" ref="Q376:S376" ca="1" si="289">Q379+Q382</f>
        <v>0</v>
      </c>
      <c r="R376" s="48">
        <f t="shared" ca="1" si="289"/>
        <v>0</v>
      </c>
      <c r="S376" s="48">
        <f t="shared" ca="1" si="289"/>
        <v>0</v>
      </c>
      <c r="T376" s="48">
        <f t="shared" ca="1" si="286"/>
        <v>0</v>
      </c>
      <c r="U376" s="48">
        <f t="shared" ca="1" si="287"/>
        <v>0</v>
      </c>
    </row>
    <row r="377" spans="1:21" ht="18.75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46">
        <f t="shared" ref="L377:N377" ca="1" si="290">L380+L383</f>
        <v>0</v>
      </c>
      <c r="M377" s="46">
        <f t="shared" ca="1" si="290"/>
        <v>0</v>
      </c>
      <c r="N377" s="46">
        <f t="shared" ca="1" si="290"/>
        <v>0</v>
      </c>
      <c r="O377" s="46">
        <f t="shared" ca="1" si="283"/>
        <v>0</v>
      </c>
      <c r="P377" s="46">
        <f t="shared" ca="1" si="284"/>
        <v>0</v>
      </c>
      <c r="Q377" s="46">
        <f t="shared" ref="Q377:S377" ca="1" si="291">Q380+Q383</f>
        <v>2437500</v>
      </c>
      <c r="R377" s="46">
        <f t="shared" ca="1" si="291"/>
        <v>1812500</v>
      </c>
      <c r="S377" s="46">
        <f t="shared" ca="1" si="291"/>
        <v>0</v>
      </c>
      <c r="T377" s="46">
        <f t="shared" ca="1" si="286"/>
        <v>0</v>
      </c>
      <c r="U377" s="46">
        <f t="shared" ca="1" si="287"/>
        <v>0</v>
      </c>
    </row>
    <row r="378" spans="1:21" ht="18.75" x14ac:dyDescent="0.25">
      <c r="A378" s="128"/>
      <c r="B378" s="158"/>
      <c r="C378" s="158"/>
      <c r="D378" s="160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46">
        <f t="shared" ref="L378:N378" ca="1" si="292">L379+L380</f>
        <v>0</v>
      </c>
      <c r="M378" s="46">
        <f t="shared" ca="1" si="292"/>
        <v>0</v>
      </c>
      <c r="N378" s="46">
        <f t="shared" ca="1" si="292"/>
        <v>0</v>
      </c>
      <c r="O378" s="46">
        <f t="shared" ca="1" si="283"/>
        <v>0</v>
      </c>
      <c r="P378" s="46">
        <f t="shared" ca="1" si="284"/>
        <v>0</v>
      </c>
      <c r="Q378" s="46">
        <f t="shared" ref="Q378:S378" ca="1" si="293">Q379+Q380</f>
        <v>2437500</v>
      </c>
      <c r="R378" s="46">
        <f t="shared" ca="1" si="293"/>
        <v>1812500</v>
      </c>
      <c r="S378" s="46">
        <f t="shared" ca="1" si="293"/>
        <v>0</v>
      </c>
      <c r="T378" s="46">
        <f t="shared" ca="1" si="286"/>
        <v>0</v>
      </c>
      <c r="U378" s="46">
        <f t="shared" ca="1" si="287"/>
        <v>0</v>
      </c>
    </row>
    <row r="379" spans="1:21" ht="18.75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48">
        <f ca="1">IFERROR(__xludf.DUMMYFUNCTION("IMPORTRANGE(""https://docs.google.com/spreadsheets/d/1jTcq05yEiRwXcBMLjiodW9e4biSGYWAHcDj22rKWQ3s/edit?usp=sharing"",""กำแพงเพชร!L379"")+IMPORTRANGE(""https://docs.google.com/spreadsheets/d/1KS0zmDSZPk8KnTAbGN-Xk6MtX1YRZD0ldgdt20K4CRk/edit?usp=sharing"","&amp;"""เชียงราย!L379"")+IMPORTRANGE(""https://docs.google.com/spreadsheets/d/1rEDxBtusbi64tE0zunoIbsTVV16HeL0oJ6trHQeQ7K8/edit?usp=sharing"",""เชียงใหม่!L379"")+IMPORTRANGE(""https://docs.google.com/spreadsheets/d/1W6MnUbDkMi6xHnHko_XkFDO9kkuL6Wqyc-6OCDFjW9I/e"&amp;"dit?usp=sharing"",""ตาก!L379"")+IMPORTRANGE(""https://docs.google.com/spreadsheets/d/1IQAWArduLkta9LpYo4a_ULsyqdta6-6aDDiwpUnQT6c/edit?usp=sharing"",""นครสวรรค์!L379"")+IMPORTRANGE(""https://docs.google.com/spreadsheets/d/10s13Sk5xrltsiR-Zkbmk5DwIaDIKO8Xl"&amp;"bJAfqyT7Gvg/edit?usp=sharing"",""น่าน!L379"")+IMPORTRANGE(""https://docs.google.com/spreadsheets/d/1uu4nAn4Dbi1XREnLKKotUANlKXa7yCgRcgq8HEzQYW8/edit?usp=sharing"",""พะเยา!L379"")+IMPORTRANGE(""https://docs.google.com/spreadsheets/d/1xfJKIQxVOaPDIICqsflNlL"&amp;"u3JacTDk1FP9RH4phX7mI/edit?usp=sharing"",""พิจิตร!L379"")+IMPORTRANGE(""https://docs.google.com/spreadsheets/d/1JtRfZkJMHtEhI5RdRHxYUG4FIZHqKDpNyIuN7A1Q0_k/edit?usp=sharing"",""พิษณุโลก!L379"")+IMPORTRANGE(""https://docs.google.com/spreadsheets/d/1xlcVZWU"&amp;"Nn6SuWm0c307h32SiGkd9BaeQWlAktfD3KO8/edit?usp=sharing"",""เพชรบูรณ์!L379"")+IMPORTRANGE(""https://docs.google.com/spreadsheets/d/1lOVebEIsI9qjGXl6EX66luk7wiuP2tBaryw-wKvv4e0/edit?usp=sharing"",""แพร่!L379"")+IMPORTRANGE(""https://docs.google.com/spreadshe"&amp;"ets/d/1dQrvX0vEcN7Gu0fnZ0B5S90AeR19zth4XlExFBeExMY/edit?usp=sharing"",""แม่ฮ่องสอน!L379"")+IMPORTRANGE(""https://docs.google.com/spreadsheets/d/1DY4XTNNwjluuxqdfdn6qvOSlMRrZqUtmYcZR0ttFiG4/edit?usp=sharing"",""ลำปาง!L379"")+IMPORTRANGE(""https://docs.goog"&amp;"le.com/spreadsheets/d/1ICwG78r0OFT8biBlxnBF8r7she7gNSzOvJ958PWT09c/edit?usp=sharing"",""ลำพูน!L379"")+IMPORTRANGE(""https://docs.google.com/spreadsheets/d/1B0f2xJpZUC6Z0xXnqKlZtEPzsf6L84eP1r1Q15seqRM/edit?usp=sharing"",""สุโขทัย!L379"")+IMPORTRANGE(""http"&amp;"s://docs.google.com/spreadsheets/d/1v0b9pFQCsKUVExMei7AgY2yQkdeNQvtOssygGsXbiKo/edit?usp=sharing"",""อุตรดิตถ์!L379"")+IMPORTRANGE(""https://docs.google.com/spreadsheets/d/1UsNK1e-WWiCo2PvGqdNfdme4m17_Ezd3J69EeeiQPD0/edit?usp=sharing"",""อุทัยธานี!L379"")"),0)</f>
        <v>0</v>
      </c>
      <c r="M379" s="48">
        <f ca="1">IFERROR(__xludf.DUMMYFUNCTION("IMPORTRANGE(""https://docs.google.com/spreadsheets/d/1jTcq05yEiRwXcBMLjiodW9e4biSGYWAHcDj22rKWQ3s/edit?usp=sharing"",""กำแพงเพชร!M379"")+IMPORTRANGE(""https://docs.google.com/spreadsheets/d/1KS0zmDSZPk8KnTAbGN-Xk6MtX1YRZD0ldgdt20K4CRk/edit?usp=sharing"","&amp;"""เชียงราย!M379"")+IMPORTRANGE(""https://docs.google.com/spreadsheets/d/1rEDxBtusbi64tE0zunoIbsTVV16HeL0oJ6trHQeQ7K8/edit?usp=sharing"",""เชียงใหม่!M379"")+IMPORTRANGE(""https://docs.google.com/spreadsheets/d/1W6MnUbDkMi6xHnHko_XkFDO9kkuL6Wqyc-6OCDFjW9I/e"&amp;"dit?usp=sharing"",""ตาก!M379"")+IMPORTRANGE(""https://docs.google.com/spreadsheets/d/1IQAWArduLkta9LpYo4a_ULsyqdta6-6aDDiwpUnQT6c/edit?usp=sharing"",""นครสวรรค์!M379"")+IMPORTRANGE(""https://docs.google.com/spreadsheets/d/10s13Sk5xrltsiR-Zkbmk5DwIaDIKO8Xl"&amp;"bJAfqyT7Gvg/edit?usp=sharing"",""น่าน!M379"")+IMPORTRANGE(""https://docs.google.com/spreadsheets/d/1uu4nAn4Dbi1XREnLKKotUANlKXa7yCgRcgq8HEzQYW8/edit?usp=sharing"",""พะเยา!M379"")+IMPORTRANGE(""https://docs.google.com/spreadsheets/d/1xfJKIQxVOaPDIICqsflNlL"&amp;"u3JacTDk1FP9RH4phX7mI/edit?usp=sharing"",""พิจิตร!M379"")+IMPORTRANGE(""https://docs.google.com/spreadsheets/d/1JtRfZkJMHtEhI5RdRHxYUG4FIZHqKDpNyIuN7A1Q0_k/edit?usp=sharing"",""พิษณุโลก!M379"")+IMPORTRANGE(""https://docs.google.com/spreadsheets/d/1xlcVZWU"&amp;"Nn6SuWm0c307h32SiGkd9BaeQWlAktfD3KO8/edit?usp=sharing"",""เพชรบูรณ์!M379"")+IMPORTRANGE(""https://docs.google.com/spreadsheets/d/1lOVebEIsI9qjGXl6EX66luk7wiuP2tBaryw-wKvv4e0/edit?usp=sharing"",""แพร่!M379"")+IMPORTRANGE(""https://docs.google.com/spreadshe"&amp;"ets/d/1dQrvX0vEcN7Gu0fnZ0B5S90AeR19zth4XlExFBeExMY/edit?usp=sharing"",""แม่ฮ่องสอน!M379"")+IMPORTRANGE(""https://docs.google.com/spreadsheets/d/1DY4XTNNwjluuxqdfdn6qvOSlMRrZqUtmYcZR0ttFiG4/edit?usp=sharing"",""ลำปาง!M379"")+IMPORTRANGE(""https://docs.goog"&amp;"le.com/spreadsheets/d/1ICwG78r0OFT8biBlxnBF8r7she7gNSzOvJ958PWT09c/edit?usp=sharing"",""ลำพูน!M379"")+IMPORTRANGE(""https://docs.google.com/spreadsheets/d/1B0f2xJpZUC6Z0xXnqKlZtEPzsf6L84eP1r1Q15seqRM/edit?usp=sharing"",""สุโขทัย!M379"")+IMPORTRANGE(""http"&amp;"s://docs.google.com/spreadsheets/d/1v0b9pFQCsKUVExMei7AgY2yQkdeNQvtOssygGsXbiKo/edit?usp=sharing"",""อุตรดิตถ์!M379"")+IMPORTRANGE(""https://docs.google.com/spreadsheets/d/1UsNK1e-WWiCo2PvGqdNfdme4m17_Ezd3J69EeeiQPD0/edit?usp=sharing"",""อุทัยธานี!M379"")"),0)</f>
        <v>0</v>
      </c>
      <c r="N379" s="48">
        <f ca="1">IFERROR(__xludf.DUMMYFUNCTION("IMPORTRANGE(""https://docs.google.com/spreadsheets/d/1jTcq05yEiRwXcBMLjiodW9e4biSGYWAHcDj22rKWQ3s/edit?usp=sharing"",""กำแพงเพชร!N379"")+IMPORTRANGE(""https://docs.google.com/spreadsheets/d/1KS0zmDSZPk8KnTAbGN-Xk6MtX1YRZD0ldgdt20K4CRk/edit?usp=sharing"","&amp;"""เชียงราย!N379"")+IMPORTRANGE(""https://docs.google.com/spreadsheets/d/1rEDxBtusbi64tE0zunoIbsTVV16HeL0oJ6trHQeQ7K8/edit?usp=sharing"",""เชียงใหม่!N379"")+IMPORTRANGE(""https://docs.google.com/spreadsheets/d/1W6MnUbDkMi6xHnHko_XkFDO9kkuL6Wqyc-6OCDFjW9I/e"&amp;"dit?usp=sharing"",""ตาก!N379"")+IMPORTRANGE(""https://docs.google.com/spreadsheets/d/1IQAWArduLkta9LpYo4a_ULsyqdta6-6aDDiwpUnQT6c/edit?usp=sharing"",""นครสวรรค์!N379"")+IMPORTRANGE(""https://docs.google.com/spreadsheets/d/10s13Sk5xrltsiR-Zkbmk5DwIaDIKO8Xl"&amp;"bJAfqyT7Gvg/edit?usp=sharing"",""น่าน!N379"")+IMPORTRANGE(""https://docs.google.com/spreadsheets/d/1uu4nAn4Dbi1XREnLKKotUANlKXa7yCgRcgq8HEzQYW8/edit?usp=sharing"",""พะเยา!N379"")+IMPORTRANGE(""https://docs.google.com/spreadsheets/d/1xfJKIQxVOaPDIICqsflNlL"&amp;"u3JacTDk1FP9RH4phX7mI/edit?usp=sharing"",""พิจิตร!N379"")+IMPORTRANGE(""https://docs.google.com/spreadsheets/d/1JtRfZkJMHtEhI5RdRHxYUG4FIZHqKDpNyIuN7A1Q0_k/edit?usp=sharing"",""พิษณุโลก!N379"")+IMPORTRANGE(""https://docs.google.com/spreadsheets/d/1xlcVZWU"&amp;"Nn6SuWm0c307h32SiGkd9BaeQWlAktfD3KO8/edit?usp=sharing"",""เพชรบูรณ์!N379"")+IMPORTRANGE(""https://docs.google.com/spreadsheets/d/1lOVebEIsI9qjGXl6EX66luk7wiuP2tBaryw-wKvv4e0/edit?usp=sharing"",""แพร่!N379"")+IMPORTRANGE(""https://docs.google.com/spreadshe"&amp;"ets/d/1dQrvX0vEcN7Gu0fnZ0B5S90AeR19zth4XlExFBeExMY/edit?usp=sharing"",""แม่ฮ่องสอน!N379"")+IMPORTRANGE(""https://docs.google.com/spreadsheets/d/1DY4XTNNwjluuxqdfdn6qvOSlMRrZqUtmYcZR0ttFiG4/edit?usp=sharing"",""ลำปาง!N379"")+IMPORTRANGE(""https://docs.goog"&amp;"le.com/spreadsheets/d/1ICwG78r0OFT8biBlxnBF8r7she7gNSzOvJ958PWT09c/edit?usp=sharing"",""ลำพูน!N379"")+IMPORTRANGE(""https://docs.google.com/spreadsheets/d/1B0f2xJpZUC6Z0xXnqKlZtEPzsf6L84eP1r1Q15seqRM/edit?usp=sharing"",""สุโขทัย!N379"")+IMPORTRANGE(""http"&amp;"s://docs.google.com/spreadsheets/d/1v0b9pFQCsKUVExMei7AgY2yQkdeNQvtOssygGsXbiKo/edit?usp=sharing"",""อุตรดิตถ์!N379"")+IMPORTRANGE(""https://docs.google.com/spreadsheets/d/1UsNK1e-WWiCo2PvGqdNfdme4m17_Ezd3J69EeeiQPD0/edit?usp=sharing"",""อุทัยธานี!N379"")"),0)</f>
        <v>0</v>
      </c>
      <c r="O379" s="48">
        <f t="shared" ca="1" si="283"/>
        <v>0</v>
      </c>
      <c r="P379" s="48">
        <f t="shared" ca="1" si="284"/>
        <v>0</v>
      </c>
      <c r="Q379" s="48">
        <f ca="1">IFERROR(__xludf.DUMMYFUNCTION("IMPORTRANGE(""https://docs.google.com/spreadsheets/d/1jTcq05yEiRwXcBMLjiodW9e4biSGYWAHcDj22rKWQ3s/edit?usp=sharing"",""กำแพงเพชร!Q379"")+IMPORTRANGE(""https://docs.google.com/spreadsheets/d/1KS0zmDSZPk8KnTAbGN-Xk6MtX1YRZD0ldgdt20K4CRk/edit?usp=sharing"","&amp;"""เชียงราย!Q379"")+IMPORTRANGE(""https://docs.google.com/spreadsheets/d/1rEDxBtusbi64tE0zunoIbsTVV16HeL0oJ6trHQeQ7K8/edit?usp=sharing"",""เชียงใหม่!Q379"")+IMPORTRANGE(""https://docs.google.com/spreadsheets/d/1W6MnUbDkMi6xHnHko_XkFDO9kkuL6Wqyc-6OCDFjW9I/e"&amp;"dit?usp=sharing"",""ตาก!Q379"")+IMPORTRANGE(""https://docs.google.com/spreadsheets/d/1IQAWArduLkta9LpYo4a_ULsyqdta6-6aDDiwpUnQT6c/edit?usp=sharing"",""นครสวรรค์!Q379"")+IMPORTRANGE(""https://docs.google.com/spreadsheets/d/10s13Sk5xrltsiR-Zkbmk5DwIaDIKO8Xl"&amp;"bJAfqyT7Gvg/edit?usp=sharing"",""น่าน!Q379"")+IMPORTRANGE(""https://docs.google.com/spreadsheets/d/1uu4nAn4Dbi1XREnLKKotUANlKXa7yCgRcgq8HEzQYW8/edit?usp=sharing"",""พะเยา!Q379"")+IMPORTRANGE(""https://docs.google.com/spreadsheets/d/1xfJKIQxVOaPDIICqsflNlL"&amp;"u3JacTDk1FP9RH4phX7mI/edit?usp=sharing"",""พิจิตร!Q379"")+IMPORTRANGE(""https://docs.google.com/spreadsheets/d/1JtRfZkJMHtEhI5RdRHxYUG4FIZHqKDpNyIuN7A1Q0_k/edit?usp=sharing"",""พิษณุโลก!Q379"")+IMPORTRANGE(""https://docs.google.com/spreadsheets/d/1xlcVZWU"&amp;"Nn6SuWm0c307h32SiGkd9BaeQWlAktfD3KO8/edit?usp=sharing"",""เพชรบูรณ์!Q379"")+IMPORTRANGE(""https://docs.google.com/spreadsheets/d/1lOVebEIsI9qjGXl6EX66luk7wiuP2tBaryw-wKvv4e0/edit?usp=sharing"",""แพร่!Q379"")+IMPORTRANGE(""https://docs.google.com/spreadshe"&amp;"ets/d/1dQrvX0vEcN7Gu0fnZ0B5S90AeR19zth4XlExFBeExMY/edit?usp=sharing"",""แม่ฮ่องสอน!Q379"")+IMPORTRANGE(""https://docs.google.com/spreadsheets/d/1DY4XTNNwjluuxqdfdn6qvOSlMRrZqUtmYcZR0ttFiG4/edit?usp=sharing"",""ลำปาง!Q379"")+IMPORTRANGE(""https://docs.goog"&amp;"le.com/spreadsheets/d/1ICwG78r0OFT8biBlxnBF8r7she7gNSzOvJ958PWT09c/edit?usp=sharing"",""ลำพูน!Q379"")+IMPORTRANGE(""https://docs.google.com/spreadsheets/d/1B0f2xJpZUC6Z0xXnqKlZtEPzsf6L84eP1r1Q15seqRM/edit?usp=sharing"",""สุโขทัย!Q379"")+IMPORTRANGE(""http"&amp;"s://docs.google.com/spreadsheets/d/1v0b9pFQCsKUVExMei7AgY2yQkdeNQvtOssygGsXbiKo/edit?usp=sharing"",""อุตรดิตถ์!Q379"")+IMPORTRANGE(""https://docs.google.com/spreadsheets/d/1UsNK1e-WWiCo2PvGqdNfdme4m17_Ezd3J69EeeiQPD0/edit?usp=sharing"",""อุทัยธานี!Q379"")"),0)</f>
        <v>0</v>
      </c>
      <c r="R379" s="48">
        <f ca="1">IFERROR(__xludf.DUMMYFUNCTION("IMPORTRANGE(""https://docs.google.com/spreadsheets/d/1jTcq05yEiRwXcBMLjiodW9e4biSGYWAHcDj22rKWQ3s/edit?usp=sharing"",""กำแพงเพชร!R379"")+IMPORTRANGE(""https://docs.google.com/spreadsheets/d/1KS0zmDSZPk8KnTAbGN-Xk6MtX1YRZD0ldgdt20K4CRk/edit?usp=sharing"","&amp;"""เชียงราย!R379"")+IMPORTRANGE(""https://docs.google.com/spreadsheets/d/1rEDxBtusbi64tE0zunoIbsTVV16HeL0oJ6trHQeQ7K8/edit?usp=sharing"",""เชียงใหม่!R379"")+IMPORTRANGE(""https://docs.google.com/spreadsheets/d/1W6MnUbDkMi6xHnHko_XkFDO9kkuL6Wqyc-6OCDFjW9I/e"&amp;"dit?usp=sharing"",""ตาก!R379"")+IMPORTRANGE(""https://docs.google.com/spreadsheets/d/1IQAWArduLkta9LpYo4a_ULsyqdta6-6aDDiwpUnQT6c/edit?usp=sharing"",""นครสวรรค์!R379"")+IMPORTRANGE(""https://docs.google.com/spreadsheets/d/10s13Sk5xrltsiR-Zkbmk5DwIaDIKO8Xl"&amp;"bJAfqyT7Gvg/edit?usp=sharing"",""น่าน!R379"")+IMPORTRANGE(""https://docs.google.com/spreadsheets/d/1uu4nAn4Dbi1XREnLKKotUANlKXa7yCgRcgq8HEzQYW8/edit?usp=sharing"",""พะเยา!R379"")+IMPORTRANGE(""https://docs.google.com/spreadsheets/d/1xfJKIQxVOaPDIICqsflNlL"&amp;"u3JacTDk1FP9RH4phX7mI/edit?usp=sharing"",""พิจิตร!R379"")+IMPORTRANGE(""https://docs.google.com/spreadsheets/d/1JtRfZkJMHtEhI5RdRHxYUG4FIZHqKDpNyIuN7A1Q0_k/edit?usp=sharing"",""พิษณุโลก!R379"")+IMPORTRANGE(""https://docs.google.com/spreadsheets/d/1xlcVZWU"&amp;"Nn6SuWm0c307h32SiGkd9BaeQWlAktfD3KO8/edit?usp=sharing"",""เพชรบูรณ์!R379"")+IMPORTRANGE(""https://docs.google.com/spreadsheets/d/1lOVebEIsI9qjGXl6EX66luk7wiuP2tBaryw-wKvv4e0/edit?usp=sharing"",""แพร่!R379"")+IMPORTRANGE(""https://docs.google.com/spreadshe"&amp;"ets/d/1dQrvX0vEcN7Gu0fnZ0B5S90AeR19zth4XlExFBeExMY/edit?usp=sharing"",""แม่ฮ่องสอน!R379"")+IMPORTRANGE(""https://docs.google.com/spreadsheets/d/1DY4XTNNwjluuxqdfdn6qvOSlMRrZqUtmYcZR0ttFiG4/edit?usp=sharing"",""ลำปาง!R379"")+IMPORTRANGE(""https://docs.goog"&amp;"le.com/spreadsheets/d/1ICwG78r0OFT8biBlxnBF8r7she7gNSzOvJ958PWT09c/edit?usp=sharing"",""ลำพูน!R379"")+IMPORTRANGE(""https://docs.google.com/spreadsheets/d/1B0f2xJpZUC6Z0xXnqKlZtEPzsf6L84eP1r1Q15seqRM/edit?usp=sharing"",""สุโขทัย!R379"")+IMPORTRANGE(""http"&amp;"s://docs.google.com/spreadsheets/d/1v0b9pFQCsKUVExMei7AgY2yQkdeNQvtOssygGsXbiKo/edit?usp=sharing"",""อุตรดิตถ์!R379"")+IMPORTRANGE(""https://docs.google.com/spreadsheets/d/1UsNK1e-WWiCo2PvGqdNfdme4m17_Ezd3J69EeeiQPD0/edit?usp=sharing"",""อุทัยธานี!R379"")"),0)</f>
        <v>0</v>
      </c>
      <c r="S379" s="48">
        <f ca="1">IFERROR(__xludf.DUMMYFUNCTION("IMPORTRANGE(""https://docs.google.com/spreadsheets/d/1jTcq05yEiRwXcBMLjiodW9e4biSGYWAHcDj22rKWQ3s/edit?usp=sharing"",""กำแพงเพชร!S379"")+IMPORTRANGE(""https://docs.google.com/spreadsheets/d/1KS0zmDSZPk8KnTAbGN-Xk6MtX1YRZD0ldgdt20K4CRk/edit?usp=sharing"","&amp;"""เชียงราย!S379"")+IMPORTRANGE(""https://docs.google.com/spreadsheets/d/1rEDxBtusbi64tE0zunoIbsTVV16HeL0oJ6trHQeQ7K8/edit?usp=sharing"",""เชียงใหม่!S379"")+IMPORTRANGE(""https://docs.google.com/spreadsheets/d/1W6MnUbDkMi6xHnHko_XkFDO9kkuL6Wqyc-6OCDFjW9I/e"&amp;"dit?usp=sharing"",""ตาก!S379"")+IMPORTRANGE(""https://docs.google.com/spreadsheets/d/1IQAWArduLkta9LpYo4a_ULsyqdta6-6aDDiwpUnQT6c/edit?usp=sharing"",""นครสวรรค์!S379"")+IMPORTRANGE(""https://docs.google.com/spreadsheets/d/10s13Sk5xrltsiR-Zkbmk5DwIaDIKO8Xl"&amp;"bJAfqyT7Gvg/edit?usp=sharing"",""น่าน!S379"")+IMPORTRANGE(""https://docs.google.com/spreadsheets/d/1uu4nAn4Dbi1XREnLKKotUANlKXa7yCgRcgq8HEzQYW8/edit?usp=sharing"",""พะเยา!S379"")+IMPORTRANGE(""https://docs.google.com/spreadsheets/d/1xfJKIQxVOaPDIICqsflNlL"&amp;"u3JacTDk1FP9RH4phX7mI/edit?usp=sharing"",""พิจิตร!S379"")+IMPORTRANGE(""https://docs.google.com/spreadsheets/d/1JtRfZkJMHtEhI5RdRHxYUG4FIZHqKDpNyIuN7A1Q0_k/edit?usp=sharing"",""พิษณุโลก!S379"")+IMPORTRANGE(""https://docs.google.com/spreadsheets/d/1xlcVZWU"&amp;"Nn6SuWm0c307h32SiGkd9BaeQWlAktfD3KO8/edit?usp=sharing"",""เพชรบูรณ์!S379"")+IMPORTRANGE(""https://docs.google.com/spreadsheets/d/1lOVebEIsI9qjGXl6EX66luk7wiuP2tBaryw-wKvv4e0/edit?usp=sharing"",""แพร่!S379"")+IMPORTRANGE(""https://docs.google.com/spreadshe"&amp;"ets/d/1dQrvX0vEcN7Gu0fnZ0B5S90AeR19zth4XlExFBeExMY/edit?usp=sharing"",""แม่ฮ่องสอน!S379"")+IMPORTRANGE(""https://docs.google.com/spreadsheets/d/1DY4XTNNwjluuxqdfdn6qvOSlMRrZqUtmYcZR0ttFiG4/edit?usp=sharing"",""ลำปาง!S379"")+IMPORTRANGE(""https://docs.goog"&amp;"le.com/spreadsheets/d/1ICwG78r0OFT8biBlxnBF8r7she7gNSzOvJ958PWT09c/edit?usp=sharing"",""ลำพูน!S379"")+IMPORTRANGE(""https://docs.google.com/spreadsheets/d/1B0f2xJpZUC6Z0xXnqKlZtEPzsf6L84eP1r1Q15seqRM/edit?usp=sharing"",""สุโขทัย!S379"")+IMPORTRANGE(""http"&amp;"s://docs.google.com/spreadsheets/d/1v0b9pFQCsKUVExMei7AgY2yQkdeNQvtOssygGsXbiKo/edit?usp=sharing"",""อุตรดิตถ์!S379"")+IMPORTRANGE(""https://docs.google.com/spreadsheets/d/1UsNK1e-WWiCo2PvGqdNfdme4m17_Ezd3J69EeeiQPD0/edit?usp=sharing"",""อุทัยธานี!S379"")"),0)</f>
        <v>0</v>
      </c>
      <c r="T379" s="48">
        <f t="shared" ca="1" si="286"/>
        <v>0</v>
      </c>
      <c r="U379" s="48">
        <f t="shared" ca="1" si="287"/>
        <v>0</v>
      </c>
    </row>
    <row r="380" spans="1:21" ht="18.75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46">
        <f ca="1">IFERROR(__xludf.DUMMYFUNCTION("IMPORTRANGE(""https://docs.google.com/spreadsheets/d/1jTcq05yEiRwXcBMLjiodW9e4biSGYWAHcDj22rKWQ3s/edit?usp=sharing"",""กำแพงเพชร!L380"")+IMPORTRANGE(""https://docs.google.com/spreadsheets/d/1KS0zmDSZPk8KnTAbGN-Xk6MtX1YRZD0ldgdt20K4CRk/edit?usp=sharing"","&amp;"""เชียงราย!L380"")+IMPORTRANGE(""https://docs.google.com/spreadsheets/d/1rEDxBtusbi64tE0zunoIbsTVV16HeL0oJ6trHQeQ7K8/edit?usp=sharing"",""เชียงใหม่!L380"")+IMPORTRANGE(""https://docs.google.com/spreadsheets/d/1W6MnUbDkMi6xHnHko_XkFDO9kkuL6Wqyc-6OCDFjW9I/e"&amp;"dit?usp=sharing"",""ตาก!L380"")+IMPORTRANGE(""https://docs.google.com/spreadsheets/d/1IQAWArduLkta9LpYo4a_ULsyqdta6-6aDDiwpUnQT6c/edit?usp=sharing"",""นครสวรรค์!L380"")+IMPORTRANGE(""https://docs.google.com/spreadsheets/d/10s13Sk5xrltsiR-Zkbmk5DwIaDIKO8Xl"&amp;"bJAfqyT7Gvg/edit?usp=sharing"",""น่าน!L380"")+IMPORTRANGE(""https://docs.google.com/spreadsheets/d/1uu4nAn4Dbi1XREnLKKotUANlKXa7yCgRcgq8HEzQYW8/edit?usp=sharing"",""พะเยา!L380"")+IMPORTRANGE(""https://docs.google.com/spreadsheets/d/1xfJKIQxVOaPDIICqsflNlL"&amp;"u3JacTDk1FP9RH4phX7mI/edit?usp=sharing"",""พิจิตร!L380"")+IMPORTRANGE(""https://docs.google.com/spreadsheets/d/1JtRfZkJMHtEhI5RdRHxYUG4FIZHqKDpNyIuN7A1Q0_k/edit?usp=sharing"",""พิษณุโลก!L380"")+IMPORTRANGE(""https://docs.google.com/spreadsheets/d/1xlcVZWU"&amp;"Nn6SuWm0c307h32SiGkd9BaeQWlAktfD3KO8/edit?usp=sharing"",""เพชรบูรณ์!L380"")+IMPORTRANGE(""https://docs.google.com/spreadsheets/d/1lOVebEIsI9qjGXl6EX66luk7wiuP2tBaryw-wKvv4e0/edit?usp=sharing"",""แพร่!L380"")+IMPORTRANGE(""https://docs.google.com/spreadshe"&amp;"ets/d/1dQrvX0vEcN7Gu0fnZ0B5S90AeR19zth4XlExFBeExMY/edit?usp=sharing"",""แม่ฮ่องสอน!L380"")+IMPORTRANGE(""https://docs.google.com/spreadsheets/d/1DY4XTNNwjluuxqdfdn6qvOSlMRrZqUtmYcZR0ttFiG4/edit?usp=sharing"",""ลำปาง!L380"")+IMPORTRANGE(""https://docs.goog"&amp;"le.com/spreadsheets/d/1ICwG78r0OFT8biBlxnBF8r7she7gNSzOvJ958PWT09c/edit?usp=sharing"",""ลำพูน!L380"")+IMPORTRANGE(""https://docs.google.com/spreadsheets/d/1B0f2xJpZUC6Z0xXnqKlZtEPzsf6L84eP1r1Q15seqRM/edit?usp=sharing"",""สุโขทัย!L380"")+IMPORTRANGE(""http"&amp;"s://docs.google.com/spreadsheets/d/1v0b9pFQCsKUVExMei7AgY2yQkdeNQvtOssygGsXbiKo/edit?usp=sharing"",""อุตรดิตถ์!L380"")+IMPORTRANGE(""https://docs.google.com/spreadsheets/d/1UsNK1e-WWiCo2PvGqdNfdme4m17_Ezd3J69EeeiQPD0/edit?usp=sharing"",""อุทัยธานี!L380"")"),0)</f>
        <v>0</v>
      </c>
      <c r="M380" s="46">
        <f ca="1">IFERROR(__xludf.DUMMYFUNCTION("IMPORTRANGE(""https://docs.google.com/spreadsheets/d/1jTcq05yEiRwXcBMLjiodW9e4biSGYWAHcDj22rKWQ3s/edit?usp=sharing"",""กำแพงเพชร!M380"")+IMPORTRANGE(""https://docs.google.com/spreadsheets/d/1KS0zmDSZPk8KnTAbGN-Xk6MtX1YRZD0ldgdt20K4CRk/edit?usp=sharing"","&amp;"""เชียงราย!M380"")+IMPORTRANGE(""https://docs.google.com/spreadsheets/d/1rEDxBtusbi64tE0zunoIbsTVV16HeL0oJ6trHQeQ7K8/edit?usp=sharing"",""เชียงใหม่!M380"")+IMPORTRANGE(""https://docs.google.com/spreadsheets/d/1W6MnUbDkMi6xHnHko_XkFDO9kkuL6Wqyc-6OCDFjW9I/e"&amp;"dit?usp=sharing"",""ตาก!M380"")+IMPORTRANGE(""https://docs.google.com/spreadsheets/d/1IQAWArduLkta9LpYo4a_ULsyqdta6-6aDDiwpUnQT6c/edit?usp=sharing"",""นครสวรรค์!M380"")+IMPORTRANGE(""https://docs.google.com/spreadsheets/d/10s13Sk5xrltsiR-Zkbmk5DwIaDIKO8Xl"&amp;"bJAfqyT7Gvg/edit?usp=sharing"",""น่าน!M380"")+IMPORTRANGE(""https://docs.google.com/spreadsheets/d/1uu4nAn4Dbi1XREnLKKotUANlKXa7yCgRcgq8HEzQYW8/edit?usp=sharing"",""พะเยา!M380"")+IMPORTRANGE(""https://docs.google.com/spreadsheets/d/1xfJKIQxVOaPDIICqsflNlL"&amp;"u3JacTDk1FP9RH4phX7mI/edit?usp=sharing"",""พิจิตร!M380"")+IMPORTRANGE(""https://docs.google.com/spreadsheets/d/1JtRfZkJMHtEhI5RdRHxYUG4FIZHqKDpNyIuN7A1Q0_k/edit?usp=sharing"",""พิษณุโลก!M380"")+IMPORTRANGE(""https://docs.google.com/spreadsheets/d/1xlcVZWU"&amp;"Nn6SuWm0c307h32SiGkd9BaeQWlAktfD3KO8/edit?usp=sharing"",""เพชรบูรณ์!M380"")+IMPORTRANGE(""https://docs.google.com/spreadsheets/d/1lOVebEIsI9qjGXl6EX66luk7wiuP2tBaryw-wKvv4e0/edit?usp=sharing"",""แพร่!M380"")+IMPORTRANGE(""https://docs.google.com/spreadshe"&amp;"ets/d/1dQrvX0vEcN7Gu0fnZ0B5S90AeR19zth4XlExFBeExMY/edit?usp=sharing"",""แม่ฮ่องสอน!M380"")+IMPORTRANGE(""https://docs.google.com/spreadsheets/d/1DY4XTNNwjluuxqdfdn6qvOSlMRrZqUtmYcZR0ttFiG4/edit?usp=sharing"",""ลำปาง!M380"")+IMPORTRANGE(""https://docs.goog"&amp;"le.com/spreadsheets/d/1ICwG78r0OFT8biBlxnBF8r7she7gNSzOvJ958PWT09c/edit?usp=sharing"",""ลำพูน!M380"")+IMPORTRANGE(""https://docs.google.com/spreadsheets/d/1B0f2xJpZUC6Z0xXnqKlZtEPzsf6L84eP1r1Q15seqRM/edit?usp=sharing"",""สุโขทัย!M380"")+IMPORTRANGE(""http"&amp;"s://docs.google.com/spreadsheets/d/1v0b9pFQCsKUVExMei7AgY2yQkdeNQvtOssygGsXbiKo/edit?usp=sharing"",""อุตรดิตถ์!M380"")+IMPORTRANGE(""https://docs.google.com/spreadsheets/d/1UsNK1e-WWiCo2PvGqdNfdme4m17_Ezd3J69EeeiQPD0/edit?usp=sharing"",""อุทัยธานี!M380"")"),0)</f>
        <v>0</v>
      </c>
      <c r="N380" s="46">
        <f ca="1">IFERROR(__xludf.DUMMYFUNCTION("IMPORTRANGE(""https://docs.google.com/spreadsheets/d/1jTcq05yEiRwXcBMLjiodW9e4biSGYWAHcDj22rKWQ3s/edit?usp=sharing"",""กำแพงเพชร!N380"")+IMPORTRANGE(""https://docs.google.com/spreadsheets/d/1KS0zmDSZPk8KnTAbGN-Xk6MtX1YRZD0ldgdt20K4CRk/edit?usp=sharing"","&amp;"""เชียงราย!N380"")+IMPORTRANGE(""https://docs.google.com/spreadsheets/d/1rEDxBtusbi64tE0zunoIbsTVV16HeL0oJ6trHQeQ7K8/edit?usp=sharing"",""เชียงใหม่!N380"")+IMPORTRANGE(""https://docs.google.com/spreadsheets/d/1W6MnUbDkMi6xHnHko_XkFDO9kkuL6Wqyc-6OCDFjW9I/e"&amp;"dit?usp=sharing"",""ตาก!N380"")+IMPORTRANGE(""https://docs.google.com/spreadsheets/d/1IQAWArduLkta9LpYo4a_ULsyqdta6-6aDDiwpUnQT6c/edit?usp=sharing"",""นครสวรรค์!N380"")+IMPORTRANGE(""https://docs.google.com/spreadsheets/d/10s13Sk5xrltsiR-Zkbmk5DwIaDIKO8Xl"&amp;"bJAfqyT7Gvg/edit?usp=sharing"",""น่าน!N380"")+IMPORTRANGE(""https://docs.google.com/spreadsheets/d/1uu4nAn4Dbi1XREnLKKotUANlKXa7yCgRcgq8HEzQYW8/edit?usp=sharing"",""พะเยา!N380"")+IMPORTRANGE(""https://docs.google.com/spreadsheets/d/1xfJKIQxVOaPDIICqsflNlL"&amp;"u3JacTDk1FP9RH4phX7mI/edit?usp=sharing"",""พิจิตร!N380"")+IMPORTRANGE(""https://docs.google.com/spreadsheets/d/1JtRfZkJMHtEhI5RdRHxYUG4FIZHqKDpNyIuN7A1Q0_k/edit?usp=sharing"",""พิษณุโลก!N380"")+IMPORTRANGE(""https://docs.google.com/spreadsheets/d/1xlcVZWU"&amp;"Nn6SuWm0c307h32SiGkd9BaeQWlAktfD3KO8/edit?usp=sharing"",""เพชรบูรณ์!N380"")+IMPORTRANGE(""https://docs.google.com/spreadsheets/d/1lOVebEIsI9qjGXl6EX66luk7wiuP2tBaryw-wKvv4e0/edit?usp=sharing"",""แพร่!N380"")+IMPORTRANGE(""https://docs.google.com/spreadshe"&amp;"ets/d/1dQrvX0vEcN7Gu0fnZ0B5S90AeR19zth4XlExFBeExMY/edit?usp=sharing"",""แม่ฮ่องสอน!N380"")+IMPORTRANGE(""https://docs.google.com/spreadsheets/d/1DY4XTNNwjluuxqdfdn6qvOSlMRrZqUtmYcZR0ttFiG4/edit?usp=sharing"",""ลำปาง!N380"")+IMPORTRANGE(""https://docs.goog"&amp;"le.com/spreadsheets/d/1ICwG78r0OFT8biBlxnBF8r7she7gNSzOvJ958PWT09c/edit?usp=sharing"",""ลำพูน!N380"")+IMPORTRANGE(""https://docs.google.com/spreadsheets/d/1B0f2xJpZUC6Z0xXnqKlZtEPzsf6L84eP1r1Q15seqRM/edit?usp=sharing"",""สุโขทัย!N380"")+IMPORTRANGE(""http"&amp;"s://docs.google.com/spreadsheets/d/1v0b9pFQCsKUVExMei7AgY2yQkdeNQvtOssygGsXbiKo/edit?usp=sharing"",""อุตรดิตถ์!N380"")+IMPORTRANGE(""https://docs.google.com/spreadsheets/d/1UsNK1e-WWiCo2PvGqdNfdme4m17_Ezd3J69EeeiQPD0/edit?usp=sharing"",""อุทัยธานี!N380"")"),0)</f>
        <v>0</v>
      </c>
      <c r="O380" s="46">
        <f t="shared" ca="1" si="283"/>
        <v>0</v>
      </c>
      <c r="P380" s="46">
        <f t="shared" ca="1" si="284"/>
        <v>0</v>
      </c>
      <c r="Q380" s="46">
        <f ca="1">IFERROR(__xludf.DUMMYFUNCTION("IMPORTRANGE(""https://docs.google.com/spreadsheets/d/1jTcq05yEiRwXcBMLjiodW9e4biSGYWAHcDj22rKWQ3s/edit?usp=sharing"",""กำแพงเพชร!Q380"")+IMPORTRANGE(""https://docs.google.com/spreadsheets/d/1KS0zmDSZPk8KnTAbGN-Xk6MtX1YRZD0ldgdt20K4CRk/edit?usp=sharing"","&amp;"""เชียงราย!Q380"")+IMPORTRANGE(""https://docs.google.com/spreadsheets/d/1rEDxBtusbi64tE0zunoIbsTVV16HeL0oJ6trHQeQ7K8/edit?usp=sharing"",""เชียงใหม่!Q380"")+IMPORTRANGE(""https://docs.google.com/spreadsheets/d/1W6MnUbDkMi6xHnHko_XkFDO9kkuL6Wqyc-6OCDFjW9I/e"&amp;"dit?usp=sharing"",""ตาก!Q380"")+IMPORTRANGE(""https://docs.google.com/spreadsheets/d/1IQAWArduLkta9LpYo4a_ULsyqdta6-6aDDiwpUnQT6c/edit?usp=sharing"",""นครสวรรค์!Q380"")+IMPORTRANGE(""https://docs.google.com/spreadsheets/d/10s13Sk5xrltsiR-Zkbmk5DwIaDIKO8Xl"&amp;"bJAfqyT7Gvg/edit?usp=sharing"",""น่าน!Q380"")+IMPORTRANGE(""https://docs.google.com/spreadsheets/d/1uu4nAn4Dbi1XREnLKKotUANlKXa7yCgRcgq8HEzQYW8/edit?usp=sharing"",""พะเยา!Q380"")+IMPORTRANGE(""https://docs.google.com/spreadsheets/d/1xfJKIQxVOaPDIICqsflNlL"&amp;"u3JacTDk1FP9RH4phX7mI/edit?usp=sharing"",""พิจิตร!Q380"")+IMPORTRANGE(""https://docs.google.com/spreadsheets/d/1JtRfZkJMHtEhI5RdRHxYUG4FIZHqKDpNyIuN7A1Q0_k/edit?usp=sharing"",""พิษณุโลก!Q380"")+IMPORTRANGE(""https://docs.google.com/spreadsheets/d/1xlcVZWU"&amp;"Nn6SuWm0c307h32SiGkd9BaeQWlAktfD3KO8/edit?usp=sharing"",""เพชรบูรณ์!Q380"")+IMPORTRANGE(""https://docs.google.com/spreadsheets/d/1lOVebEIsI9qjGXl6EX66luk7wiuP2tBaryw-wKvv4e0/edit?usp=sharing"",""แพร่!Q380"")+IMPORTRANGE(""https://docs.google.com/spreadshe"&amp;"ets/d/1dQrvX0vEcN7Gu0fnZ0B5S90AeR19zth4XlExFBeExMY/edit?usp=sharing"",""แม่ฮ่องสอน!Q380"")+IMPORTRANGE(""https://docs.google.com/spreadsheets/d/1DY4XTNNwjluuxqdfdn6qvOSlMRrZqUtmYcZR0ttFiG4/edit?usp=sharing"",""ลำปาง!Q380"")+IMPORTRANGE(""https://docs.goog"&amp;"le.com/spreadsheets/d/1ICwG78r0OFT8biBlxnBF8r7she7gNSzOvJ958PWT09c/edit?usp=sharing"",""ลำพูน!Q380"")+IMPORTRANGE(""https://docs.google.com/spreadsheets/d/1B0f2xJpZUC6Z0xXnqKlZtEPzsf6L84eP1r1Q15seqRM/edit?usp=sharing"",""สุโขทัย!Q380"")+IMPORTRANGE(""http"&amp;"s://docs.google.com/spreadsheets/d/1v0b9pFQCsKUVExMei7AgY2yQkdeNQvtOssygGsXbiKo/edit?usp=sharing"",""อุตรดิตถ์!Q380"")+IMPORTRANGE(""https://docs.google.com/spreadsheets/d/1UsNK1e-WWiCo2PvGqdNfdme4m17_Ezd3J69EeeiQPD0/edit?usp=sharing"",""อุทัยธานี!Q380"")"),2437500)</f>
        <v>2437500</v>
      </c>
      <c r="R380" s="46">
        <f ca="1">IFERROR(__xludf.DUMMYFUNCTION("IMPORTRANGE(""https://docs.google.com/spreadsheets/d/1jTcq05yEiRwXcBMLjiodW9e4biSGYWAHcDj22rKWQ3s/edit?usp=sharing"",""กำแพงเพชร!R380"")+IMPORTRANGE(""https://docs.google.com/spreadsheets/d/1KS0zmDSZPk8KnTAbGN-Xk6MtX1YRZD0ldgdt20K4CRk/edit?usp=sharing"","&amp;"""เชียงราย!R380"")+IMPORTRANGE(""https://docs.google.com/spreadsheets/d/1rEDxBtusbi64tE0zunoIbsTVV16HeL0oJ6trHQeQ7K8/edit?usp=sharing"",""เชียงใหม่!R380"")+IMPORTRANGE(""https://docs.google.com/spreadsheets/d/1W6MnUbDkMi6xHnHko_XkFDO9kkuL6Wqyc-6OCDFjW9I/e"&amp;"dit?usp=sharing"",""ตาก!R380"")+IMPORTRANGE(""https://docs.google.com/spreadsheets/d/1IQAWArduLkta9LpYo4a_ULsyqdta6-6aDDiwpUnQT6c/edit?usp=sharing"",""นครสวรรค์!R380"")+IMPORTRANGE(""https://docs.google.com/spreadsheets/d/10s13Sk5xrltsiR-Zkbmk5DwIaDIKO8Xl"&amp;"bJAfqyT7Gvg/edit?usp=sharing"",""น่าน!R380"")+IMPORTRANGE(""https://docs.google.com/spreadsheets/d/1uu4nAn4Dbi1XREnLKKotUANlKXa7yCgRcgq8HEzQYW8/edit?usp=sharing"",""พะเยา!R380"")+IMPORTRANGE(""https://docs.google.com/spreadsheets/d/1xfJKIQxVOaPDIICqsflNlL"&amp;"u3JacTDk1FP9RH4phX7mI/edit?usp=sharing"",""พิจิตร!R380"")+IMPORTRANGE(""https://docs.google.com/spreadsheets/d/1JtRfZkJMHtEhI5RdRHxYUG4FIZHqKDpNyIuN7A1Q0_k/edit?usp=sharing"",""พิษณุโลก!R380"")+IMPORTRANGE(""https://docs.google.com/spreadsheets/d/1xlcVZWU"&amp;"Nn6SuWm0c307h32SiGkd9BaeQWlAktfD3KO8/edit?usp=sharing"",""เพชรบูรณ์!R380"")+IMPORTRANGE(""https://docs.google.com/spreadsheets/d/1lOVebEIsI9qjGXl6EX66luk7wiuP2tBaryw-wKvv4e0/edit?usp=sharing"",""แพร่!R380"")+IMPORTRANGE(""https://docs.google.com/spreadshe"&amp;"ets/d/1dQrvX0vEcN7Gu0fnZ0B5S90AeR19zth4XlExFBeExMY/edit?usp=sharing"",""แม่ฮ่องสอน!R380"")+IMPORTRANGE(""https://docs.google.com/spreadsheets/d/1DY4XTNNwjluuxqdfdn6qvOSlMRrZqUtmYcZR0ttFiG4/edit?usp=sharing"",""ลำปาง!R380"")+IMPORTRANGE(""https://docs.goog"&amp;"le.com/spreadsheets/d/1ICwG78r0OFT8biBlxnBF8r7she7gNSzOvJ958PWT09c/edit?usp=sharing"",""ลำพูน!R380"")+IMPORTRANGE(""https://docs.google.com/spreadsheets/d/1B0f2xJpZUC6Z0xXnqKlZtEPzsf6L84eP1r1Q15seqRM/edit?usp=sharing"",""สุโขทัย!R380"")+IMPORTRANGE(""http"&amp;"s://docs.google.com/spreadsheets/d/1v0b9pFQCsKUVExMei7AgY2yQkdeNQvtOssygGsXbiKo/edit?usp=sharing"",""อุตรดิตถ์!R380"")+IMPORTRANGE(""https://docs.google.com/spreadsheets/d/1UsNK1e-WWiCo2PvGqdNfdme4m17_Ezd3J69EeeiQPD0/edit?usp=sharing"",""อุทัยธานี!R380"")"),1812500)</f>
        <v>1812500</v>
      </c>
      <c r="S380" s="46">
        <f ca="1">IFERROR(__xludf.DUMMYFUNCTION("IMPORTRANGE(""https://docs.google.com/spreadsheets/d/1jTcq05yEiRwXcBMLjiodW9e4biSGYWAHcDj22rKWQ3s/edit?usp=sharing"",""กำแพงเพชร!S380"")+IMPORTRANGE(""https://docs.google.com/spreadsheets/d/1KS0zmDSZPk8KnTAbGN-Xk6MtX1YRZD0ldgdt20K4CRk/edit?usp=sharing"","&amp;"""เชียงราย!S380"")+IMPORTRANGE(""https://docs.google.com/spreadsheets/d/1rEDxBtusbi64tE0zunoIbsTVV16HeL0oJ6trHQeQ7K8/edit?usp=sharing"",""เชียงใหม่!S380"")+IMPORTRANGE(""https://docs.google.com/spreadsheets/d/1W6MnUbDkMi6xHnHko_XkFDO9kkuL6Wqyc-6OCDFjW9I/e"&amp;"dit?usp=sharing"",""ตาก!S380"")+IMPORTRANGE(""https://docs.google.com/spreadsheets/d/1IQAWArduLkta9LpYo4a_ULsyqdta6-6aDDiwpUnQT6c/edit?usp=sharing"",""นครสวรรค์!S380"")+IMPORTRANGE(""https://docs.google.com/spreadsheets/d/10s13Sk5xrltsiR-Zkbmk5DwIaDIKO8Xl"&amp;"bJAfqyT7Gvg/edit?usp=sharing"",""น่าน!S380"")+IMPORTRANGE(""https://docs.google.com/spreadsheets/d/1uu4nAn4Dbi1XREnLKKotUANlKXa7yCgRcgq8HEzQYW8/edit?usp=sharing"",""พะเยา!S380"")+IMPORTRANGE(""https://docs.google.com/spreadsheets/d/1xfJKIQxVOaPDIICqsflNlL"&amp;"u3JacTDk1FP9RH4phX7mI/edit?usp=sharing"",""พิจิตร!S380"")+IMPORTRANGE(""https://docs.google.com/spreadsheets/d/1JtRfZkJMHtEhI5RdRHxYUG4FIZHqKDpNyIuN7A1Q0_k/edit?usp=sharing"",""พิษณุโลก!S380"")+IMPORTRANGE(""https://docs.google.com/spreadsheets/d/1xlcVZWU"&amp;"Nn6SuWm0c307h32SiGkd9BaeQWlAktfD3KO8/edit?usp=sharing"",""เพชรบูรณ์!S380"")+IMPORTRANGE(""https://docs.google.com/spreadsheets/d/1lOVebEIsI9qjGXl6EX66luk7wiuP2tBaryw-wKvv4e0/edit?usp=sharing"",""แพร่!S380"")+IMPORTRANGE(""https://docs.google.com/spreadshe"&amp;"ets/d/1dQrvX0vEcN7Gu0fnZ0B5S90AeR19zth4XlExFBeExMY/edit?usp=sharing"",""แม่ฮ่องสอน!S380"")+IMPORTRANGE(""https://docs.google.com/spreadsheets/d/1DY4XTNNwjluuxqdfdn6qvOSlMRrZqUtmYcZR0ttFiG4/edit?usp=sharing"",""ลำปาง!S380"")+IMPORTRANGE(""https://docs.goog"&amp;"le.com/spreadsheets/d/1ICwG78r0OFT8biBlxnBF8r7she7gNSzOvJ958PWT09c/edit?usp=sharing"",""ลำพูน!S380"")+IMPORTRANGE(""https://docs.google.com/spreadsheets/d/1B0f2xJpZUC6Z0xXnqKlZtEPzsf6L84eP1r1Q15seqRM/edit?usp=sharing"",""สุโขทัย!S380"")+IMPORTRANGE(""http"&amp;"s://docs.google.com/spreadsheets/d/1v0b9pFQCsKUVExMei7AgY2yQkdeNQvtOssygGsXbiKo/edit?usp=sharing"",""อุตรดิตถ์!S380"")+IMPORTRANGE(""https://docs.google.com/spreadsheets/d/1UsNK1e-WWiCo2PvGqdNfdme4m17_Ezd3J69EeeiQPD0/edit?usp=sharing"",""อุทัยธานี!S380"")"),0)</f>
        <v>0</v>
      </c>
      <c r="T380" s="46">
        <f t="shared" ca="1" si="286"/>
        <v>0</v>
      </c>
      <c r="U380" s="46">
        <f t="shared" ca="1" si="287"/>
        <v>0</v>
      </c>
    </row>
    <row r="381" spans="1:21" ht="18.75" x14ac:dyDescent="0.25">
      <c r="A381" s="128"/>
      <c r="B381" s="158"/>
      <c r="C381" s="158"/>
      <c r="D381" s="160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46">
        <f t="shared" ref="L381:N381" ca="1" si="294">L382+L383</f>
        <v>0</v>
      </c>
      <c r="M381" s="46">
        <f t="shared" ca="1" si="294"/>
        <v>0</v>
      </c>
      <c r="N381" s="46">
        <f t="shared" ca="1" si="294"/>
        <v>0</v>
      </c>
      <c r="O381" s="46">
        <f t="shared" ca="1" si="283"/>
        <v>0</v>
      </c>
      <c r="P381" s="46">
        <f t="shared" ca="1" si="284"/>
        <v>0</v>
      </c>
      <c r="Q381" s="46">
        <f t="shared" ref="Q381:S381" ca="1" si="295">Q382+Q383</f>
        <v>0</v>
      </c>
      <c r="R381" s="46">
        <f t="shared" ca="1" si="295"/>
        <v>0</v>
      </c>
      <c r="S381" s="46">
        <f t="shared" ca="1" si="295"/>
        <v>0</v>
      </c>
      <c r="T381" s="46">
        <f t="shared" ca="1" si="286"/>
        <v>0</v>
      </c>
      <c r="U381" s="46">
        <f t="shared" ca="1" si="287"/>
        <v>0</v>
      </c>
    </row>
    <row r="382" spans="1:21" ht="18.75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48">
        <f ca="1">IFERROR(__xludf.DUMMYFUNCTION("IMPORTRANGE(""https://docs.google.com/spreadsheets/d/1jTcq05yEiRwXcBMLjiodW9e4biSGYWAHcDj22rKWQ3s/edit?usp=sharing"",""กำแพงเพชร!L382"")+IMPORTRANGE(""https://docs.google.com/spreadsheets/d/1KS0zmDSZPk8KnTAbGN-Xk6MtX1YRZD0ldgdt20K4CRk/edit?usp=sharing"","&amp;"""เชียงราย!L382"")+IMPORTRANGE(""https://docs.google.com/spreadsheets/d/1rEDxBtusbi64tE0zunoIbsTVV16HeL0oJ6trHQeQ7K8/edit?usp=sharing"",""เชียงใหม่!L382"")+IMPORTRANGE(""https://docs.google.com/spreadsheets/d/1W6MnUbDkMi6xHnHko_XkFDO9kkuL6Wqyc-6OCDFjW9I/e"&amp;"dit?usp=sharing"",""ตาก!L382"")+IMPORTRANGE(""https://docs.google.com/spreadsheets/d/1IQAWArduLkta9LpYo4a_ULsyqdta6-6aDDiwpUnQT6c/edit?usp=sharing"",""นครสวรรค์!L382"")+IMPORTRANGE(""https://docs.google.com/spreadsheets/d/10s13Sk5xrltsiR-Zkbmk5DwIaDIKO8Xl"&amp;"bJAfqyT7Gvg/edit?usp=sharing"",""น่าน!L382"")+IMPORTRANGE(""https://docs.google.com/spreadsheets/d/1uu4nAn4Dbi1XREnLKKotUANlKXa7yCgRcgq8HEzQYW8/edit?usp=sharing"",""พะเยา!L382"")+IMPORTRANGE(""https://docs.google.com/spreadsheets/d/1xfJKIQxVOaPDIICqsflNlL"&amp;"u3JacTDk1FP9RH4phX7mI/edit?usp=sharing"",""พิจิตร!L382"")+IMPORTRANGE(""https://docs.google.com/spreadsheets/d/1JtRfZkJMHtEhI5RdRHxYUG4FIZHqKDpNyIuN7A1Q0_k/edit?usp=sharing"",""พิษณุโลก!L382"")+IMPORTRANGE(""https://docs.google.com/spreadsheets/d/1xlcVZWU"&amp;"Nn6SuWm0c307h32SiGkd9BaeQWlAktfD3KO8/edit?usp=sharing"",""เพชรบูรณ์!L382"")+IMPORTRANGE(""https://docs.google.com/spreadsheets/d/1lOVebEIsI9qjGXl6EX66luk7wiuP2tBaryw-wKvv4e0/edit?usp=sharing"",""แพร่!L382"")+IMPORTRANGE(""https://docs.google.com/spreadshe"&amp;"ets/d/1dQrvX0vEcN7Gu0fnZ0B5S90AeR19zth4XlExFBeExMY/edit?usp=sharing"",""แม่ฮ่องสอน!L382"")+IMPORTRANGE(""https://docs.google.com/spreadsheets/d/1DY4XTNNwjluuxqdfdn6qvOSlMRrZqUtmYcZR0ttFiG4/edit?usp=sharing"",""ลำปาง!L382"")+IMPORTRANGE(""https://docs.goog"&amp;"le.com/spreadsheets/d/1ICwG78r0OFT8biBlxnBF8r7she7gNSzOvJ958PWT09c/edit?usp=sharing"",""ลำพูน!L382"")+IMPORTRANGE(""https://docs.google.com/spreadsheets/d/1B0f2xJpZUC6Z0xXnqKlZtEPzsf6L84eP1r1Q15seqRM/edit?usp=sharing"",""สุโขทัย!L382"")+IMPORTRANGE(""http"&amp;"s://docs.google.com/spreadsheets/d/1v0b9pFQCsKUVExMei7AgY2yQkdeNQvtOssygGsXbiKo/edit?usp=sharing"",""อุตรดิตถ์!L382"")+IMPORTRANGE(""https://docs.google.com/spreadsheets/d/1UsNK1e-WWiCo2PvGqdNfdme4m17_Ezd3J69EeeiQPD0/edit?usp=sharing"",""อุทัยธานี!L382"")"),0)</f>
        <v>0</v>
      </c>
      <c r="M382" s="48">
        <f ca="1">IFERROR(__xludf.DUMMYFUNCTION("IMPORTRANGE(""https://docs.google.com/spreadsheets/d/1jTcq05yEiRwXcBMLjiodW9e4biSGYWAHcDj22rKWQ3s/edit?usp=sharing"",""กำแพงเพชร!M382"")+IMPORTRANGE(""https://docs.google.com/spreadsheets/d/1KS0zmDSZPk8KnTAbGN-Xk6MtX1YRZD0ldgdt20K4CRk/edit?usp=sharing"","&amp;"""เชียงราย!M382"")+IMPORTRANGE(""https://docs.google.com/spreadsheets/d/1rEDxBtusbi64tE0zunoIbsTVV16HeL0oJ6trHQeQ7K8/edit?usp=sharing"",""เชียงใหม่!M382"")+IMPORTRANGE(""https://docs.google.com/spreadsheets/d/1W6MnUbDkMi6xHnHko_XkFDO9kkuL6Wqyc-6OCDFjW9I/e"&amp;"dit?usp=sharing"",""ตาก!M382"")+IMPORTRANGE(""https://docs.google.com/spreadsheets/d/1IQAWArduLkta9LpYo4a_ULsyqdta6-6aDDiwpUnQT6c/edit?usp=sharing"",""นครสวรรค์!M382"")+IMPORTRANGE(""https://docs.google.com/spreadsheets/d/10s13Sk5xrltsiR-Zkbmk5DwIaDIKO8Xl"&amp;"bJAfqyT7Gvg/edit?usp=sharing"",""น่าน!M382"")+IMPORTRANGE(""https://docs.google.com/spreadsheets/d/1uu4nAn4Dbi1XREnLKKotUANlKXa7yCgRcgq8HEzQYW8/edit?usp=sharing"",""พะเยา!M382"")+IMPORTRANGE(""https://docs.google.com/spreadsheets/d/1xfJKIQxVOaPDIICqsflNlL"&amp;"u3JacTDk1FP9RH4phX7mI/edit?usp=sharing"",""พิจิตร!M382"")+IMPORTRANGE(""https://docs.google.com/spreadsheets/d/1JtRfZkJMHtEhI5RdRHxYUG4FIZHqKDpNyIuN7A1Q0_k/edit?usp=sharing"",""พิษณุโลก!M382"")+IMPORTRANGE(""https://docs.google.com/spreadsheets/d/1xlcVZWU"&amp;"Nn6SuWm0c307h32SiGkd9BaeQWlAktfD3KO8/edit?usp=sharing"",""เพชรบูรณ์!M382"")+IMPORTRANGE(""https://docs.google.com/spreadsheets/d/1lOVebEIsI9qjGXl6EX66luk7wiuP2tBaryw-wKvv4e0/edit?usp=sharing"",""แพร่!M382"")+IMPORTRANGE(""https://docs.google.com/spreadshe"&amp;"ets/d/1dQrvX0vEcN7Gu0fnZ0B5S90AeR19zth4XlExFBeExMY/edit?usp=sharing"",""แม่ฮ่องสอน!M382"")+IMPORTRANGE(""https://docs.google.com/spreadsheets/d/1DY4XTNNwjluuxqdfdn6qvOSlMRrZqUtmYcZR0ttFiG4/edit?usp=sharing"",""ลำปาง!M382"")+IMPORTRANGE(""https://docs.goog"&amp;"le.com/spreadsheets/d/1ICwG78r0OFT8biBlxnBF8r7she7gNSzOvJ958PWT09c/edit?usp=sharing"",""ลำพูน!M382"")+IMPORTRANGE(""https://docs.google.com/spreadsheets/d/1B0f2xJpZUC6Z0xXnqKlZtEPzsf6L84eP1r1Q15seqRM/edit?usp=sharing"",""สุโขทัย!M382"")+IMPORTRANGE(""http"&amp;"s://docs.google.com/spreadsheets/d/1v0b9pFQCsKUVExMei7AgY2yQkdeNQvtOssygGsXbiKo/edit?usp=sharing"",""อุตรดิตถ์!M382"")+IMPORTRANGE(""https://docs.google.com/spreadsheets/d/1UsNK1e-WWiCo2PvGqdNfdme4m17_Ezd3J69EeeiQPD0/edit?usp=sharing"",""อุทัยธานี!M382"")"),0)</f>
        <v>0</v>
      </c>
      <c r="N382" s="48">
        <f ca="1">IFERROR(__xludf.DUMMYFUNCTION("IMPORTRANGE(""https://docs.google.com/spreadsheets/d/1jTcq05yEiRwXcBMLjiodW9e4biSGYWAHcDj22rKWQ3s/edit?usp=sharing"",""กำแพงเพชร!N382"")+IMPORTRANGE(""https://docs.google.com/spreadsheets/d/1KS0zmDSZPk8KnTAbGN-Xk6MtX1YRZD0ldgdt20K4CRk/edit?usp=sharing"","&amp;"""เชียงราย!N382"")+IMPORTRANGE(""https://docs.google.com/spreadsheets/d/1rEDxBtusbi64tE0zunoIbsTVV16HeL0oJ6trHQeQ7K8/edit?usp=sharing"",""เชียงใหม่!N382"")+IMPORTRANGE(""https://docs.google.com/spreadsheets/d/1W6MnUbDkMi6xHnHko_XkFDO9kkuL6Wqyc-6OCDFjW9I/e"&amp;"dit?usp=sharing"",""ตาก!N382"")+IMPORTRANGE(""https://docs.google.com/spreadsheets/d/1IQAWArduLkta9LpYo4a_ULsyqdta6-6aDDiwpUnQT6c/edit?usp=sharing"",""นครสวรรค์!N382"")+IMPORTRANGE(""https://docs.google.com/spreadsheets/d/10s13Sk5xrltsiR-Zkbmk5DwIaDIKO8Xl"&amp;"bJAfqyT7Gvg/edit?usp=sharing"",""น่าน!N382"")+IMPORTRANGE(""https://docs.google.com/spreadsheets/d/1uu4nAn4Dbi1XREnLKKotUANlKXa7yCgRcgq8HEzQYW8/edit?usp=sharing"",""พะเยา!N382"")+IMPORTRANGE(""https://docs.google.com/spreadsheets/d/1xfJKIQxVOaPDIICqsflNlL"&amp;"u3JacTDk1FP9RH4phX7mI/edit?usp=sharing"",""พิจิตร!N382"")+IMPORTRANGE(""https://docs.google.com/spreadsheets/d/1JtRfZkJMHtEhI5RdRHxYUG4FIZHqKDpNyIuN7A1Q0_k/edit?usp=sharing"",""พิษณุโลก!N382"")+IMPORTRANGE(""https://docs.google.com/spreadsheets/d/1xlcVZWU"&amp;"Nn6SuWm0c307h32SiGkd9BaeQWlAktfD3KO8/edit?usp=sharing"",""เพชรบูรณ์!N382"")+IMPORTRANGE(""https://docs.google.com/spreadsheets/d/1lOVebEIsI9qjGXl6EX66luk7wiuP2tBaryw-wKvv4e0/edit?usp=sharing"",""แพร่!N382"")+IMPORTRANGE(""https://docs.google.com/spreadshe"&amp;"ets/d/1dQrvX0vEcN7Gu0fnZ0B5S90AeR19zth4XlExFBeExMY/edit?usp=sharing"",""แม่ฮ่องสอน!N382"")+IMPORTRANGE(""https://docs.google.com/spreadsheets/d/1DY4XTNNwjluuxqdfdn6qvOSlMRrZqUtmYcZR0ttFiG4/edit?usp=sharing"",""ลำปาง!N382"")+IMPORTRANGE(""https://docs.goog"&amp;"le.com/spreadsheets/d/1ICwG78r0OFT8biBlxnBF8r7she7gNSzOvJ958PWT09c/edit?usp=sharing"",""ลำพูน!N382"")+IMPORTRANGE(""https://docs.google.com/spreadsheets/d/1B0f2xJpZUC6Z0xXnqKlZtEPzsf6L84eP1r1Q15seqRM/edit?usp=sharing"",""สุโขทัย!N382"")+IMPORTRANGE(""http"&amp;"s://docs.google.com/spreadsheets/d/1v0b9pFQCsKUVExMei7AgY2yQkdeNQvtOssygGsXbiKo/edit?usp=sharing"",""อุตรดิตถ์!N382"")+IMPORTRANGE(""https://docs.google.com/spreadsheets/d/1UsNK1e-WWiCo2PvGqdNfdme4m17_Ezd3J69EeeiQPD0/edit?usp=sharing"",""อุทัยธานี!N382"")"),0)</f>
        <v>0</v>
      </c>
      <c r="O382" s="48">
        <f t="shared" ca="1" si="283"/>
        <v>0</v>
      </c>
      <c r="P382" s="48">
        <f t="shared" ca="1" si="284"/>
        <v>0</v>
      </c>
      <c r="Q382" s="48">
        <f ca="1">IFERROR(__xludf.DUMMYFUNCTION("IMPORTRANGE(""https://docs.google.com/spreadsheets/d/1jTcq05yEiRwXcBMLjiodW9e4biSGYWAHcDj22rKWQ3s/edit?usp=sharing"",""กำแพงเพชร!Q382"")+IMPORTRANGE(""https://docs.google.com/spreadsheets/d/1KS0zmDSZPk8KnTAbGN-Xk6MtX1YRZD0ldgdt20K4CRk/edit?usp=sharing"","&amp;"""เชียงราย!Q382"")+IMPORTRANGE(""https://docs.google.com/spreadsheets/d/1rEDxBtusbi64tE0zunoIbsTVV16HeL0oJ6trHQeQ7K8/edit?usp=sharing"",""เชียงใหม่!Q382"")+IMPORTRANGE(""https://docs.google.com/spreadsheets/d/1W6MnUbDkMi6xHnHko_XkFDO9kkuL6Wqyc-6OCDFjW9I/e"&amp;"dit?usp=sharing"",""ตาก!Q382"")+IMPORTRANGE(""https://docs.google.com/spreadsheets/d/1IQAWArduLkta9LpYo4a_ULsyqdta6-6aDDiwpUnQT6c/edit?usp=sharing"",""นครสวรรค์!Q382"")+IMPORTRANGE(""https://docs.google.com/spreadsheets/d/10s13Sk5xrltsiR-Zkbmk5DwIaDIKO8Xl"&amp;"bJAfqyT7Gvg/edit?usp=sharing"",""น่าน!Q382"")+IMPORTRANGE(""https://docs.google.com/spreadsheets/d/1uu4nAn4Dbi1XREnLKKotUANlKXa7yCgRcgq8HEzQYW8/edit?usp=sharing"",""พะเยา!Q382"")+IMPORTRANGE(""https://docs.google.com/spreadsheets/d/1xfJKIQxVOaPDIICqsflNlL"&amp;"u3JacTDk1FP9RH4phX7mI/edit?usp=sharing"",""พิจิตร!Q382"")+IMPORTRANGE(""https://docs.google.com/spreadsheets/d/1JtRfZkJMHtEhI5RdRHxYUG4FIZHqKDpNyIuN7A1Q0_k/edit?usp=sharing"",""พิษณุโลก!Q382"")+IMPORTRANGE(""https://docs.google.com/spreadsheets/d/1xlcVZWU"&amp;"Nn6SuWm0c307h32SiGkd9BaeQWlAktfD3KO8/edit?usp=sharing"",""เพชรบูรณ์!Q382"")+IMPORTRANGE(""https://docs.google.com/spreadsheets/d/1lOVebEIsI9qjGXl6EX66luk7wiuP2tBaryw-wKvv4e0/edit?usp=sharing"",""แพร่!Q382"")+IMPORTRANGE(""https://docs.google.com/spreadshe"&amp;"ets/d/1dQrvX0vEcN7Gu0fnZ0B5S90AeR19zth4XlExFBeExMY/edit?usp=sharing"",""แม่ฮ่องสอน!Q382"")+IMPORTRANGE(""https://docs.google.com/spreadsheets/d/1DY4XTNNwjluuxqdfdn6qvOSlMRrZqUtmYcZR0ttFiG4/edit?usp=sharing"",""ลำปาง!Q382"")+IMPORTRANGE(""https://docs.goog"&amp;"le.com/spreadsheets/d/1ICwG78r0OFT8biBlxnBF8r7she7gNSzOvJ958PWT09c/edit?usp=sharing"",""ลำพูน!Q382"")+IMPORTRANGE(""https://docs.google.com/spreadsheets/d/1B0f2xJpZUC6Z0xXnqKlZtEPzsf6L84eP1r1Q15seqRM/edit?usp=sharing"",""สุโขทัย!Q382"")+IMPORTRANGE(""http"&amp;"s://docs.google.com/spreadsheets/d/1v0b9pFQCsKUVExMei7AgY2yQkdeNQvtOssygGsXbiKo/edit?usp=sharing"",""อุตรดิตถ์!Q382"")+IMPORTRANGE(""https://docs.google.com/spreadsheets/d/1UsNK1e-WWiCo2PvGqdNfdme4m17_Ezd3J69EeeiQPD0/edit?usp=sharing"",""อุทัยธานี!Q382"")"),0)</f>
        <v>0</v>
      </c>
      <c r="R382" s="48">
        <f ca="1">IFERROR(__xludf.DUMMYFUNCTION("IMPORTRANGE(""https://docs.google.com/spreadsheets/d/1jTcq05yEiRwXcBMLjiodW9e4biSGYWAHcDj22rKWQ3s/edit?usp=sharing"",""กำแพงเพชร!R382"")+IMPORTRANGE(""https://docs.google.com/spreadsheets/d/1KS0zmDSZPk8KnTAbGN-Xk6MtX1YRZD0ldgdt20K4CRk/edit?usp=sharing"","&amp;"""เชียงราย!R382"")+IMPORTRANGE(""https://docs.google.com/spreadsheets/d/1rEDxBtusbi64tE0zunoIbsTVV16HeL0oJ6trHQeQ7K8/edit?usp=sharing"",""เชียงใหม่!R382"")+IMPORTRANGE(""https://docs.google.com/spreadsheets/d/1W6MnUbDkMi6xHnHko_XkFDO9kkuL6Wqyc-6OCDFjW9I/e"&amp;"dit?usp=sharing"",""ตาก!R382"")+IMPORTRANGE(""https://docs.google.com/spreadsheets/d/1IQAWArduLkta9LpYo4a_ULsyqdta6-6aDDiwpUnQT6c/edit?usp=sharing"",""นครสวรรค์!R382"")+IMPORTRANGE(""https://docs.google.com/spreadsheets/d/10s13Sk5xrltsiR-Zkbmk5DwIaDIKO8Xl"&amp;"bJAfqyT7Gvg/edit?usp=sharing"",""น่าน!R382"")+IMPORTRANGE(""https://docs.google.com/spreadsheets/d/1uu4nAn4Dbi1XREnLKKotUANlKXa7yCgRcgq8HEzQYW8/edit?usp=sharing"",""พะเยา!R382"")+IMPORTRANGE(""https://docs.google.com/spreadsheets/d/1xfJKIQxVOaPDIICqsflNlL"&amp;"u3JacTDk1FP9RH4phX7mI/edit?usp=sharing"",""พิจิตร!R382"")+IMPORTRANGE(""https://docs.google.com/spreadsheets/d/1JtRfZkJMHtEhI5RdRHxYUG4FIZHqKDpNyIuN7A1Q0_k/edit?usp=sharing"",""พิษณุโลก!R382"")+IMPORTRANGE(""https://docs.google.com/spreadsheets/d/1xlcVZWU"&amp;"Nn6SuWm0c307h32SiGkd9BaeQWlAktfD3KO8/edit?usp=sharing"",""เพชรบูรณ์!R382"")+IMPORTRANGE(""https://docs.google.com/spreadsheets/d/1lOVebEIsI9qjGXl6EX66luk7wiuP2tBaryw-wKvv4e0/edit?usp=sharing"",""แพร่!R382"")+IMPORTRANGE(""https://docs.google.com/spreadshe"&amp;"ets/d/1dQrvX0vEcN7Gu0fnZ0B5S90AeR19zth4XlExFBeExMY/edit?usp=sharing"",""แม่ฮ่องสอน!R382"")+IMPORTRANGE(""https://docs.google.com/spreadsheets/d/1DY4XTNNwjluuxqdfdn6qvOSlMRrZqUtmYcZR0ttFiG4/edit?usp=sharing"",""ลำปาง!R382"")+IMPORTRANGE(""https://docs.goog"&amp;"le.com/spreadsheets/d/1ICwG78r0OFT8biBlxnBF8r7she7gNSzOvJ958PWT09c/edit?usp=sharing"",""ลำพูน!R382"")+IMPORTRANGE(""https://docs.google.com/spreadsheets/d/1B0f2xJpZUC6Z0xXnqKlZtEPzsf6L84eP1r1Q15seqRM/edit?usp=sharing"",""สุโขทัย!R382"")+IMPORTRANGE(""http"&amp;"s://docs.google.com/spreadsheets/d/1v0b9pFQCsKUVExMei7AgY2yQkdeNQvtOssygGsXbiKo/edit?usp=sharing"",""อุตรดิตถ์!R382"")+IMPORTRANGE(""https://docs.google.com/spreadsheets/d/1UsNK1e-WWiCo2PvGqdNfdme4m17_Ezd3J69EeeiQPD0/edit?usp=sharing"",""อุทัยธานี!R382"")"),0)</f>
        <v>0</v>
      </c>
      <c r="S382" s="48">
        <f ca="1">IFERROR(__xludf.DUMMYFUNCTION("IMPORTRANGE(""https://docs.google.com/spreadsheets/d/1jTcq05yEiRwXcBMLjiodW9e4biSGYWAHcDj22rKWQ3s/edit?usp=sharing"",""กำแพงเพชร!S382"")+IMPORTRANGE(""https://docs.google.com/spreadsheets/d/1KS0zmDSZPk8KnTAbGN-Xk6MtX1YRZD0ldgdt20K4CRk/edit?usp=sharing"","&amp;"""เชียงราย!S382"")+IMPORTRANGE(""https://docs.google.com/spreadsheets/d/1rEDxBtusbi64tE0zunoIbsTVV16HeL0oJ6trHQeQ7K8/edit?usp=sharing"",""เชียงใหม่!S382"")+IMPORTRANGE(""https://docs.google.com/spreadsheets/d/1W6MnUbDkMi6xHnHko_XkFDO9kkuL6Wqyc-6OCDFjW9I/e"&amp;"dit?usp=sharing"",""ตาก!S382"")+IMPORTRANGE(""https://docs.google.com/spreadsheets/d/1IQAWArduLkta9LpYo4a_ULsyqdta6-6aDDiwpUnQT6c/edit?usp=sharing"",""นครสวรรค์!S382"")+IMPORTRANGE(""https://docs.google.com/spreadsheets/d/10s13Sk5xrltsiR-Zkbmk5DwIaDIKO8Xl"&amp;"bJAfqyT7Gvg/edit?usp=sharing"",""น่าน!S382"")+IMPORTRANGE(""https://docs.google.com/spreadsheets/d/1uu4nAn4Dbi1XREnLKKotUANlKXa7yCgRcgq8HEzQYW8/edit?usp=sharing"",""พะเยา!S382"")+IMPORTRANGE(""https://docs.google.com/spreadsheets/d/1xfJKIQxVOaPDIICqsflNlL"&amp;"u3JacTDk1FP9RH4phX7mI/edit?usp=sharing"",""พิจิตร!S382"")+IMPORTRANGE(""https://docs.google.com/spreadsheets/d/1JtRfZkJMHtEhI5RdRHxYUG4FIZHqKDpNyIuN7A1Q0_k/edit?usp=sharing"",""พิษณุโลก!S382"")+IMPORTRANGE(""https://docs.google.com/spreadsheets/d/1xlcVZWU"&amp;"Nn6SuWm0c307h32SiGkd9BaeQWlAktfD3KO8/edit?usp=sharing"",""เพชรบูรณ์!S382"")+IMPORTRANGE(""https://docs.google.com/spreadsheets/d/1lOVebEIsI9qjGXl6EX66luk7wiuP2tBaryw-wKvv4e0/edit?usp=sharing"",""แพร่!S382"")+IMPORTRANGE(""https://docs.google.com/spreadshe"&amp;"ets/d/1dQrvX0vEcN7Gu0fnZ0B5S90AeR19zth4XlExFBeExMY/edit?usp=sharing"",""แม่ฮ่องสอน!S382"")+IMPORTRANGE(""https://docs.google.com/spreadsheets/d/1DY4XTNNwjluuxqdfdn6qvOSlMRrZqUtmYcZR0ttFiG4/edit?usp=sharing"",""ลำปาง!S382"")+IMPORTRANGE(""https://docs.goog"&amp;"le.com/spreadsheets/d/1ICwG78r0OFT8biBlxnBF8r7she7gNSzOvJ958PWT09c/edit?usp=sharing"",""ลำพูน!S382"")+IMPORTRANGE(""https://docs.google.com/spreadsheets/d/1B0f2xJpZUC6Z0xXnqKlZtEPzsf6L84eP1r1Q15seqRM/edit?usp=sharing"",""สุโขทัย!S382"")+IMPORTRANGE(""http"&amp;"s://docs.google.com/spreadsheets/d/1v0b9pFQCsKUVExMei7AgY2yQkdeNQvtOssygGsXbiKo/edit?usp=sharing"",""อุตรดิตถ์!S382"")+IMPORTRANGE(""https://docs.google.com/spreadsheets/d/1UsNK1e-WWiCo2PvGqdNfdme4m17_Ezd3J69EeeiQPD0/edit?usp=sharing"",""อุทัยธานี!S382"")"),0)</f>
        <v>0</v>
      </c>
      <c r="T382" s="48">
        <f t="shared" ca="1" si="286"/>
        <v>0</v>
      </c>
      <c r="U382" s="48">
        <f t="shared" ca="1" si="287"/>
        <v>0</v>
      </c>
    </row>
    <row r="383" spans="1:21" ht="18.75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46">
        <f ca="1">IFERROR(__xludf.DUMMYFUNCTION("IMPORTRANGE(""https://docs.google.com/spreadsheets/d/1jTcq05yEiRwXcBMLjiodW9e4biSGYWAHcDj22rKWQ3s/edit?usp=sharing"",""กำแพงเพชร!L383"")+IMPORTRANGE(""https://docs.google.com/spreadsheets/d/1KS0zmDSZPk8KnTAbGN-Xk6MtX1YRZD0ldgdt20K4CRk/edit?usp=sharing"","&amp;"""เชียงราย!L383"")+IMPORTRANGE(""https://docs.google.com/spreadsheets/d/1rEDxBtusbi64tE0zunoIbsTVV16HeL0oJ6trHQeQ7K8/edit?usp=sharing"",""เชียงใหม่!L383"")+IMPORTRANGE(""https://docs.google.com/spreadsheets/d/1W6MnUbDkMi6xHnHko_XkFDO9kkuL6Wqyc-6OCDFjW9I/e"&amp;"dit?usp=sharing"",""ตาก!L383"")+IMPORTRANGE(""https://docs.google.com/spreadsheets/d/1IQAWArduLkta9LpYo4a_ULsyqdta6-6aDDiwpUnQT6c/edit?usp=sharing"",""นครสวรรค์!L383"")+IMPORTRANGE(""https://docs.google.com/spreadsheets/d/10s13Sk5xrltsiR-Zkbmk5DwIaDIKO8Xl"&amp;"bJAfqyT7Gvg/edit?usp=sharing"",""น่าน!L383"")+IMPORTRANGE(""https://docs.google.com/spreadsheets/d/1uu4nAn4Dbi1XREnLKKotUANlKXa7yCgRcgq8HEzQYW8/edit?usp=sharing"",""พะเยา!L383"")+IMPORTRANGE(""https://docs.google.com/spreadsheets/d/1xfJKIQxVOaPDIICqsflNlL"&amp;"u3JacTDk1FP9RH4phX7mI/edit?usp=sharing"",""พิจิตร!L383"")+IMPORTRANGE(""https://docs.google.com/spreadsheets/d/1JtRfZkJMHtEhI5RdRHxYUG4FIZHqKDpNyIuN7A1Q0_k/edit?usp=sharing"",""พิษณุโลก!L383"")+IMPORTRANGE(""https://docs.google.com/spreadsheets/d/1xlcVZWU"&amp;"Nn6SuWm0c307h32SiGkd9BaeQWlAktfD3KO8/edit?usp=sharing"",""เพชรบูรณ์!L383"")+IMPORTRANGE(""https://docs.google.com/spreadsheets/d/1lOVebEIsI9qjGXl6EX66luk7wiuP2tBaryw-wKvv4e0/edit?usp=sharing"",""แพร่!L383"")+IMPORTRANGE(""https://docs.google.com/spreadshe"&amp;"ets/d/1dQrvX0vEcN7Gu0fnZ0B5S90AeR19zth4XlExFBeExMY/edit?usp=sharing"",""แม่ฮ่องสอน!L383"")+IMPORTRANGE(""https://docs.google.com/spreadsheets/d/1DY4XTNNwjluuxqdfdn6qvOSlMRrZqUtmYcZR0ttFiG4/edit?usp=sharing"",""ลำปาง!L383"")+IMPORTRANGE(""https://docs.goog"&amp;"le.com/spreadsheets/d/1ICwG78r0OFT8biBlxnBF8r7she7gNSzOvJ958PWT09c/edit?usp=sharing"",""ลำพูน!L383"")+IMPORTRANGE(""https://docs.google.com/spreadsheets/d/1B0f2xJpZUC6Z0xXnqKlZtEPzsf6L84eP1r1Q15seqRM/edit?usp=sharing"",""สุโขทัย!L383"")+IMPORTRANGE(""http"&amp;"s://docs.google.com/spreadsheets/d/1v0b9pFQCsKUVExMei7AgY2yQkdeNQvtOssygGsXbiKo/edit?usp=sharing"",""อุตรดิตถ์!L383"")+IMPORTRANGE(""https://docs.google.com/spreadsheets/d/1UsNK1e-WWiCo2PvGqdNfdme4m17_Ezd3J69EeeiQPD0/edit?usp=sharing"",""อุทัยธานี!L383"")"),0)</f>
        <v>0</v>
      </c>
      <c r="M383" s="46">
        <f ca="1">IFERROR(__xludf.DUMMYFUNCTION("IMPORTRANGE(""https://docs.google.com/spreadsheets/d/1jTcq05yEiRwXcBMLjiodW9e4biSGYWAHcDj22rKWQ3s/edit?usp=sharing"",""กำแพงเพชร!M383"")+IMPORTRANGE(""https://docs.google.com/spreadsheets/d/1KS0zmDSZPk8KnTAbGN-Xk6MtX1YRZD0ldgdt20K4CRk/edit?usp=sharing"","&amp;"""เชียงราย!M383"")+IMPORTRANGE(""https://docs.google.com/spreadsheets/d/1rEDxBtusbi64tE0zunoIbsTVV16HeL0oJ6trHQeQ7K8/edit?usp=sharing"",""เชียงใหม่!M383"")+IMPORTRANGE(""https://docs.google.com/spreadsheets/d/1W6MnUbDkMi6xHnHko_XkFDO9kkuL6Wqyc-6OCDFjW9I/e"&amp;"dit?usp=sharing"",""ตาก!M383"")+IMPORTRANGE(""https://docs.google.com/spreadsheets/d/1IQAWArduLkta9LpYo4a_ULsyqdta6-6aDDiwpUnQT6c/edit?usp=sharing"",""นครสวรรค์!M383"")+IMPORTRANGE(""https://docs.google.com/spreadsheets/d/10s13Sk5xrltsiR-Zkbmk5DwIaDIKO8Xl"&amp;"bJAfqyT7Gvg/edit?usp=sharing"",""น่าน!M383"")+IMPORTRANGE(""https://docs.google.com/spreadsheets/d/1uu4nAn4Dbi1XREnLKKotUANlKXa7yCgRcgq8HEzQYW8/edit?usp=sharing"",""พะเยา!M383"")+IMPORTRANGE(""https://docs.google.com/spreadsheets/d/1xfJKIQxVOaPDIICqsflNlL"&amp;"u3JacTDk1FP9RH4phX7mI/edit?usp=sharing"",""พิจิตร!M383"")+IMPORTRANGE(""https://docs.google.com/spreadsheets/d/1JtRfZkJMHtEhI5RdRHxYUG4FIZHqKDpNyIuN7A1Q0_k/edit?usp=sharing"",""พิษณุโลก!M383"")+IMPORTRANGE(""https://docs.google.com/spreadsheets/d/1xlcVZWU"&amp;"Nn6SuWm0c307h32SiGkd9BaeQWlAktfD3KO8/edit?usp=sharing"",""เพชรบูรณ์!M383"")+IMPORTRANGE(""https://docs.google.com/spreadsheets/d/1lOVebEIsI9qjGXl6EX66luk7wiuP2tBaryw-wKvv4e0/edit?usp=sharing"",""แพร่!M383"")+IMPORTRANGE(""https://docs.google.com/spreadshe"&amp;"ets/d/1dQrvX0vEcN7Gu0fnZ0B5S90AeR19zth4XlExFBeExMY/edit?usp=sharing"",""แม่ฮ่องสอน!M383"")+IMPORTRANGE(""https://docs.google.com/spreadsheets/d/1DY4XTNNwjluuxqdfdn6qvOSlMRrZqUtmYcZR0ttFiG4/edit?usp=sharing"",""ลำปาง!M383"")+IMPORTRANGE(""https://docs.goog"&amp;"le.com/spreadsheets/d/1ICwG78r0OFT8biBlxnBF8r7she7gNSzOvJ958PWT09c/edit?usp=sharing"",""ลำพูน!M383"")+IMPORTRANGE(""https://docs.google.com/spreadsheets/d/1B0f2xJpZUC6Z0xXnqKlZtEPzsf6L84eP1r1Q15seqRM/edit?usp=sharing"",""สุโขทัย!M383"")+IMPORTRANGE(""http"&amp;"s://docs.google.com/spreadsheets/d/1v0b9pFQCsKUVExMei7AgY2yQkdeNQvtOssygGsXbiKo/edit?usp=sharing"",""อุตรดิตถ์!M383"")+IMPORTRANGE(""https://docs.google.com/spreadsheets/d/1UsNK1e-WWiCo2PvGqdNfdme4m17_Ezd3J69EeeiQPD0/edit?usp=sharing"",""อุทัยธานี!M383"")"),0)</f>
        <v>0</v>
      </c>
      <c r="N383" s="46">
        <f ca="1">IFERROR(__xludf.DUMMYFUNCTION("IMPORTRANGE(""https://docs.google.com/spreadsheets/d/1jTcq05yEiRwXcBMLjiodW9e4biSGYWAHcDj22rKWQ3s/edit?usp=sharing"",""กำแพงเพชร!N383"")+IMPORTRANGE(""https://docs.google.com/spreadsheets/d/1KS0zmDSZPk8KnTAbGN-Xk6MtX1YRZD0ldgdt20K4CRk/edit?usp=sharing"","&amp;"""เชียงราย!N383"")+IMPORTRANGE(""https://docs.google.com/spreadsheets/d/1rEDxBtusbi64tE0zunoIbsTVV16HeL0oJ6trHQeQ7K8/edit?usp=sharing"",""เชียงใหม่!N383"")+IMPORTRANGE(""https://docs.google.com/spreadsheets/d/1W6MnUbDkMi6xHnHko_XkFDO9kkuL6Wqyc-6OCDFjW9I/e"&amp;"dit?usp=sharing"",""ตาก!N383"")+IMPORTRANGE(""https://docs.google.com/spreadsheets/d/1IQAWArduLkta9LpYo4a_ULsyqdta6-6aDDiwpUnQT6c/edit?usp=sharing"",""นครสวรรค์!N383"")+IMPORTRANGE(""https://docs.google.com/spreadsheets/d/10s13Sk5xrltsiR-Zkbmk5DwIaDIKO8Xl"&amp;"bJAfqyT7Gvg/edit?usp=sharing"",""น่าน!N383"")+IMPORTRANGE(""https://docs.google.com/spreadsheets/d/1uu4nAn4Dbi1XREnLKKotUANlKXa7yCgRcgq8HEzQYW8/edit?usp=sharing"",""พะเยา!N383"")+IMPORTRANGE(""https://docs.google.com/spreadsheets/d/1xfJKIQxVOaPDIICqsflNlL"&amp;"u3JacTDk1FP9RH4phX7mI/edit?usp=sharing"",""พิจิตร!N383"")+IMPORTRANGE(""https://docs.google.com/spreadsheets/d/1JtRfZkJMHtEhI5RdRHxYUG4FIZHqKDpNyIuN7A1Q0_k/edit?usp=sharing"",""พิษณุโลก!N383"")+IMPORTRANGE(""https://docs.google.com/spreadsheets/d/1xlcVZWU"&amp;"Nn6SuWm0c307h32SiGkd9BaeQWlAktfD3KO8/edit?usp=sharing"",""เพชรบูรณ์!N383"")+IMPORTRANGE(""https://docs.google.com/spreadsheets/d/1lOVebEIsI9qjGXl6EX66luk7wiuP2tBaryw-wKvv4e0/edit?usp=sharing"",""แพร่!N383"")+IMPORTRANGE(""https://docs.google.com/spreadshe"&amp;"ets/d/1dQrvX0vEcN7Gu0fnZ0B5S90AeR19zth4XlExFBeExMY/edit?usp=sharing"",""แม่ฮ่องสอน!N383"")+IMPORTRANGE(""https://docs.google.com/spreadsheets/d/1DY4XTNNwjluuxqdfdn6qvOSlMRrZqUtmYcZR0ttFiG4/edit?usp=sharing"",""ลำปาง!N383"")+IMPORTRANGE(""https://docs.goog"&amp;"le.com/spreadsheets/d/1ICwG78r0OFT8biBlxnBF8r7she7gNSzOvJ958PWT09c/edit?usp=sharing"",""ลำพูน!N383"")+IMPORTRANGE(""https://docs.google.com/spreadsheets/d/1B0f2xJpZUC6Z0xXnqKlZtEPzsf6L84eP1r1Q15seqRM/edit?usp=sharing"",""สุโขทัย!N383"")+IMPORTRANGE(""http"&amp;"s://docs.google.com/spreadsheets/d/1v0b9pFQCsKUVExMei7AgY2yQkdeNQvtOssygGsXbiKo/edit?usp=sharing"",""อุตรดิตถ์!N383"")+IMPORTRANGE(""https://docs.google.com/spreadsheets/d/1UsNK1e-WWiCo2PvGqdNfdme4m17_Ezd3J69EeeiQPD0/edit?usp=sharing"",""อุทัยธานี!N383"")"),0)</f>
        <v>0</v>
      </c>
      <c r="O383" s="46">
        <f t="shared" ca="1" si="283"/>
        <v>0</v>
      </c>
      <c r="P383" s="46">
        <f t="shared" ca="1" si="284"/>
        <v>0</v>
      </c>
      <c r="Q383" s="46">
        <f ca="1">IFERROR(__xludf.DUMMYFUNCTION("IMPORTRANGE(""https://docs.google.com/spreadsheets/d/1jTcq05yEiRwXcBMLjiodW9e4biSGYWAHcDj22rKWQ3s/edit?usp=sharing"",""กำแพงเพชร!Q383"")+IMPORTRANGE(""https://docs.google.com/spreadsheets/d/1KS0zmDSZPk8KnTAbGN-Xk6MtX1YRZD0ldgdt20K4CRk/edit?usp=sharing"","&amp;"""เชียงราย!Q383"")+IMPORTRANGE(""https://docs.google.com/spreadsheets/d/1rEDxBtusbi64tE0zunoIbsTVV16HeL0oJ6trHQeQ7K8/edit?usp=sharing"",""เชียงใหม่!Q383"")+IMPORTRANGE(""https://docs.google.com/spreadsheets/d/1W6MnUbDkMi6xHnHko_XkFDO9kkuL6Wqyc-6OCDFjW9I/e"&amp;"dit?usp=sharing"",""ตาก!Q383"")+IMPORTRANGE(""https://docs.google.com/spreadsheets/d/1IQAWArduLkta9LpYo4a_ULsyqdta6-6aDDiwpUnQT6c/edit?usp=sharing"",""นครสวรรค์!Q383"")+IMPORTRANGE(""https://docs.google.com/spreadsheets/d/10s13Sk5xrltsiR-Zkbmk5DwIaDIKO8Xl"&amp;"bJAfqyT7Gvg/edit?usp=sharing"",""น่าน!Q383"")+IMPORTRANGE(""https://docs.google.com/spreadsheets/d/1uu4nAn4Dbi1XREnLKKotUANlKXa7yCgRcgq8HEzQYW8/edit?usp=sharing"",""พะเยา!Q383"")+IMPORTRANGE(""https://docs.google.com/spreadsheets/d/1xfJKIQxVOaPDIICqsflNlL"&amp;"u3JacTDk1FP9RH4phX7mI/edit?usp=sharing"",""พิจิตร!Q383"")+IMPORTRANGE(""https://docs.google.com/spreadsheets/d/1JtRfZkJMHtEhI5RdRHxYUG4FIZHqKDpNyIuN7A1Q0_k/edit?usp=sharing"",""พิษณุโลก!Q383"")+IMPORTRANGE(""https://docs.google.com/spreadsheets/d/1xlcVZWU"&amp;"Nn6SuWm0c307h32SiGkd9BaeQWlAktfD3KO8/edit?usp=sharing"",""เพชรบูรณ์!Q383"")+IMPORTRANGE(""https://docs.google.com/spreadsheets/d/1lOVebEIsI9qjGXl6EX66luk7wiuP2tBaryw-wKvv4e0/edit?usp=sharing"",""แพร่!Q383"")+IMPORTRANGE(""https://docs.google.com/spreadshe"&amp;"ets/d/1dQrvX0vEcN7Gu0fnZ0B5S90AeR19zth4XlExFBeExMY/edit?usp=sharing"",""แม่ฮ่องสอน!Q383"")+IMPORTRANGE(""https://docs.google.com/spreadsheets/d/1DY4XTNNwjluuxqdfdn6qvOSlMRrZqUtmYcZR0ttFiG4/edit?usp=sharing"",""ลำปาง!Q383"")+IMPORTRANGE(""https://docs.goog"&amp;"le.com/spreadsheets/d/1ICwG78r0OFT8biBlxnBF8r7she7gNSzOvJ958PWT09c/edit?usp=sharing"",""ลำพูน!Q383"")+IMPORTRANGE(""https://docs.google.com/spreadsheets/d/1B0f2xJpZUC6Z0xXnqKlZtEPzsf6L84eP1r1Q15seqRM/edit?usp=sharing"",""สุโขทัย!Q383"")+IMPORTRANGE(""http"&amp;"s://docs.google.com/spreadsheets/d/1v0b9pFQCsKUVExMei7AgY2yQkdeNQvtOssygGsXbiKo/edit?usp=sharing"",""อุตรดิตถ์!Q383"")+IMPORTRANGE(""https://docs.google.com/spreadsheets/d/1UsNK1e-WWiCo2PvGqdNfdme4m17_Ezd3J69EeeiQPD0/edit?usp=sharing"",""อุทัยธานี!Q383"")"),0)</f>
        <v>0</v>
      </c>
      <c r="R383" s="46">
        <f ca="1">IFERROR(__xludf.DUMMYFUNCTION("IMPORTRANGE(""https://docs.google.com/spreadsheets/d/1jTcq05yEiRwXcBMLjiodW9e4biSGYWAHcDj22rKWQ3s/edit?usp=sharing"",""กำแพงเพชร!R383"")+IMPORTRANGE(""https://docs.google.com/spreadsheets/d/1KS0zmDSZPk8KnTAbGN-Xk6MtX1YRZD0ldgdt20K4CRk/edit?usp=sharing"","&amp;"""เชียงราย!R383"")+IMPORTRANGE(""https://docs.google.com/spreadsheets/d/1rEDxBtusbi64tE0zunoIbsTVV16HeL0oJ6trHQeQ7K8/edit?usp=sharing"",""เชียงใหม่!R383"")+IMPORTRANGE(""https://docs.google.com/spreadsheets/d/1W6MnUbDkMi6xHnHko_XkFDO9kkuL6Wqyc-6OCDFjW9I/e"&amp;"dit?usp=sharing"",""ตาก!R383"")+IMPORTRANGE(""https://docs.google.com/spreadsheets/d/1IQAWArduLkta9LpYo4a_ULsyqdta6-6aDDiwpUnQT6c/edit?usp=sharing"",""นครสวรรค์!R383"")+IMPORTRANGE(""https://docs.google.com/spreadsheets/d/10s13Sk5xrltsiR-Zkbmk5DwIaDIKO8Xl"&amp;"bJAfqyT7Gvg/edit?usp=sharing"",""น่าน!R383"")+IMPORTRANGE(""https://docs.google.com/spreadsheets/d/1uu4nAn4Dbi1XREnLKKotUANlKXa7yCgRcgq8HEzQYW8/edit?usp=sharing"",""พะเยา!R383"")+IMPORTRANGE(""https://docs.google.com/spreadsheets/d/1xfJKIQxVOaPDIICqsflNlL"&amp;"u3JacTDk1FP9RH4phX7mI/edit?usp=sharing"",""พิจิตร!R383"")+IMPORTRANGE(""https://docs.google.com/spreadsheets/d/1JtRfZkJMHtEhI5RdRHxYUG4FIZHqKDpNyIuN7A1Q0_k/edit?usp=sharing"",""พิษณุโลก!R383"")+IMPORTRANGE(""https://docs.google.com/spreadsheets/d/1xlcVZWU"&amp;"Nn6SuWm0c307h32SiGkd9BaeQWlAktfD3KO8/edit?usp=sharing"",""เพชรบูรณ์!R383"")+IMPORTRANGE(""https://docs.google.com/spreadsheets/d/1lOVebEIsI9qjGXl6EX66luk7wiuP2tBaryw-wKvv4e0/edit?usp=sharing"",""แพร่!R383"")+IMPORTRANGE(""https://docs.google.com/spreadshe"&amp;"ets/d/1dQrvX0vEcN7Gu0fnZ0B5S90AeR19zth4XlExFBeExMY/edit?usp=sharing"",""แม่ฮ่องสอน!R383"")+IMPORTRANGE(""https://docs.google.com/spreadsheets/d/1DY4XTNNwjluuxqdfdn6qvOSlMRrZqUtmYcZR0ttFiG4/edit?usp=sharing"",""ลำปาง!R383"")+IMPORTRANGE(""https://docs.goog"&amp;"le.com/spreadsheets/d/1ICwG78r0OFT8biBlxnBF8r7she7gNSzOvJ958PWT09c/edit?usp=sharing"",""ลำพูน!R383"")+IMPORTRANGE(""https://docs.google.com/spreadsheets/d/1B0f2xJpZUC6Z0xXnqKlZtEPzsf6L84eP1r1Q15seqRM/edit?usp=sharing"",""สุโขทัย!R383"")+IMPORTRANGE(""http"&amp;"s://docs.google.com/spreadsheets/d/1v0b9pFQCsKUVExMei7AgY2yQkdeNQvtOssygGsXbiKo/edit?usp=sharing"",""อุตรดิตถ์!R383"")+IMPORTRANGE(""https://docs.google.com/spreadsheets/d/1UsNK1e-WWiCo2PvGqdNfdme4m17_Ezd3J69EeeiQPD0/edit?usp=sharing"",""อุทัยธานี!R383"")"),0)</f>
        <v>0</v>
      </c>
      <c r="S383" s="46">
        <f ca="1">IFERROR(__xludf.DUMMYFUNCTION("IMPORTRANGE(""https://docs.google.com/spreadsheets/d/1jTcq05yEiRwXcBMLjiodW9e4biSGYWAHcDj22rKWQ3s/edit?usp=sharing"",""กำแพงเพชร!S383"")+IMPORTRANGE(""https://docs.google.com/spreadsheets/d/1KS0zmDSZPk8KnTAbGN-Xk6MtX1YRZD0ldgdt20K4CRk/edit?usp=sharing"","&amp;"""เชียงราย!S383"")+IMPORTRANGE(""https://docs.google.com/spreadsheets/d/1rEDxBtusbi64tE0zunoIbsTVV16HeL0oJ6trHQeQ7K8/edit?usp=sharing"",""เชียงใหม่!S383"")+IMPORTRANGE(""https://docs.google.com/spreadsheets/d/1W6MnUbDkMi6xHnHko_XkFDO9kkuL6Wqyc-6OCDFjW9I/e"&amp;"dit?usp=sharing"",""ตาก!S383"")+IMPORTRANGE(""https://docs.google.com/spreadsheets/d/1IQAWArduLkta9LpYo4a_ULsyqdta6-6aDDiwpUnQT6c/edit?usp=sharing"",""นครสวรรค์!S383"")+IMPORTRANGE(""https://docs.google.com/spreadsheets/d/10s13Sk5xrltsiR-Zkbmk5DwIaDIKO8Xl"&amp;"bJAfqyT7Gvg/edit?usp=sharing"",""น่าน!S383"")+IMPORTRANGE(""https://docs.google.com/spreadsheets/d/1uu4nAn4Dbi1XREnLKKotUANlKXa7yCgRcgq8HEzQYW8/edit?usp=sharing"",""พะเยา!S383"")+IMPORTRANGE(""https://docs.google.com/spreadsheets/d/1xfJKIQxVOaPDIICqsflNlL"&amp;"u3JacTDk1FP9RH4phX7mI/edit?usp=sharing"",""พิจิตร!S383"")+IMPORTRANGE(""https://docs.google.com/spreadsheets/d/1JtRfZkJMHtEhI5RdRHxYUG4FIZHqKDpNyIuN7A1Q0_k/edit?usp=sharing"",""พิษณุโลก!S383"")+IMPORTRANGE(""https://docs.google.com/spreadsheets/d/1xlcVZWU"&amp;"Nn6SuWm0c307h32SiGkd9BaeQWlAktfD3KO8/edit?usp=sharing"",""เพชรบูรณ์!S383"")+IMPORTRANGE(""https://docs.google.com/spreadsheets/d/1lOVebEIsI9qjGXl6EX66luk7wiuP2tBaryw-wKvv4e0/edit?usp=sharing"",""แพร่!S383"")+IMPORTRANGE(""https://docs.google.com/spreadshe"&amp;"ets/d/1dQrvX0vEcN7Gu0fnZ0B5S90AeR19zth4XlExFBeExMY/edit?usp=sharing"",""แม่ฮ่องสอน!S383"")+IMPORTRANGE(""https://docs.google.com/spreadsheets/d/1DY4XTNNwjluuxqdfdn6qvOSlMRrZqUtmYcZR0ttFiG4/edit?usp=sharing"",""ลำปาง!S383"")+IMPORTRANGE(""https://docs.goog"&amp;"le.com/spreadsheets/d/1ICwG78r0OFT8biBlxnBF8r7she7gNSzOvJ958PWT09c/edit?usp=sharing"",""ลำพูน!S383"")+IMPORTRANGE(""https://docs.google.com/spreadsheets/d/1B0f2xJpZUC6Z0xXnqKlZtEPzsf6L84eP1r1Q15seqRM/edit?usp=sharing"",""สุโขทัย!S383"")+IMPORTRANGE(""http"&amp;"s://docs.google.com/spreadsheets/d/1v0b9pFQCsKUVExMei7AgY2yQkdeNQvtOssygGsXbiKo/edit?usp=sharing"",""อุตรดิตถ์!S383"")+IMPORTRANGE(""https://docs.google.com/spreadsheets/d/1UsNK1e-WWiCo2PvGqdNfdme4m17_Ezd3J69EeeiQPD0/edit?usp=sharing"",""อุทัยธานี!S383"")"),0)</f>
        <v>0</v>
      </c>
      <c r="T383" s="46">
        <f t="shared" ca="1" si="286"/>
        <v>0</v>
      </c>
      <c r="U383" s="46">
        <f t="shared" ca="1" si="287"/>
        <v>0</v>
      </c>
    </row>
    <row r="384" spans="1:21" ht="19.5" x14ac:dyDescent="0.3">
      <c r="A384" s="138"/>
      <c r="B384" s="139"/>
      <c r="C384" s="161" t="s">
        <v>18</v>
      </c>
      <c r="D384" s="313" t="s">
        <v>38</v>
      </c>
      <c r="E384" s="141"/>
      <c r="F384" s="141"/>
      <c r="G384" s="142"/>
      <c r="H384" s="178"/>
      <c r="I384" s="135"/>
      <c r="J384" s="44"/>
      <c r="K384" s="45"/>
      <c r="L384" s="45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166">
        <f ca="1">IFERROR(__xludf.DUMMYFUNCTION("IMPORTRANGE(""https://docs.google.com/spreadsheets/d/1jTcq05yEiRwXcBMLjiodW9e4biSGYWAHcDj22rKWQ3s/edit?usp=sharing"",""กำแพงเพชร!I385"")+IMPORTRANGE(""https://docs.google.com/spreadsheets/d/1KS0zmDSZPk8KnTAbGN-Xk6MtX1YRZD0ldgdt20K4CRk/edit?usp=sharing"","&amp;"""เชียงราย!I385"")+IMPORTRANGE(""https://docs.google.com/spreadsheets/d/1rEDxBtusbi64tE0zunoIbsTVV16HeL0oJ6trHQeQ7K8/edit?usp=sharing"",""เชียงใหม่!I385"")+IMPORTRANGE(""https://docs.google.com/spreadsheets/d/1W6MnUbDkMi6xHnHko_XkFDO9kkuL6Wqyc-6OCDFjW9I/e"&amp;"dit?usp=sharing"",""ตาก!I385"")+IMPORTRANGE(""https://docs.google.com/spreadsheets/d/1IQAWArduLkta9LpYo4a_ULsyqdta6-6aDDiwpUnQT6c/edit?usp=sharing"",""นครสวรรค์!I385"")+IMPORTRANGE(""https://docs.google.com/spreadsheets/d/10s13Sk5xrltsiR-Zkbmk5DwIaDIKO8Xl"&amp;"bJAfqyT7Gvg/edit?usp=sharing"",""น่าน!I385"")+IMPORTRANGE(""https://docs.google.com/spreadsheets/d/1uu4nAn4Dbi1XREnLKKotUANlKXa7yCgRcgq8HEzQYW8/edit?usp=sharing"",""พะเยา!I385"")+IMPORTRANGE(""https://docs.google.com/spreadsheets/d/1xfJKIQxVOaPDIICqsflNlL"&amp;"u3JacTDk1FP9RH4phX7mI/edit?usp=sharing"",""พิจิตร!I385"")+IMPORTRANGE(""https://docs.google.com/spreadsheets/d/1JtRfZkJMHtEhI5RdRHxYUG4FIZHqKDpNyIuN7A1Q0_k/edit?usp=sharing"",""พิษณุโลก!I385"")+IMPORTRANGE(""https://docs.google.com/spreadsheets/d/1xlcVZWU"&amp;"Nn6SuWm0c307h32SiGkd9BaeQWlAktfD3KO8/edit?usp=sharing"",""เพชรบูรณ์!I385"")+IMPORTRANGE(""https://docs.google.com/spreadsheets/d/1lOVebEIsI9qjGXl6EX66luk7wiuP2tBaryw-wKvv4e0/edit?usp=sharing"",""แพร่!I385"")+IMPORTRANGE(""https://docs.google.com/spreadshe"&amp;"ets/d/1dQrvX0vEcN7Gu0fnZ0B5S90AeR19zth4XlExFBeExMY/edit?usp=sharing"",""แม่ฮ่องสอน!I385"")+IMPORTRANGE(""https://docs.google.com/spreadsheets/d/1DY4XTNNwjluuxqdfdn6qvOSlMRrZqUtmYcZR0ttFiG4/edit?usp=sharing"",""ลำปาง!I385"")+IMPORTRANGE(""https://docs.goog"&amp;"le.com/spreadsheets/d/1ICwG78r0OFT8biBlxnBF8r7she7gNSzOvJ958PWT09c/edit?usp=sharing"",""ลำพูน!I385"")+IMPORTRANGE(""https://docs.google.com/spreadsheets/d/1B0f2xJpZUC6Z0xXnqKlZtEPzsf6L84eP1r1Q15seqRM/edit?usp=sharing"",""สุโขทัย!I385"")+IMPORTRANGE(""http"&amp;"s://docs.google.com/spreadsheets/d/1v0b9pFQCsKUVExMei7AgY2yQkdeNQvtOssygGsXbiKo/edit?usp=sharing"",""อุตรดิตถ์!I385"")+IMPORTRANGE(""https://docs.google.com/spreadsheets/d/1UsNK1e-WWiCo2PvGqdNfdme4m17_Ezd3J69EeeiQPD0/edit?usp=sharing"",""อุทัยธานี!I385"")"),0)</f>
        <v>0</v>
      </c>
      <c r="J385" s="166">
        <f ca="1">IFERROR(__xludf.DUMMYFUNCTION("IMPORTRANGE(""https://docs.google.com/spreadsheets/d/1jTcq05yEiRwXcBMLjiodW9e4biSGYWAHcDj22rKWQ3s/edit?usp=sharing"",""กำแพงเพชร!J385"")+IMPORTRANGE(""https://docs.google.com/spreadsheets/d/1KS0zmDSZPk8KnTAbGN-Xk6MtX1YRZD0ldgdt20K4CRk/edit?usp=sharing"","&amp;"""เชียงราย!J385"")+IMPORTRANGE(""https://docs.google.com/spreadsheets/d/1rEDxBtusbi64tE0zunoIbsTVV16HeL0oJ6trHQeQ7K8/edit?usp=sharing"",""เชียงใหม่!J385"")+IMPORTRANGE(""https://docs.google.com/spreadsheets/d/1W6MnUbDkMi6xHnHko_XkFDO9kkuL6Wqyc-6OCDFjW9I/e"&amp;"dit?usp=sharing"",""ตาก!J385"")+IMPORTRANGE(""https://docs.google.com/spreadsheets/d/1IQAWArduLkta9LpYo4a_ULsyqdta6-6aDDiwpUnQT6c/edit?usp=sharing"",""นครสวรรค์!J385"")+IMPORTRANGE(""https://docs.google.com/spreadsheets/d/10s13Sk5xrltsiR-Zkbmk5DwIaDIKO8Xl"&amp;"bJAfqyT7Gvg/edit?usp=sharing"",""น่าน!J385"")+IMPORTRANGE(""https://docs.google.com/spreadsheets/d/1uu4nAn4Dbi1XREnLKKotUANlKXa7yCgRcgq8HEzQYW8/edit?usp=sharing"",""พะเยา!J385"")+IMPORTRANGE(""https://docs.google.com/spreadsheets/d/1xfJKIQxVOaPDIICqsflNlL"&amp;"u3JacTDk1FP9RH4phX7mI/edit?usp=sharing"",""พิจิตร!J385"")+IMPORTRANGE(""https://docs.google.com/spreadsheets/d/1JtRfZkJMHtEhI5RdRHxYUG4FIZHqKDpNyIuN7A1Q0_k/edit?usp=sharing"",""พิษณุโลก!J385"")+IMPORTRANGE(""https://docs.google.com/spreadsheets/d/1xlcVZWU"&amp;"Nn6SuWm0c307h32SiGkd9BaeQWlAktfD3KO8/edit?usp=sharing"",""เพชรบูรณ์!J385"")+IMPORTRANGE(""https://docs.google.com/spreadsheets/d/1lOVebEIsI9qjGXl6EX66luk7wiuP2tBaryw-wKvv4e0/edit?usp=sharing"",""แพร่!J385"")+IMPORTRANGE(""https://docs.google.com/spreadshe"&amp;"ets/d/1dQrvX0vEcN7Gu0fnZ0B5S90AeR19zth4XlExFBeExMY/edit?usp=sharing"",""แม่ฮ่องสอน!J385"")+IMPORTRANGE(""https://docs.google.com/spreadsheets/d/1DY4XTNNwjluuxqdfdn6qvOSlMRrZqUtmYcZR0ttFiG4/edit?usp=sharing"",""ลำปาง!J385"")+IMPORTRANGE(""https://docs.goog"&amp;"le.com/spreadsheets/d/1ICwG78r0OFT8biBlxnBF8r7she7gNSzOvJ958PWT09c/edit?usp=sharing"",""ลำพูน!J385"")+IMPORTRANGE(""https://docs.google.com/spreadsheets/d/1B0f2xJpZUC6Z0xXnqKlZtEPzsf6L84eP1r1Q15seqRM/edit?usp=sharing"",""สุโขทัย!J385"")+IMPORTRANGE(""http"&amp;"s://docs.google.com/spreadsheets/d/1v0b9pFQCsKUVExMei7AgY2yQkdeNQvtOssygGsXbiKo/edit?usp=sharing"",""อุตรดิตถ์!J385"")+IMPORTRANGE(""https://docs.google.com/spreadsheets/d/1UsNK1e-WWiCo2PvGqdNfdme4m17_Ezd3J69EeeiQPD0/edit?usp=sharing"",""อุทัยธานี!J385"")"),130)</f>
        <v>130</v>
      </c>
      <c r="K385" s="46">
        <f t="shared" ref="K385:K388" ca="1" si="296">IF(I385&gt;0,J385*100/I385,0)</f>
        <v>0</v>
      </c>
      <c r="L385" s="45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66">
        <f ca="1">IFERROR(__xludf.DUMMYFUNCTION("IMPORTRANGE(""https://docs.google.com/spreadsheets/d/1jTcq05yEiRwXcBMLjiodW9e4biSGYWAHcDj22rKWQ3s/edit?usp=sharing"",""กำแพงเพชร!I386"")+IMPORTRANGE(""https://docs.google.com/spreadsheets/d/1KS0zmDSZPk8KnTAbGN-Xk6MtX1YRZD0ldgdt20K4CRk/edit?usp=sharing"","&amp;"""เชียงราย!I386"")+IMPORTRANGE(""https://docs.google.com/spreadsheets/d/1rEDxBtusbi64tE0zunoIbsTVV16HeL0oJ6trHQeQ7K8/edit?usp=sharing"",""เชียงใหม่!I386"")+IMPORTRANGE(""https://docs.google.com/spreadsheets/d/1W6MnUbDkMi6xHnHko_XkFDO9kkuL6Wqyc-6OCDFjW9I/e"&amp;"dit?usp=sharing"",""ตาก!I386"")+IMPORTRANGE(""https://docs.google.com/spreadsheets/d/1IQAWArduLkta9LpYo4a_ULsyqdta6-6aDDiwpUnQT6c/edit?usp=sharing"",""นครสวรรค์!I386"")+IMPORTRANGE(""https://docs.google.com/spreadsheets/d/10s13Sk5xrltsiR-Zkbmk5DwIaDIKO8Xl"&amp;"bJAfqyT7Gvg/edit?usp=sharing"",""น่าน!I386"")+IMPORTRANGE(""https://docs.google.com/spreadsheets/d/1uu4nAn4Dbi1XREnLKKotUANlKXa7yCgRcgq8HEzQYW8/edit?usp=sharing"",""พะเยา!I386"")+IMPORTRANGE(""https://docs.google.com/spreadsheets/d/1xfJKIQxVOaPDIICqsflNlL"&amp;"u3JacTDk1FP9RH4phX7mI/edit?usp=sharing"",""พิจิตร!I386"")+IMPORTRANGE(""https://docs.google.com/spreadsheets/d/1JtRfZkJMHtEhI5RdRHxYUG4FIZHqKDpNyIuN7A1Q0_k/edit?usp=sharing"",""พิษณุโลก!I386"")+IMPORTRANGE(""https://docs.google.com/spreadsheets/d/1xlcVZWU"&amp;"Nn6SuWm0c307h32SiGkd9BaeQWlAktfD3KO8/edit?usp=sharing"",""เพชรบูรณ์!I386"")+IMPORTRANGE(""https://docs.google.com/spreadsheets/d/1lOVebEIsI9qjGXl6EX66luk7wiuP2tBaryw-wKvv4e0/edit?usp=sharing"",""แพร่!I386"")+IMPORTRANGE(""https://docs.google.com/spreadshe"&amp;"ets/d/1dQrvX0vEcN7Gu0fnZ0B5S90AeR19zth4XlExFBeExMY/edit?usp=sharing"",""แม่ฮ่องสอน!I386"")+IMPORTRANGE(""https://docs.google.com/spreadsheets/d/1DY4XTNNwjluuxqdfdn6qvOSlMRrZqUtmYcZR0ttFiG4/edit?usp=sharing"",""ลำปาง!I386"")+IMPORTRANGE(""https://docs.goog"&amp;"le.com/spreadsheets/d/1ICwG78r0OFT8biBlxnBF8r7she7gNSzOvJ958PWT09c/edit?usp=sharing"",""ลำพูน!I386"")+IMPORTRANGE(""https://docs.google.com/spreadsheets/d/1B0f2xJpZUC6Z0xXnqKlZtEPzsf6L84eP1r1Q15seqRM/edit?usp=sharing"",""สุโขทัย!I386"")+IMPORTRANGE(""http"&amp;"s://docs.google.com/spreadsheets/d/1v0b9pFQCsKUVExMei7AgY2yQkdeNQvtOssygGsXbiKo/edit?usp=sharing"",""อุตรดิตถ์!I386"")+IMPORTRANGE(""https://docs.google.com/spreadsheets/d/1UsNK1e-WWiCo2PvGqdNfdme4m17_Ezd3J69EeeiQPD0/edit?usp=sharing"",""อุทัยธานี!I386"")"),39000)</f>
        <v>39000</v>
      </c>
      <c r="J386" s="166">
        <f ca="1">IFERROR(__xludf.DUMMYFUNCTION("IMPORTRANGE(""https://docs.google.com/spreadsheets/d/1jTcq05yEiRwXcBMLjiodW9e4biSGYWAHcDj22rKWQ3s/edit?usp=sharing"",""กำแพงเพชร!J386"")+IMPORTRANGE(""https://docs.google.com/spreadsheets/d/1KS0zmDSZPk8KnTAbGN-Xk6MtX1YRZD0ldgdt20K4CRk/edit?usp=sharing"","&amp;"""เชียงราย!J386"")+IMPORTRANGE(""https://docs.google.com/spreadsheets/d/1rEDxBtusbi64tE0zunoIbsTVV16HeL0oJ6trHQeQ7K8/edit?usp=sharing"",""เชียงใหม่!J386"")+IMPORTRANGE(""https://docs.google.com/spreadsheets/d/1W6MnUbDkMi6xHnHko_XkFDO9kkuL6Wqyc-6OCDFjW9I/e"&amp;"dit?usp=sharing"",""ตาก!J386"")+IMPORTRANGE(""https://docs.google.com/spreadsheets/d/1IQAWArduLkta9LpYo4a_ULsyqdta6-6aDDiwpUnQT6c/edit?usp=sharing"",""นครสวรรค์!J386"")+IMPORTRANGE(""https://docs.google.com/spreadsheets/d/10s13Sk5xrltsiR-Zkbmk5DwIaDIKO8Xl"&amp;"bJAfqyT7Gvg/edit?usp=sharing"",""น่าน!J386"")+IMPORTRANGE(""https://docs.google.com/spreadsheets/d/1uu4nAn4Dbi1XREnLKKotUANlKXa7yCgRcgq8HEzQYW8/edit?usp=sharing"",""พะเยา!J386"")+IMPORTRANGE(""https://docs.google.com/spreadsheets/d/1xfJKIQxVOaPDIICqsflNlL"&amp;"u3JacTDk1FP9RH4phX7mI/edit?usp=sharing"",""พิจิตร!J386"")+IMPORTRANGE(""https://docs.google.com/spreadsheets/d/1JtRfZkJMHtEhI5RdRHxYUG4FIZHqKDpNyIuN7A1Q0_k/edit?usp=sharing"",""พิษณุโลก!J386"")+IMPORTRANGE(""https://docs.google.com/spreadsheets/d/1xlcVZWU"&amp;"Nn6SuWm0c307h32SiGkd9BaeQWlAktfD3KO8/edit?usp=sharing"",""เพชรบูรณ์!J386"")+IMPORTRANGE(""https://docs.google.com/spreadsheets/d/1lOVebEIsI9qjGXl6EX66luk7wiuP2tBaryw-wKvv4e0/edit?usp=sharing"",""แพร่!J386"")+IMPORTRANGE(""https://docs.google.com/spreadshe"&amp;"ets/d/1dQrvX0vEcN7Gu0fnZ0B5S90AeR19zth4XlExFBeExMY/edit?usp=sharing"",""แม่ฮ่องสอน!J386"")+IMPORTRANGE(""https://docs.google.com/spreadsheets/d/1DY4XTNNwjluuxqdfdn6qvOSlMRrZqUtmYcZR0ttFiG4/edit?usp=sharing"",""ลำปาง!J386"")+IMPORTRANGE(""https://docs.goog"&amp;"le.com/spreadsheets/d/1ICwG78r0OFT8biBlxnBF8r7she7gNSzOvJ958PWT09c/edit?usp=sharing"",""ลำพูน!J386"")+IMPORTRANGE(""https://docs.google.com/spreadsheets/d/1B0f2xJpZUC6Z0xXnqKlZtEPzsf6L84eP1r1Q15seqRM/edit?usp=sharing"",""สุโขทัย!J386"")+IMPORTRANGE(""http"&amp;"s://docs.google.com/spreadsheets/d/1v0b9pFQCsKUVExMei7AgY2yQkdeNQvtOssygGsXbiKo/edit?usp=sharing"",""อุตรดิตถ์!J386"")+IMPORTRANGE(""https://docs.google.com/spreadsheets/d/1UsNK1e-WWiCo2PvGqdNfdme4m17_Ezd3J69EeeiQPD0/edit?usp=sharing"",""อุทัยธานี!J386"")"),1585)</f>
        <v>1585</v>
      </c>
      <c r="K386" s="46">
        <f t="shared" ca="1" si="296"/>
        <v>4.0641025641025639</v>
      </c>
      <c r="L386" s="45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58"/>
      <c r="B387" s="158"/>
      <c r="C387" s="158"/>
      <c r="D387" s="158"/>
      <c r="E387" s="314" t="s">
        <v>155</v>
      </c>
      <c r="F387" s="158"/>
      <c r="G387" s="180"/>
      <c r="H387" s="157" t="s">
        <v>34</v>
      </c>
      <c r="I387" s="315">
        <f ca="1">IFERROR(__xludf.DUMMYFUNCTION("IMPORTRANGE(""https://docs.google.com/spreadsheets/d/1jTcq05yEiRwXcBMLjiodW9e4biSGYWAHcDj22rKWQ3s/edit?usp=sharing"",""กำแพงเพชร!I387"")+IMPORTRANGE(""https://docs.google.com/spreadsheets/d/1KS0zmDSZPk8KnTAbGN-Xk6MtX1YRZD0ldgdt20K4CRk/edit?usp=sharing"","&amp;"""เชียงราย!I387"")+IMPORTRANGE(""https://docs.google.com/spreadsheets/d/1rEDxBtusbi64tE0zunoIbsTVV16HeL0oJ6trHQeQ7K8/edit?usp=sharing"",""เชียงใหม่!I387"")+IMPORTRANGE(""https://docs.google.com/spreadsheets/d/1W6MnUbDkMi6xHnHko_XkFDO9kkuL6Wqyc-6OCDFjW9I/e"&amp;"dit?usp=sharing"",""ตาก!I387"")+IMPORTRANGE(""https://docs.google.com/spreadsheets/d/1IQAWArduLkta9LpYo4a_ULsyqdta6-6aDDiwpUnQT6c/edit?usp=sharing"",""นครสวรรค์!I387"")+IMPORTRANGE(""https://docs.google.com/spreadsheets/d/10s13Sk5xrltsiR-Zkbmk5DwIaDIKO8Xl"&amp;"bJAfqyT7Gvg/edit?usp=sharing"",""น่าน!I387"")+IMPORTRANGE(""https://docs.google.com/spreadsheets/d/1uu4nAn4Dbi1XREnLKKotUANlKXa7yCgRcgq8HEzQYW8/edit?usp=sharing"",""พะเยา!I387"")+IMPORTRANGE(""https://docs.google.com/spreadsheets/d/1xfJKIQxVOaPDIICqsflNlL"&amp;"u3JacTDk1FP9RH4phX7mI/edit?usp=sharing"",""พิจิตร!I387"")+IMPORTRANGE(""https://docs.google.com/spreadsheets/d/1JtRfZkJMHtEhI5RdRHxYUG4FIZHqKDpNyIuN7A1Q0_k/edit?usp=sharing"",""พิษณุโลก!I387"")+IMPORTRANGE(""https://docs.google.com/spreadsheets/d/1xlcVZWU"&amp;"Nn6SuWm0c307h32SiGkd9BaeQWlAktfD3KO8/edit?usp=sharing"",""เพชรบูรณ์!I387"")+IMPORTRANGE(""https://docs.google.com/spreadsheets/d/1lOVebEIsI9qjGXl6EX66luk7wiuP2tBaryw-wKvv4e0/edit?usp=sharing"",""แพร่!I387"")+IMPORTRANGE(""https://docs.google.com/spreadshe"&amp;"ets/d/1dQrvX0vEcN7Gu0fnZ0B5S90AeR19zth4XlExFBeExMY/edit?usp=sharing"",""แม่ฮ่องสอน!I387"")+IMPORTRANGE(""https://docs.google.com/spreadsheets/d/1DY4XTNNwjluuxqdfdn6qvOSlMRrZqUtmYcZR0ttFiG4/edit?usp=sharing"",""ลำปาง!I387"")+IMPORTRANGE(""https://docs.goog"&amp;"le.com/spreadsheets/d/1ICwG78r0OFT8biBlxnBF8r7she7gNSzOvJ958PWT09c/edit?usp=sharing"",""ลำพูน!I387"")+IMPORTRANGE(""https://docs.google.com/spreadsheets/d/1B0f2xJpZUC6Z0xXnqKlZtEPzsf6L84eP1r1Q15seqRM/edit?usp=sharing"",""สุโขทัย!I387"")+IMPORTRANGE(""http"&amp;"s://docs.google.com/spreadsheets/d/1v0b9pFQCsKUVExMei7AgY2yQkdeNQvtOssygGsXbiKo/edit?usp=sharing"",""อุตรดิตถ์!I387"")+IMPORTRANGE(""https://docs.google.com/spreadsheets/d/1UsNK1e-WWiCo2PvGqdNfdme4m17_Ezd3J69EeeiQPD0/edit?usp=sharing"",""อุทัยธานี!I387"")"),0)</f>
        <v>0</v>
      </c>
      <c r="J387" s="315">
        <f ca="1">IFERROR(__xludf.DUMMYFUNCTION("IMPORTRANGE(""https://docs.google.com/spreadsheets/d/1jTcq05yEiRwXcBMLjiodW9e4biSGYWAHcDj22rKWQ3s/edit?usp=sharing"",""กำแพงเพชร!J387"")+IMPORTRANGE(""https://docs.google.com/spreadsheets/d/1KS0zmDSZPk8KnTAbGN-Xk6MtX1YRZD0ldgdt20K4CRk/edit?usp=sharing"","&amp;"""เชียงราย!J387"")+IMPORTRANGE(""https://docs.google.com/spreadsheets/d/1rEDxBtusbi64tE0zunoIbsTVV16HeL0oJ6trHQeQ7K8/edit?usp=sharing"",""เชียงใหม่!J387"")+IMPORTRANGE(""https://docs.google.com/spreadsheets/d/1W6MnUbDkMi6xHnHko_XkFDO9kkuL6Wqyc-6OCDFjW9I/e"&amp;"dit?usp=sharing"",""ตาก!J387"")+IMPORTRANGE(""https://docs.google.com/spreadsheets/d/1IQAWArduLkta9LpYo4a_ULsyqdta6-6aDDiwpUnQT6c/edit?usp=sharing"",""นครสวรรค์!J387"")+IMPORTRANGE(""https://docs.google.com/spreadsheets/d/10s13Sk5xrltsiR-Zkbmk5DwIaDIKO8Xl"&amp;"bJAfqyT7Gvg/edit?usp=sharing"",""น่าน!J387"")+IMPORTRANGE(""https://docs.google.com/spreadsheets/d/1uu4nAn4Dbi1XREnLKKotUANlKXa7yCgRcgq8HEzQYW8/edit?usp=sharing"",""พะเยา!J387"")+IMPORTRANGE(""https://docs.google.com/spreadsheets/d/1xfJKIQxVOaPDIICqsflNlL"&amp;"u3JacTDk1FP9RH4phX7mI/edit?usp=sharing"",""พิจิตร!J387"")+IMPORTRANGE(""https://docs.google.com/spreadsheets/d/1JtRfZkJMHtEhI5RdRHxYUG4FIZHqKDpNyIuN7A1Q0_k/edit?usp=sharing"",""พิษณุโลก!J387"")+IMPORTRANGE(""https://docs.google.com/spreadsheets/d/1xlcVZWU"&amp;"Nn6SuWm0c307h32SiGkd9BaeQWlAktfD3KO8/edit?usp=sharing"",""เพชรบูรณ์!J387"")+IMPORTRANGE(""https://docs.google.com/spreadsheets/d/1lOVebEIsI9qjGXl6EX66luk7wiuP2tBaryw-wKvv4e0/edit?usp=sharing"",""แพร่!J387"")+IMPORTRANGE(""https://docs.google.com/spreadshe"&amp;"ets/d/1dQrvX0vEcN7Gu0fnZ0B5S90AeR19zth4XlExFBeExMY/edit?usp=sharing"",""แม่ฮ่องสอน!J387"")+IMPORTRANGE(""https://docs.google.com/spreadsheets/d/1DY4XTNNwjluuxqdfdn6qvOSlMRrZqUtmYcZR0ttFiG4/edit?usp=sharing"",""ลำปาง!J387"")+IMPORTRANGE(""https://docs.goog"&amp;"le.com/spreadsheets/d/1ICwG78r0OFT8biBlxnBF8r7she7gNSzOvJ958PWT09c/edit?usp=sharing"",""ลำพูน!J387"")+IMPORTRANGE(""https://docs.google.com/spreadsheets/d/1B0f2xJpZUC6Z0xXnqKlZtEPzsf6L84eP1r1Q15seqRM/edit?usp=sharing"",""สุโขทัย!J387"")+IMPORTRANGE(""http"&amp;"s://docs.google.com/spreadsheets/d/1v0b9pFQCsKUVExMei7AgY2yQkdeNQvtOssygGsXbiKo/edit?usp=sharing"",""อุตรดิตถ์!J387"")+IMPORTRANGE(""https://docs.google.com/spreadsheets/d/1UsNK1e-WWiCo2PvGqdNfdme4m17_Ezd3J69EeeiQPD0/edit?usp=sharing"",""อุทัยธานี!J387"")"),1720)</f>
        <v>1720</v>
      </c>
      <c r="K387" s="48">
        <f t="shared" ca="1" si="296"/>
        <v>0</v>
      </c>
      <c r="L387" s="45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158"/>
      <c r="B388" s="158"/>
      <c r="C388" s="158"/>
      <c r="D388" s="158"/>
      <c r="E388" s="158"/>
      <c r="F388" s="158"/>
      <c r="G388" s="180"/>
      <c r="H388" s="157" t="s">
        <v>46</v>
      </c>
      <c r="I388" s="315">
        <f ca="1">IFERROR(__xludf.DUMMYFUNCTION("IMPORTRANGE(""https://docs.google.com/spreadsheets/d/1jTcq05yEiRwXcBMLjiodW9e4biSGYWAHcDj22rKWQ3s/edit?usp=sharing"",""กำแพงเพชร!I388"")+IMPORTRANGE(""https://docs.google.com/spreadsheets/d/1KS0zmDSZPk8KnTAbGN-Xk6MtX1YRZD0ldgdt20K4CRk/edit?usp=sharing"","&amp;"""เชียงราย!I388"")+IMPORTRANGE(""https://docs.google.com/spreadsheets/d/1rEDxBtusbi64tE0zunoIbsTVV16HeL0oJ6trHQeQ7K8/edit?usp=sharing"",""เชียงใหม่!I388"")+IMPORTRANGE(""https://docs.google.com/spreadsheets/d/1W6MnUbDkMi6xHnHko_XkFDO9kkuL6Wqyc-6OCDFjW9I/e"&amp;"dit?usp=sharing"",""ตาก!I388"")+IMPORTRANGE(""https://docs.google.com/spreadsheets/d/1IQAWArduLkta9LpYo4a_ULsyqdta6-6aDDiwpUnQT6c/edit?usp=sharing"",""นครสวรรค์!I388"")+IMPORTRANGE(""https://docs.google.com/spreadsheets/d/10s13Sk5xrltsiR-Zkbmk5DwIaDIKO8Xl"&amp;"bJAfqyT7Gvg/edit?usp=sharing"",""น่าน!I388"")+IMPORTRANGE(""https://docs.google.com/spreadsheets/d/1uu4nAn4Dbi1XREnLKKotUANlKXa7yCgRcgq8HEzQYW8/edit?usp=sharing"",""พะเยา!I388"")+IMPORTRANGE(""https://docs.google.com/spreadsheets/d/1xfJKIQxVOaPDIICqsflNlL"&amp;"u3JacTDk1FP9RH4phX7mI/edit?usp=sharing"",""พิจิตร!I388"")+IMPORTRANGE(""https://docs.google.com/spreadsheets/d/1JtRfZkJMHtEhI5RdRHxYUG4FIZHqKDpNyIuN7A1Q0_k/edit?usp=sharing"",""พิษณุโลก!I388"")+IMPORTRANGE(""https://docs.google.com/spreadsheets/d/1xlcVZWU"&amp;"Nn6SuWm0c307h32SiGkd9BaeQWlAktfD3KO8/edit?usp=sharing"",""เพชรบูรณ์!I388"")+IMPORTRANGE(""https://docs.google.com/spreadsheets/d/1lOVebEIsI9qjGXl6EX66luk7wiuP2tBaryw-wKvv4e0/edit?usp=sharing"",""แพร่!I388"")+IMPORTRANGE(""https://docs.google.com/spreadshe"&amp;"ets/d/1dQrvX0vEcN7Gu0fnZ0B5S90AeR19zth4XlExFBeExMY/edit?usp=sharing"",""แม่ฮ่องสอน!I388"")+IMPORTRANGE(""https://docs.google.com/spreadsheets/d/1DY4XTNNwjluuxqdfdn6qvOSlMRrZqUtmYcZR0ttFiG4/edit?usp=sharing"",""ลำปาง!I388"")+IMPORTRANGE(""https://docs.goog"&amp;"le.com/spreadsheets/d/1ICwG78r0OFT8biBlxnBF8r7she7gNSzOvJ958PWT09c/edit?usp=sharing"",""ลำพูน!I388"")+IMPORTRANGE(""https://docs.google.com/spreadsheets/d/1B0f2xJpZUC6Z0xXnqKlZtEPzsf6L84eP1r1Q15seqRM/edit?usp=sharing"",""สุโขทัย!I388"")+IMPORTRANGE(""http"&amp;"s://docs.google.com/spreadsheets/d/1v0b9pFQCsKUVExMei7AgY2yQkdeNQvtOssygGsXbiKo/edit?usp=sharing"",""อุตรดิตถ์!I388"")+IMPORTRANGE(""https://docs.google.com/spreadsheets/d/1UsNK1e-WWiCo2PvGqdNfdme4m17_Ezd3J69EeeiQPD0/edit?usp=sharing"",""อุทัยธานี!I388"")"),86400)</f>
        <v>86400</v>
      </c>
      <c r="J388" s="315">
        <f ca="1">IFERROR(__xludf.DUMMYFUNCTION("IMPORTRANGE(""https://docs.google.com/spreadsheets/d/1jTcq05yEiRwXcBMLjiodW9e4biSGYWAHcDj22rKWQ3s/edit?usp=sharing"",""กำแพงเพชร!J388"")+IMPORTRANGE(""https://docs.google.com/spreadsheets/d/1KS0zmDSZPk8KnTAbGN-Xk6MtX1YRZD0ldgdt20K4CRk/edit?usp=sharing"","&amp;"""เชียงราย!J388"")+IMPORTRANGE(""https://docs.google.com/spreadsheets/d/1rEDxBtusbi64tE0zunoIbsTVV16HeL0oJ6trHQeQ7K8/edit?usp=sharing"",""เชียงใหม่!J388"")+IMPORTRANGE(""https://docs.google.com/spreadsheets/d/1W6MnUbDkMi6xHnHko_XkFDO9kkuL6Wqyc-6OCDFjW9I/e"&amp;"dit?usp=sharing"",""ตาก!J388"")+IMPORTRANGE(""https://docs.google.com/spreadsheets/d/1IQAWArduLkta9LpYo4a_ULsyqdta6-6aDDiwpUnQT6c/edit?usp=sharing"",""นครสวรรค์!J388"")+IMPORTRANGE(""https://docs.google.com/spreadsheets/d/10s13Sk5xrltsiR-Zkbmk5DwIaDIKO8Xl"&amp;"bJAfqyT7Gvg/edit?usp=sharing"",""น่าน!J388"")+IMPORTRANGE(""https://docs.google.com/spreadsheets/d/1uu4nAn4Dbi1XREnLKKotUANlKXa7yCgRcgq8HEzQYW8/edit?usp=sharing"",""พะเยา!J388"")+IMPORTRANGE(""https://docs.google.com/spreadsheets/d/1xfJKIQxVOaPDIICqsflNlL"&amp;"u3JacTDk1FP9RH4phX7mI/edit?usp=sharing"",""พิจิตร!J388"")+IMPORTRANGE(""https://docs.google.com/spreadsheets/d/1JtRfZkJMHtEhI5RdRHxYUG4FIZHqKDpNyIuN7A1Q0_k/edit?usp=sharing"",""พิษณุโลก!J388"")+IMPORTRANGE(""https://docs.google.com/spreadsheets/d/1xlcVZWU"&amp;"Nn6SuWm0c307h32SiGkd9BaeQWlAktfD3KO8/edit?usp=sharing"",""เพชรบูรณ์!J388"")+IMPORTRANGE(""https://docs.google.com/spreadsheets/d/1lOVebEIsI9qjGXl6EX66luk7wiuP2tBaryw-wKvv4e0/edit?usp=sharing"",""แพร่!J388"")+IMPORTRANGE(""https://docs.google.com/spreadshe"&amp;"ets/d/1dQrvX0vEcN7Gu0fnZ0B5S90AeR19zth4XlExFBeExMY/edit?usp=sharing"",""แม่ฮ่องสอน!J388"")+IMPORTRANGE(""https://docs.google.com/spreadsheets/d/1DY4XTNNwjluuxqdfdn6qvOSlMRrZqUtmYcZR0ttFiG4/edit?usp=sharing"",""ลำปาง!J388"")+IMPORTRANGE(""https://docs.goog"&amp;"le.com/spreadsheets/d/1ICwG78r0OFT8biBlxnBF8r7she7gNSzOvJ958PWT09c/edit?usp=sharing"",""ลำพูน!J388"")+IMPORTRANGE(""https://docs.google.com/spreadsheets/d/1B0f2xJpZUC6Z0xXnqKlZtEPzsf6L84eP1r1Q15seqRM/edit?usp=sharing"",""สุโขทัย!J388"")+IMPORTRANGE(""http"&amp;"s://docs.google.com/spreadsheets/d/1v0b9pFQCsKUVExMei7AgY2yQkdeNQvtOssygGsXbiKo/edit?usp=sharing"",""อุตรดิตถ์!J388"")+IMPORTRANGE(""https://docs.google.com/spreadsheets/d/1UsNK1e-WWiCo2PvGqdNfdme4m17_Ezd3J69EeeiQPD0/edit?usp=sharing"",""อุทัยธานี!J388"")"),10128.74)</f>
        <v>10128.74</v>
      </c>
      <c r="K388" s="48">
        <f t="shared" ca="1" si="296"/>
        <v>11.723078703703704</v>
      </c>
      <c r="L388" s="45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233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x14ac:dyDescent="0.2">
      <c r="A390" s="316"/>
      <c r="B390" s="316"/>
      <c r="C390" s="316"/>
      <c r="D390" s="316"/>
      <c r="E390" s="316"/>
      <c r="F390" s="316"/>
      <c r="G390" s="317"/>
      <c r="H390" s="317"/>
      <c r="I390" s="318"/>
      <c r="J390" s="318"/>
      <c r="K390" s="319"/>
      <c r="L390" s="319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 t="shared" ref="I391:J391" si="297">I402</f>
        <v>0</v>
      </c>
      <c r="J391" s="307">
        <f t="shared" si="297"/>
        <v>0</v>
      </c>
      <c r="K391" s="297">
        <f>IF(I391&gt;0,J391*100/I391,0)</f>
        <v>0</v>
      </c>
      <c r="L391" s="298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x14ac:dyDescent="0.3">
      <c r="A392" s="128"/>
      <c r="B392" s="158"/>
      <c r="C392" s="161" t="s">
        <v>18</v>
      </c>
      <c r="D392" s="312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132">
        <f t="shared" ref="L392:N392" ca="1" si="298">L393+L394</f>
        <v>0</v>
      </c>
      <c r="M392" s="132">
        <f t="shared" ca="1" si="298"/>
        <v>0</v>
      </c>
      <c r="N392" s="132">
        <f t="shared" ca="1" si="298"/>
        <v>0</v>
      </c>
      <c r="O392" s="132">
        <f t="shared" ref="O392:O400" ca="1" si="299">IF(L392&gt;0,N392*100/L392,0)</f>
        <v>0</v>
      </c>
      <c r="P392" s="132">
        <f t="shared" ref="P392:P400" ca="1" si="300">IF(M392&gt;0,N392*100/M392,0)</f>
        <v>0</v>
      </c>
      <c r="Q392" s="132">
        <f t="shared" ref="Q392:S392" ca="1" si="301">Q393+Q394</f>
        <v>0</v>
      </c>
      <c r="R392" s="132">
        <f t="shared" ca="1" si="301"/>
        <v>0</v>
      </c>
      <c r="S392" s="132">
        <f t="shared" ca="1" si="301"/>
        <v>0</v>
      </c>
      <c r="T392" s="132">
        <f t="shared" ref="T392:T400" ca="1" si="302">IF(Q392&gt;0,S392*100/Q392,0)</f>
        <v>0</v>
      </c>
      <c r="U392" s="132">
        <f t="shared" ref="U392:U400" ca="1" si="303">IF(R392&gt;0,S392*100/R392,0)</f>
        <v>0</v>
      </c>
    </row>
    <row r="393" spans="1:21" ht="18.75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48">
        <f t="shared" ref="L393:N393" ca="1" si="304">L396+L399</f>
        <v>0</v>
      </c>
      <c r="M393" s="48">
        <f t="shared" ca="1" si="304"/>
        <v>0</v>
      </c>
      <c r="N393" s="48">
        <f t="shared" ca="1" si="304"/>
        <v>0</v>
      </c>
      <c r="O393" s="48">
        <f t="shared" ca="1" si="299"/>
        <v>0</v>
      </c>
      <c r="P393" s="48">
        <f t="shared" ca="1" si="300"/>
        <v>0</v>
      </c>
      <c r="Q393" s="48">
        <f t="shared" ref="Q393:S393" ca="1" si="305">Q396+Q399</f>
        <v>0</v>
      </c>
      <c r="R393" s="48">
        <f t="shared" ca="1" si="305"/>
        <v>0</v>
      </c>
      <c r="S393" s="48">
        <f t="shared" ca="1" si="305"/>
        <v>0</v>
      </c>
      <c r="T393" s="48">
        <f t="shared" ca="1" si="302"/>
        <v>0</v>
      </c>
      <c r="U393" s="48">
        <f t="shared" ca="1" si="303"/>
        <v>0</v>
      </c>
    </row>
    <row r="394" spans="1:21" ht="18.75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46">
        <f t="shared" ref="L394:N394" ca="1" si="306">L397+L400</f>
        <v>0</v>
      </c>
      <c r="M394" s="46">
        <f t="shared" ca="1" si="306"/>
        <v>0</v>
      </c>
      <c r="N394" s="46">
        <f t="shared" ca="1" si="306"/>
        <v>0</v>
      </c>
      <c r="O394" s="46">
        <f t="shared" ca="1" si="299"/>
        <v>0</v>
      </c>
      <c r="P394" s="46">
        <f t="shared" ca="1" si="300"/>
        <v>0</v>
      </c>
      <c r="Q394" s="46">
        <f t="shared" ref="Q394:S394" ca="1" si="307">Q397+Q400</f>
        <v>0</v>
      </c>
      <c r="R394" s="46">
        <f t="shared" ca="1" si="307"/>
        <v>0</v>
      </c>
      <c r="S394" s="46">
        <f t="shared" ca="1" si="307"/>
        <v>0</v>
      </c>
      <c r="T394" s="46">
        <f t="shared" ca="1" si="302"/>
        <v>0</v>
      </c>
      <c r="U394" s="46">
        <f t="shared" ca="1" si="303"/>
        <v>0</v>
      </c>
    </row>
    <row r="395" spans="1:21" ht="18.75" x14ac:dyDescent="0.25">
      <c r="A395" s="128"/>
      <c r="B395" s="158"/>
      <c r="C395" s="158"/>
      <c r="D395" s="160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46">
        <f t="shared" ref="L395:N395" ca="1" si="308">L396+L397</f>
        <v>0</v>
      </c>
      <c r="M395" s="46">
        <f t="shared" ca="1" si="308"/>
        <v>0</v>
      </c>
      <c r="N395" s="46">
        <f t="shared" ca="1" si="308"/>
        <v>0</v>
      </c>
      <c r="O395" s="46">
        <f t="shared" ca="1" si="299"/>
        <v>0</v>
      </c>
      <c r="P395" s="46">
        <f t="shared" ca="1" si="300"/>
        <v>0</v>
      </c>
      <c r="Q395" s="46">
        <f t="shared" ref="Q395:S395" ca="1" si="309">Q396+Q397</f>
        <v>0</v>
      </c>
      <c r="R395" s="46">
        <f t="shared" ca="1" si="309"/>
        <v>0</v>
      </c>
      <c r="S395" s="46">
        <f t="shared" ca="1" si="309"/>
        <v>0</v>
      </c>
      <c r="T395" s="46">
        <f t="shared" ca="1" si="302"/>
        <v>0</v>
      </c>
      <c r="U395" s="46">
        <f t="shared" ca="1" si="303"/>
        <v>0</v>
      </c>
    </row>
    <row r="396" spans="1:21" ht="18.75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48">
        <f ca="1">IFERROR(__xludf.DUMMYFUNCTION("IMPORTRANGE(""https://docs.google.com/spreadsheets/d/1jTcq05yEiRwXcBMLjiodW9e4biSGYWAHcDj22rKWQ3s/edit?usp=sharing"",""กำแพงเพชร!L396"")+IMPORTRANGE(""https://docs.google.com/spreadsheets/d/1KS0zmDSZPk8KnTAbGN-Xk6MtX1YRZD0ldgdt20K4CRk/edit?usp=sharing"","&amp;"""เชียงราย!L396"")+IMPORTRANGE(""https://docs.google.com/spreadsheets/d/1rEDxBtusbi64tE0zunoIbsTVV16HeL0oJ6trHQeQ7K8/edit?usp=sharing"",""เชียงใหม่!L396"")+IMPORTRANGE(""https://docs.google.com/spreadsheets/d/1W6MnUbDkMi6xHnHko_XkFDO9kkuL6Wqyc-6OCDFjW9I/e"&amp;"dit?usp=sharing"",""ตาก!L396"")+IMPORTRANGE(""https://docs.google.com/spreadsheets/d/1IQAWArduLkta9LpYo4a_ULsyqdta6-6aDDiwpUnQT6c/edit?usp=sharing"",""นครสวรรค์!L396"")+IMPORTRANGE(""https://docs.google.com/spreadsheets/d/10s13Sk5xrltsiR-Zkbmk5DwIaDIKO8Xl"&amp;"bJAfqyT7Gvg/edit?usp=sharing"",""น่าน!L396"")+IMPORTRANGE(""https://docs.google.com/spreadsheets/d/1uu4nAn4Dbi1XREnLKKotUANlKXa7yCgRcgq8HEzQYW8/edit?usp=sharing"",""พะเยา!L396"")+IMPORTRANGE(""https://docs.google.com/spreadsheets/d/1xfJKIQxVOaPDIICqsflNlL"&amp;"u3JacTDk1FP9RH4phX7mI/edit?usp=sharing"",""พิจิตร!L396"")+IMPORTRANGE(""https://docs.google.com/spreadsheets/d/1JtRfZkJMHtEhI5RdRHxYUG4FIZHqKDpNyIuN7A1Q0_k/edit?usp=sharing"",""พิษณุโลก!L396"")+IMPORTRANGE(""https://docs.google.com/spreadsheets/d/1xlcVZWU"&amp;"Nn6SuWm0c307h32SiGkd9BaeQWlAktfD3KO8/edit?usp=sharing"",""เพชรบูรณ์!L396"")+IMPORTRANGE(""https://docs.google.com/spreadsheets/d/1lOVebEIsI9qjGXl6EX66luk7wiuP2tBaryw-wKvv4e0/edit?usp=sharing"",""แพร่!L396"")+IMPORTRANGE(""https://docs.google.com/spreadshe"&amp;"ets/d/1dQrvX0vEcN7Gu0fnZ0B5S90AeR19zth4XlExFBeExMY/edit?usp=sharing"",""แม่ฮ่องสอน!L396"")+IMPORTRANGE(""https://docs.google.com/spreadsheets/d/1DY4XTNNwjluuxqdfdn6qvOSlMRrZqUtmYcZR0ttFiG4/edit?usp=sharing"",""ลำปาง!L396"")+IMPORTRANGE(""https://docs.goog"&amp;"le.com/spreadsheets/d/1ICwG78r0OFT8biBlxnBF8r7she7gNSzOvJ958PWT09c/edit?usp=sharing"",""ลำพูน!L396"")+IMPORTRANGE(""https://docs.google.com/spreadsheets/d/1B0f2xJpZUC6Z0xXnqKlZtEPzsf6L84eP1r1Q15seqRM/edit?usp=sharing"",""สุโขทัย!L396"")+IMPORTRANGE(""http"&amp;"s://docs.google.com/spreadsheets/d/1v0b9pFQCsKUVExMei7AgY2yQkdeNQvtOssygGsXbiKo/edit?usp=sharing"",""อุตรดิตถ์!L396"")+IMPORTRANGE(""https://docs.google.com/spreadsheets/d/1UsNK1e-WWiCo2PvGqdNfdme4m17_Ezd3J69EeeiQPD0/edit?usp=sharing"",""อุทัยธานี!L396"")"),0)</f>
        <v>0</v>
      </c>
      <c r="M396" s="48">
        <f ca="1">IFERROR(__xludf.DUMMYFUNCTION("IMPORTRANGE(""https://docs.google.com/spreadsheets/d/1jTcq05yEiRwXcBMLjiodW9e4biSGYWAHcDj22rKWQ3s/edit?usp=sharing"",""กำแพงเพชร!M396"")+IMPORTRANGE(""https://docs.google.com/spreadsheets/d/1KS0zmDSZPk8KnTAbGN-Xk6MtX1YRZD0ldgdt20K4CRk/edit?usp=sharing"","&amp;"""เชียงราย!M396"")+IMPORTRANGE(""https://docs.google.com/spreadsheets/d/1rEDxBtusbi64tE0zunoIbsTVV16HeL0oJ6trHQeQ7K8/edit?usp=sharing"",""เชียงใหม่!M396"")+IMPORTRANGE(""https://docs.google.com/spreadsheets/d/1W6MnUbDkMi6xHnHko_XkFDO9kkuL6Wqyc-6OCDFjW9I/e"&amp;"dit?usp=sharing"",""ตาก!M396"")+IMPORTRANGE(""https://docs.google.com/spreadsheets/d/1IQAWArduLkta9LpYo4a_ULsyqdta6-6aDDiwpUnQT6c/edit?usp=sharing"",""นครสวรรค์!M396"")+IMPORTRANGE(""https://docs.google.com/spreadsheets/d/10s13Sk5xrltsiR-Zkbmk5DwIaDIKO8Xl"&amp;"bJAfqyT7Gvg/edit?usp=sharing"",""น่าน!M396"")+IMPORTRANGE(""https://docs.google.com/spreadsheets/d/1uu4nAn4Dbi1XREnLKKotUANlKXa7yCgRcgq8HEzQYW8/edit?usp=sharing"",""พะเยา!M396"")+IMPORTRANGE(""https://docs.google.com/spreadsheets/d/1xfJKIQxVOaPDIICqsflNlL"&amp;"u3JacTDk1FP9RH4phX7mI/edit?usp=sharing"",""พิจิตร!M396"")+IMPORTRANGE(""https://docs.google.com/spreadsheets/d/1JtRfZkJMHtEhI5RdRHxYUG4FIZHqKDpNyIuN7A1Q0_k/edit?usp=sharing"",""พิษณุโลก!M396"")+IMPORTRANGE(""https://docs.google.com/spreadsheets/d/1xlcVZWU"&amp;"Nn6SuWm0c307h32SiGkd9BaeQWlAktfD3KO8/edit?usp=sharing"",""เพชรบูรณ์!M396"")+IMPORTRANGE(""https://docs.google.com/spreadsheets/d/1lOVebEIsI9qjGXl6EX66luk7wiuP2tBaryw-wKvv4e0/edit?usp=sharing"",""แพร่!M396"")+IMPORTRANGE(""https://docs.google.com/spreadshe"&amp;"ets/d/1dQrvX0vEcN7Gu0fnZ0B5S90AeR19zth4XlExFBeExMY/edit?usp=sharing"",""แม่ฮ่องสอน!M396"")+IMPORTRANGE(""https://docs.google.com/spreadsheets/d/1DY4XTNNwjluuxqdfdn6qvOSlMRrZqUtmYcZR0ttFiG4/edit?usp=sharing"",""ลำปาง!M396"")+IMPORTRANGE(""https://docs.goog"&amp;"le.com/spreadsheets/d/1ICwG78r0OFT8biBlxnBF8r7she7gNSzOvJ958PWT09c/edit?usp=sharing"",""ลำพูน!M396"")+IMPORTRANGE(""https://docs.google.com/spreadsheets/d/1B0f2xJpZUC6Z0xXnqKlZtEPzsf6L84eP1r1Q15seqRM/edit?usp=sharing"",""สุโขทัย!M396"")+IMPORTRANGE(""http"&amp;"s://docs.google.com/spreadsheets/d/1v0b9pFQCsKUVExMei7AgY2yQkdeNQvtOssygGsXbiKo/edit?usp=sharing"",""อุตรดิตถ์!M396"")+IMPORTRANGE(""https://docs.google.com/spreadsheets/d/1UsNK1e-WWiCo2PvGqdNfdme4m17_Ezd3J69EeeiQPD0/edit?usp=sharing"",""อุทัยธานี!M396"")"),0)</f>
        <v>0</v>
      </c>
      <c r="N396" s="48">
        <f ca="1">IFERROR(__xludf.DUMMYFUNCTION("IMPORTRANGE(""https://docs.google.com/spreadsheets/d/1jTcq05yEiRwXcBMLjiodW9e4biSGYWAHcDj22rKWQ3s/edit?usp=sharing"",""กำแพงเพชร!N396"")+IMPORTRANGE(""https://docs.google.com/spreadsheets/d/1KS0zmDSZPk8KnTAbGN-Xk6MtX1YRZD0ldgdt20K4CRk/edit?usp=sharing"","&amp;"""เชียงราย!N396"")+IMPORTRANGE(""https://docs.google.com/spreadsheets/d/1rEDxBtusbi64tE0zunoIbsTVV16HeL0oJ6trHQeQ7K8/edit?usp=sharing"",""เชียงใหม่!N396"")+IMPORTRANGE(""https://docs.google.com/spreadsheets/d/1W6MnUbDkMi6xHnHko_XkFDO9kkuL6Wqyc-6OCDFjW9I/e"&amp;"dit?usp=sharing"",""ตาก!N396"")+IMPORTRANGE(""https://docs.google.com/spreadsheets/d/1IQAWArduLkta9LpYo4a_ULsyqdta6-6aDDiwpUnQT6c/edit?usp=sharing"",""นครสวรรค์!N396"")+IMPORTRANGE(""https://docs.google.com/spreadsheets/d/10s13Sk5xrltsiR-Zkbmk5DwIaDIKO8Xl"&amp;"bJAfqyT7Gvg/edit?usp=sharing"",""น่าน!N396"")+IMPORTRANGE(""https://docs.google.com/spreadsheets/d/1uu4nAn4Dbi1XREnLKKotUANlKXa7yCgRcgq8HEzQYW8/edit?usp=sharing"",""พะเยา!N396"")+IMPORTRANGE(""https://docs.google.com/spreadsheets/d/1xfJKIQxVOaPDIICqsflNlL"&amp;"u3JacTDk1FP9RH4phX7mI/edit?usp=sharing"",""พิจิตร!N396"")+IMPORTRANGE(""https://docs.google.com/spreadsheets/d/1JtRfZkJMHtEhI5RdRHxYUG4FIZHqKDpNyIuN7A1Q0_k/edit?usp=sharing"",""พิษณุโลก!N396"")+IMPORTRANGE(""https://docs.google.com/spreadsheets/d/1xlcVZWU"&amp;"Nn6SuWm0c307h32SiGkd9BaeQWlAktfD3KO8/edit?usp=sharing"",""เพชรบูรณ์!N396"")+IMPORTRANGE(""https://docs.google.com/spreadsheets/d/1lOVebEIsI9qjGXl6EX66luk7wiuP2tBaryw-wKvv4e0/edit?usp=sharing"",""แพร่!N396"")+IMPORTRANGE(""https://docs.google.com/spreadshe"&amp;"ets/d/1dQrvX0vEcN7Gu0fnZ0B5S90AeR19zth4XlExFBeExMY/edit?usp=sharing"",""แม่ฮ่องสอน!N396"")+IMPORTRANGE(""https://docs.google.com/spreadsheets/d/1DY4XTNNwjluuxqdfdn6qvOSlMRrZqUtmYcZR0ttFiG4/edit?usp=sharing"",""ลำปาง!N396"")+IMPORTRANGE(""https://docs.goog"&amp;"le.com/spreadsheets/d/1ICwG78r0OFT8biBlxnBF8r7she7gNSzOvJ958PWT09c/edit?usp=sharing"",""ลำพูน!N396"")+IMPORTRANGE(""https://docs.google.com/spreadsheets/d/1B0f2xJpZUC6Z0xXnqKlZtEPzsf6L84eP1r1Q15seqRM/edit?usp=sharing"",""สุโขทัย!N396"")+IMPORTRANGE(""http"&amp;"s://docs.google.com/spreadsheets/d/1v0b9pFQCsKUVExMei7AgY2yQkdeNQvtOssygGsXbiKo/edit?usp=sharing"",""อุตรดิตถ์!N396"")+IMPORTRANGE(""https://docs.google.com/spreadsheets/d/1UsNK1e-WWiCo2PvGqdNfdme4m17_Ezd3J69EeeiQPD0/edit?usp=sharing"",""อุทัยธานี!N396"")"),0)</f>
        <v>0</v>
      </c>
      <c r="O396" s="48">
        <f t="shared" ca="1" si="299"/>
        <v>0</v>
      </c>
      <c r="P396" s="48">
        <f t="shared" ca="1" si="300"/>
        <v>0</v>
      </c>
      <c r="Q396" s="48">
        <f ca="1">IFERROR(__xludf.DUMMYFUNCTION("IMPORTRANGE(""https://docs.google.com/spreadsheets/d/1jTcq05yEiRwXcBMLjiodW9e4biSGYWAHcDj22rKWQ3s/edit?usp=sharing"",""กำแพงเพชร!Q396"")+IMPORTRANGE(""https://docs.google.com/spreadsheets/d/1KS0zmDSZPk8KnTAbGN-Xk6MtX1YRZD0ldgdt20K4CRk/edit?usp=sharing"","&amp;"""เชียงราย!Q396"")+IMPORTRANGE(""https://docs.google.com/spreadsheets/d/1rEDxBtusbi64tE0zunoIbsTVV16HeL0oJ6trHQeQ7K8/edit?usp=sharing"",""เชียงใหม่!Q396"")+IMPORTRANGE(""https://docs.google.com/spreadsheets/d/1W6MnUbDkMi6xHnHko_XkFDO9kkuL6Wqyc-6OCDFjW9I/e"&amp;"dit?usp=sharing"",""ตาก!Q396"")+IMPORTRANGE(""https://docs.google.com/spreadsheets/d/1IQAWArduLkta9LpYo4a_ULsyqdta6-6aDDiwpUnQT6c/edit?usp=sharing"",""นครสวรรค์!Q396"")+IMPORTRANGE(""https://docs.google.com/spreadsheets/d/10s13Sk5xrltsiR-Zkbmk5DwIaDIKO8Xl"&amp;"bJAfqyT7Gvg/edit?usp=sharing"",""น่าน!Q396"")+IMPORTRANGE(""https://docs.google.com/spreadsheets/d/1uu4nAn4Dbi1XREnLKKotUANlKXa7yCgRcgq8HEzQYW8/edit?usp=sharing"",""พะเยา!Q396"")+IMPORTRANGE(""https://docs.google.com/spreadsheets/d/1xfJKIQxVOaPDIICqsflNlL"&amp;"u3JacTDk1FP9RH4phX7mI/edit?usp=sharing"",""พิจิตร!Q396"")+IMPORTRANGE(""https://docs.google.com/spreadsheets/d/1JtRfZkJMHtEhI5RdRHxYUG4FIZHqKDpNyIuN7A1Q0_k/edit?usp=sharing"",""พิษณุโลก!Q396"")+IMPORTRANGE(""https://docs.google.com/spreadsheets/d/1xlcVZWU"&amp;"Nn6SuWm0c307h32SiGkd9BaeQWlAktfD3KO8/edit?usp=sharing"",""เพชรบูรณ์!Q396"")+IMPORTRANGE(""https://docs.google.com/spreadsheets/d/1lOVebEIsI9qjGXl6EX66luk7wiuP2tBaryw-wKvv4e0/edit?usp=sharing"",""แพร่!Q396"")+IMPORTRANGE(""https://docs.google.com/spreadshe"&amp;"ets/d/1dQrvX0vEcN7Gu0fnZ0B5S90AeR19zth4XlExFBeExMY/edit?usp=sharing"",""แม่ฮ่องสอน!Q396"")+IMPORTRANGE(""https://docs.google.com/spreadsheets/d/1DY4XTNNwjluuxqdfdn6qvOSlMRrZqUtmYcZR0ttFiG4/edit?usp=sharing"",""ลำปาง!Q396"")+IMPORTRANGE(""https://docs.goog"&amp;"le.com/spreadsheets/d/1ICwG78r0OFT8biBlxnBF8r7she7gNSzOvJ958PWT09c/edit?usp=sharing"",""ลำพูน!Q396"")+IMPORTRANGE(""https://docs.google.com/spreadsheets/d/1B0f2xJpZUC6Z0xXnqKlZtEPzsf6L84eP1r1Q15seqRM/edit?usp=sharing"",""สุโขทัย!Q396"")+IMPORTRANGE(""http"&amp;"s://docs.google.com/spreadsheets/d/1v0b9pFQCsKUVExMei7AgY2yQkdeNQvtOssygGsXbiKo/edit?usp=sharing"",""อุตรดิตถ์!Q396"")+IMPORTRANGE(""https://docs.google.com/spreadsheets/d/1UsNK1e-WWiCo2PvGqdNfdme4m17_Ezd3J69EeeiQPD0/edit?usp=sharing"",""อุทัยธานี!Q396"")"),0)</f>
        <v>0</v>
      </c>
      <c r="R396" s="48">
        <f ca="1">IFERROR(__xludf.DUMMYFUNCTION("IMPORTRANGE(""https://docs.google.com/spreadsheets/d/1jTcq05yEiRwXcBMLjiodW9e4biSGYWAHcDj22rKWQ3s/edit?usp=sharing"",""กำแพงเพชร!R396"")+IMPORTRANGE(""https://docs.google.com/spreadsheets/d/1KS0zmDSZPk8KnTAbGN-Xk6MtX1YRZD0ldgdt20K4CRk/edit?usp=sharing"","&amp;"""เชียงราย!R396"")+IMPORTRANGE(""https://docs.google.com/spreadsheets/d/1rEDxBtusbi64tE0zunoIbsTVV16HeL0oJ6trHQeQ7K8/edit?usp=sharing"",""เชียงใหม่!R396"")+IMPORTRANGE(""https://docs.google.com/spreadsheets/d/1W6MnUbDkMi6xHnHko_XkFDO9kkuL6Wqyc-6OCDFjW9I/e"&amp;"dit?usp=sharing"",""ตาก!R396"")+IMPORTRANGE(""https://docs.google.com/spreadsheets/d/1IQAWArduLkta9LpYo4a_ULsyqdta6-6aDDiwpUnQT6c/edit?usp=sharing"",""นครสวรรค์!R396"")+IMPORTRANGE(""https://docs.google.com/spreadsheets/d/10s13Sk5xrltsiR-Zkbmk5DwIaDIKO8Xl"&amp;"bJAfqyT7Gvg/edit?usp=sharing"",""น่าน!R396"")+IMPORTRANGE(""https://docs.google.com/spreadsheets/d/1uu4nAn4Dbi1XREnLKKotUANlKXa7yCgRcgq8HEzQYW8/edit?usp=sharing"",""พะเยา!R396"")+IMPORTRANGE(""https://docs.google.com/spreadsheets/d/1xfJKIQxVOaPDIICqsflNlL"&amp;"u3JacTDk1FP9RH4phX7mI/edit?usp=sharing"",""พิจิตร!R396"")+IMPORTRANGE(""https://docs.google.com/spreadsheets/d/1JtRfZkJMHtEhI5RdRHxYUG4FIZHqKDpNyIuN7A1Q0_k/edit?usp=sharing"",""พิษณุโลก!R396"")+IMPORTRANGE(""https://docs.google.com/spreadsheets/d/1xlcVZWU"&amp;"Nn6SuWm0c307h32SiGkd9BaeQWlAktfD3KO8/edit?usp=sharing"",""เพชรบูรณ์!R396"")+IMPORTRANGE(""https://docs.google.com/spreadsheets/d/1lOVebEIsI9qjGXl6EX66luk7wiuP2tBaryw-wKvv4e0/edit?usp=sharing"",""แพร่!R396"")+IMPORTRANGE(""https://docs.google.com/spreadshe"&amp;"ets/d/1dQrvX0vEcN7Gu0fnZ0B5S90AeR19zth4XlExFBeExMY/edit?usp=sharing"",""แม่ฮ่องสอน!R396"")+IMPORTRANGE(""https://docs.google.com/spreadsheets/d/1DY4XTNNwjluuxqdfdn6qvOSlMRrZqUtmYcZR0ttFiG4/edit?usp=sharing"",""ลำปาง!R396"")+IMPORTRANGE(""https://docs.goog"&amp;"le.com/spreadsheets/d/1ICwG78r0OFT8biBlxnBF8r7she7gNSzOvJ958PWT09c/edit?usp=sharing"",""ลำพูน!R396"")+IMPORTRANGE(""https://docs.google.com/spreadsheets/d/1B0f2xJpZUC6Z0xXnqKlZtEPzsf6L84eP1r1Q15seqRM/edit?usp=sharing"",""สุโขทัย!R396"")+IMPORTRANGE(""http"&amp;"s://docs.google.com/spreadsheets/d/1v0b9pFQCsKUVExMei7AgY2yQkdeNQvtOssygGsXbiKo/edit?usp=sharing"",""อุตรดิตถ์!R396"")+IMPORTRANGE(""https://docs.google.com/spreadsheets/d/1UsNK1e-WWiCo2PvGqdNfdme4m17_Ezd3J69EeeiQPD0/edit?usp=sharing"",""อุทัยธานี!R396"")"),0)</f>
        <v>0</v>
      </c>
      <c r="S396" s="48">
        <f ca="1">IFERROR(__xludf.DUMMYFUNCTION("IMPORTRANGE(""https://docs.google.com/spreadsheets/d/1jTcq05yEiRwXcBMLjiodW9e4biSGYWAHcDj22rKWQ3s/edit?usp=sharing"",""กำแพงเพชร!S396"")+IMPORTRANGE(""https://docs.google.com/spreadsheets/d/1KS0zmDSZPk8KnTAbGN-Xk6MtX1YRZD0ldgdt20K4CRk/edit?usp=sharing"","&amp;"""เชียงราย!S396"")+IMPORTRANGE(""https://docs.google.com/spreadsheets/d/1rEDxBtusbi64tE0zunoIbsTVV16HeL0oJ6trHQeQ7K8/edit?usp=sharing"",""เชียงใหม่!S396"")+IMPORTRANGE(""https://docs.google.com/spreadsheets/d/1W6MnUbDkMi6xHnHko_XkFDO9kkuL6Wqyc-6OCDFjW9I/e"&amp;"dit?usp=sharing"",""ตาก!S396"")+IMPORTRANGE(""https://docs.google.com/spreadsheets/d/1IQAWArduLkta9LpYo4a_ULsyqdta6-6aDDiwpUnQT6c/edit?usp=sharing"",""นครสวรรค์!S396"")+IMPORTRANGE(""https://docs.google.com/spreadsheets/d/10s13Sk5xrltsiR-Zkbmk5DwIaDIKO8Xl"&amp;"bJAfqyT7Gvg/edit?usp=sharing"",""น่าน!S396"")+IMPORTRANGE(""https://docs.google.com/spreadsheets/d/1uu4nAn4Dbi1XREnLKKotUANlKXa7yCgRcgq8HEzQYW8/edit?usp=sharing"",""พะเยา!S396"")+IMPORTRANGE(""https://docs.google.com/spreadsheets/d/1xfJKIQxVOaPDIICqsflNlL"&amp;"u3JacTDk1FP9RH4phX7mI/edit?usp=sharing"",""พิจิตร!S396"")+IMPORTRANGE(""https://docs.google.com/spreadsheets/d/1JtRfZkJMHtEhI5RdRHxYUG4FIZHqKDpNyIuN7A1Q0_k/edit?usp=sharing"",""พิษณุโลก!S396"")+IMPORTRANGE(""https://docs.google.com/spreadsheets/d/1xlcVZWU"&amp;"Nn6SuWm0c307h32SiGkd9BaeQWlAktfD3KO8/edit?usp=sharing"",""เพชรบูรณ์!S396"")+IMPORTRANGE(""https://docs.google.com/spreadsheets/d/1lOVebEIsI9qjGXl6EX66luk7wiuP2tBaryw-wKvv4e0/edit?usp=sharing"",""แพร่!S396"")+IMPORTRANGE(""https://docs.google.com/spreadshe"&amp;"ets/d/1dQrvX0vEcN7Gu0fnZ0B5S90AeR19zth4XlExFBeExMY/edit?usp=sharing"",""แม่ฮ่องสอน!S396"")+IMPORTRANGE(""https://docs.google.com/spreadsheets/d/1DY4XTNNwjluuxqdfdn6qvOSlMRrZqUtmYcZR0ttFiG4/edit?usp=sharing"",""ลำปาง!S396"")+IMPORTRANGE(""https://docs.goog"&amp;"le.com/spreadsheets/d/1ICwG78r0OFT8biBlxnBF8r7she7gNSzOvJ958PWT09c/edit?usp=sharing"",""ลำพูน!S396"")+IMPORTRANGE(""https://docs.google.com/spreadsheets/d/1B0f2xJpZUC6Z0xXnqKlZtEPzsf6L84eP1r1Q15seqRM/edit?usp=sharing"",""สุโขทัย!S396"")+IMPORTRANGE(""http"&amp;"s://docs.google.com/spreadsheets/d/1v0b9pFQCsKUVExMei7AgY2yQkdeNQvtOssygGsXbiKo/edit?usp=sharing"",""อุตรดิตถ์!S396"")+IMPORTRANGE(""https://docs.google.com/spreadsheets/d/1UsNK1e-WWiCo2PvGqdNfdme4m17_Ezd3J69EeeiQPD0/edit?usp=sharing"",""อุทัยธานี!S396"")"),0)</f>
        <v>0</v>
      </c>
      <c r="T396" s="48">
        <f t="shared" ca="1" si="302"/>
        <v>0</v>
      </c>
      <c r="U396" s="48">
        <f t="shared" ca="1" si="303"/>
        <v>0</v>
      </c>
    </row>
    <row r="397" spans="1:21" ht="18.75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46">
        <f ca="1">IFERROR(__xludf.DUMMYFUNCTION("IMPORTRANGE(""https://docs.google.com/spreadsheets/d/1jTcq05yEiRwXcBMLjiodW9e4biSGYWAHcDj22rKWQ3s/edit?usp=sharing"",""กำแพงเพชร!L397"")+IMPORTRANGE(""https://docs.google.com/spreadsheets/d/1KS0zmDSZPk8KnTAbGN-Xk6MtX1YRZD0ldgdt20K4CRk/edit?usp=sharing"","&amp;"""เชียงราย!L397"")+IMPORTRANGE(""https://docs.google.com/spreadsheets/d/1rEDxBtusbi64tE0zunoIbsTVV16HeL0oJ6trHQeQ7K8/edit?usp=sharing"",""เชียงใหม่!L397"")+IMPORTRANGE(""https://docs.google.com/spreadsheets/d/1W6MnUbDkMi6xHnHko_XkFDO9kkuL6Wqyc-6OCDFjW9I/e"&amp;"dit?usp=sharing"",""ตาก!L397"")+IMPORTRANGE(""https://docs.google.com/spreadsheets/d/1IQAWArduLkta9LpYo4a_ULsyqdta6-6aDDiwpUnQT6c/edit?usp=sharing"",""นครสวรรค์!L397"")+IMPORTRANGE(""https://docs.google.com/spreadsheets/d/10s13Sk5xrltsiR-Zkbmk5DwIaDIKO8Xl"&amp;"bJAfqyT7Gvg/edit?usp=sharing"",""น่าน!L397"")+IMPORTRANGE(""https://docs.google.com/spreadsheets/d/1uu4nAn4Dbi1XREnLKKotUANlKXa7yCgRcgq8HEzQYW8/edit?usp=sharing"",""พะเยา!L397"")+IMPORTRANGE(""https://docs.google.com/spreadsheets/d/1xfJKIQxVOaPDIICqsflNlL"&amp;"u3JacTDk1FP9RH4phX7mI/edit?usp=sharing"",""พิจิตร!L397"")+IMPORTRANGE(""https://docs.google.com/spreadsheets/d/1JtRfZkJMHtEhI5RdRHxYUG4FIZHqKDpNyIuN7A1Q0_k/edit?usp=sharing"",""พิษณุโลก!L397"")+IMPORTRANGE(""https://docs.google.com/spreadsheets/d/1xlcVZWU"&amp;"Nn6SuWm0c307h32SiGkd9BaeQWlAktfD3KO8/edit?usp=sharing"",""เพชรบูรณ์!L397"")+IMPORTRANGE(""https://docs.google.com/spreadsheets/d/1lOVebEIsI9qjGXl6EX66luk7wiuP2tBaryw-wKvv4e0/edit?usp=sharing"",""แพร่!L397"")+IMPORTRANGE(""https://docs.google.com/spreadshe"&amp;"ets/d/1dQrvX0vEcN7Gu0fnZ0B5S90AeR19zth4XlExFBeExMY/edit?usp=sharing"",""แม่ฮ่องสอน!L397"")+IMPORTRANGE(""https://docs.google.com/spreadsheets/d/1DY4XTNNwjluuxqdfdn6qvOSlMRrZqUtmYcZR0ttFiG4/edit?usp=sharing"",""ลำปาง!L397"")+IMPORTRANGE(""https://docs.goog"&amp;"le.com/spreadsheets/d/1ICwG78r0OFT8biBlxnBF8r7she7gNSzOvJ958PWT09c/edit?usp=sharing"",""ลำพูน!L397"")+IMPORTRANGE(""https://docs.google.com/spreadsheets/d/1B0f2xJpZUC6Z0xXnqKlZtEPzsf6L84eP1r1Q15seqRM/edit?usp=sharing"",""สุโขทัย!L397"")+IMPORTRANGE(""http"&amp;"s://docs.google.com/spreadsheets/d/1v0b9pFQCsKUVExMei7AgY2yQkdeNQvtOssygGsXbiKo/edit?usp=sharing"",""อุตรดิตถ์!L397"")+IMPORTRANGE(""https://docs.google.com/spreadsheets/d/1UsNK1e-WWiCo2PvGqdNfdme4m17_Ezd3J69EeeiQPD0/edit?usp=sharing"",""อุทัยธานี!L397"")"),0)</f>
        <v>0</v>
      </c>
      <c r="M397" s="46">
        <f ca="1">IFERROR(__xludf.DUMMYFUNCTION("IMPORTRANGE(""https://docs.google.com/spreadsheets/d/1jTcq05yEiRwXcBMLjiodW9e4biSGYWAHcDj22rKWQ3s/edit?usp=sharing"",""กำแพงเพชร!M397"")+IMPORTRANGE(""https://docs.google.com/spreadsheets/d/1KS0zmDSZPk8KnTAbGN-Xk6MtX1YRZD0ldgdt20K4CRk/edit?usp=sharing"","&amp;"""เชียงราย!M397"")+IMPORTRANGE(""https://docs.google.com/spreadsheets/d/1rEDxBtusbi64tE0zunoIbsTVV16HeL0oJ6trHQeQ7K8/edit?usp=sharing"",""เชียงใหม่!M397"")+IMPORTRANGE(""https://docs.google.com/spreadsheets/d/1W6MnUbDkMi6xHnHko_XkFDO9kkuL6Wqyc-6OCDFjW9I/e"&amp;"dit?usp=sharing"",""ตาก!M397"")+IMPORTRANGE(""https://docs.google.com/spreadsheets/d/1IQAWArduLkta9LpYo4a_ULsyqdta6-6aDDiwpUnQT6c/edit?usp=sharing"",""นครสวรรค์!M397"")+IMPORTRANGE(""https://docs.google.com/spreadsheets/d/10s13Sk5xrltsiR-Zkbmk5DwIaDIKO8Xl"&amp;"bJAfqyT7Gvg/edit?usp=sharing"",""น่าน!M397"")+IMPORTRANGE(""https://docs.google.com/spreadsheets/d/1uu4nAn4Dbi1XREnLKKotUANlKXa7yCgRcgq8HEzQYW8/edit?usp=sharing"",""พะเยา!M397"")+IMPORTRANGE(""https://docs.google.com/spreadsheets/d/1xfJKIQxVOaPDIICqsflNlL"&amp;"u3JacTDk1FP9RH4phX7mI/edit?usp=sharing"",""พิจิตร!M397"")+IMPORTRANGE(""https://docs.google.com/spreadsheets/d/1JtRfZkJMHtEhI5RdRHxYUG4FIZHqKDpNyIuN7A1Q0_k/edit?usp=sharing"",""พิษณุโลก!M397"")+IMPORTRANGE(""https://docs.google.com/spreadsheets/d/1xlcVZWU"&amp;"Nn6SuWm0c307h32SiGkd9BaeQWlAktfD3KO8/edit?usp=sharing"",""เพชรบูรณ์!M397"")+IMPORTRANGE(""https://docs.google.com/spreadsheets/d/1lOVebEIsI9qjGXl6EX66luk7wiuP2tBaryw-wKvv4e0/edit?usp=sharing"",""แพร่!M397"")+IMPORTRANGE(""https://docs.google.com/spreadshe"&amp;"ets/d/1dQrvX0vEcN7Gu0fnZ0B5S90AeR19zth4XlExFBeExMY/edit?usp=sharing"",""แม่ฮ่องสอน!M397"")+IMPORTRANGE(""https://docs.google.com/spreadsheets/d/1DY4XTNNwjluuxqdfdn6qvOSlMRrZqUtmYcZR0ttFiG4/edit?usp=sharing"",""ลำปาง!M397"")+IMPORTRANGE(""https://docs.goog"&amp;"le.com/spreadsheets/d/1ICwG78r0OFT8biBlxnBF8r7she7gNSzOvJ958PWT09c/edit?usp=sharing"",""ลำพูน!M397"")+IMPORTRANGE(""https://docs.google.com/spreadsheets/d/1B0f2xJpZUC6Z0xXnqKlZtEPzsf6L84eP1r1Q15seqRM/edit?usp=sharing"",""สุโขทัย!M397"")+IMPORTRANGE(""http"&amp;"s://docs.google.com/spreadsheets/d/1v0b9pFQCsKUVExMei7AgY2yQkdeNQvtOssygGsXbiKo/edit?usp=sharing"",""อุตรดิตถ์!M397"")+IMPORTRANGE(""https://docs.google.com/spreadsheets/d/1UsNK1e-WWiCo2PvGqdNfdme4m17_Ezd3J69EeeiQPD0/edit?usp=sharing"",""อุทัยธานี!M397"")"),0)</f>
        <v>0</v>
      </c>
      <c r="N397" s="46">
        <f ca="1">IFERROR(__xludf.DUMMYFUNCTION("IMPORTRANGE(""https://docs.google.com/spreadsheets/d/1jTcq05yEiRwXcBMLjiodW9e4biSGYWAHcDj22rKWQ3s/edit?usp=sharing"",""กำแพงเพชร!N397"")+IMPORTRANGE(""https://docs.google.com/spreadsheets/d/1KS0zmDSZPk8KnTAbGN-Xk6MtX1YRZD0ldgdt20K4CRk/edit?usp=sharing"","&amp;"""เชียงราย!N397"")+IMPORTRANGE(""https://docs.google.com/spreadsheets/d/1rEDxBtusbi64tE0zunoIbsTVV16HeL0oJ6trHQeQ7K8/edit?usp=sharing"",""เชียงใหม่!N397"")+IMPORTRANGE(""https://docs.google.com/spreadsheets/d/1W6MnUbDkMi6xHnHko_XkFDO9kkuL6Wqyc-6OCDFjW9I/e"&amp;"dit?usp=sharing"",""ตาก!N397"")+IMPORTRANGE(""https://docs.google.com/spreadsheets/d/1IQAWArduLkta9LpYo4a_ULsyqdta6-6aDDiwpUnQT6c/edit?usp=sharing"",""นครสวรรค์!N397"")+IMPORTRANGE(""https://docs.google.com/spreadsheets/d/10s13Sk5xrltsiR-Zkbmk5DwIaDIKO8Xl"&amp;"bJAfqyT7Gvg/edit?usp=sharing"",""น่าน!N397"")+IMPORTRANGE(""https://docs.google.com/spreadsheets/d/1uu4nAn4Dbi1XREnLKKotUANlKXa7yCgRcgq8HEzQYW8/edit?usp=sharing"",""พะเยา!N397"")+IMPORTRANGE(""https://docs.google.com/spreadsheets/d/1xfJKIQxVOaPDIICqsflNlL"&amp;"u3JacTDk1FP9RH4phX7mI/edit?usp=sharing"",""พิจิตร!N397"")+IMPORTRANGE(""https://docs.google.com/spreadsheets/d/1JtRfZkJMHtEhI5RdRHxYUG4FIZHqKDpNyIuN7A1Q0_k/edit?usp=sharing"",""พิษณุโลก!N397"")+IMPORTRANGE(""https://docs.google.com/spreadsheets/d/1xlcVZWU"&amp;"Nn6SuWm0c307h32SiGkd9BaeQWlAktfD3KO8/edit?usp=sharing"",""เพชรบูรณ์!N397"")+IMPORTRANGE(""https://docs.google.com/spreadsheets/d/1lOVebEIsI9qjGXl6EX66luk7wiuP2tBaryw-wKvv4e0/edit?usp=sharing"",""แพร่!N397"")+IMPORTRANGE(""https://docs.google.com/spreadshe"&amp;"ets/d/1dQrvX0vEcN7Gu0fnZ0B5S90AeR19zth4XlExFBeExMY/edit?usp=sharing"",""แม่ฮ่องสอน!N397"")+IMPORTRANGE(""https://docs.google.com/spreadsheets/d/1DY4XTNNwjluuxqdfdn6qvOSlMRrZqUtmYcZR0ttFiG4/edit?usp=sharing"",""ลำปาง!N397"")+IMPORTRANGE(""https://docs.goog"&amp;"le.com/spreadsheets/d/1ICwG78r0OFT8biBlxnBF8r7she7gNSzOvJ958PWT09c/edit?usp=sharing"",""ลำพูน!N397"")+IMPORTRANGE(""https://docs.google.com/spreadsheets/d/1B0f2xJpZUC6Z0xXnqKlZtEPzsf6L84eP1r1Q15seqRM/edit?usp=sharing"",""สุโขทัย!N397"")+IMPORTRANGE(""http"&amp;"s://docs.google.com/spreadsheets/d/1v0b9pFQCsKUVExMei7AgY2yQkdeNQvtOssygGsXbiKo/edit?usp=sharing"",""อุตรดิตถ์!N397"")+IMPORTRANGE(""https://docs.google.com/spreadsheets/d/1UsNK1e-WWiCo2PvGqdNfdme4m17_Ezd3J69EeeiQPD0/edit?usp=sharing"",""อุทัยธานี!N397"")"),0)</f>
        <v>0</v>
      </c>
      <c r="O397" s="46">
        <f t="shared" ca="1" si="299"/>
        <v>0</v>
      </c>
      <c r="P397" s="46">
        <f t="shared" ca="1" si="300"/>
        <v>0</v>
      </c>
      <c r="Q397" s="46">
        <f ca="1">IFERROR(__xludf.DUMMYFUNCTION("IMPORTRANGE(""https://docs.google.com/spreadsheets/d/1jTcq05yEiRwXcBMLjiodW9e4biSGYWAHcDj22rKWQ3s/edit?usp=sharing"",""กำแพงเพชร!Q397"")+IMPORTRANGE(""https://docs.google.com/spreadsheets/d/1KS0zmDSZPk8KnTAbGN-Xk6MtX1YRZD0ldgdt20K4CRk/edit?usp=sharing"","&amp;"""เชียงราย!Q397"")+IMPORTRANGE(""https://docs.google.com/spreadsheets/d/1rEDxBtusbi64tE0zunoIbsTVV16HeL0oJ6trHQeQ7K8/edit?usp=sharing"",""เชียงใหม่!Q397"")+IMPORTRANGE(""https://docs.google.com/spreadsheets/d/1W6MnUbDkMi6xHnHko_XkFDO9kkuL6Wqyc-6OCDFjW9I/e"&amp;"dit?usp=sharing"",""ตาก!Q397"")+IMPORTRANGE(""https://docs.google.com/spreadsheets/d/1IQAWArduLkta9LpYo4a_ULsyqdta6-6aDDiwpUnQT6c/edit?usp=sharing"",""นครสวรรค์!Q397"")+IMPORTRANGE(""https://docs.google.com/spreadsheets/d/10s13Sk5xrltsiR-Zkbmk5DwIaDIKO8Xl"&amp;"bJAfqyT7Gvg/edit?usp=sharing"",""น่าน!Q397"")+IMPORTRANGE(""https://docs.google.com/spreadsheets/d/1uu4nAn4Dbi1XREnLKKotUANlKXa7yCgRcgq8HEzQYW8/edit?usp=sharing"",""พะเยา!Q397"")+IMPORTRANGE(""https://docs.google.com/spreadsheets/d/1xfJKIQxVOaPDIICqsflNlL"&amp;"u3JacTDk1FP9RH4phX7mI/edit?usp=sharing"",""พิจิตร!Q397"")+IMPORTRANGE(""https://docs.google.com/spreadsheets/d/1JtRfZkJMHtEhI5RdRHxYUG4FIZHqKDpNyIuN7A1Q0_k/edit?usp=sharing"",""พิษณุโลก!Q397"")+IMPORTRANGE(""https://docs.google.com/spreadsheets/d/1xlcVZWU"&amp;"Nn6SuWm0c307h32SiGkd9BaeQWlAktfD3KO8/edit?usp=sharing"",""เพชรบูรณ์!Q397"")+IMPORTRANGE(""https://docs.google.com/spreadsheets/d/1lOVebEIsI9qjGXl6EX66luk7wiuP2tBaryw-wKvv4e0/edit?usp=sharing"",""แพร่!Q397"")+IMPORTRANGE(""https://docs.google.com/spreadshe"&amp;"ets/d/1dQrvX0vEcN7Gu0fnZ0B5S90AeR19zth4XlExFBeExMY/edit?usp=sharing"",""แม่ฮ่องสอน!Q397"")+IMPORTRANGE(""https://docs.google.com/spreadsheets/d/1DY4XTNNwjluuxqdfdn6qvOSlMRrZqUtmYcZR0ttFiG4/edit?usp=sharing"",""ลำปาง!Q397"")+IMPORTRANGE(""https://docs.goog"&amp;"le.com/spreadsheets/d/1ICwG78r0OFT8biBlxnBF8r7she7gNSzOvJ958PWT09c/edit?usp=sharing"",""ลำพูน!Q397"")+IMPORTRANGE(""https://docs.google.com/spreadsheets/d/1B0f2xJpZUC6Z0xXnqKlZtEPzsf6L84eP1r1Q15seqRM/edit?usp=sharing"",""สุโขทัย!Q397"")+IMPORTRANGE(""http"&amp;"s://docs.google.com/spreadsheets/d/1v0b9pFQCsKUVExMei7AgY2yQkdeNQvtOssygGsXbiKo/edit?usp=sharing"",""อุตรดิตถ์!Q397"")+IMPORTRANGE(""https://docs.google.com/spreadsheets/d/1UsNK1e-WWiCo2PvGqdNfdme4m17_Ezd3J69EeeiQPD0/edit?usp=sharing"",""อุทัยธานี!Q397"")"),0)</f>
        <v>0</v>
      </c>
      <c r="R397" s="46">
        <f ca="1">IFERROR(__xludf.DUMMYFUNCTION("IMPORTRANGE(""https://docs.google.com/spreadsheets/d/1jTcq05yEiRwXcBMLjiodW9e4biSGYWAHcDj22rKWQ3s/edit?usp=sharing"",""กำแพงเพชร!R397"")+IMPORTRANGE(""https://docs.google.com/spreadsheets/d/1KS0zmDSZPk8KnTAbGN-Xk6MtX1YRZD0ldgdt20K4CRk/edit?usp=sharing"","&amp;"""เชียงราย!R397"")+IMPORTRANGE(""https://docs.google.com/spreadsheets/d/1rEDxBtusbi64tE0zunoIbsTVV16HeL0oJ6trHQeQ7K8/edit?usp=sharing"",""เชียงใหม่!R397"")+IMPORTRANGE(""https://docs.google.com/spreadsheets/d/1W6MnUbDkMi6xHnHko_XkFDO9kkuL6Wqyc-6OCDFjW9I/e"&amp;"dit?usp=sharing"",""ตาก!R397"")+IMPORTRANGE(""https://docs.google.com/spreadsheets/d/1IQAWArduLkta9LpYo4a_ULsyqdta6-6aDDiwpUnQT6c/edit?usp=sharing"",""นครสวรรค์!R397"")+IMPORTRANGE(""https://docs.google.com/spreadsheets/d/10s13Sk5xrltsiR-Zkbmk5DwIaDIKO8Xl"&amp;"bJAfqyT7Gvg/edit?usp=sharing"",""น่าน!R397"")+IMPORTRANGE(""https://docs.google.com/spreadsheets/d/1uu4nAn4Dbi1XREnLKKotUANlKXa7yCgRcgq8HEzQYW8/edit?usp=sharing"",""พะเยา!R397"")+IMPORTRANGE(""https://docs.google.com/spreadsheets/d/1xfJKIQxVOaPDIICqsflNlL"&amp;"u3JacTDk1FP9RH4phX7mI/edit?usp=sharing"",""พิจิตร!R397"")+IMPORTRANGE(""https://docs.google.com/spreadsheets/d/1JtRfZkJMHtEhI5RdRHxYUG4FIZHqKDpNyIuN7A1Q0_k/edit?usp=sharing"",""พิษณุโลก!R397"")+IMPORTRANGE(""https://docs.google.com/spreadsheets/d/1xlcVZWU"&amp;"Nn6SuWm0c307h32SiGkd9BaeQWlAktfD3KO8/edit?usp=sharing"",""เพชรบูรณ์!R397"")+IMPORTRANGE(""https://docs.google.com/spreadsheets/d/1lOVebEIsI9qjGXl6EX66luk7wiuP2tBaryw-wKvv4e0/edit?usp=sharing"",""แพร่!R397"")+IMPORTRANGE(""https://docs.google.com/spreadshe"&amp;"ets/d/1dQrvX0vEcN7Gu0fnZ0B5S90AeR19zth4XlExFBeExMY/edit?usp=sharing"",""แม่ฮ่องสอน!R397"")+IMPORTRANGE(""https://docs.google.com/spreadsheets/d/1DY4XTNNwjluuxqdfdn6qvOSlMRrZqUtmYcZR0ttFiG4/edit?usp=sharing"",""ลำปาง!R397"")+IMPORTRANGE(""https://docs.goog"&amp;"le.com/spreadsheets/d/1ICwG78r0OFT8biBlxnBF8r7she7gNSzOvJ958PWT09c/edit?usp=sharing"",""ลำพูน!R397"")+IMPORTRANGE(""https://docs.google.com/spreadsheets/d/1B0f2xJpZUC6Z0xXnqKlZtEPzsf6L84eP1r1Q15seqRM/edit?usp=sharing"",""สุโขทัย!R397"")+IMPORTRANGE(""http"&amp;"s://docs.google.com/spreadsheets/d/1v0b9pFQCsKUVExMei7AgY2yQkdeNQvtOssygGsXbiKo/edit?usp=sharing"",""อุตรดิตถ์!R397"")+IMPORTRANGE(""https://docs.google.com/spreadsheets/d/1UsNK1e-WWiCo2PvGqdNfdme4m17_Ezd3J69EeeiQPD0/edit?usp=sharing"",""อุทัยธานี!R397"")"),0)</f>
        <v>0</v>
      </c>
      <c r="S397" s="46">
        <f ca="1">IFERROR(__xludf.DUMMYFUNCTION("IMPORTRANGE(""https://docs.google.com/spreadsheets/d/1jTcq05yEiRwXcBMLjiodW9e4biSGYWAHcDj22rKWQ3s/edit?usp=sharing"",""กำแพงเพชร!S397"")+IMPORTRANGE(""https://docs.google.com/spreadsheets/d/1KS0zmDSZPk8KnTAbGN-Xk6MtX1YRZD0ldgdt20K4CRk/edit?usp=sharing"","&amp;"""เชียงราย!S397"")+IMPORTRANGE(""https://docs.google.com/spreadsheets/d/1rEDxBtusbi64tE0zunoIbsTVV16HeL0oJ6trHQeQ7K8/edit?usp=sharing"",""เชียงใหม่!S397"")+IMPORTRANGE(""https://docs.google.com/spreadsheets/d/1W6MnUbDkMi6xHnHko_XkFDO9kkuL6Wqyc-6OCDFjW9I/e"&amp;"dit?usp=sharing"",""ตาก!S397"")+IMPORTRANGE(""https://docs.google.com/spreadsheets/d/1IQAWArduLkta9LpYo4a_ULsyqdta6-6aDDiwpUnQT6c/edit?usp=sharing"",""นครสวรรค์!S397"")+IMPORTRANGE(""https://docs.google.com/spreadsheets/d/10s13Sk5xrltsiR-Zkbmk5DwIaDIKO8Xl"&amp;"bJAfqyT7Gvg/edit?usp=sharing"",""น่าน!S397"")+IMPORTRANGE(""https://docs.google.com/spreadsheets/d/1uu4nAn4Dbi1XREnLKKotUANlKXa7yCgRcgq8HEzQYW8/edit?usp=sharing"",""พะเยา!S397"")+IMPORTRANGE(""https://docs.google.com/spreadsheets/d/1xfJKIQxVOaPDIICqsflNlL"&amp;"u3JacTDk1FP9RH4phX7mI/edit?usp=sharing"",""พิจิตร!S397"")+IMPORTRANGE(""https://docs.google.com/spreadsheets/d/1JtRfZkJMHtEhI5RdRHxYUG4FIZHqKDpNyIuN7A1Q0_k/edit?usp=sharing"",""พิษณุโลก!S397"")+IMPORTRANGE(""https://docs.google.com/spreadsheets/d/1xlcVZWU"&amp;"Nn6SuWm0c307h32SiGkd9BaeQWlAktfD3KO8/edit?usp=sharing"",""เพชรบูรณ์!S397"")+IMPORTRANGE(""https://docs.google.com/spreadsheets/d/1lOVebEIsI9qjGXl6EX66luk7wiuP2tBaryw-wKvv4e0/edit?usp=sharing"",""แพร่!S397"")+IMPORTRANGE(""https://docs.google.com/spreadshe"&amp;"ets/d/1dQrvX0vEcN7Gu0fnZ0B5S90AeR19zth4XlExFBeExMY/edit?usp=sharing"",""แม่ฮ่องสอน!S397"")+IMPORTRANGE(""https://docs.google.com/spreadsheets/d/1DY4XTNNwjluuxqdfdn6qvOSlMRrZqUtmYcZR0ttFiG4/edit?usp=sharing"",""ลำปาง!S397"")+IMPORTRANGE(""https://docs.goog"&amp;"le.com/spreadsheets/d/1ICwG78r0OFT8biBlxnBF8r7she7gNSzOvJ958PWT09c/edit?usp=sharing"",""ลำพูน!S397"")+IMPORTRANGE(""https://docs.google.com/spreadsheets/d/1B0f2xJpZUC6Z0xXnqKlZtEPzsf6L84eP1r1Q15seqRM/edit?usp=sharing"",""สุโขทัย!S397"")+IMPORTRANGE(""http"&amp;"s://docs.google.com/spreadsheets/d/1v0b9pFQCsKUVExMei7AgY2yQkdeNQvtOssygGsXbiKo/edit?usp=sharing"",""อุตรดิตถ์!S397"")+IMPORTRANGE(""https://docs.google.com/spreadsheets/d/1UsNK1e-WWiCo2PvGqdNfdme4m17_Ezd3J69EeeiQPD0/edit?usp=sharing"",""อุทัยธานี!S397"")"),0)</f>
        <v>0</v>
      </c>
      <c r="T397" s="46">
        <f t="shared" ca="1" si="302"/>
        <v>0</v>
      </c>
      <c r="U397" s="46">
        <f t="shared" ca="1" si="303"/>
        <v>0</v>
      </c>
    </row>
    <row r="398" spans="1:21" ht="18.75" x14ac:dyDescent="0.25">
      <c r="A398" s="128"/>
      <c r="B398" s="158"/>
      <c r="C398" s="158"/>
      <c r="D398" s="160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46">
        <f t="shared" ref="L398:N398" ca="1" si="310">L399+L400</f>
        <v>0</v>
      </c>
      <c r="M398" s="46">
        <f t="shared" ca="1" si="310"/>
        <v>0</v>
      </c>
      <c r="N398" s="46">
        <f t="shared" ca="1" si="310"/>
        <v>0</v>
      </c>
      <c r="O398" s="46">
        <f t="shared" ca="1" si="299"/>
        <v>0</v>
      </c>
      <c r="P398" s="46">
        <f t="shared" ca="1" si="300"/>
        <v>0</v>
      </c>
      <c r="Q398" s="46">
        <f t="shared" ref="Q398:S398" ca="1" si="311">Q399+Q400</f>
        <v>0</v>
      </c>
      <c r="R398" s="46">
        <f t="shared" ca="1" si="311"/>
        <v>0</v>
      </c>
      <c r="S398" s="46">
        <f t="shared" ca="1" si="311"/>
        <v>0</v>
      </c>
      <c r="T398" s="46">
        <f t="shared" ca="1" si="302"/>
        <v>0</v>
      </c>
      <c r="U398" s="46">
        <f t="shared" ca="1" si="303"/>
        <v>0</v>
      </c>
    </row>
    <row r="399" spans="1:21" ht="18.75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48">
        <f ca="1">IFERROR(__xludf.DUMMYFUNCTION("IMPORTRANGE(""https://docs.google.com/spreadsheets/d/1jTcq05yEiRwXcBMLjiodW9e4biSGYWAHcDj22rKWQ3s/edit?usp=sharing"",""กำแพงเพชร!L399"")+IMPORTRANGE(""https://docs.google.com/spreadsheets/d/1KS0zmDSZPk8KnTAbGN-Xk6MtX1YRZD0ldgdt20K4CRk/edit?usp=sharing"","&amp;"""เชียงราย!L399"")+IMPORTRANGE(""https://docs.google.com/spreadsheets/d/1rEDxBtusbi64tE0zunoIbsTVV16HeL0oJ6trHQeQ7K8/edit?usp=sharing"",""เชียงใหม่!L399"")+IMPORTRANGE(""https://docs.google.com/spreadsheets/d/1W6MnUbDkMi6xHnHko_XkFDO9kkuL6Wqyc-6OCDFjW9I/e"&amp;"dit?usp=sharing"",""ตาก!L399"")+IMPORTRANGE(""https://docs.google.com/spreadsheets/d/1IQAWArduLkta9LpYo4a_ULsyqdta6-6aDDiwpUnQT6c/edit?usp=sharing"",""นครสวรรค์!L399"")+IMPORTRANGE(""https://docs.google.com/spreadsheets/d/10s13Sk5xrltsiR-Zkbmk5DwIaDIKO8Xl"&amp;"bJAfqyT7Gvg/edit?usp=sharing"",""น่าน!L399"")+IMPORTRANGE(""https://docs.google.com/spreadsheets/d/1uu4nAn4Dbi1XREnLKKotUANlKXa7yCgRcgq8HEzQYW8/edit?usp=sharing"",""พะเยา!L399"")+IMPORTRANGE(""https://docs.google.com/spreadsheets/d/1xfJKIQxVOaPDIICqsflNlL"&amp;"u3JacTDk1FP9RH4phX7mI/edit?usp=sharing"",""พิจิตร!L399"")+IMPORTRANGE(""https://docs.google.com/spreadsheets/d/1JtRfZkJMHtEhI5RdRHxYUG4FIZHqKDpNyIuN7A1Q0_k/edit?usp=sharing"",""พิษณุโลก!L399"")+IMPORTRANGE(""https://docs.google.com/spreadsheets/d/1xlcVZWU"&amp;"Nn6SuWm0c307h32SiGkd9BaeQWlAktfD3KO8/edit?usp=sharing"",""เพชรบูรณ์!L399"")+IMPORTRANGE(""https://docs.google.com/spreadsheets/d/1lOVebEIsI9qjGXl6EX66luk7wiuP2tBaryw-wKvv4e0/edit?usp=sharing"",""แพร่!L399"")+IMPORTRANGE(""https://docs.google.com/spreadshe"&amp;"ets/d/1dQrvX0vEcN7Gu0fnZ0B5S90AeR19zth4XlExFBeExMY/edit?usp=sharing"",""แม่ฮ่องสอน!L399"")+IMPORTRANGE(""https://docs.google.com/spreadsheets/d/1DY4XTNNwjluuxqdfdn6qvOSlMRrZqUtmYcZR0ttFiG4/edit?usp=sharing"",""ลำปาง!L399"")+IMPORTRANGE(""https://docs.goog"&amp;"le.com/spreadsheets/d/1ICwG78r0OFT8biBlxnBF8r7she7gNSzOvJ958PWT09c/edit?usp=sharing"",""ลำพูน!L399"")+IMPORTRANGE(""https://docs.google.com/spreadsheets/d/1B0f2xJpZUC6Z0xXnqKlZtEPzsf6L84eP1r1Q15seqRM/edit?usp=sharing"",""สุโขทัย!L399"")+IMPORTRANGE(""http"&amp;"s://docs.google.com/spreadsheets/d/1v0b9pFQCsKUVExMei7AgY2yQkdeNQvtOssygGsXbiKo/edit?usp=sharing"",""อุตรดิตถ์!L399"")+IMPORTRANGE(""https://docs.google.com/spreadsheets/d/1UsNK1e-WWiCo2PvGqdNfdme4m17_Ezd3J69EeeiQPD0/edit?usp=sharing"",""อุทัยธานี!L399"")"),0)</f>
        <v>0</v>
      </c>
      <c r="M399" s="48">
        <f ca="1">IFERROR(__xludf.DUMMYFUNCTION("IMPORTRANGE(""https://docs.google.com/spreadsheets/d/1jTcq05yEiRwXcBMLjiodW9e4biSGYWAHcDj22rKWQ3s/edit?usp=sharing"",""กำแพงเพชร!M399"")+IMPORTRANGE(""https://docs.google.com/spreadsheets/d/1KS0zmDSZPk8KnTAbGN-Xk6MtX1YRZD0ldgdt20K4CRk/edit?usp=sharing"","&amp;"""เชียงราย!M399"")+IMPORTRANGE(""https://docs.google.com/spreadsheets/d/1rEDxBtusbi64tE0zunoIbsTVV16HeL0oJ6trHQeQ7K8/edit?usp=sharing"",""เชียงใหม่!M399"")+IMPORTRANGE(""https://docs.google.com/spreadsheets/d/1W6MnUbDkMi6xHnHko_XkFDO9kkuL6Wqyc-6OCDFjW9I/e"&amp;"dit?usp=sharing"",""ตาก!M399"")+IMPORTRANGE(""https://docs.google.com/spreadsheets/d/1IQAWArduLkta9LpYo4a_ULsyqdta6-6aDDiwpUnQT6c/edit?usp=sharing"",""นครสวรรค์!M399"")+IMPORTRANGE(""https://docs.google.com/spreadsheets/d/10s13Sk5xrltsiR-Zkbmk5DwIaDIKO8Xl"&amp;"bJAfqyT7Gvg/edit?usp=sharing"",""น่าน!M399"")+IMPORTRANGE(""https://docs.google.com/spreadsheets/d/1uu4nAn4Dbi1XREnLKKotUANlKXa7yCgRcgq8HEzQYW8/edit?usp=sharing"",""พะเยา!M399"")+IMPORTRANGE(""https://docs.google.com/spreadsheets/d/1xfJKIQxVOaPDIICqsflNlL"&amp;"u3JacTDk1FP9RH4phX7mI/edit?usp=sharing"",""พิจิตร!M399"")+IMPORTRANGE(""https://docs.google.com/spreadsheets/d/1JtRfZkJMHtEhI5RdRHxYUG4FIZHqKDpNyIuN7A1Q0_k/edit?usp=sharing"",""พิษณุโลก!M399"")+IMPORTRANGE(""https://docs.google.com/spreadsheets/d/1xlcVZWU"&amp;"Nn6SuWm0c307h32SiGkd9BaeQWlAktfD3KO8/edit?usp=sharing"",""เพชรบูรณ์!M399"")+IMPORTRANGE(""https://docs.google.com/spreadsheets/d/1lOVebEIsI9qjGXl6EX66luk7wiuP2tBaryw-wKvv4e0/edit?usp=sharing"",""แพร่!M399"")+IMPORTRANGE(""https://docs.google.com/spreadshe"&amp;"ets/d/1dQrvX0vEcN7Gu0fnZ0B5S90AeR19zth4XlExFBeExMY/edit?usp=sharing"",""แม่ฮ่องสอน!M399"")+IMPORTRANGE(""https://docs.google.com/spreadsheets/d/1DY4XTNNwjluuxqdfdn6qvOSlMRrZqUtmYcZR0ttFiG4/edit?usp=sharing"",""ลำปาง!M399"")+IMPORTRANGE(""https://docs.goog"&amp;"le.com/spreadsheets/d/1ICwG78r0OFT8biBlxnBF8r7she7gNSzOvJ958PWT09c/edit?usp=sharing"",""ลำพูน!M399"")+IMPORTRANGE(""https://docs.google.com/spreadsheets/d/1B0f2xJpZUC6Z0xXnqKlZtEPzsf6L84eP1r1Q15seqRM/edit?usp=sharing"",""สุโขทัย!M399"")+IMPORTRANGE(""http"&amp;"s://docs.google.com/spreadsheets/d/1v0b9pFQCsKUVExMei7AgY2yQkdeNQvtOssygGsXbiKo/edit?usp=sharing"",""อุตรดิตถ์!M399"")+IMPORTRANGE(""https://docs.google.com/spreadsheets/d/1UsNK1e-WWiCo2PvGqdNfdme4m17_Ezd3J69EeeiQPD0/edit?usp=sharing"",""อุทัยธานี!M399"")"),0)</f>
        <v>0</v>
      </c>
      <c r="N399" s="48">
        <f ca="1">IFERROR(__xludf.DUMMYFUNCTION("IMPORTRANGE(""https://docs.google.com/spreadsheets/d/1jTcq05yEiRwXcBMLjiodW9e4biSGYWAHcDj22rKWQ3s/edit?usp=sharing"",""กำแพงเพชร!N399"")+IMPORTRANGE(""https://docs.google.com/spreadsheets/d/1KS0zmDSZPk8KnTAbGN-Xk6MtX1YRZD0ldgdt20K4CRk/edit?usp=sharing"","&amp;"""เชียงราย!N399"")+IMPORTRANGE(""https://docs.google.com/spreadsheets/d/1rEDxBtusbi64tE0zunoIbsTVV16HeL0oJ6trHQeQ7K8/edit?usp=sharing"",""เชียงใหม่!N399"")+IMPORTRANGE(""https://docs.google.com/spreadsheets/d/1W6MnUbDkMi6xHnHko_XkFDO9kkuL6Wqyc-6OCDFjW9I/e"&amp;"dit?usp=sharing"",""ตาก!N399"")+IMPORTRANGE(""https://docs.google.com/spreadsheets/d/1IQAWArduLkta9LpYo4a_ULsyqdta6-6aDDiwpUnQT6c/edit?usp=sharing"",""นครสวรรค์!N399"")+IMPORTRANGE(""https://docs.google.com/spreadsheets/d/10s13Sk5xrltsiR-Zkbmk5DwIaDIKO8Xl"&amp;"bJAfqyT7Gvg/edit?usp=sharing"",""น่าน!N399"")+IMPORTRANGE(""https://docs.google.com/spreadsheets/d/1uu4nAn4Dbi1XREnLKKotUANlKXa7yCgRcgq8HEzQYW8/edit?usp=sharing"",""พะเยา!N399"")+IMPORTRANGE(""https://docs.google.com/spreadsheets/d/1xfJKIQxVOaPDIICqsflNlL"&amp;"u3JacTDk1FP9RH4phX7mI/edit?usp=sharing"",""พิจิตร!N399"")+IMPORTRANGE(""https://docs.google.com/spreadsheets/d/1JtRfZkJMHtEhI5RdRHxYUG4FIZHqKDpNyIuN7A1Q0_k/edit?usp=sharing"",""พิษณุโลก!N399"")+IMPORTRANGE(""https://docs.google.com/spreadsheets/d/1xlcVZWU"&amp;"Nn6SuWm0c307h32SiGkd9BaeQWlAktfD3KO8/edit?usp=sharing"",""เพชรบูรณ์!N399"")+IMPORTRANGE(""https://docs.google.com/spreadsheets/d/1lOVebEIsI9qjGXl6EX66luk7wiuP2tBaryw-wKvv4e0/edit?usp=sharing"",""แพร่!N399"")+IMPORTRANGE(""https://docs.google.com/spreadshe"&amp;"ets/d/1dQrvX0vEcN7Gu0fnZ0B5S90AeR19zth4XlExFBeExMY/edit?usp=sharing"",""แม่ฮ่องสอน!N399"")+IMPORTRANGE(""https://docs.google.com/spreadsheets/d/1DY4XTNNwjluuxqdfdn6qvOSlMRrZqUtmYcZR0ttFiG4/edit?usp=sharing"",""ลำปาง!N399"")+IMPORTRANGE(""https://docs.goog"&amp;"le.com/spreadsheets/d/1ICwG78r0OFT8biBlxnBF8r7she7gNSzOvJ958PWT09c/edit?usp=sharing"",""ลำพูน!N399"")+IMPORTRANGE(""https://docs.google.com/spreadsheets/d/1B0f2xJpZUC6Z0xXnqKlZtEPzsf6L84eP1r1Q15seqRM/edit?usp=sharing"",""สุโขทัย!N399"")+IMPORTRANGE(""http"&amp;"s://docs.google.com/spreadsheets/d/1v0b9pFQCsKUVExMei7AgY2yQkdeNQvtOssygGsXbiKo/edit?usp=sharing"",""อุตรดิตถ์!N399"")+IMPORTRANGE(""https://docs.google.com/spreadsheets/d/1UsNK1e-WWiCo2PvGqdNfdme4m17_Ezd3J69EeeiQPD0/edit?usp=sharing"",""อุทัยธานี!N399"")"),0)</f>
        <v>0</v>
      </c>
      <c r="O399" s="48">
        <f t="shared" ca="1" si="299"/>
        <v>0</v>
      </c>
      <c r="P399" s="48">
        <f t="shared" ca="1" si="300"/>
        <v>0</v>
      </c>
      <c r="Q399" s="48">
        <f ca="1">IFERROR(__xludf.DUMMYFUNCTION("IMPORTRANGE(""https://docs.google.com/spreadsheets/d/1jTcq05yEiRwXcBMLjiodW9e4biSGYWAHcDj22rKWQ3s/edit?usp=sharing"",""กำแพงเพชร!Q399"")+IMPORTRANGE(""https://docs.google.com/spreadsheets/d/1KS0zmDSZPk8KnTAbGN-Xk6MtX1YRZD0ldgdt20K4CRk/edit?usp=sharing"","&amp;"""เชียงราย!Q399"")+IMPORTRANGE(""https://docs.google.com/spreadsheets/d/1rEDxBtusbi64tE0zunoIbsTVV16HeL0oJ6trHQeQ7K8/edit?usp=sharing"",""เชียงใหม่!Q399"")+IMPORTRANGE(""https://docs.google.com/spreadsheets/d/1W6MnUbDkMi6xHnHko_XkFDO9kkuL6Wqyc-6OCDFjW9I/e"&amp;"dit?usp=sharing"",""ตาก!Q399"")+IMPORTRANGE(""https://docs.google.com/spreadsheets/d/1IQAWArduLkta9LpYo4a_ULsyqdta6-6aDDiwpUnQT6c/edit?usp=sharing"",""นครสวรรค์!Q399"")+IMPORTRANGE(""https://docs.google.com/spreadsheets/d/10s13Sk5xrltsiR-Zkbmk5DwIaDIKO8Xl"&amp;"bJAfqyT7Gvg/edit?usp=sharing"",""น่าน!Q399"")+IMPORTRANGE(""https://docs.google.com/spreadsheets/d/1uu4nAn4Dbi1XREnLKKotUANlKXa7yCgRcgq8HEzQYW8/edit?usp=sharing"",""พะเยา!Q399"")+IMPORTRANGE(""https://docs.google.com/spreadsheets/d/1xfJKIQxVOaPDIICqsflNlL"&amp;"u3JacTDk1FP9RH4phX7mI/edit?usp=sharing"",""พิจิตร!Q399"")+IMPORTRANGE(""https://docs.google.com/spreadsheets/d/1JtRfZkJMHtEhI5RdRHxYUG4FIZHqKDpNyIuN7A1Q0_k/edit?usp=sharing"",""พิษณุโลก!Q399"")+IMPORTRANGE(""https://docs.google.com/spreadsheets/d/1xlcVZWU"&amp;"Nn6SuWm0c307h32SiGkd9BaeQWlAktfD3KO8/edit?usp=sharing"",""เพชรบูรณ์!Q399"")+IMPORTRANGE(""https://docs.google.com/spreadsheets/d/1lOVebEIsI9qjGXl6EX66luk7wiuP2tBaryw-wKvv4e0/edit?usp=sharing"",""แพร่!Q399"")+IMPORTRANGE(""https://docs.google.com/spreadshe"&amp;"ets/d/1dQrvX0vEcN7Gu0fnZ0B5S90AeR19zth4XlExFBeExMY/edit?usp=sharing"",""แม่ฮ่องสอน!Q399"")+IMPORTRANGE(""https://docs.google.com/spreadsheets/d/1DY4XTNNwjluuxqdfdn6qvOSlMRrZqUtmYcZR0ttFiG4/edit?usp=sharing"",""ลำปาง!Q399"")+IMPORTRANGE(""https://docs.goog"&amp;"le.com/spreadsheets/d/1ICwG78r0OFT8biBlxnBF8r7she7gNSzOvJ958PWT09c/edit?usp=sharing"",""ลำพูน!Q399"")+IMPORTRANGE(""https://docs.google.com/spreadsheets/d/1B0f2xJpZUC6Z0xXnqKlZtEPzsf6L84eP1r1Q15seqRM/edit?usp=sharing"",""สุโขทัย!Q399"")+IMPORTRANGE(""http"&amp;"s://docs.google.com/spreadsheets/d/1v0b9pFQCsKUVExMei7AgY2yQkdeNQvtOssygGsXbiKo/edit?usp=sharing"",""อุตรดิตถ์!Q399"")+IMPORTRANGE(""https://docs.google.com/spreadsheets/d/1UsNK1e-WWiCo2PvGqdNfdme4m17_Ezd3J69EeeiQPD0/edit?usp=sharing"",""อุทัยธานี!Q399"")"),0)</f>
        <v>0</v>
      </c>
      <c r="R399" s="48">
        <f ca="1">IFERROR(__xludf.DUMMYFUNCTION("IMPORTRANGE(""https://docs.google.com/spreadsheets/d/1jTcq05yEiRwXcBMLjiodW9e4biSGYWAHcDj22rKWQ3s/edit?usp=sharing"",""กำแพงเพชร!R399"")+IMPORTRANGE(""https://docs.google.com/spreadsheets/d/1KS0zmDSZPk8KnTAbGN-Xk6MtX1YRZD0ldgdt20K4CRk/edit?usp=sharing"","&amp;"""เชียงราย!R399"")+IMPORTRANGE(""https://docs.google.com/spreadsheets/d/1rEDxBtusbi64tE0zunoIbsTVV16HeL0oJ6trHQeQ7K8/edit?usp=sharing"",""เชียงใหม่!R399"")+IMPORTRANGE(""https://docs.google.com/spreadsheets/d/1W6MnUbDkMi6xHnHko_XkFDO9kkuL6Wqyc-6OCDFjW9I/e"&amp;"dit?usp=sharing"",""ตาก!R399"")+IMPORTRANGE(""https://docs.google.com/spreadsheets/d/1IQAWArduLkta9LpYo4a_ULsyqdta6-6aDDiwpUnQT6c/edit?usp=sharing"",""นครสวรรค์!R399"")+IMPORTRANGE(""https://docs.google.com/spreadsheets/d/10s13Sk5xrltsiR-Zkbmk5DwIaDIKO8Xl"&amp;"bJAfqyT7Gvg/edit?usp=sharing"",""น่าน!R399"")+IMPORTRANGE(""https://docs.google.com/spreadsheets/d/1uu4nAn4Dbi1XREnLKKotUANlKXa7yCgRcgq8HEzQYW8/edit?usp=sharing"",""พะเยา!R399"")+IMPORTRANGE(""https://docs.google.com/spreadsheets/d/1xfJKIQxVOaPDIICqsflNlL"&amp;"u3JacTDk1FP9RH4phX7mI/edit?usp=sharing"",""พิจิตร!R399"")+IMPORTRANGE(""https://docs.google.com/spreadsheets/d/1JtRfZkJMHtEhI5RdRHxYUG4FIZHqKDpNyIuN7A1Q0_k/edit?usp=sharing"",""พิษณุโลก!R399"")+IMPORTRANGE(""https://docs.google.com/spreadsheets/d/1xlcVZWU"&amp;"Nn6SuWm0c307h32SiGkd9BaeQWlAktfD3KO8/edit?usp=sharing"",""เพชรบูรณ์!R399"")+IMPORTRANGE(""https://docs.google.com/spreadsheets/d/1lOVebEIsI9qjGXl6EX66luk7wiuP2tBaryw-wKvv4e0/edit?usp=sharing"",""แพร่!R399"")+IMPORTRANGE(""https://docs.google.com/spreadshe"&amp;"ets/d/1dQrvX0vEcN7Gu0fnZ0B5S90AeR19zth4XlExFBeExMY/edit?usp=sharing"",""แม่ฮ่องสอน!R399"")+IMPORTRANGE(""https://docs.google.com/spreadsheets/d/1DY4XTNNwjluuxqdfdn6qvOSlMRrZqUtmYcZR0ttFiG4/edit?usp=sharing"",""ลำปาง!R399"")+IMPORTRANGE(""https://docs.goog"&amp;"le.com/spreadsheets/d/1ICwG78r0OFT8biBlxnBF8r7she7gNSzOvJ958PWT09c/edit?usp=sharing"",""ลำพูน!R399"")+IMPORTRANGE(""https://docs.google.com/spreadsheets/d/1B0f2xJpZUC6Z0xXnqKlZtEPzsf6L84eP1r1Q15seqRM/edit?usp=sharing"",""สุโขทัย!R399"")+IMPORTRANGE(""http"&amp;"s://docs.google.com/spreadsheets/d/1v0b9pFQCsKUVExMei7AgY2yQkdeNQvtOssygGsXbiKo/edit?usp=sharing"",""อุตรดิตถ์!R399"")+IMPORTRANGE(""https://docs.google.com/spreadsheets/d/1UsNK1e-WWiCo2PvGqdNfdme4m17_Ezd3J69EeeiQPD0/edit?usp=sharing"",""อุทัยธานี!R399"")"),0)</f>
        <v>0</v>
      </c>
      <c r="S399" s="48">
        <f ca="1">IFERROR(__xludf.DUMMYFUNCTION("IMPORTRANGE(""https://docs.google.com/spreadsheets/d/1jTcq05yEiRwXcBMLjiodW9e4biSGYWAHcDj22rKWQ3s/edit?usp=sharing"",""กำแพงเพชร!S399"")+IMPORTRANGE(""https://docs.google.com/spreadsheets/d/1KS0zmDSZPk8KnTAbGN-Xk6MtX1YRZD0ldgdt20K4CRk/edit?usp=sharing"","&amp;"""เชียงราย!S399"")+IMPORTRANGE(""https://docs.google.com/spreadsheets/d/1rEDxBtusbi64tE0zunoIbsTVV16HeL0oJ6trHQeQ7K8/edit?usp=sharing"",""เชียงใหม่!S399"")+IMPORTRANGE(""https://docs.google.com/spreadsheets/d/1W6MnUbDkMi6xHnHko_XkFDO9kkuL6Wqyc-6OCDFjW9I/e"&amp;"dit?usp=sharing"",""ตาก!S399"")+IMPORTRANGE(""https://docs.google.com/spreadsheets/d/1IQAWArduLkta9LpYo4a_ULsyqdta6-6aDDiwpUnQT6c/edit?usp=sharing"",""นครสวรรค์!S399"")+IMPORTRANGE(""https://docs.google.com/spreadsheets/d/10s13Sk5xrltsiR-Zkbmk5DwIaDIKO8Xl"&amp;"bJAfqyT7Gvg/edit?usp=sharing"",""น่าน!S399"")+IMPORTRANGE(""https://docs.google.com/spreadsheets/d/1uu4nAn4Dbi1XREnLKKotUANlKXa7yCgRcgq8HEzQYW8/edit?usp=sharing"",""พะเยา!S399"")+IMPORTRANGE(""https://docs.google.com/spreadsheets/d/1xfJKIQxVOaPDIICqsflNlL"&amp;"u3JacTDk1FP9RH4phX7mI/edit?usp=sharing"",""พิจิตร!S399"")+IMPORTRANGE(""https://docs.google.com/spreadsheets/d/1JtRfZkJMHtEhI5RdRHxYUG4FIZHqKDpNyIuN7A1Q0_k/edit?usp=sharing"",""พิษณุโลก!S399"")+IMPORTRANGE(""https://docs.google.com/spreadsheets/d/1xlcVZWU"&amp;"Nn6SuWm0c307h32SiGkd9BaeQWlAktfD3KO8/edit?usp=sharing"",""เพชรบูรณ์!S399"")+IMPORTRANGE(""https://docs.google.com/spreadsheets/d/1lOVebEIsI9qjGXl6EX66luk7wiuP2tBaryw-wKvv4e0/edit?usp=sharing"",""แพร่!S399"")+IMPORTRANGE(""https://docs.google.com/spreadshe"&amp;"ets/d/1dQrvX0vEcN7Gu0fnZ0B5S90AeR19zth4XlExFBeExMY/edit?usp=sharing"",""แม่ฮ่องสอน!S399"")+IMPORTRANGE(""https://docs.google.com/spreadsheets/d/1DY4XTNNwjluuxqdfdn6qvOSlMRrZqUtmYcZR0ttFiG4/edit?usp=sharing"",""ลำปาง!S399"")+IMPORTRANGE(""https://docs.goog"&amp;"le.com/spreadsheets/d/1ICwG78r0OFT8biBlxnBF8r7she7gNSzOvJ958PWT09c/edit?usp=sharing"",""ลำพูน!S399"")+IMPORTRANGE(""https://docs.google.com/spreadsheets/d/1B0f2xJpZUC6Z0xXnqKlZtEPzsf6L84eP1r1Q15seqRM/edit?usp=sharing"",""สุโขทัย!S399"")+IMPORTRANGE(""http"&amp;"s://docs.google.com/spreadsheets/d/1v0b9pFQCsKUVExMei7AgY2yQkdeNQvtOssygGsXbiKo/edit?usp=sharing"",""อุตรดิตถ์!S399"")+IMPORTRANGE(""https://docs.google.com/spreadsheets/d/1UsNK1e-WWiCo2PvGqdNfdme4m17_Ezd3J69EeeiQPD0/edit?usp=sharing"",""อุทัยธานี!S399"")"),0)</f>
        <v>0</v>
      </c>
      <c r="T399" s="48">
        <f t="shared" ca="1" si="302"/>
        <v>0</v>
      </c>
      <c r="U399" s="48">
        <f t="shared" ca="1" si="303"/>
        <v>0</v>
      </c>
    </row>
    <row r="400" spans="1:21" ht="18.75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46">
        <f ca="1">IFERROR(__xludf.DUMMYFUNCTION("IMPORTRANGE(""https://docs.google.com/spreadsheets/d/1jTcq05yEiRwXcBMLjiodW9e4biSGYWAHcDj22rKWQ3s/edit?usp=sharing"",""กำแพงเพชร!L400"")+IMPORTRANGE(""https://docs.google.com/spreadsheets/d/1KS0zmDSZPk8KnTAbGN-Xk6MtX1YRZD0ldgdt20K4CRk/edit?usp=sharing"","&amp;"""เชียงราย!L400"")+IMPORTRANGE(""https://docs.google.com/spreadsheets/d/1rEDxBtusbi64tE0zunoIbsTVV16HeL0oJ6trHQeQ7K8/edit?usp=sharing"",""เชียงใหม่!L400"")+IMPORTRANGE(""https://docs.google.com/spreadsheets/d/1W6MnUbDkMi6xHnHko_XkFDO9kkuL6Wqyc-6OCDFjW9I/e"&amp;"dit?usp=sharing"",""ตาก!L400"")+IMPORTRANGE(""https://docs.google.com/spreadsheets/d/1IQAWArduLkta9LpYo4a_ULsyqdta6-6aDDiwpUnQT6c/edit?usp=sharing"",""นครสวรรค์!L400"")+IMPORTRANGE(""https://docs.google.com/spreadsheets/d/10s13Sk5xrltsiR-Zkbmk5DwIaDIKO8Xl"&amp;"bJAfqyT7Gvg/edit?usp=sharing"",""น่าน!L400"")+IMPORTRANGE(""https://docs.google.com/spreadsheets/d/1uu4nAn4Dbi1XREnLKKotUANlKXa7yCgRcgq8HEzQYW8/edit?usp=sharing"",""พะเยา!L400"")+IMPORTRANGE(""https://docs.google.com/spreadsheets/d/1xfJKIQxVOaPDIICqsflNlL"&amp;"u3JacTDk1FP9RH4phX7mI/edit?usp=sharing"",""พิจิตร!L400"")+IMPORTRANGE(""https://docs.google.com/spreadsheets/d/1JtRfZkJMHtEhI5RdRHxYUG4FIZHqKDpNyIuN7A1Q0_k/edit?usp=sharing"",""พิษณุโลก!L400"")+IMPORTRANGE(""https://docs.google.com/spreadsheets/d/1xlcVZWU"&amp;"Nn6SuWm0c307h32SiGkd9BaeQWlAktfD3KO8/edit?usp=sharing"",""เพชรบูรณ์!L400"")+IMPORTRANGE(""https://docs.google.com/spreadsheets/d/1lOVebEIsI9qjGXl6EX66luk7wiuP2tBaryw-wKvv4e0/edit?usp=sharing"",""แพร่!L400"")+IMPORTRANGE(""https://docs.google.com/spreadshe"&amp;"ets/d/1dQrvX0vEcN7Gu0fnZ0B5S90AeR19zth4XlExFBeExMY/edit?usp=sharing"",""แม่ฮ่องสอน!L400"")+IMPORTRANGE(""https://docs.google.com/spreadsheets/d/1DY4XTNNwjluuxqdfdn6qvOSlMRrZqUtmYcZR0ttFiG4/edit?usp=sharing"",""ลำปาง!L400"")+IMPORTRANGE(""https://docs.goog"&amp;"le.com/spreadsheets/d/1ICwG78r0OFT8biBlxnBF8r7she7gNSzOvJ958PWT09c/edit?usp=sharing"",""ลำพูน!L400"")+IMPORTRANGE(""https://docs.google.com/spreadsheets/d/1B0f2xJpZUC6Z0xXnqKlZtEPzsf6L84eP1r1Q15seqRM/edit?usp=sharing"",""สุโขทัย!L400"")+IMPORTRANGE(""http"&amp;"s://docs.google.com/spreadsheets/d/1v0b9pFQCsKUVExMei7AgY2yQkdeNQvtOssygGsXbiKo/edit?usp=sharing"",""อุตรดิตถ์!L400"")+IMPORTRANGE(""https://docs.google.com/spreadsheets/d/1UsNK1e-WWiCo2PvGqdNfdme4m17_Ezd3J69EeeiQPD0/edit?usp=sharing"",""อุทัยธานี!L400"")"),0)</f>
        <v>0</v>
      </c>
      <c r="M400" s="46">
        <f ca="1">IFERROR(__xludf.DUMMYFUNCTION("IMPORTRANGE(""https://docs.google.com/spreadsheets/d/1jTcq05yEiRwXcBMLjiodW9e4biSGYWAHcDj22rKWQ3s/edit?usp=sharing"",""กำแพงเพชร!M400"")+IMPORTRANGE(""https://docs.google.com/spreadsheets/d/1KS0zmDSZPk8KnTAbGN-Xk6MtX1YRZD0ldgdt20K4CRk/edit?usp=sharing"","&amp;"""เชียงราย!M400"")+IMPORTRANGE(""https://docs.google.com/spreadsheets/d/1rEDxBtusbi64tE0zunoIbsTVV16HeL0oJ6trHQeQ7K8/edit?usp=sharing"",""เชียงใหม่!M400"")+IMPORTRANGE(""https://docs.google.com/spreadsheets/d/1W6MnUbDkMi6xHnHko_XkFDO9kkuL6Wqyc-6OCDFjW9I/e"&amp;"dit?usp=sharing"",""ตาก!M400"")+IMPORTRANGE(""https://docs.google.com/spreadsheets/d/1IQAWArduLkta9LpYo4a_ULsyqdta6-6aDDiwpUnQT6c/edit?usp=sharing"",""นครสวรรค์!M400"")+IMPORTRANGE(""https://docs.google.com/spreadsheets/d/10s13Sk5xrltsiR-Zkbmk5DwIaDIKO8Xl"&amp;"bJAfqyT7Gvg/edit?usp=sharing"",""น่าน!M400"")+IMPORTRANGE(""https://docs.google.com/spreadsheets/d/1uu4nAn4Dbi1XREnLKKotUANlKXa7yCgRcgq8HEzQYW8/edit?usp=sharing"",""พะเยา!M400"")+IMPORTRANGE(""https://docs.google.com/spreadsheets/d/1xfJKIQxVOaPDIICqsflNlL"&amp;"u3JacTDk1FP9RH4phX7mI/edit?usp=sharing"",""พิจิตร!M400"")+IMPORTRANGE(""https://docs.google.com/spreadsheets/d/1JtRfZkJMHtEhI5RdRHxYUG4FIZHqKDpNyIuN7A1Q0_k/edit?usp=sharing"",""พิษณุโลก!M400"")+IMPORTRANGE(""https://docs.google.com/spreadsheets/d/1xlcVZWU"&amp;"Nn6SuWm0c307h32SiGkd9BaeQWlAktfD3KO8/edit?usp=sharing"",""เพชรบูรณ์!M400"")+IMPORTRANGE(""https://docs.google.com/spreadsheets/d/1lOVebEIsI9qjGXl6EX66luk7wiuP2tBaryw-wKvv4e0/edit?usp=sharing"",""แพร่!M400"")+IMPORTRANGE(""https://docs.google.com/spreadshe"&amp;"ets/d/1dQrvX0vEcN7Gu0fnZ0B5S90AeR19zth4XlExFBeExMY/edit?usp=sharing"",""แม่ฮ่องสอน!M400"")+IMPORTRANGE(""https://docs.google.com/spreadsheets/d/1DY4XTNNwjluuxqdfdn6qvOSlMRrZqUtmYcZR0ttFiG4/edit?usp=sharing"",""ลำปาง!M400"")+IMPORTRANGE(""https://docs.goog"&amp;"le.com/spreadsheets/d/1ICwG78r0OFT8biBlxnBF8r7she7gNSzOvJ958PWT09c/edit?usp=sharing"",""ลำพูน!M400"")+IMPORTRANGE(""https://docs.google.com/spreadsheets/d/1B0f2xJpZUC6Z0xXnqKlZtEPzsf6L84eP1r1Q15seqRM/edit?usp=sharing"",""สุโขทัย!M400"")+IMPORTRANGE(""http"&amp;"s://docs.google.com/spreadsheets/d/1v0b9pFQCsKUVExMei7AgY2yQkdeNQvtOssygGsXbiKo/edit?usp=sharing"",""อุตรดิตถ์!M400"")+IMPORTRANGE(""https://docs.google.com/spreadsheets/d/1UsNK1e-WWiCo2PvGqdNfdme4m17_Ezd3J69EeeiQPD0/edit?usp=sharing"",""อุทัยธานี!M400"")"),0)</f>
        <v>0</v>
      </c>
      <c r="N400" s="46">
        <f ca="1">IFERROR(__xludf.DUMMYFUNCTION("IMPORTRANGE(""https://docs.google.com/spreadsheets/d/1jTcq05yEiRwXcBMLjiodW9e4biSGYWAHcDj22rKWQ3s/edit?usp=sharing"",""กำแพงเพชร!N400"")+IMPORTRANGE(""https://docs.google.com/spreadsheets/d/1KS0zmDSZPk8KnTAbGN-Xk6MtX1YRZD0ldgdt20K4CRk/edit?usp=sharing"","&amp;"""เชียงราย!N400"")+IMPORTRANGE(""https://docs.google.com/spreadsheets/d/1rEDxBtusbi64tE0zunoIbsTVV16HeL0oJ6trHQeQ7K8/edit?usp=sharing"",""เชียงใหม่!N400"")+IMPORTRANGE(""https://docs.google.com/spreadsheets/d/1W6MnUbDkMi6xHnHko_XkFDO9kkuL6Wqyc-6OCDFjW9I/e"&amp;"dit?usp=sharing"",""ตาก!N400"")+IMPORTRANGE(""https://docs.google.com/spreadsheets/d/1IQAWArduLkta9LpYo4a_ULsyqdta6-6aDDiwpUnQT6c/edit?usp=sharing"",""นครสวรรค์!N400"")+IMPORTRANGE(""https://docs.google.com/spreadsheets/d/10s13Sk5xrltsiR-Zkbmk5DwIaDIKO8Xl"&amp;"bJAfqyT7Gvg/edit?usp=sharing"",""น่าน!N400"")+IMPORTRANGE(""https://docs.google.com/spreadsheets/d/1uu4nAn4Dbi1XREnLKKotUANlKXa7yCgRcgq8HEzQYW8/edit?usp=sharing"",""พะเยา!N400"")+IMPORTRANGE(""https://docs.google.com/spreadsheets/d/1xfJKIQxVOaPDIICqsflNlL"&amp;"u3JacTDk1FP9RH4phX7mI/edit?usp=sharing"",""พิจิตร!N400"")+IMPORTRANGE(""https://docs.google.com/spreadsheets/d/1JtRfZkJMHtEhI5RdRHxYUG4FIZHqKDpNyIuN7A1Q0_k/edit?usp=sharing"",""พิษณุโลก!N400"")+IMPORTRANGE(""https://docs.google.com/spreadsheets/d/1xlcVZWU"&amp;"Nn6SuWm0c307h32SiGkd9BaeQWlAktfD3KO8/edit?usp=sharing"",""เพชรบูรณ์!N400"")+IMPORTRANGE(""https://docs.google.com/spreadsheets/d/1lOVebEIsI9qjGXl6EX66luk7wiuP2tBaryw-wKvv4e0/edit?usp=sharing"",""แพร่!N400"")+IMPORTRANGE(""https://docs.google.com/spreadshe"&amp;"ets/d/1dQrvX0vEcN7Gu0fnZ0B5S90AeR19zth4XlExFBeExMY/edit?usp=sharing"",""แม่ฮ่องสอน!N400"")+IMPORTRANGE(""https://docs.google.com/spreadsheets/d/1DY4XTNNwjluuxqdfdn6qvOSlMRrZqUtmYcZR0ttFiG4/edit?usp=sharing"",""ลำปาง!N400"")+IMPORTRANGE(""https://docs.goog"&amp;"le.com/spreadsheets/d/1ICwG78r0OFT8biBlxnBF8r7she7gNSzOvJ958PWT09c/edit?usp=sharing"",""ลำพูน!N400"")+IMPORTRANGE(""https://docs.google.com/spreadsheets/d/1B0f2xJpZUC6Z0xXnqKlZtEPzsf6L84eP1r1Q15seqRM/edit?usp=sharing"",""สุโขทัย!N400"")+IMPORTRANGE(""http"&amp;"s://docs.google.com/spreadsheets/d/1v0b9pFQCsKUVExMei7AgY2yQkdeNQvtOssygGsXbiKo/edit?usp=sharing"",""อุตรดิตถ์!N400"")+IMPORTRANGE(""https://docs.google.com/spreadsheets/d/1UsNK1e-WWiCo2PvGqdNfdme4m17_Ezd3J69EeeiQPD0/edit?usp=sharing"",""อุทัยธานี!N400"")"),0)</f>
        <v>0</v>
      </c>
      <c r="O400" s="46">
        <f t="shared" ca="1" si="299"/>
        <v>0</v>
      </c>
      <c r="P400" s="46">
        <f t="shared" ca="1" si="300"/>
        <v>0</v>
      </c>
      <c r="Q400" s="46">
        <f ca="1">IFERROR(__xludf.DUMMYFUNCTION("IMPORTRANGE(""https://docs.google.com/spreadsheets/d/1jTcq05yEiRwXcBMLjiodW9e4biSGYWAHcDj22rKWQ3s/edit?usp=sharing"",""กำแพงเพชร!Q400"")+IMPORTRANGE(""https://docs.google.com/spreadsheets/d/1KS0zmDSZPk8KnTAbGN-Xk6MtX1YRZD0ldgdt20K4CRk/edit?usp=sharing"","&amp;"""เชียงราย!Q400"")+IMPORTRANGE(""https://docs.google.com/spreadsheets/d/1rEDxBtusbi64tE0zunoIbsTVV16HeL0oJ6trHQeQ7K8/edit?usp=sharing"",""เชียงใหม่!Q400"")+IMPORTRANGE(""https://docs.google.com/spreadsheets/d/1W6MnUbDkMi6xHnHko_XkFDO9kkuL6Wqyc-6OCDFjW9I/e"&amp;"dit?usp=sharing"",""ตาก!Q400"")+IMPORTRANGE(""https://docs.google.com/spreadsheets/d/1IQAWArduLkta9LpYo4a_ULsyqdta6-6aDDiwpUnQT6c/edit?usp=sharing"",""นครสวรรค์!Q400"")+IMPORTRANGE(""https://docs.google.com/spreadsheets/d/10s13Sk5xrltsiR-Zkbmk5DwIaDIKO8Xl"&amp;"bJAfqyT7Gvg/edit?usp=sharing"",""น่าน!Q400"")+IMPORTRANGE(""https://docs.google.com/spreadsheets/d/1uu4nAn4Dbi1XREnLKKotUANlKXa7yCgRcgq8HEzQYW8/edit?usp=sharing"",""พะเยา!Q400"")+IMPORTRANGE(""https://docs.google.com/spreadsheets/d/1xfJKIQxVOaPDIICqsflNlL"&amp;"u3JacTDk1FP9RH4phX7mI/edit?usp=sharing"",""พิจิตร!Q400"")+IMPORTRANGE(""https://docs.google.com/spreadsheets/d/1JtRfZkJMHtEhI5RdRHxYUG4FIZHqKDpNyIuN7A1Q0_k/edit?usp=sharing"",""พิษณุโลก!Q400"")+IMPORTRANGE(""https://docs.google.com/spreadsheets/d/1xlcVZWU"&amp;"Nn6SuWm0c307h32SiGkd9BaeQWlAktfD3KO8/edit?usp=sharing"",""เพชรบูรณ์!Q400"")+IMPORTRANGE(""https://docs.google.com/spreadsheets/d/1lOVebEIsI9qjGXl6EX66luk7wiuP2tBaryw-wKvv4e0/edit?usp=sharing"",""แพร่!Q400"")+IMPORTRANGE(""https://docs.google.com/spreadshe"&amp;"ets/d/1dQrvX0vEcN7Gu0fnZ0B5S90AeR19zth4XlExFBeExMY/edit?usp=sharing"",""แม่ฮ่องสอน!Q400"")+IMPORTRANGE(""https://docs.google.com/spreadsheets/d/1DY4XTNNwjluuxqdfdn6qvOSlMRrZqUtmYcZR0ttFiG4/edit?usp=sharing"",""ลำปาง!Q400"")+IMPORTRANGE(""https://docs.goog"&amp;"le.com/spreadsheets/d/1ICwG78r0OFT8biBlxnBF8r7she7gNSzOvJ958PWT09c/edit?usp=sharing"",""ลำพูน!Q400"")+IMPORTRANGE(""https://docs.google.com/spreadsheets/d/1B0f2xJpZUC6Z0xXnqKlZtEPzsf6L84eP1r1Q15seqRM/edit?usp=sharing"",""สุโขทัย!Q400"")+IMPORTRANGE(""http"&amp;"s://docs.google.com/spreadsheets/d/1v0b9pFQCsKUVExMei7AgY2yQkdeNQvtOssygGsXbiKo/edit?usp=sharing"",""อุตรดิตถ์!Q400"")+IMPORTRANGE(""https://docs.google.com/spreadsheets/d/1UsNK1e-WWiCo2PvGqdNfdme4m17_Ezd3J69EeeiQPD0/edit?usp=sharing"",""อุทัยธานี!Q400"")"),0)</f>
        <v>0</v>
      </c>
      <c r="R400" s="46">
        <f ca="1">IFERROR(__xludf.DUMMYFUNCTION("IMPORTRANGE(""https://docs.google.com/spreadsheets/d/1jTcq05yEiRwXcBMLjiodW9e4biSGYWAHcDj22rKWQ3s/edit?usp=sharing"",""กำแพงเพชร!R400"")+IMPORTRANGE(""https://docs.google.com/spreadsheets/d/1KS0zmDSZPk8KnTAbGN-Xk6MtX1YRZD0ldgdt20K4CRk/edit?usp=sharing"","&amp;"""เชียงราย!R400"")+IMPORTRANGE(""https://docs.google.com/spreadsheets/d/1rEDxBtusbi64tE0zunoIbsTVV16HeL0oJ6trHQeQ7K8/edit?usp=sharing"",""เชียงใหม่!R400"")+IMPORTRANGE(""https://docs.google.com/spreadsheets/d/1W6MnUbDkMi6xHnHko_XkFDO9kkuL6Wqyc-6OCDFjW9I/e"&amp;"dit?usp=sharing"",""ตาก!R400"")+IMPORTRANGE(""https://docs.google.com/spreadsheets/d/1IQAWArduLkta9LpYo4a_ULsyqdta6-6aDDiwpUnQT6c/edit?usp=sharing"",""นครสวรรค์!R400"")+IMPORTRANGE(""https://docs.google.com/spreadsheets/d/10s13Sk5xrltsiR-Zkbmk5DwIaDIKO8Xl"&amp;"bJAfqyT7Gvg/edit?usp=sharing"",""น่าน!R400"")+IMPORTRANGE(""https://docs.google.com/spreadsheets/d/1uu4nAn4Dbi1XREnLKKotUANlKXa7yCgRcgq8HEzQYW8/edit?usp=sharing"",""พะเยา!R400"")+IMPORTRANGE(""https://docs.google.com/spreadsheets/d/1xfJKIQxVOaPDIICqsflNlL"&amp;"u3JacTDk1FP9RH4phX7mI/edit?usp=sharing"",""พิจิตร!R400"")+IMPORTRANGE(""https://docs.google.com/spreadsheets/d/1JtRfZkJMHtEhI5RdRHxYUG4FIZHqKDpNyIuN7A1Q0_k/edit?usp=sharing"",""พิษณุโลก!R400"")+IMPORTRANGE(""https://docs.google.com/spreadsheets/d/1xlcVZWU"&amp;"Nn6SuWm0c307h32SiGkd9BaeQWlAktfD3KO8/edit?usp=sharing"",""เพชรบูรณ์!R400"")+IMPORTRANGE(""https://docs.google.com/spreadsheets/d/1lOVebEIsI9qjGXl6EX66luk7wiuP2tBaryw-wKvv4e0/edit?usp=sharing"",""แพร่!R400"")+IMPORTRANGE(""https://docs.google.com/spreadshe"&amp;"ets/d/1dQrvX0vEcN7Gu0fnZ0B5S90AeR19zth4XlExFBeExMY/edit?usp=sharing"",""แม่ฮ่องสอน!R400"")+IMPORTRANGE(""https://docs.google.com/spreadsheets/d/1DY4XTNNwjluuxqdfdn6qvOSlMRrZqUtmYcZR0ttFiG4/edit?usp=sharing"",""ลำปาง!R400"")+IMPORTRANGE(""https://docs.goog"&amp;"le.com/spreadsheets/d/1ICwG78r0OFT8biBlxnBF8r7she7gNSzOvJ958PWT09c/edit?usp=sharing"",""ลำพูน!R400"")+IMPORTRANGE(""https://docs.google.com/spreadsheets/d/1B0f2xJpZUC6Z0xXnqKlZtEPzsf6L84eP1r1Q15seqRM/edit?usp=sharing"",""สุโขทัย!R400"")+IMPORTRANGE(""http"&amp;"s://docs.google.com/spreadsheets/d/1v0b9pFQCsKUVExMei7AgY2yQkdeNQvtOssygGsXbiKo/edit?usp=sharing"",""อุตรดิตถ์!R400"")+IMPORTRANGE(""https://docs.google.com/spreadsheets/d/1UsNK1e-WWiCo2PvGqdNfdme4m17_Ezd3J69EeeiQPD0/edit?usp=sharing"",""อุทัยธานี!R400"")"),0)</f>
        <v>0</v>
      </c>
      <c r="S400" s="46">
        <f ca="1">IFERROR(__xludf.DUMMYFUNCTION("IMPORTRANGE(""https://docs.google.com/spreadsheets/d/1jTcq05yEiRwXcBMLjiodW9e4biSGYWAHcDj22rKWQ3s/edit?usp=sharing"",""กำแพงเพชร!S400"")+IMPORTRANGE(""https://docs.google.com/spreadsheets/d/1KS0zmDSZPk8KnTAbGN-Xk6MtX1YRZD0ldgdt20K4CRk/edit?usp=sharing"","&amp;"""เชียงราย!S400"")+IMPORTRANGE(""https://docs.google.com/spreadsheets/d/1rEDxBtusbi64tE0zunoIbsTVV16HeL0oJ6trHQeQ7K8/edit?usp=sharing"",""เชียงใหม่!S400"")+IMPORTRANGE(""https://docs.google.com/spreadsheets/d/1W6MnUbDkMi6xHnHko_XkFDO9kkuL6Wqyc-6OCDFjW9I/e"&amp;"dit?usp=sharing"",""ตาก!S400"")+IMPORTRANGE(""https://docs.google.com/spreadsheets/d/1IQAWArduLkta9LpYo4a_ULsyqdta6-6aDDiwpUnQT6c/edit?usp=sharing"",""นครสวรรค์!S400"")+IMPORTRANGE(""https://docs.google.com/spreadsheets/d/10s13Sk5xrltsiR-Zkbmk5DwIaDIKO8Xl"&amp;"bJAfqyT7Gvg/edit?usp=sharing"",""น่าน!S400"")+IMPORTRANGE(""https://docs.google.com/spreadsheets/d/1uu4nAn4Dbi1XREnLKKotUANlKXa7yCgRcgq8HEzQYW8/edit?usp=sharing"",""พะเยา!S400"")+IMPORTRANGE(""https://docs.google.com/spreadsheets/d/1xfJKIQxVOaPDIICqsflNlL"&amp;"u3JacTDk1FP9RH4phX7mI/edit?usp=sharing"",""พิจิตร!S400"")+IMPORTRANGE(""https://docs.google.com/spreadsheets/d/1JtRfZkJMHtEhI5RdRHxYUG4FIZHqKDpNyIuN7A1Q0_k/edit?usp=sharing"",""พิษณุโลก!S400"")+IMPORTRANGE(""https://docs.google.com/spreadsheets/d/1xlcVZWU"&amp;"Nn6SuWm0c307h32SiGkd9BaeQWlAktfD3KO8/edit?usp=sharing"",""เพชรบูรณ์!S400"")+IMPORTRANGE(""https://docs.google.com/spreadsheets/d/1lOVebEIsI9qjGXl6EX66luk7wiuP2tBaryw-wKvv4e0/edit?usp=sharing"",""แพร่!S400"")+IMPORTRANGE(""https://docs.google.com/spreadshe"&amp;"ets/d/1dQrvX0vEcN7Gu0fnZ0B5S90AeR19zth4XlExFBeExMY/edit?usp=sharing"",""แม่ฮ่องสอน!S400"")+IMPORTRANGE(""https://docs.google.com/spreadsheets/d/1DY4XTNNwjluuxqdfdn6qvOSlMRrZqUtmYcZR0ttFiG4/edit?usp=sharing"",""ลำปาง!S400"")+IMPORTRANGE(""https://docs.goog"&amp;"le.com/spreadsheets/d/1ICwG78r0OFT8biBlxnBF8r7she7gNSzOvJ958PWT09c/edit?usp=sharing"",""ลำพูน!S400"")+IMPORTRANGE(""https://docs.google.com/spreadsheets/d/1B0f2xJpZUC6Z0xXnqKlZtEPzsf6L84eP1r1Q15seqRM/edit?usp=sharing"",""สุโขทัย!S400"")+IMPORTRANGE(""http"&amp;"s://docs.google.com/spreadsheets/d/1v0b9pFQCsKUVExMei7AgY2yQkdeNQvtOssygGsXbiKo/edit?usp=sharing"",""อุตรดิตถ์!S400"")+IMPORTRANGE(""https://docs.google.com/spreadsheets/d/1UsNK1e-WWiCo2PvGqdNfdme4m17_Ezd3J69EeeiQPD0/edit?usp=sharing"",""อุทัยธานี!S400"")"),0)</f>
        <v>0</v>
      </c>
      <c r="T400" s="46">
        <f t="shared" ca="1" si="302"/>
        <v>0</v>
      </c>
      <c r="U400" s="46">
        <f t="shared" ca="1" si="303"/>
        <v>0</v>
      </c>
    </row>
    <row r="401" spans="1:21" ht="19.5" x14ac:dyDescent="0.3">
      <c r="A401" s="138"/>
      <c r="B401" s="139"/>
      <c r="C401" s="161" t="s">
        <v>18</v>
      </c>
      <c r="D401" s="313" t="s">
        <v>38</v>
      </c>
      <c r="E401" s="141"/>
      <c r="F401" s="141"/>
      <c r="G401" s="142"/>
      <c r="H401" s="178"/>
      <c r="I401" s="135"/>
      <c r="J401" s="44"/>
      <c r="K401" s="45"/>
      <c r="L401" s="45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233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233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233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233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233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233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233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233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233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319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296">
        <f t="shared" ref="I412:J412" ca="1" si="312">I423</f>
        <v>0</v>
      </c>
      <c r="J412" s="296">
        <f t="shared" ca="1" si="312"/>
        <v>0</v>
      </c>
      <c r="K412" s="297">
        <f ca="1">IF(I412&gt;0,J412*100/I412,0)</f>
        <v>0</v>
      </c>
      <c r="L412" s="298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x14ac:dyDescent="0.3">
      <c r="A413" s="128"/>
      <c r="B413" s="158"/>
      <c r="C413" s="322" t="s">
        <v>18</v>
      </c>
      <c r="D413" s="806" t="s">
        <v>19</v>
      </c>
      <c r="E413" s="800"/>
      <c r="F413" s="800"/>
      <c r="G413" s="801"/>
      <c r="H413" s="323" t="s">
        <v>14</v>
      </c>
      <c r="I413" s="44"/>
      <c r="J413" s="44"/>
      <c r="K413" s="45"/>
      <c r="L413" s="132">
        <f t="shared" ref="L413:N413" ca="1" si="313">L414+L415</f>
        <v>0</v>
      </c>
      <c r="M413" s="132">
        <f t="shared" ca="1" si="313"/>
        <v>0</v>
      </c>
      <c r="N413" s="132">
        <f t="shared" ca="1" si="313"/>
        <v>0</v>
      </c>
      <c r="O413" s="132">
        <f t="shared" ref="O413:O421" ca="1" si="314">IF(L413&gt;0,N413*100/L413,0)</f>
        <v>0</v>
      </c>
      <c r="P413" s="132">
        <f t="shared" ref="P413:P421" ca="1" si="315">IF(M413&gt;0,N413*100/M413,0)</f>
        <v>0</v>
      </c>
      <c r="Q413" s="132">
        <f t="shared" ref="Q413:S413" ca="1" si="316">Q414+Q415</f>
        <v>0</v>
      </c>
      <c r="R413" s="132">
        <f t="shared" ca="1" si="316"/>
        <v>0</v>
      </c>
      <c r="S413" s="132">
        <f t="shared" ca="1" si="316"/>
        <v>0</v>
      </c>
      <c r="T413" s="132">
        <f t="shared" ref="T413:T421" ca="1" si="317">IF(Q413&gt;0,S413*100/Q413,0)</f>
        <v>0</v>
      </c>
      <c r="U413" s="132">
        <f t="shared" ref="U413:U421" ca="1" si="318">IF(R413&gt;0,S413*100/R413,0)</f>
        <v>0</v>
      </c>
    </row>
    <row r="414" spans="1:21" ht="18.75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48">
        <f t="shared" ref="L414:N414" ca="1" si="319">L417+L420</f>
        <v>0</v>
      </c>
      <c r="M414" s="48">
        <f t="shared" ca="1" si="319"/>
        <v>0</v>
      </c>
      <c r="N414" s="48">
        <f t="shared" ca="1" si="319"/>
        <v>0</v>
      </c>
      <c r="O414" s="48">
        <f t="shared" ca="1" si="314"/>
        <v>0</v>
      </c>
      <c r="P414" s="48">
        <f t="shared" ca="1" si="315"/>
        <v>0</v>
      </c>
      <c r="Q414" s="48">
        <f t="shared" ref="Q414:S414" ca="1" si="320">Q417+Q420</f>
        <v>0</v>
      </c>
      <c r="R414" s="48">
        <f t="shared" ca="1" si="320"/>
        <v>0</v>
      </c>
      <c r="S414" s="48">
        <f t="shared" ca="1" si="320"/>
        <v>0</v>
      </c>
      <c r="T414" s="48">
        <f t="shared" ca="1" si="317"/>
        <v>0</v>
      </c>
      <c r="U414" s="48">
        <f t="shared" ca="1" si="318"/>
        <v>0</v>
      </c>
    </row>
    <row r="415" spans="1:21" ht="18.75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46">
        <f t="shared" ref="L415:N415" ca="1" si="321">L418+L421</f>
        <v>0</v>
      </c>
      <c r="M415" s="46">
        <f t="shared" ca="1" si="321"/>
        <v>0</v>
      </c>
      <c r="N415" s="46">
        <f t="shared" ca="1" si="321"/>
        <v>0</v>
      </c>
      <c r="O415" s="46">
        <f t="shared" ca="1" si="314"/>
        <v>0</v>
      </c>
      <c r="P415" s="46">
        <f t="shared" ca="1" si="315"/>
        <v>0</v>
      </c>
      <c r="Q415" s="46">
        <f t="shared" ref="Q415:S415" ca="1" si="322">Q418+Q421</f>
        <v>0</v>
      </c>
      <c r="R415" s="46">
        <f t="shared" ca="1" si="322"/>
        <v>0</v>
      </c>
      <c r="S415" s="46">
        <f t="shared" ca="1" si="322"/>
        <v>0</v>
      </c>
      <c r="T415" s="46">
        <f t="shared" ca="1" si="317"/>
        <v>0</v>
      </c>
      <c r="U415" s="46">
        <f t="shared" ca="1" si="318"/>
        <v>0</v>
      </c>
    </row>
    <row r="416" spans="1:21" ht="19.5" x14ac:dyDescent="0.3">
      <c r="A416" s="128"/>
      <c r="B416" s="158"/>
      <c r="C416" s="158"/>
      <c r="D416" s="312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46">
        <f t="shared" ref="L416:N416" ca="1" si="323">L417+L418</f>
        <v>0</v>
      </c>
      <c r="M416" s="46">
        <f t="shared" ca="1" si="323"/>
        <v>0</v>
      </c>
      <c r="N416" s="46">
        <f t="shared" ca="1" si="323"/>
        <v>0</v>
      </c>
      <c r="O416" s="46">
        <f t="shared" ca="1" si="314"/>
        <v>0</v>
      </c>
      <c r="P416" s="46">
        <f t="shared" ca="1" si="315"/>
        <v>0</v>
      </c>
      <c r="Q416" s="46">
        <f t="shared" ref="Q416:S416" ca="1" si="324">Q417+Q418</f>
        <v>0</v>
      </c>
      <c r="R416" s="46">
        <f t="shared" ca="1" si="324"/>
        <v>0</v>
      </c>
      <c r="S416" s="46">
        <f t="shared" ca="1" si="324"/>
        <v>0</v>
      </c>
      <c r="T416" s="46">
        <f t="shared" ca="1" si="317"/>
        <v>0</v>
      </c>
      <c r="U416" s="46">
        <f t="shared" ca="1" si="318"/>
        <v>0</v>
      </c>
    </row>
    <row r="417" spans="1:21" ht="18.75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48">
        <f ca="1">IFERROR(__xludf.DUMMYFUNCTION("IMPORTRANGE(""https://docs.google.com/spreadsheets/d/1jTcq05yEiRwXcBMLjiodW9e4biSGYWAHcDj22rKWQ3s/edit?usp=sharing"",""กำแพงเพชร!L417"")+IMPORTRANGE(""https://docs.google.com/spreadsheets/d/1KS0zmDSZPk8KnTAbGN-Xk6MtX1YRZD0ldgdt20K4CRk/edit?usp=sharing"","&amp;"""เชียงราย!L417"")+IMPORTRANGE(""https://docs.google.com/spreadsheets/d/1rEDxBtusbi64tE0zunoIbsTVV16HeL0oJ6trHQeQ7K8/edit?usp=sharing"",""เชียงใหม่!L417"")+IMPORTRANGE(""https://docs.google.com/spreadsheets/d/1W6MnUbDkMi6xHnHko_XkFDO9kkuL6Wqyc-6OCDFjW9I/e"&amp;"dit?usp=sharing"",""ตาก!L417"")+IMPORTRANGE(""https://docs.google.com/spreadsheets/d/1IQAWArduLkta9LpYo4a_ULsyqdta6-6aDDiwpUnQT6c/edit?usp=sharing"",""นครสวรรค์!L417"")+IMPORTRANGE(""https://docs.google.com/spreadsheets/d/10s13Sk5xrltsiR-Zkbmk5DwIaDIKO8Xl"&amp;"bJAfqyT7Gvg/edit?usp=sharing"",""น่าน!L417"")+IMPORTRANGE(""https://docs.google.com/spreadsheets/d/1uu4nAn4Dbi1XREnLKKotUANlKXa7yCgRcgq8HEzQYW8/edit?usp=sharing"",""พะเยา!L417"")+IMPORTRANGE(""https://docs.google.com/spreadsheets/d/1xfJKIQxVOaPDIICqsflNlL"&amp;"u3JacTDk1FP9RH4phX7mI/edit?usp=sharing"",""พิจิตร!L417"")+IMPORTRANGE(""https://docs.google.com/spreadsheets/d/1JtRfZkJMHtEhI5RdRHxYUG4FIZHqKDpNyIuN7A1Q0_k/edit?usp=sharing"",""พิษณุโลก!L417"")+IMPORTRANGE(""https://docs.google.com/spreadsheets/d/1xlcVZWU"&amp;"Nn6SuWm0c307h32SiGkd9BaeQWlAktfD3KO8/edit?usp=sharing"",""เพชรบูรณ์!L417"")+IMPORTRANGE(""https://docs.google.com/spreadsheets/d/1lOVebEIsI9qjGXl6EX66luk7wiuP2tBaryw-wKvv4e0/edit?usp=sharing"",""แพร่!L417"")+IMPORTRANGE(""https://docs.google.com/spreadshe"&amp;"ets/d/1dQrvX0vEcN7Gu0fnZ0B5S90AeR19zth4XlExFBeExMY/edit?usp=sharing"",""แม่ฮ่องสอน!L417"")+IMPORTRANGE(""https://docs.google.com/spreadsheets/d/1DY4XTNNwjluuxqdfdn6qvOSlMRrZqUtmYcZR0ttFiG4/edit?usp=sharing"",""ลำปาง!L417"")+IMPORTRANGE(""https://docs.goog"&amp;"le.com/spreadsheets/d/1ICwG78r0OFT8biBlxnBF8r7she7gNSzOvJ958PWT09c/edit?usp=sharing"",""ลำพูน!L417"")+IMPORTRANGE(""https://docs.google.com/spreadsheets/d/1B0f2xJpZUC6Z0xXnqKlZtEPzsf6L84eP1r1Q15seqRM/edit?usp=sharing"",""สุโขทัย!L417"")+IMPORTRANGE(""http"&amp;"s://docs.google.com/spreadsheets/d/1v0b9pFQCsKUVExMei7AgY2yQkdeNQvtOssygGsXbiKo/edit?usp=sharing"",""อุตรดิตถ์!L417"")+IMPORTRANGE(""https://docs.google.com/spreadsheets/d/1UsNK1e-WWiCo2PvGqdNfdme4m17_Ezd3J69EeeiQPD0/edit?usp=sharing"",""อุทัยธานี!L417"")"),0)</f>
        <v>0</v>
      </c>
      <c r="M417" s="48">
        <f ca="1">IFERROR(__xludf.DUMMYFUNCTION("IMPORTRANGE(""https://docs.google.com/spreadsheets/d/1jTcq05yEiRwXcBMLjiodW9e4biSGYWAHcDj22rKWQ3s/edit?usp=sharing"",""กำแพงเพชร!M417"")+IMPORTRANGE(""https://docs.google.com/spreadsheets/d/1KS0zmDSZPk8KnTAbGN-Xk6MtX1YRZD0ldgdt20K4CRk/edit?usp=sharing"","&amp;"""เชียงราย!M417"")+IMPORTRANGE(""https://docs.google.com/spreadsheets/d/1rEDxBtusbi64tE0zunoIbsTVV16HeL0oJ6trHQeQ7K8/edit?usp=sharing"",""เชียงใหม่!M417"")+IMPORTRANGE(""https://docs.google.com/spreadsheets/d/1W6MnUbDkMi6xHnHko_XkFDO9kkuL6Wqyc-6OCDFjW9I/e"&amp;"dit?usp=sharing"",""ตาก!M417"")+IMPORTRANGE(""https://docs.google.com/spreadsheets/d/1IQAWArduLkta9LpYo4a_ULsyqdta6-6aDDiwpUnQT6c/edit?usp=sharing"",""นครสวรรค์!M417"")+IMPORTRANGE(""https://docs.google.com/spreadsheets/d/10s13Sk5xrltsiR-Zkbmk5DwIaDIKO8Xl"&amp;"bJAfqyT7Gvg/edit?usp=sharing"",""น่าน!M417"")+IMPORTRANGE(""https://docs.google.com/spreadsheets/d/1uu4nAn4Dbi1XREnLKKotUANlKXa7yCgRcgq8HEzQYW8/edit?usp=sharing"",""พะเยา!M417"")+IMPORTRANGE(""https://docs.google.com/spreadsheets/d/1xfJKIQxVOaPDIICqsflNlL"&amp;"u3JacTDk1FP9RH4phX7mI/edit?usp=sharing"",""พิจิตร!M417"")+IMPORTRANGE(""https://docs.google.com/spreadsheets/d/1JtRfZkJMHtEhI5RdRHxYUG4FIZHqKDpNyIuN7A1Q0_k/edit?usp=sharing"",""พิษณุโลก!M417"")+IMPORTRANGE(""https://docs.google.com/spreadsheets/d/1xlcVZWU"&amp;"Nn6SuWm0c307h32SiGkd9BaeQWlAktfD3KO8/edit?usp=sharing"",""เพชรบูรณ์!M417"")+IMPORTRANGE(""https://docs.google.com/spreadsheets/d/1lOVebEIsI9qjGXl6EX66luk7wiuP2tBaryw-wKvv4e0/edit?usp=sharing"",""แพร่!M417"")+IMPORTRANGE(""https://docs.google.com/spreadshe"&amp;"ets/d/1dQrvX0vEcN7Gu0fnZ0B5S90AeR19zth4XlExFBeExMY/edit?usp=sharing"",""แม่ฮ่องสอน!M417"")+IMPORTRANGE(""https://docs.google.com/spreadsheets/d/1DY4XTNNwjluuxqdfdn6qvOSlMRrZqUtmYcZR0ttFiG4/edit?usp=sharing"",""ลำปาง!M417"")+IMPORTRANGE(""https://docs.goog"&amp;"le.com/spreadsheets/d/1ICwG78r0OFT8biBlxnBF8r7she7gNSzOvJ958PWT09c/edit?usp=sharing"",""ลำพูน!M417"")+IMPORTRANGE(""https://docs.google.com/spreadsheets/d/1B0f2xJpZUC6Z0xXnqKlZtEPzsf6L84eP1r1Q15seqRM/edit?usp=sharing"",""สุโขทัย!M417"")+IMPORTRANGE(""http"&amp;"s://docs.google.com/spreadsheets/d/1v0b9pFQCsKUVExMei7AgY2yQkdeNQvtOssygGsXbiKo/edit?usp=sharing"",""อุตรดิตถ์!M417"")+IMPORTRANGE(""https://docs.google.com/spreadsheets/d/1UsNK1e-WWiCo2PvGqdNfdme4m17_Ezd3J69EeeiQPD0/edit?usp=sharing"",""อุทัยธานี!M417"")"),0)</f>
        <v>0</v>
      </c>
      <c r="N417" s="48">
        <f ca="1">IFERROR(__xludf.DUMMYFUNCTION("IMPORTRANGE(""https://docs.google.com/spreadsheets/d/1jTcq05yEiRwXcBMLjiodW9e4biSGYWAHcDj22rKWQ3s/edit?usp=sharing"",""กำแพงเพชร!N417"")+IMPORTRANGE(""https://docs.google.com/spreadsheets/d/1KS0zmDSZPk8KnTAbGN-Xk6MtX1YRZD0ldgdt20K4CRk/edit?usp=sharing"","&amp;"""เชียงราย!N417"")+IMPORTRANGE(""https://docs.google.com/spreadsheets/d/1rEDxBtusbi64tE0zunoIbsTVV16HeL0oJ6trHQeQ7K8/edit?usp=sharing"",""เชียงใหม่!N417"")+IMPORTRANGE(""https://docs.google.com/spreadsheets/d/1W6MnUbDkMi6xHnHko_XkFDO9kkuL6Wqyc-6OCDFjW9I/e"&amp;"dit?usp=sharing"",""ตาก!N417"")+IMPORTRANGE(""https://docs.google.com/spreadsheets/d/1IQAWArduLkta9LpYo4a_ULsyqdta6-6aDDiwpUnQT6c/edit?usp=sharing"",""นครสวรรค์!N417"")+IMPORTRANGE(""https://docs.google.com/spreadsheets/d/10s13Sk5xrltsiR-Zkbmk5DwIaDIKO8Xl"&amp;"bJAfqyT7Gvg/edit?usp=sharing"",""น่าน!N417"")+IMPORTRANGE(""https://docs.google.com/spreadsheets/d/1uu4nAn4Dbi1XREnLKKotUANlKXa7yCgRcgq8HEzQYW8/edit?usp=sharing"",""พะเยา!N417"")+IMPORTRANGE(""https://docs.google.com/spreadsheets/d/1xfJKIQxVOaPDIICqsflNlL"&amp;"u3JacTDk1FP9RH4phX7mI/edit?usp=sharing"",""พิจิตร!N417"")+IMPORTRANGE(""https://docs.google.com/spreadsheets/d/1JtRfZkJMHtEhI5RdRHxYUG4FIZHqKDpNyIuN7A1Q0_k/edit?usp=sharing"",""พิษณุโลก!N417"")+IMPORTRANGE(""https://docs.google.com/spreadsheets/d/1xlcVZWU"&amp;"Nn6SuWm0c307h32SiGkd9BaeQWlAktfD3KO8/edit?usp=sharing"",""เพชรบูรณ์!N417"")+IMPORTRANGE(""https://docs.google.com/spreadsheets/d/1lOVebEIsI9qjGXl6EX66luk7wiuP2tBaryw-wKvv4e0/edit?usp=sharing"",""แพร่!N417"")+IMPORTRANGE(""https://docs.google.com/spreadshe"&amp;"ets/d/1dQrvX0vEcN7Gu0fnZ0B5S90AeR19zth4XlExFBeExMY/edit?usp=sharing"",""แม่ฮ่องสอน!N417"")+IMPORTRANGE(""https://docs.google.com/spreadsheets/d/1DY4XTNNwjluuxqdfdn6qvOSlMRrZqUtmYcZR0ttFiG4/edit?usp=sharing"",""ลำปาง!N417"")+IMPORTRANGE(""https://docs.goog"&amp;"le.com/spreadsheets/d/1ICwG78r0OFT8biBlxnBF8r7she7gNSzOvJ958PWT09c/edit?usp=sharing"",""ลำพูน!N417"")+IMPORTRANGE(""https://docs.google.com/spreadsheets/d/1B0f2xJpZUC6Z0xXnqKlZtEPzsf6L84eP1r1Q15seqRM/edit?usp=sharing"",""สุโขทัย!N417"")+IMPORTRANGE(""http"&amp;"s://docs.google.com/spreadsheets/d/1v0b9pFQCsKUVExMei7AgY2yQkdeNQvtOssygGsXbiKo/edit?usp=sharing"",""อุตรดิตถ์!N417"")+IMPORTRANGE(""https://docs.google.com/spreadsheets/d/1UsNK1e-WWiCo2PvGqdNfdme4m17_Ezd3J69EeeiQPD0/edit?usp=sharing"",""อุทัยธานี!N417"")"),0)</f>
        <v>0</v>
      </c>
      <c r="O417" s="48">
        <f t="shared" ca="1" si="314"/>
        <v>0</v>
      </c>
      <c r="P417" s="48">
        <f t="shared" ca="1" si="315"/>
        <v>0</v>
      </c>
      <c r="Q417" s="48">
        <f ca="1">IFERROR(__xludf.DUMMYFUNCTION("IMPORTRANGE(""https://docs.google.com/spreadsheets/d/1jTcq05yEiRwXcBMLjiodW9e4biSGYWAHcDj22rKWQ3s/edit?usp=sharing"",""กำแพงเพชร!Q417"")+IMPORTRANGE(""https://docs.google.com/spreadsheets/d/1KS0zmDSZPk8KnTAbGN-Xk6MtX1YRZD0ldgdt20K4CRk/edit?usp=sharing"","&amp;"""เชียงราย!Q417"")+IMPORTRANGE(""https://docs.google.com/spreadsheets/d/1rEDxBtusbi64tE0zunoIbsTVV16HeL0oJ6trHQeQ7K8/edit?usp=sharing"",""เชียงใหม่!Q417"")+IMPORTRANGE(""https://docs.google.com/spreadsheets/d/1W6MnUbDkMi6xHnHko_XkFDO9kkuL6Wqyc-6OCDFjW9I/e"&amp;"dit?usp=sharing"",""ตาก!Q417"")+IMPORTRANGE(""https://docs.google.com/spreadsheets/d/1IQAWArduLkta9LpYo4a_ULsyqdta6-6aDDiwpUnQT6c/edit?usp=sharing"",""นครสวรรค์!Q417"")+IMPORTRANGE(""https://docs.google.com/spreadsheets/d/10s13Sk5xrltsiR-Zkbmk5DwIaDIKO8Xl"&amp;"bJAfqyT7Gvg/edit?usp=sharing"",""น่าน!Q417"")+IMPORTRANGE(""https://docs.google.com/spreadsheets/d/1uu4nAn4Dbi1XREnLKKotUANlKXa7yCgRcgq8HEzQYW8/edit?usp=sharing"",""พะเยา!Q417"")+IMPORTRANGE(""https://docs.google.com/spreadsheets/d/1xfJKIQxVOaPDIICqsflNlL"&amp;"u3JacTDk1FP9RH4phX7mI/edit?usp=sharing"",""พิจิตร!Q417"")+IMPORTRANGE(""https://docs.google.com/spreadsheets/d/1JtRfZkJMHtEhI5RdRHxYUG4FIZHqKDpNyIuN7A1Q0_k/edit?usp=sharing"",""พิษณุโลก!Q417"")+IMPORTRANGE(""https://docs.google.com/spreadsheets/d/1xlcVZWU"&amp;"Nn6SuWm0c307h32SiGkd9BaeQWlAktfD3KO8/edit?usp=sharing"",""เพชรบูรณ์!Q417"")+IMPORTRANGE(""https://docs.google.com/spreadsheets/d/1lOVebEIsI9qjGXl6EX66luk7wiuP2tBaryw-wKvv4e0/edit?usp=sharing"",""แพร่!Q417"")+IMPORTRANGE(""https://docs.google.com/spreadshe"&amp;"ets/d/1dQrvX0vEcN7Gu0fnZ0B5S90AeR19zth4XlExFBeExMY/edit?usp=sharing"",""แม่ฮ่องสอน!Q417"")+IMPORTRANGE(""https://docs.google.com/spreadsheets/d/1DY4XTNNwjluuxqdfdn6qvOSlMRrZqUtmYcZR0ttFiG4/edit?usp=sharing"",""ลำปาง!Q417"")+IMPORTRANGE(""https://docs.goog"&amp;"le.com/spreadsheets/d/1ICwG78r0OFT8biBlxnBF8r7she7gNSzOvJ958PWT09c/edit?usp=sharing"",""ลำพูน!Q417"")+IMPORTRANGE(""https://docs.google.com/spreadsheets/d/1B0f2xJpZUC6Z0xXnqKlZtEPzsf6L84eP1r1Q15seqRM/edit?usp=sharing"",""สุโขทัย!Q417"")+IMPORTRANGE(""http"&amp;"s://docs.google.com/spreadsheets/d/1v0b9pFQCsKUVExMei7AgY2yQkdeNQvtOssygGsXbiKo/edit?usp=sharing"",""อุตรดิตถ์!Q417"")+IMPORTRANGE(""https://docs.google.com/spreadsheets/d/1UsNK1e-WWiCo2PvGqdNfdme4m17_Ezd3J69EeeiQPD0/edit?usp=sharing"",""อุทัยธานี!Q417"")"),0)</f>
        <v>0</v>
      </c>
      <c r="R417" s="48">
        <f ca="1">IFERROR(__xludf.DUMMYFUNCTION("IMPORTRANGE(""https://docs.google.com/spreadsheets/d/1jTcq05yEiRwXcBMLjiodW9e4biSGYWAHcDj22rKWQ3s/edit?usp=sharing"",""กำแพงเพชร!R417"")+IMPORTRANGE(""https://docs.google.com/spreadsheets/d/1KS0zmDSZPk8KnTAbGN-Xk6MtX1YRZD0ldgdt20K4CRk/edit?usp=sharing"","&amp;"""เชียงราย!R417"")+IMPORTRANGE(""https://docs.google.com/spreadsheets/d/1rEDxBtusbi64tE0zunoIbsTVV16HeL0oJ6trHQeQ7K8/edit?usp=sharing"",""เชียงใหม่!R417"")+IMPORTRANGE(""https://docs.google.com/spreadsheets/d/1W6MnUbDkMi6xHnHko_XkFDO9kkuL6Wqyc-6OCDFjW9I/e"&amp;"dit?usp=sharing"",""ตาก!R417"")+IMPORTRANGE(""https://docs.google.com/spreadsheets/d/1IQAWArduLkta9LpYo4a_ULsyqdta6-6aDDiwpUnQT6c/edit?usp=sharing"",""นครสวรรค์!R417"")+IMPORTRANGE(""https://docs.google.com/spreadsheets/d/10s13Sk5xrltsiR-Zkbmk5DwIaDIKO8Xl"&amp;"bJAfqyT7Gvg/edit?usp=sharing"",""น่าน!R417"")+IMPORTRANGE(""https://docs.google.com/spreadsheets/d/1uu4nAn4Dbi1XREnLKKotUANlKXa7yCgRcgq8HEzQYW8/edit?usp=sharing"",""พะเยา!R417"")+IMPORTRANGE(""https://docs.google.com/spreadsheets/d/1xfJKIQxVOaPDIICqsflNlL"&amp;"u3JacTDk1FP9RH4phX7mI/edit?usp=sharing"",""พิจิตร!R417"")+IMPORTRANGE(""https://docs.google.com/spreadsheets/d/1JtRfZkJMHtEhI5RdRHxYUG4FIZHqKDpNyIuN7A1Q0_k/edit?usp=sharing"",""พิษณุโลก!R417"")+IMPORTRANGE(""https://docs.google.com/spreadsheets/d/1xlcVZWU"&amp;"Nn6SuWm0c307h32SiGkd9BaeQWlAktfD3KO8/edit?usp=sharing"",""เพชรบูรณ์!R417"")+IMPORTRANGE(""https://docs.google.com/spreadsheets/d/1lOVebEIsI9qjGXl6EX66luk7wiuP2tBaryw-wKvv4e0/edit?usp=sharing"",""แพร่!R417"")+IMPORTRANGE(""https://docs.google.com/spreadshe"&amp;"ets/d/1dQrvX0vEcN7Gu0fnZ0B5S90AeR19zth4XlExFBeExMY/edit?usp=sharing"",""แม่ฮ่องสอน!R417"")+IMPORTRANGE(""https://docs.google.com/spreadsheets/d/1DY4XTNNwjluuxqdfdn6qvOSlMRrZqUtmYcZR0ttFiG4/edit?usp=sharing"",""ลำปาง!R417"")+IMPORTRANGE(""https://docs.goog"&amp;"le.com/spreadsheets/d/1ICwG78r0OFT8biBlxnBF8r7she7gNSzOvJ958PWT09c/edit?usp=sharing"",""ลำพูน!R417"")+IMPORTRANGE(""https://docs.google.com/spreadsheets/d/1B0f2xJpZUC6Z0xXnqKlZtEPzsf6L84eP1r1Q15seqRM/edit?usp=sharing"",""สุโขทัย!R417"")+IMPORTRANGE(""http"&amp;"s://docs.google.com/spreadsheets/d/1v0b9pFQCsKUVExMei7AgY2yQkdeNQvtOssygGsXbiKo/edit?usp=sharing"",""อุตรดิตถ์!R417"")+IMPORTRANGE(""https://docs.google.com/spreadsheets/d/1UsNK1e-WWiCo2PvGqdNfdme4m17_Ezd3J69EeeiQPD0/edit?usp=sharing"",""อุทัยธานี!R417"")"),0)</f>
        <v>0</v>
      </c>
      <c r="S417" s="48">
        <f ca="1">IFERROR(__xludf.DUMMYFUNCTION("IMPORTRANGE(""https://docs.google.com/spreadsheets/d/1jTcq05yEiRwXcBMLjiodW9e4biSGYWAHcDj22rKWQ3s/edit?usp=sharing"",""กำแพงเพชร!S417"")+IMPORTRANGE(""https://docs.google.com/spreadsheets/d/1KS0zmDSZPk8KnTAbGN-Xk6MtX1YRZD0ldgdt20K4CRk/edit?usp=sharing"","&amp;"""เชียงราย!S417"")+IMPORTRANGE(""https://docs.google.com/spreadsheets/d/1rEDxBtusbi64tE0zunoIbsTVV16HeL0oJ6trHQeQ7K8/edit?usp=sharing"",""เชียงใหม่!S417"")+IMPORTRANGE(""https://docs.google.com/spreadsheets/d/1W6MnUbDkMi6xHnHko_XkFDO9kkuL6Wqyc-6OCDFjW9I/e"&amp;"dit?usp=sharing"",""ตาก!S417"")+IMPORTRANGE(""https://docs.google.com/spreadsheets/d/1IQAWArduLkta9LpYo4a_ULsyqdta6-6aDDiwpUnQT6c/edit?usp=sharing"",""นครสวรรค์!S417"")+IMPORTRANGE(""https://docs.google.com/spreadsheets/d/10s13Sk5xrltsiR-Zkbmk5DwIaDIKO8Xl"&amp;"bJAfqyT7Gvg/edit?usp=sharing"",""น่าน!S417"")+IMPORTRANGE(""https://docs.google.com/spreadsheets/d/1uu4nAn4Dbi1XREnLKKotUANlKXa7yCgRcgq8HEzQYW8/edit?usp=sharing"",""พะเยา!S417"")+IMPORTRANGE(""https://docs.google.com/spreadsheets/d/1xfJKIQxVOaPDIICqsflNlL"&amp;"u3JacTDk1FP9RH4phX7mI/edit?usp=sharing"",""พิจิตร!S417"")+IMPORTRANGE(""https://docs.google.com/spreadsheets/d/1JtRfZkJMHtEhI5RdRHxYUG4FIZHqKDpNyIuN7A1Q0_k/edit?usp=sharing"",""พิษณุโลก!S417"")+IMPORTRANGE(""https://docs.google.com/spreadsheets/d/1xlcVZWU"&amp;"Nn6SuWm0c307h32SiGkd9BaeQWlAktfD3KO8/edit?usp=sharing"",""เพชรบูรณ์!S417"")+IMPORTRANGE(""https://docs.google.com/spreadsheets/d/1lOVebEIsI9qjGXl6EX66luk7wiuP2tBaryw-wKvv4e0/edit?usp=sharing"",""แพร่!S417"")+IMPORTRANGE(""https://docs.google.com/spreadshe"&amp;"ets/d/1dQrvX0vEcN7Gu0fnZ0B5S90AeR19zth4XlExFBeExMY/edit?usp=sharing"",""แม่ฮ่องสอน!S417"")+IMPORTRANGE(""https://docs.google.com/spreadsheets/d/1DY4XTNNwjluuxqdfdn6qvOSlMRrZqUtmYcZR0ttFiG4/edit?usp=sharing"",""ลำปาง!S417"")+IMPORTRANGE(""https://docs.goog"&amp;"le.com/spreadsheets/d/1ICwG78r0OFT8biBlxnBF8r7she7gNSzOvJ958PWT09c/edit?usp=sharing"",""ลำพูน!S417"")+IMPORTRANGE(""https://docs.google.com/spreadsheets/d/1B0f2xJpZUC6Z0xXnqKlZtEPzsf6L84eP1r1Q15seqRM/edit?usp=sharing"",""สุโขทัย!S417"")+IMPORTRANGE(""http"&amp;"s://docs.google.com/spreadsheets/d/1v0b9pFQCsKUVExMei7AgY2yQkdeNQvtOssygGsXbiKo/edit?usp=sharing"",""อุตรดิตถ์!S417"")+IMPORTRANGE(""https://docs.google.com/spreadsheets/d/1UsNK1e-WWiCo2PvGqdNfdme4m17_Ezd3J69EeeiQPD0/edit?usp=sharing"",""อุทัยธานี!S417"")"),0)</f>
        <v>0</v>
      </c>
      <c r="T417" s="48">
        <f t="shared" ca="1" si="317"/>
        <v>0</v>
      </c>
      <c r="U417" s="48">
        <f t="shared" ca="1" si="318"/>
        <v>0</v>
      </c>
    </row>
    <row r="418" spans="1:21" ht="18.75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46">
        <f ca="1">IFERROR(__xludf.DUMMYFUNCTION("IMPORTRANGE(""https://docs.google.com/spreadsheets/d/1jTcq05yEiRwXcBMLjiodW9e4biSGYWAHcDj22rKWQ3s/edit?usp=sharing"",""กำแพงเพชร!L418"")+IMPORTRANGE(""https://docs.google.com/spreadsheets/d/1KS0zmDSZPk8KnTAbGN-Xk6MtX1YRZD0ldgdt20K4CRk/edit?usp=sharing"","&amp;"""เชียงราย!L418"")+IMPORTRANGE(""https://docs.google.com/spreadsheets/d/1rEDxBtusbi64tE0zunoIbsTVV16HeL0oJ6trHQeQ7K8/edit?usp=sharing"",""เชียงใหม่!L418"")+IMPORTRANGE(""https://docs.google.com/spreadsheets/d/1W6MnUbDkMi6xHnHko_XkFDO9kkuL6Wqyc-6OCDFjW9I/e"&amp;"dit?usp=sharing"",""ตาก!L418"")+IMPORTRANGE(""https://docs.google.com/spreadsheets/d/1IQAWArduLkta9LpYo4a_ULsyqdta6-6aDDiwpUnQT6c/edit?usp=sharing"",""นครสวรรค์!L418"")+IMPORTRANGE(""https://docs.google.com/spreadsheets/d/10s13Sk5xrltsiR-Zkbmk5DwIaDIKO8Xl"&amp;"bJAfqyT7Gvg/edit?usp=sharing"",""น่าน!L418"")+IMPORTRANGE(""https://docs.google.com/spreadsheets/d/1uu4nAn4Dbi1XREnLKKotUANlKXa7yCgRcgq8HEzQYW8/edit?usp=sharing"",""พะเยา!L418"")+IMPORTRANGE(""https://docs.google.com/spreadsheets/d/1xfJKIQxVOaPDIICqsflNlL"&amp;"u3JacTDk1FP9RH4phX7mI/edit?usp=sharing"",""พิจิตร!L418"")+IMPORTRANGE(""https://docs.google.com/spreadsheets/d/1JtRfZkJMHtEhI5RdRHxYUG4FIZHqKDpNyIuN7A1Q0_k/edit?usp=sharing"",""พิษณุโลก!L418"")+IMPORTRANGE(""https://docs.google.com/spreadsheets/d/1xlcVZWU"&amp;"Nn6SuWm0c307h32SiGkd9BaeQWlAktfD3KO8/edit?usp=sharing"",""เพชรบูรณ์!L418"")+IMPORTRANGE(""https://docs.google.com/spreadsheets/d/1lOVebEIsI9qjGXl6EX66luk7wiuP2tBaryw-wKvv4e0/edit?usp=sharing"",""แพร่!L418"")+IMPORTRANGE(""https://docs.google.com/spreadshe"&amp;"ets/d/1dQrvX0vEcN7Gu0fnZ0B5S90AeR19zth4XlExFBeExMY/edit?usp=sharing"",""แม่ฮ่องสอน!L418"")+IMPORTRANGE(""https://docs.google.com/spreadsheets/d/1DY4XTNNwjluuxqdfdn6qvOSlMRrZqUtmYcZR0ttFiG4/edit?usp=sharing"",""ลำปาง!L418"")+IMPORTRANGE(""https://docs.goog"&amp;"le.com/spreadsheets/d/1ICwG78r0OFT8biBlxnBF8r7she7gNSzOvJ958PWT09c/edit?usp=sharing"",""ลำพูน!L418"")+IMPORTRANGE(""https://docs.google.com/spreadsheets/d/1B0f2xJpZUC6Z0xXnqKlZtEPzsf6L84eP1r1Q15seqRM/edit?usp=sharing"",""สุโขทัย!L418"")+IMPORTRANGE(""http"&amp;"s://docs.google.com/spreadsheets/d/1v0b9pFQCsKUVExMei7AgY2yQkdeNQvtOssygGsXbiKo/edit?usp=sharing"",""อุตรดิตถ์!L418"")+IMPORTRANGE(""https://docs.google.com/spreadsheets/d/1UsNK1e-WWiCo2PvGqdNfdme4m17_Ezd3J69EeeiQPD0/edit?usp=sharing"",""อุทัยธานี!L418"")"),0)</f>
        <v>0</v>
      </c>
      <c r="M418" s="46">
        <f ca="1">IFERROR(__xludf.DUMMYFUNCTION("IMPORTRANGE(""https://docs.google.com/spreadsheets/d/1jTcq05yEiRwXcBMLjiodW9e4biSGYWAHcDj22rKWQ3s/edit?usp=sharing"",""กำแพงเพชร!M418"")+IMPORTRANGE(""https://docs.google.com/spreadsheets/d/1KS0zmDSZPk8KnTAbGN-Xk6MtX1YRZD0ldgdt20K4CRk/edit?usp=sharing"","&amp;"""เชียงราย!M418"")+IMPORTRANGE(""https://docs.google.com/spreadsheets/d/1rEDxBtusbi64tE0zunoIbsTVV16HeL0oJ6trHQeQ7K8/edit?usp=sharing"",""เชียงใหม่!M418"")+IMPORTRANGE(""https://docs.google.com/spreadsheets/d/1W6MnUbDkMi6xHnHko_XkFDO9kkuL6Wqyc-6OCDFjW9I/e"&amp;"dit?usp=sharing"",""ตาก!M418"")+IMPORTRANGE(""https://docs.google.com/spreadsheets/d/1IQAWArduLkta9LpYo4a_ULsyqdta6-6aDDiwpUnQT6c/edit?usp=sharing"",""นครสวรรค์!M418"")+IMPORTRANGE(""https://docs.google.com/spreadsheets/d/10s13Sk5xrltsiR-Zkbmk5DwIaDIKO8Xl"&amp;"bJAfqyT7Gvg/edit?usp=sharing"",""น่าน!M418"")+IMPORTRANGE(""https://docs.google.com/spreadsheets/d/1uu4nAn4Dbi1XREnLKKotUANlKXa7yCgRcgq8HEzQYW8/edit?usp=sharing"",""พะเยา!M418"")+IMPORTRANGE(""https://docs.google.com/spreadsheets/d/1xfJKIQxVOaPDIICqsflNlL"&amp;"u3JacTDk1FP9RH4phX7mI/edit?usp=sharing"",""พิจิตร!M418"")+IMPORTRANGE(""https://docs.google.com/spreadsheets/d/1JtRfZkJMHtEhI5RdRHxYUG4FIZHqKDpNyIuN7A1Q0_k/edit?usp=sharing"",""พิษณุโลก!M418"")+IMPORTRANGE(""https://docs.google.com/spreadsheets/d/1xlcVZWU"&amp;"Nn6SuWm0c307h32SiGkd9BaeQWlAktfD3KO8/edit?usp=sharing"",""เพชรบูรณ์!M418"")+IMPORTRANGE(""https://docs.google.com/spreadsheets/d/1lOVebEIsI9qjGXl6EX66luk7wiuP2tBaryw-wKvv4e0/edit?usp=sharing"",""แพร่!M418"")+IMPORTRANGE(""https://docs.google.com/spreadshe"&amp;"ets/d/1dQrvX0vEcN7Gu0fnZ0B5S90AeR19zth4XlExFBeExMY/edit?usp=sharing"",""แม่ฮ่องสอน!M418"")+IMPORTRANGE(""https://docs.google.com/spreadsheets/d/1DY4XTNNwjluuxqdfdn6qvOSlMRrZqUtmYcZR0ttFiG4/edit?usp=sharing"",""ลำปาง!M418"")+IMPORTRANGE(""https://docs.goog"&amp;"le.com/spreadsheets/d/1ICwG78r0OFT8biBlxnBF8r7she7gNSzOvJ958PWT09c/edit?usp=sharing"",""ลำพูน!M418"")+IMPORTRANGE(""https://docs.google.com/spreadsheets/d/1B0f2xJpZUC6Z0xXnqKlZtEPzsf6L84eP1r1Q15seqRM/edit?usp=sharing"",""สุโขทัย!M418"")+IMPORTRANGE(""http"&amp;"s://docs.google.com/spreadsheets/d/1v0b9pFQCsKUVExMei7AgY2yQkdeNQvtOssygGsXbiKo/edit?usp=sharing"",""อุตรดิตถ์!M418"")+IMPORTRANGE(""https://docs.google.com/spreadsheets/d/1UsNK1e-WWiCo2PvGqdNfdme4m17_Ezd3J69EeeiQPD0/edit?usp=sharing"",""อุทัยธานี!M418"")"),0)</f>
        <v>0</v>
      </c>
      <c r="N418" s="46">
        <f ca="1">IFERROR(__xludf.DUMMYFUNCTION("IMPORTRANGE(""https://docs.google.com/spreadsheets/d/1jTcq05yEiRwXcBMLjiodW9e4biSGYWAHcDj22rKWQ3s/edit?usp=sharing"",""กำแพงเพชร!N418"")+IMPORTRANGE(""https://docs.google.com/spreadsheets/d/1KS0zmDSZPk8KnTAbGN-Xk6MtX1YRZD0ldgdt20K4CRk/edit?usp=sharing"","&amp;"""เชียงราย!N418"")+IMPORTRANGE(""https://docs.google.com/spreadsheets/d/1rEDxBtusbi64tE0zunoIbsTVV16HeL0oJ6trHQeQ7K8/edit?usp=sharing"",""เชียงใหม่!N418"")+IMPORTRANGE(""https://docs.google.com/spreadsheets/d/1W6MnUbDkMi6xHnHko_XkFDO9kkuL6Wqyc-6OCDFjW9I/e"&amp;"dit?usp=sharing"",""ตาก!N418"")+IMPORTRANGE(""https://docs.google.com/spreadsheets/d/1IQAWArduLkta9LpYo4a_ULsyqdta6-6aDDiwpUnQT6c/edit?usp=sharing"",""นครสวรรค์!N418"")+IMPORTRANGE(""https://docs.google.com/spreadsheets/d/10s13Sk5xrltsiR-Zkbmk5DwIaDIKO8Xl"&amp;"bJAfqyT7Gvg/edit?usp=sharing"",""น่าน!N418"")+IMPORTRANGE(""https://docs.google.com/spreadsheets/d/1uu4nAn4Dbi1XREnLKKotUANlKXa7yCgRcgq8HEzQYW8/edit?usp=sharing"",""พะเยา!N418"")+IMPORTRANGE(""https://docs.google.com/spreadsheets/d/1xfJKIQxVOaPDIICqsflNlL"&amp;"u3JacTDk1FP9RH4phX7mI/edit?usp=sharing"",""พิจิตร!N418"")+IMPORTRANGE(""https://docs.google.com/spreadsheets/d/1JtRfZkJMHtEhI5RdRHxYUG4FIZHqKDpNyIuN7A1Q0_k/edit?usp=sharing"",""พิษณุโลก!N418"")+IMPORTRANGE(""https://docs.google.com/spreadsheets/d/1xlcVZWU"&amp;"Nn6SuWm0c307h32SiGkd9BaeQWlAktfD3KO8/edit?usp=sharing"",""เพชรบูรณ์!N418"")+IMPORTRANGE(""https://docs.google.com/spreadsheets/d/1lOVebEIsI9qjGXl6EX66luk7wiuP2tBaryw-wKvv4e0/edit?usp=sharing"",""แพร่!N418"")+IMPORTRANGE(""https://docs.google.com/spreadshe"&amp;"ets/d/1dQrvX0vEcN7Gu0fnZ0B5S90AeR19zth4XlExFBeExMY/edit?usp=sharing"",""แม่ฮ่องสอน!N418"")+IMPORTRANGE(""https://docs.google.com/spreadsheets/d/1DY4XTNNwjluuxqdfdn6qvOSlMRrZqUtmYcZR0ttFiG4/edit?usp=sharing"",""ลำปาง!N418"")+IMPORTRANGE(""https://docs.goog"&amp;"le.com/spreadsheets/d/1ICwG78r0OFT8biBlxnBF8r7she7gNSzOvJ958PWT09c/edit?usp=sharing"",""ลำพูน!N418"")+IMPORTRANGE(""https://docs.google.com/spreadsheets/d/1B0f2xJpZUC6Z0xXnqKlZtEPzsf6L84eP1r1Q15seqRM/edit?usp=sharing"",""สุโขทัย!N418"")+IMPORTRANGE(""http"&amp;"s://docs.google.com/spreadsheets/d/1v0b9pFQCsKUVExMei7AgY2yQkdeNQvtOssygGsXbiKo/edit?usp=sharing"",""อุตรดิตถ์!N418"")+IMPORTRANGE(""https://docs.google.com/spreadsheets/d/1UsNK1e-WWiCo2PvGqdNfdme4m17_Ezd3J69EeeiQPD0/edit?usp=sharing"",""อุทัยธานี!N418"")"),0)</f>
        <v>0</v>
      </c>
      <c r="O418" s="46">
        <f t="shared" ca="1" si="314"/>
        <v>0</v>
      </c>
      <c r="P418" s="46">
        <f t="shared" ca="1" si="315"/>
        <v>0</v>
      </c>
      <c r="Q418" s="46">
        <f ca="1">IFERROR(__xludf.DUMMYFUNCTION("IMPORTRANGE(""https://docs.google.com/spreadsheets/d/1jTcq05yEiRwXcBMLjiodW9e4biSGYWAHcDj22rKWQ3s/edit?usp=sharing"",""กำแพงเพชร!Q418"")+IMPORTRANGE(""https://docs.google.com/spreadsheets/d/1KS0zmDSZPk8KnTAbGN-Xk6MtX1YRZD0ldgdt20K4CRk/edit?usp=sharing"","&amp;"""เชียงราย!Q418"")+IMPORTRANGE(""https://docs.google.com/spreadsheets/d/1rEDxBtusbi64tE0zunoIbsTVV16HeL0oJ6trHQeQ7K8/edit?usp=sharing"",""เชียงใหม่!Q418"")+IMPORTRANGE(""https://docs.google.com/spreadsheets/d/1W6MnUbDkMi6xHnHko_XkFDO9kkuL6Wqyc-6OCDFjW9I/e"&amp;"dit?usp=sharing"",""ตาก!Q418"")+IMPORTRANGE(""https://docs.google.com/spreadsheets/d/1IQAWArduLkta9LpYo4a_ULsyqdta6-6aDDiwpUnQT6c/edit?usp=sharing"",""นครสวรรค์!Q418"")+IMPORTRANGE(""https://docs.google.com/spreadsheets/d/10s13Sk5xrltsiR-Zkbmk5DwIaDIKO8Xl"&amp;"bJAfqyT7Gvg/edit?usp=sharing"",""น่าน!Q418"")+IMPORTRANGE(""https://docs.google.com/spreadsheets/d/1uu4nAn4Dbi1XREnLKKotUANlKXa7yCgRcgq8HEzQYW8/edit?usp=sharing"",""พะเยา!Q418"")+IMPORTRANGE(""https://docs.google.com/spreadsheets/d/1xfJKIQxVOaPDIICqsflNlL"&amp;"u3JacTDk1FP9RH4phX7mI/edit?usp=sharing"",""พิจิตร!Q418"")+IMPORTRANGE(""https://docs.google.com/spreadsheets/d/1JtRfZkJMHtEhI5RdRHxYUG4FIZHqKDpNyIuN7A1Q0_k/edit?usp=sharing"",""พิษณุโลก!Q418"")+IMPORTRANGE(""https://docs.google.com/spreadsheets/d/1xlcVZWU"&amp;"Nn6SuWm0c307h32SiGkd9BaeQWlAktfD3KO8/edit?usp=sharing"",""เพชรบูรณ์!Q418"")+IMPORTRANGE(""https://docs.google.com/spreadsheets/d/1lOVebEIsI9qjGXl6EX66luk7wiuP2tBaryw-wKvv4e0/edit?usp=sharing"",""แพร่!Q418"")+IMPORTRANGE(""https://docs.google.com/spreadshe"&amp;"ets/d/1dQrvX0vEcN7Gu0fnZ0B5S90AeR19zth4XlExFBeExMY/edit?usp=sharing"",""แม่ฮ่องสอน!Q418"")+IMPORTRANGE(""https://docs.google.com/spreadsheets/d/1DY4XTNNwjluuxqdfdn6qvOSlMRrZqUtmYcZR0ttFiG4/edit?usp=sharing"",""ลำปาง!Q418"")+IMPORTRANGE(""https://docs.goog"&amp;"le.com/spreadsheets/d/1ICwG78r0OFT8biBlxnBF8r7she7gNSzOvJ958PWT09c/edit?usp=sharing"",""ลำพูน!Q418"")+IMPORTRANGE(""https://docs.google.com/spreadsheets/d/1B0f2xJpZUC6Z0xXnqKlZtEPzsf6L84eP1r1Q15seqRM/edit?usp=sharing"",""สุโขทัย!Q418"")+IMPORTRANGE(""http"&amp;"s://docs.google.com/spreadsheets/d/1v0b9pFQCsKUVExMei7AgY2yQkdeNQvtOssygGsXbiKo/edit?usp=sharing"",""อุตรดิตถ์!Q418"")+IMPORTRANGE(""https://docs.google.com/spreadsheets/d/1UsNK1e-WWiCo2PvGqdNfdme4m17_Ezd3J69EeeiQPD0/edit?usp=sharing"",""อุทัยธานี!Q418"")"),0)</f>
        <v>0</v>
      </c>
      <c r="R418" s="46">
        <f ca="1">IFERROR(__xludf.DUMMYFUNCTION("IMPORTRANGE(""https://docs.google.com/spreadsheets/d/1jTcq05yEiRwXcBMLjiodW9e4biSGYWAHcDj22rKWQ3s/edit?usp=sharing"",""กำแพงเพชร!R418"")+IMPORTRANGE(""https://docs.google.com/spreadsheets/d/1KS0zmDSZPk8KnTAbGN-Xk6MtX1YRZD0ldgdt20K4CRk/edit?usp=sharing"","&amp;"""เชียงราย!R418"")+IMPORTRANGE(""https://docs.google.com/spreadsheets/d/1rEDxBtusbi64tE0zunoIbsTVV16HeL0oJ6trHQeQ7K8/edit?usp=sharing"",""เชียงใหม่!R418"")+IMPORTRANGE(""https://docs.google.com/spreadsheets/d/1W6MnUbDkMi6xHnHko_XkFDO9kkuL6Wqyc-6OCDFjW9I/e"&amp;"dit?usp=sharing"",""ตาก!R418"")+IMPORTRANGE(""https://docs.google.com/spreadsheets/d/1IQAWArduLkta9LpYo4a_ULsyqdta6-6aDDiwpUnQT6c/edit?usp=sharing"",""นครสวรรค์!R418"")+IMPORTRANGE(""https://docs.google.com/spreadsheets/d/10s13Sk5xrltsiR-Zkbmk5DwIaDIKO8Xl"&amp;"bJAfqyT7Gvg/edit?usp=sharing"",""น่าน!R418"")+IMPORTRANGE(""https://docs.google.com/spreadsheets/d/1uu4nAn4Dbi1XREnLKKotUANlKXa7yCgRcgq8HEzQYW8/edit?usp=sharing"",""พะเยา!R418"")+IMPORTRANGE(""https://docs.google.com/spreadsheets/d/1xfJKIQxVOaPDIICqsflNlL"&amp;"u3JacTDk1FP9RH4phX7mI/edit?usp=sharing"",""พิจิตร!R418"")+IMPORTRANGE(""https://docs.google.com/spreadsheets/d/1JtRfZkJMHtEhI5RdRHxYUG4FIZHqKDpNyIuN7A1Q0_k/edit?usp=sharing"",""พิษณุโลก!R418"")+IMPORTRANGE(""https://docs.google.com/spreadsheets/d/1xlcVZWU"&amp;"Nn6SuWm0c307h32SiGkd9BaeQWlAktfD3KO8/edit?usp=sharing"",""เพชรบูรณ์!R418"")+IMPORTRANGE(""https://docs.google.com/spreadsheets/d/1lOVebEIsI9qjGXl6EX66luk7wiuP2tBaryw-wKvv4e0/edit?usp=sharing"",""แพร่!R418"")+IMPORTRANGE(""https://docs.google.com/spreadshe"&amp;"ets/d/1dQrvX0vEcN7Gu0fnZ0B5S90AeR19zth4XlExFBeExMY/edit?usp=sharing"",""แม่ฮ่องสอน!R418"")+IMPORTRANGE(""https://docs.google.com/spreadsheets/d/1DY4XTNNwjluuxqdfdn6qvOSlMRrZqUtmYcZR0ttFiG4/edit?usp=sharing"",""ลำปาง!R418"")+IMPORTRANGE(""https://docs.goog"&amp;"le.com/spreadsheets/d/1ICwG78r0OFT8biBlxnBF8r7she7gNSzOvJ958PWT09c/edit?usp=sharing"",""ลำพูน!R418"")+IMPORTRANGE(""https://docs.google.com/spreadsheets/d/1B0f2xJpZUC6Z0xXnqKlZtEPzsf6L84eP1r1Q15seqRM/edit?usp=sharing"",""สุโขทัย!R418"")+IMPORTRANGE(""http"&amp;"s://docs.google.com/spreadsheets/d/1v0b9pFQCsKUVExMei7AgY2yQkdeNQvtOssygGsXbiKo/edit?usp=sharing"",""อุตรดิตถ์!R418"")+IMPORTRANGE(""https://docs.google.com/spreadsheets/d/1UsNK1e-WWiCo2PvGqdNfdme4m17_Ezd3J69EeeiQPD0/edit?usp=sharing"",""อุทัยธานี!R418"")"),0)</f>
        <v>0</v>
      </c>
      <c r="S418" s="46">
        <f ca="1">IFERROR(__xludf.DUMMYFUNCTION("IMPORTRANGE(""https://docs.google.com/spreadsheets/d/1jTcq05yEiRwXcBMLjiodW9e4biSGYWAHcDj22rKWQ3s/edit?usp=sharing"",""กำแพงเพชร!S418"")+IMPORTRANGE(""https://docs.google.com/spreadsheets/d/1KS0zmDSZPk8KnTAbGN-Xk6MtX1YRZD0ldgdt20K4CRk/edit?usp=sharing"","&amp;"""เชียงราย!S418"")+IMPORTRANGE(""https://docs.google.com/spreadsheets/d/1rEDxBtusbi64tE0zunoIbsTVV16HeL0oJ6trHQeQ7K8/edit?usp=sharing"",""เชียงใหม่!S418"")+IMPORTRANGE(""https://docs.google.com/spreadsheets/d/1W6MnUbDkMi6xHnHko_XkFDO9kkuL6Wqyc-6OCDFjW9I/e"&amp;"dit?usp=sharing"",""ตาก!S418"")+IMPORTRANGE(""https://docs.google.com/spreadsheets/d/1IQAWArduLkta9LpYo4a_ULsyqdta6-6aDDiwpUnQT6c/edit?usp=sharing"",""นครสวรรค์!S418"")+IMPORTRANGE(""https://docs.google.com/spreadsheets/d/10s13Sk5xrltsiR-Zkbmk5DwIaDIKO8Xl"&amp;"bJAfqyT7Gvg/edit?usp=sharing"",""น่าน!S418"")+IMPORTRANGE(""https://docs.google.com/spreadsheets/d/1uu4nAn4Dbi1XREnLKKotUANlKXa7yCgRcgq8HEzQYW8/edit?usp=sharing"",""พะเยา!S418"")+IMPORTRANGE(""https://docs.google.com/spreadsheets/d/1xfJKIQxVOaPDIICqsflNlL"&amp;"u3JacTDk1FP9RH4phX7mI/edit?usp=sharing"",""พิจิตร!S418"")+IMPORTRANGE(""https://docs.google.com/spreadsheets/d/1JtRfZkJMHtEhI5RdRHxYUG4FIZHqKDpNyIuN7A1Q0_k/edit?usp=sharing"",""พิษณุโลก!S418"")+IMPORTRANGE(""https://docs.google.com/spreadsheets/d/1xlcVZWU"&amp;"Nn6SuWm0c307h32SiGkd9BaeQWlAktfD3KO8/edit?usp=sharing"",""เพชรบูรณ์!S418"")+IMPORTRANGE(""https://docs.google.com/spreadsheets/d/1lOVebEIsI9qjGXl6EX66luk7wiuP2tBaryw-wKvv4e0/edit?usp=sharing"",""แพร่!S418"")+IMPORTRANGE(""https://docs.google.com/spreadshe"&amp;"ets/d/1dQrvX0vEcN7Gu0fnZ0B5S90AeR19zth4XlExFBeExMY/edit?usp=sharing"",""แม่ฮ่องสอน!S418"")+IMPORTRANGE(""https://docs.google.com/spreadsheets/d/1DY4XTNNwjluuxqdfdn6qvOSlMRrZqUtmYcZR0ttFiG4/edit?usp=sharing"",""ลำปาง!S418"")+IMPORTRANGE(""https://docs.goog"&amp;"le.com/spreadsheets/d/1ICwG78r0OFT8biBlxnBF8r7she7gNSzOvJ958PWT09c/edit?usp=sharing"",""ลำพูน!S418"")+IMPORTRANGE(""https://docs.google.com/spreadsheets/d/1B0f2xJpZUC6Z0xXnqKlZtEPzsf6L84eP1r1Q15seqRM/edit?usp=sharing"",""สุโขทัย!S418"")+IMPORTRANGE(""http"&amp;"s://docs.google.com/spreadsheets/d/1v0b9pFQCsKUVExMei7AgY2yQkdeNQvtOssygGsXbiKo/edit?usp=sharing"",""อุตรดิตถ์!S418"")+IMPORTRANGE(""https://docs.google.com/spreadsheets/d/1UsNK1e-WWiCo2PvGqdNfdme4m17_Ezd3J69EeeiQPD0/edit?usp=sharing"",""อุทัยธานี!S418"")"),0)</f>
        <v>0</v>
      </c>
      <c r="T418" s="46">
        <f t="shared" ca="1" si="317"/>
        <v>0</v>
      </c>
      <c r="U418" s="46">
        <f t="shared" ca="1" si="318"/>
        <v>0</v>
      </c>
    </row>
    <row r="419" spans="1:21" ht="19.5" x14ac:dyDescent="0.3">
      <c r="A419" s="128"/>
      <c r="B419" s="158"/>
      <c r="C419" s="158"/>
      <c r="D419" s="312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46">
        <f t="shared" ref="L419:N419" ca="1" si="325">L420+L421</f>
        <v>0</v>
      </c>
      <c r="M419" s="46">
        <f t="shared" ca="1" si="325"/>
        <v>0</v>
      </c>
      <c r="N419" s="46">
        <f t="shared" ca="1" si="325"/>
        <v>0</v>
      </c>
      <c r="O419" s="46">
        <f t="shared" ca="1" si="314"/>
        <v>0</v>
      </c>
      <c r="P419" s="46">
        <f t="shared" ca="1" si="315"/>
        <v>0</v>
      </c>
      <c r="Q419" s="46">
        <f t="shared" ref="Q419:S419" ca="1" si="326">Q420+Q421</f>
        <v>0</v>
      </c>
      <c r="R419" s="46">
        <f t="shared" ca="1" si="326"/>
        <v>0</v>
      </c>
      <c r="S419" s="46">
        <f t="shared" ca="1" si="326"/>
        <v>0</v>
      </c>
      <c r="T419" s="46">
        <f t="shared" ca="1" si="317"/>
        <v>0</v>
      </c>
      <c r="U419" s="46">
        <f t="shared" ca="1" si="318"/>
        <v>0</v>
      </c>
    </row>
    <row r="420" spans="1:21" ht="18.75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48">
        <f ca="1">IFERROR(__xludf.DUMMYFUNCTION("IMPORTRANGE(""https://docs.google.com/spreadsheets/d/1jTcq05yEiRwXcBMLjiodW9e4biSGYWAHcDj22rKWQ3s/edit?usp=sharing"",""กำแพงเพชร!L420"")+IMPORTRANGE(""https://docs.google.com/spreadsheets/d/1KS0zmDSZPk8KnTAbGN-Xk6MtX1YRZD0ldgdt20K4CRk/edit?usp=sharing"","&amp;"""เชียงราย!L420"")+IMPORTRANGE(""https://docs.google.com/spreadsheets/d/1rEDxBtusbi64tE0zunoIbsTVV16HeL0oJ6trHQeQ7K8/edit?usp=sharing"",""เชียงใหม่!L420"")+IMPORTRANGE(""https://docs.google.com/spreadsheets/d/1W6MnUbDkMi6xHnHko_XkFDO9kkuL6Wqyc-6OCDFjW9I/e"&amp;"dit?usp=sharing"",""ตาก!L420"")+IMPORTRANGE(""https://docs.google.com/spreadsheets/d/1IQAWArduLkta9LpYo4a_ULsyqdta6-6aDDiwpUnQT6c/edit?usp=sharing"",""นครสวรรค์!L420"")+IMPORTRANGE(""https://docs.google.com/spreadsheets/d/10s13Sk5xrltsiR-Zkbmk5DwIaDIKO8Xl"&amp;"bJAfqyT7Gvg/edit?usp=sharing"",""น่าน!L420"")+IMPORTRANGE(""https://docs.google.com/spreadsheets/d/1uu4nAn4Dbi1XREnLKKotUANlKXa7yCgRcgq8HEzQYW8/edit?usp=sharing"",""พะเยา!L420"")+IMPORTRANGE(""https://docs.google.com/spreadsheets/d/1xfJKIQxVOaPDIICqsflNlL"&amp;"u3JacTDk1FP9RH4phX7mI/edit?usp=sharing"",""พิจิตร!L420"")+IMPORTRANGE(""https://docs.google.com/spreadsheets/d/1JtRfZkJMHtEhI5RdRHxYUG4FIZHqKDpNyIuN7A1Q0_k/edit?usp=sharing"",""พิษณุโลก!L420"")+IMPORTRANGE(""https://docs.google.com/spreadsheets/d/1xlcVZWU"&amp;"Nn6SuWm0c307h32SiGkd9BaeQWlAktfD3KO8/edit?usp=sharing"",""เพชรบูรณ์!L420"")+IMPORTRANGE(""https://docs.google.com/spreadsheets/d/1lOVebEIsI9qjGXl6EX66luk7wiuP2tBaryw-wKvv4e0/edit?usp=sharing"",""แพร่!L420"")+IMPORTRANGE(""https://docs.google.com/spreadshe"&amp;"ets/d/1dQrvX0vEcN7Gu0fnZ0B5S90AeR19zth4XlExFBeExMY/edit?usp=sharing"",""แม่ฮ่องสอน!L420"")+IMPORTRANGE(""https://docs.google.com/spreadsheets/d/1DY4XTNNwjluuxqdfdn6qvOSlMRrZqUtmYcZR0ttFiG4/edit?usp=sharing"",""ลำปาง!L420"")+IMPORTRANGE(""https://docs.goog"&amp;"le.com/spreadsheets/d/1ICwG78r0OFT8biBlxnBF8r7she7gNSzOvJ958PWT09c/edit?usp=sharing"",""ลำพูน!L420"")+IMPORTRANGE(""https://docs.google.com/spreadsheets/d/1B0f2xJpZUC6Z0xXnqKlZtEPzsf6L84eP1r1Q15seqRM/edit?usp=sharing"",""สุโขทัย!L420"")+IMPORTRANGE(""http"&amp;"s://docs.google.com/spreadsheets/d/1v0b9pFQCsKUVExMei7AgY2yQkdeNQvtOssygGsXbiKo/edit?usp=sharing"",""อุตรดิตถ์!L420"")+IMPORTRANGE(""https://docs.google.com/spreadsheets/d/1UsNK1e-WWiCo2PvGqdNfdme4m17_Ezd3J69EeeiQPD0/edit?usp=sharing"",""อุทัยธานี!L420"")"),0)</f>
        <v>0</v>
      </c>
      <c r="M420" s="48">
        <f ca="1">IFERROR(__xludf.DUMMYFUNCTION("IMPORTRANGE(""https://docs.google.com/spreadsheets/d/1jTcq05yEiRwXcBMLjiodW9e4biSGYWAHcDj22rKWQ3s/edit?usp=sharing"",""กำแพงเพชร!M420"")+IMPORTRANGE(""https://docs.google.com/spreadsheets/d/1KS0zmDSZPk8KnTAbGN-Xk6MtX1YRZD0ldgdt20K4CRk/edit?usp=sharing"","&amp;"""เชียงราย!M420"")+IMPORTRANGE(""https://docs.google.com/spreadsheets/d/1rEDxBtusbi64tE0zunoIbsTVV16HeL0oJ6trHQeQ7K8/edit?usp=sharing"",""เชียงใหม่!M420"")+IMPORTRANGE(""https://docs.google.com/spreadsheets/d/1W6MnUbDkMi6xHnHko_XkFDO9kkuL6Wqyc-6OCDFjW9I/e"&amp;"dit?usp=sharing"",""ตาก!M420"")+IMPORTRANGE(""https://docs.google.com/spreadsheets/d/1IQAWArduLkta9LpYo4a_ULsyqdta6-6aDDiwpUnQT6c/edit?usp=sharing"",""นครสวรรค์!M420"")+IMPORTRANGE(""https://docs.google.com/spreadsheets/d/10s13Sk5xrltsiR-Zkbmk5DwIaDIKO8Xl"&amp;"bJAfqyT7Gvg/edit?usp=sharing"",""น่าน!M420"")+IMPORTRANGE(""https://docs.google.com/spreadsheets/d/1uu4nAn4Dbi1XREnLKKotUANlKXa7yCgRcgq8HEzQYW8/edit?usp=sharing"",""พะเยา!M420"")+IMPORTRANGE(""https://docs.google.com/spreadsheets/d/1xfJKIQxVOaPDIICqsflNlL"&amp;"u3JacTDk1FP9RH4phX7mI/edit?usp=sharing"",""พิจิตร!M420"")+IMPORTRANGE(""https://docs.google.com/spreadsheets/d/1JtRfZkJMHtEhI5RdRHxYUG4FIZHqKDpNyIuN7A1Q0_k/edit?usp=sharing"",""พิษณุโลก!M420"")+IMPORTRANGE(""https://docs.google.com/spreadsheets/d/1xlcVZWU"&amp;"Nn6SuWm0c307h32SiGkd9BaeQWlAktfD3KO8/edit?usp=sharing"",""เพชรบูรณ์!M420"")+IMPORTRANGE(""https://docs.google.com/spreadsheets/d/1lOVebEIsI9qjGXl6EX66luk7wiuP2tBaryw-wKvv4e0/edit?usp=sharing"",""แพร่!M420"")+IMPORTRANGE(""https://docs.google.com/spreadshe"&amp;"ets/d/1dQrvX0vEcN7Gu0fnZ0B5S90AeR19zth4XlExFBeExMY/edit?usp=sharing"",""แม่ฮ่องสอน!M420"")+IMPORTRANGE(""https://docs.google.com/spreadsheets/d/1DY4XTNNwjluuxqdfdn6qvOSlMRrZqUtmYcZR0ttFiG4/edit?usp=sharing"",""ลำปาง!M420"")+IMPORTRANGE(""https://docs.goog"&amp;"le.com/spreadsheets/d/1ICwG78r0OFT8biBlxnBF8r7she7gNSzOvJ958PWT09c/edit?usp=sharing"",""ลำพูน!M420"")+IMPORTRANGE(""https://docs.google.com/spreadsheets/d/1B0f2xJpZUC6Z0xXnqKlZtEPzsf6L84eP1r1Q15seqRM/edit?usp=sharing"",""สุโขทัย!M420"")+IMPORTRANGE(""http"&amp;"s://docs.google.com/spreadsheets/d/1v0b9pFQCsKUVExMei7AgY2yQkdeNQvtOssygGsXbiKo/edit?usp=sharing"",""อุตรดิตถ์!M420"")+IMPORTRANGE(""https://docs.google.com/spreadsheets/d/1UsNK1e-WWiCo2PvGqdNfdme4m17_Ezd3J69EeeiQPD0/edit?usp=sharing"",""อุทัยธานี!M420"")"),0)</f>
        <v>0</v>
      </c>
      <c r="N420" s="48">
        <f ca="1">IFERROR(__xludf.DUMMYFUNCTION("IMPORTRANGE(""https://docs.google.com/spreadsheets/d/1jTcq05yEiRwXcBMLjiodW9e4biSGYWAHcDj22rKWQ3s/edit?usp=sharing"",""กำแพงเพชร!N420"")+IMPORTRANGE(""https://docs.google.com/spreadsheets/d/1KS0zmDSZPk8KnTAbGN-Xk6MtX1YRZD0ldgdt20K4CRk/edit?usp=sharing"","&amp;"""เชียงราย!N420"")+IMPORTRANGE(""https://docs.google.com/spreadsheets/d/1rEDxBtusbi64tE0zunoIbsTVV16HeL0oJ6trHQeQ7K8/edit?usp=sharing"",""เชียงใหม่!N420"")+IMPORTRANGE(""https://docs.google.com/spreadsheets/d/1W6MnUbDkMi6xHnHko_XkFDO9kkuL6Wqyc-6OCDFjW9I/e"&amp;"dit?usp=sharing"",""ตาก!N420"")+IMPORTRANGE(""https://docs.google.com/spreadsheets/d/1IQAWArduLkta9LpYo4a_ULsyqdta6-6aDDiwpUnQT6c/edit?usp=sharing"",""นครสวรรค์!N420"")+IMPORTRANGE(""https://docs.google.com/spreadsheets/d/10s13Sk5xrltsiR-Zkbmk5DwIaDIKO8Xl"&amp;"bJAfqyT7Gvg/edit?usp=sharing"",""น่าน!N420"")+IMPORTRANGE(""https://docs.google.com/spreadsheets/d/1uu4nAn4Dbi1XREnLKKotUANlKXa7yCgRcgq8HEzQYW8/edit?usp=sharing"",""พะเยา!N420"")+IMPORTRANGE(""https://docs.google.com/spreadsheets/d/1xfJKIQxVOaPDIICqsflNlL"&amp;"u3JacTDk1FP9RH4phX7mI/edit?usp=sharing"",""พิจิตร!N420"")+IMPORTRANGE(""https://docs.google.com/spreadsheets/d/1JtRfZkJMHtEhI5RdRHxYUG4FIZHqKDpNyIuN7A1Q0_k/edit?usp=sharing"",""พิษณุโลก!N420"")+IMPORTRANGE(""https://docs.google.com/spreadsheets/d/1xlcVZWU"&amp;"Nn6SuWm0c307h32SiGkd9BaeQWlAktfD3KO8/edit?usp=sharing"",""เพชรบูรณ์!N420"")+IMPORTRANGE(""https://docs.google.com/spreadsheets/d/1lOVebEIsI9qjGXl6EX66luk7wiuP2tBaryw-wKvv4e0/edit?usp=sharing"",""แพร่!N420"")+IMPORTRANGE(""https://docs.google.com/spreadshe"&amp;"ets/d/1dQrvX0vEcN7Gu0fnZ0B5S90AeR19zth4XlExFBeExMY/edit?usp=sharing"",""แม่ฮ่องสอน!N420"")+IMPORTRANGE(""https://docs.google.com/spreadsheets/d/1DY4XTNNwjluuxqdfdn6qvOSlMRrZqUtmYcZR0ttFiG4/edit?usp=sharing"",""ลำปาง!N420"")+IMPORTRANGE(""https://docs.goog"&amp;"le.com/spreadsheets/d/1ICwG78r0OFT8biBlxnBF8r7she7gNSzOvJ958PWT09c/edit?usp=sharing"",""ลำพูน!N420"")+IMPORTRANGE(""https://docs.google.com/spreadsheets/d/1B0f2xJpZUC6Z0xXnqKlZtEPzsf6L84eP1r1Q15seqRM/edit?usp=sharing"",""สุโขทัย!N420"")+IMPORTRANGE(""http"&amp;"s://docs.google.com/spreadsheets/d/1v0b9pFQCsKUVExMei7AgY2yQkdeNQvtOssygGsXbiKo/edit?usp=sharing"",""อุตรดิตถ์!N420"")+IMPORTRANGE(""https://docs.google.com/spreadsheets/d/1UsNK1e-WWiCo2PvGqdNfdme4m17_Ezd3J69EeeiQPD0/edit?usp=sharing"",""อุทัยธานี!N420"")"),0)</f>
        <v>0</v>
      </c>
      <c r="O420" s="48">
        <f t="shared" ca="1" si="314"/>
        <v>0</v>
      </c>
      <c r="P420" s="48">
        <f t="shared" ca="1" si="315"/>
        <v>0</v>
      </c>
      <c r="Q420" s="48">
        <f ca="1">IFERROR(__xludf.DUMMYFUNCTION("IMPORTRANGE(""https://docs.google.com/spreadsheets/d/1jTcq05yEiRwXcBMLjiodW9e4biSGYWAHcDj22rKWQ3s/edit?usp=sharing"",""กำแพงเพชร!Q420"")+IMPORTRANGE(""https://docs.google.com/spreadsheets/d/1KS0zmDSZPk8KnTAbGN-Xk6MtX1YRZD0ldgdt20K4CRk/edit?usp=sharing"","&amp;"""เชียงราย!Q420"")+IMPORTRANGE(""https://docs.google.com/spreadsheets/d/1rEDxBtusbi64tE0zunoIbsTVV16HeL0oJ6trHQeQ7K8/edit?usp=sharing"",""เชียงใหม่!Q420"")+IMPORTRANGE(""https://docs.google.com/spreadsheets/d/1W6MnUbDkMi6xHnHko_XkFDO9kkuL6Wqyc-6OCDFjW9I/e"&amp;"dit?usp=sharing"",""ตาก!Q420"")+IMPORTRANGE(""https://docs.google.com/spreadsheets/d/1IQAWArduLkta9LpYo4a_ULsyqdta6-6aDDiwpUnQT6c/edit?usp=sharing"",""นครสวรรค์!Q420"")+IMPORTRANGE(""https://docs.google.com/spreadsheets/d/10s13Sk5xrltsiR-Zkbmk5DwIaDIKO8Xl"&amp;"bJAfqyT7Gvg/edit?usp=sharing"",""น่าน!Q420"")+IMPORTRANGE(""https://docs.google.com/spreadsheets/d/1uu4nAn4Dbi1XREnLKKotUANlKXa7yCgRcgq8HEzQYW8/edit?usp=sharing"",""พะเยา!Q420"")+IMPORTRANGE(""https://docs.google.com/spreadsheets/d/1xfJKIQxVOaPDIICqsflNlL"&amp;"u3JacTDk1FP9RH4phX7mI/edit?usp=sharing"",""พิจิตร!Q420"")+IMPORTRANGE(""https://docs.google.com/spreadsheets/d/1JtRfZkJMHtEhI5RdRHxYUG4FIZHqKDpNyIuN7A1Q0_k/edit?usp=sharing"",""พิษณุโลก!Q420"")+IMPORTRANGE(""https://docs.google.com/spreadsheets/d/1xlcVZWU"&amp;"Nn6SuWm0c307h32SiGkd9BaeQWlAktfD3KO8/edit?usp=sharing"",""เพชรบูรณ์!Q420"")+IMPORTRANGE(""https://docs.google.com/spreadsheets/d/1lOVebEIsI9qjGXl6EX66luk7wiuP2tBaryw-wKvv4e0/edit?usp=sharing"",""แพร่!Q420"")+IMPORTRANGE(""https://docs.google.com/spreadshe"&amp;"ets/d/1dQrvX0vEcN7Gu0fnZ0B5S90AeR19zth4XlExFBeExMY/edit?usp=sharing"",""แม่ฮ่องสอน!Q420"")+IMPORTRANGE(""https://docs.google.com/spreadsheets/d/1DY4XTNNwjluuxqdfdn6qvOSlMRrZqUtmYcZR0ttFiG4/edit?usp=sharing"",""ลำปาง!Q420"")+IMPORTRANGE(""https://docs.goog"&amp;"le.com/spreadsheets/d/1ICwG78r0OFT8biBlxnBF8r7she7gNSzOvJ958PWT09c/edit?usp=sharing"",""ลำพูน!Q420"")+IMPORTRANGE(""https://docs.google.com/spreadsheets/d/1B0f2xJpZUC6Z0xXnqKlZtEPzsf6L84eP1r1Q15seqRM/edit?usp=sharing"",""สุโขทัย!Q420"")+IMPORTRANGE(""http"&amp;"s://docs.google.com/spreadsheets/d/1v0b9pFQCsKUVExMei7AgY2yQkdeNQvtOssygGsXbiKo/edit?usp=sharing"",""อุตรดิตถ์!Q420"")+IMPORTRANGE(""https://docs.google.com/spreadsheets/d/1UsNK1e-WWiCo2PvGqdNfdme4m17_Ezd3J69EeeiQPD0/edit?usp=sharing"",""อุทัยธานี!Q420"")"),0)</f>
        <v>0</v>
      </c>
      <c r="R420" s="48">
        <f ca="1">IFERROR(__xludf.DUMMYFUNCTION("IMPORTRANGE(""https://docs.google.com/spreadsheets/d/1jTcq05yEiRwXcBMLjiodW9e4biSGYWAHcDj22rKWQ3s/edit?usp=sharing"",""กำแพงเพชร!R420"")+IMPORTRANGE(""https://docs.google.com/spreadsheets/d/1KS0zmDSZPk8KnTAbGN-Xk6MtX1YRZD0ldgdt20K4CRk/edit?usp=sharing"","&amp;"""เชียงราย!R420"")+IMPORTRANGE(""https://docs.google.com/spreadsheets/d/1rEDxBtusbi64tE0zunoIbsTVV16HeL0oJ6trHQeQ7K8/edit?usp=sharing"",""เชียงใหม่!R420"")+IMPORTRANGE(""https://docs.google.com/spreadsheets/d/1W6MnUbDkMi6xHnHko_XkFDO9kkuL6Wqyc-6OCDFjW9I/e"&amp;"dit?usp=sharing"",""ตาก!R420"")+IMPORTRANGE(""https://docs.google.com/spreadsheets/d/1IQAWArduLkta9LpYo4a_ULsyqdta6-6aDDiwpUnQT6c/edit?usp=sharing"",""นครสวรรค์!R420"")+IMPORTRANGE(""https://docs.google.com/spreadsheets/d/10s13Sk5xrltsiR-Zkbmk5DwIaDIKO8Xl"&amp;"bJAfqyT7Gvg/edit?usp=sharing"",""น่าน!R420"")+IMPORTRANGE(""https://docs.google.com/spreadsheets/d/1uu4nAn4Dbi1XREnLKKotUANlKXa7yCgRcgq8HEzQYW8/edit?usp=sharing"",""พะเยา!R420"")+IMPORTRANGE(""https://docs.google.com/spreadsheets/d/1xfJKIQxVOaPDIICqsflNlL"&amp;"u3JacTDk1FP9RH4phX7mI/edit?usp=sharing"",""พิจิตร!R420"")+IMPORTRANGE(""https://docs.google.com/spreadsheets/d/1JtRfZkJMHtEhI5RdRHxYUG4FIZHqKDpNyIuN7A1Q0_k/edit?usp=sharing"",""พิษณุโลก!R420"")+IMPORTRANGE(""https://docs.google.com/spreadsheets/d/1xlcVZWU"&amp;"Nn6SuWm0c307h32SiGkd9BaeQWlAktfD3KO8/edit?usp=sharing"",""เพชรบูรณ์!R420"")+IMPORTRANGE(""https://docs.google.com/spreadsheets/d/1lOVebEIsI9qjGXl6EX66luk7wiuP2tBaryw-wKvv4e0/edit?usp=sharing"",""แพร่!R420"")+IMPORTRANGE(""https://docs.google.com/spreadshe"&amp;"ets/d/1dQrvX0vEcN7Gu0fnZ0B5S90AeR19zth4XlExFBeExMY/edit?usp=sharing"",""แม่ฮ่องสอน!R420"")+IMPORTRANGE(""https://docs.google.com/spreadsheets/d/1DY4XTNNwjluuxqdfdn6qvOSlMRrZqUtmYcZR0ttFiG4/edit?usp=sharing"",""ลำปาง!R420"")+IMPORTRANGE(""https://docs.goog"&amp;"le.com/spreadsheets/d/1ICwG78r0OFT8biBlxnBF8r7she7gNSzOvJ958PWT09c/edit?usp=sharing"",""ลำพูน!R420"")+IMPORTRANGE(""https://docs.google.com/spreadsheets/d/1B0f2xJpZUC6Z0xXnqKlZtEPzsf6L84eP1r1Q15seqRM/edit?usp=sharing"",""สุโขทัย!R420"")+IMPORTRANGE(""http"&amp;"s://docs.google.com/spreadsheets/d/1v0b9pFQCsKUVExMei7AgY2yQkdeNQvtOssygGsXbiKo/edit?usp=sharing"",""อุตรดิตถ์!R420"")+IMPORTRANGE(""https://docs.google.com/spreadsheets/d/1UsNK1e-WWiCo2PvGqdNfdme4m17_Ezd3J69EeeiQPD0/edit?usp=sharing"",""อุทัยธานี!R420"")"),0)</f>
        <v>0</v>
      </c>
      <c r="S420" s="48">
        <f ca="1">IFERROR(__xludf.DUMMYFUNCTION("IMPORTRANGE(""https://docs.google.com/spreadsheets/d/1jTcq05yEiRwXcBMLjiodW9e4biSGYWAHcDj22rKWQ3s/edit?usp=sharing"",""กำแพงเพชร!S420"")+IMPORTRANGE(""https://docs.google.com/spreadsheets/d/1KS0zmDSZPk8KnTAbGN-Xk6MtX1YRZD0ldgdt20K4CRk/edit?usp=sharing"","&amp;"""เชียงราย!S420"")+IMPORTRANGE(""https://docs.google.com/spreadsheets/d/1rEDxBtusbi64tE0zunoIbsTVV16HeL0oJ6trHQeQ7K8/edit?usp=sharing"",""เชียงใหม่!S420"")+IMPORTRANGE(""https://docs.google.com/spreadsheets/d/1W6MnUbDkMi6xHnHko_XkFDO9kkuL6Wqyc-6OCDFjW9I/e"&amp;"dit?usp=sharing"",""ตาก!S420"")+IMPORTRANGE(""https://docs.google.com/spreadsheets/d/1IQAWArduLkta9LpYo4a_ULsyqdta6-6aDDiwpUnQT6c/edit?usp=sharing"",""นครสวรรค์!S420"")+IMPORTRANGE(""https://docs.google.com/spreadsheets/d/10s13Sk5xrltsiR-Zkbmk5DwIaDIKO8Xl"&amp;"bJAfqyT7Gvg/edit?usp=sharing"",""น่าน!S420"")+IMPORTRANGE(""https://docs.google.com/spreadsheets/d/1uu4nAn4Dbi1XREnLKKotUANlKXa7yCgRcgq8HEzQYW8/edit?usp=sharing"",""พะเยา!S420"")+IMPORTRANGE(""https://docs.google.com/spreadsheets/d/1xfJKIQxVOaPDIICqsflNlL"&amp;"u3JacTDk1FP9RH4phX7mI/edit?usp=sharing"",""พิจิตร!S420"")+IMPORTRANGE(""https://docs.google.com/spreadsheets/d/1JtRfZkJMHtEhI5RdRHxYUG4FIZHqKDpNyIuN7A1Q0_k/edit?usp=sharing"",""พิษณุโลก!S420"")+IMPORTRANGE(""https://docs.google.com/spreadsheets/d/1xlcVZWU"&amp;"Nn6SuWm0c307h32SiGkd9BaeQWlAktfD3KO8/edit?usp=sharing"",""เพชรบูรณ์!S420"")+IMPORTRANGE(""https://docs.google.com/spreadsheets/d/1lOVebEIsI9qjGXl6EX66luk7wiuP2tBaryw-wKvv4e0/edit?usp=sharing"",""แพร่!S420"")+IMPORTRANGE(""https://docs.google.com/spreadshe"&amp;"ets/d/1dQrvX0vEcN7Gu0fnZ0B5S90AeR19zth4XlExFBeExMY/edit?usp=sharing"",""แม่ฮ่องสอน!S420"")+IMPORTRANGE(""https://docs.google.com/spreadsheets/d/1DY4XTNNwjluuxqdfdn6qvOSlMRrZqUtmYcZR0ttFiG4/edit?usp=sharing"",""ลำปาง!S420"")+IMPORTRANGE(""https://docs.goog"&amp;"le.com/spreadsheets/d/1ICwG78r0OFT8biBlxnBF8r7she7gNSzOvJ958PWT09c/edit?usp=sharing"",""ลำพูน!S420"")+IMPORTRANGE(""https://docs.google.com/spreadsheets/d/1B0f2xJpZUC6Z0xXnqKlZtEPzsf6L84eP1r1Q15seqRM/edit?usp=sharing"",""สุโขทัย!S420"")+IMPORTRANGE(""http"&amp;"s://docs.google.com/spreadsheets/d/1v0b9pFQCsKUVExMei7AgY2yQkdeNQvtOssygGsXbiKo/edit?usp=sharing"",""อุตรดิตถ์!S420"")+IMPORTRANGE(""https://docs.google.com/spreadsheets/d/1UsNK1e-WWiCo2PvGqdNfdme4m17_Ezd3J69EeeiQPD0/edit?usp=sharing"",""อุทัยธานี!S420"")"),0)</f>
        <v>0</v>
      </c>
      <c r="T420" s="48">
        <f t="shared" ca="1" si="317"/>
        <v>0</v>
      </c>
      <c r="U420" s="48">
        <f t="shared" ca="1" si="318"/>
        <v>0</v>
      </c>
    </row>
    <row r="421" spans="1:21" ht="18.75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46">
        <f ca="1">IFERROR(__xludf.DUMMYFUNCTION("IMPORTRANGE(""https://docs.google.com/spreadsheets/d/1jTcq05yEiRwXcBMLjiodW9e4biSGYWAHcDj22rKWQ3s/edit?usp=sharing"",""กำแพงเพชร!L421"")+IMPORTRANGE(""https://docs.google.com/spreadsheets/d/1KS0zmDSZPk8KnTAbGN-Xk6MtX1YRZD0ldgdt20K4CRk/edit?usp=sharing"","&amp;"""เชียงราย!L421"")+IMPORTRANGE(""https://docs.google.com/spreadsheets/d/1rEDxBtusbi64tE0zunoIbsTVV16HeL0oJ6trHQeQ7K8/edit?usp=sharing"",""เชียงใหม่!L421"")+IMPORTRANGE(""https://docs.google.com/spreadsheets/d/1W6MnUbDkMi6xHnHko_XkFDO9kkuL6Wqyc-6OCDFjW9I/e"&amp;"dit?usp=sharing"",""ตาก!L421"")+IMPORTRANGE(""https://docs.google.com/spreadsheets/d/1IQAWArduLkta9LpYo4a_ULsyqdta6-6aDDiwpUnQT6c/edit?usp=sharing"",""นครสวรรค์!L421"")+IMPORTRANGE(""https://docs.google.com/spreadsheets/d/10s13Sk5xrltsiR-Zkbmk5DwIaDIKO8Xl"&amp;"bJAfqyT7Gvg/edit?usp=sharing"",""น่าน!L421"")+IMPORTRANGE(""https://docs.google.com/spreadsheets/d/1uu4nAn4Dbi1XREnLKKotUANlKXa7yCgRcgq8HEzQYW8/edit?usp=sharing"",""พะเยา!L421"")+IMPORTRANGE(""https://docs.google.com/spreadsheets/d/1xfJKIQxVOaPDIICqsflNlL"&amp;"u3JacTDk1FP9RH4phX7mI/edit?usp=sharing"",""พิจิตร!L421"")+IMPORTRANGE(""https://docs.google.com/spreadsheets/d/1JtRfZkJMHtEhI5RdRHxYUG4FIZHqKDpNyIuN7A1Q0_k/edit?usp=sharing"",""พิษณุโลก!L421"")+IMPORTRANGE(""https://docs.google.com/spreadsheets/d/1xlcVZWU"&amp;"Nn6SuWm0c307h32SiGkd9BaeQWlAktfD3KO8/edit?usp=sharing"",""เพชรบูรณ์!L421"")+IMPORTRANGE(""https://docs.google.com/spreadsheets/d/1lOVebEIsI9qjGXl6EX66luk7wiuP2tBaryw-wKvv4e0/edit?usp=sharing"",""แพร่!L421"")+IMPORTRANGE(""https://docs.google.com/spreadshe"&amp;"ets/d/1dQrvX0vEcN7Gu0fnZ0B5S90AeR19zth4XlExFBeExMY/edit?usp=sharing"",""แม่ฮ่องสอน!L421"")+IMPORTRANGE(""https://docs.google.com/spreadsheets/d/1DY4XTNNwjluuxqdfdn6qvOSlMRrZqUtmYcZR0ttFiG4/edit?usp=sharing"",""ลำปาง!L421"")+IMPORTRANGE(""https://docs.goog"&amp;"le.com/spreadsheets/d/1ICwG78r0OFT8biBlxnBF8r7she7gNSzOvJ958PWT09c/edit?usp=sharing"",""ลำพูน!L421"")+IMPORTRANGE(""https://docs.google.com/spreadsheets/d/1B0f2xJpZUC6Z0xXnqKlZtEPzsf6L84eP1r1Q15seqRM/edit?usp=sharing"",""สุโขทัย!L421"")+IMPORTRANGE(""http"&amp;"s://docs.google.com/spreadsheets/d/1v0b9pFQCsKUVExMei7AgY2yQkdeNQvtOssygGsXbiKo/edit?usp=sharing"",""อุตรดิตถ์!L421"")+IMPORTRANGE(""https://docs.google.com/spreadsheets/d/1UsNK1e-WWiCo2PvGqdNfdme4m17_Ezd3J69EeeiQPD0/edit?usp=sharing"",""อุทัยธานี!L421"")"),0)</f>
        <v>0</v>
      </c>
      <c r="M421" s="46">
        <f ca="1">IFERROR(__xludf.DUMMYFUNCTION("IMPORTRANGE(""https://docs.google.com/spreadsheets/d/1jTcq05yEiRwXcBMLjiodW9e4biSGYWAHcDj22rKWQ3s/edit?usp=sharing"",""กำแพงเพชร!M421"")+IMPORTRANGE(""https://docs.google.com/spreadsheets/d/1KS0zmDSZPk8KnTAbGN-Xk6MtX1YRZD0ldgdt20K4CRk/edit?usp=sharing"","&amp;"""เชียงราย!M421"")+IMPORTRANGE(""https://docs.google.com/spreadsheets/d/1rEDxBtusbi64tE0zunoIbsTVV16HeL0oJ6trHQeQ7K8/edit?usp=sharing"",""เชียงใหม่!M421"")+IMPORTRANGE(""https://docs.google.com/spreadsheets/d/1W6MnUbDkMi6xHnHko_XkFDO9kkuL6Wqyc-6OCDFjW9I/e"&amp;"dit?usp=sharing"",""ตาก!M421"")+IMPORTRANGE(""https://docs.google.com/spreadsheets/d/1IQAWArduLkta9LpYo4a_ULsyqdta6-6aDDiwpUnQT6c/edit?usp=sharing"",""นครสวรรค์!M421"")+IMPORTRANGE(""https://docs.google.com/spreadsheets/d/10s13Sk5xrltsiR-Zkbmk5DwIaDIKO8Xl"&amp;"bJAfqyT7Gvg/edit?usp=sharing"",""น่าน!M421"")+IMPORTRANGE(""https://docs.google.com/spreadsheets/d/1uu4nAn4Dbi1XREnLKKotUANlKXa7yCgRcgq8HEzQYW8/edit?usp=sharing"",""พะเยา!M421"")+IMPORTRANGE(""https://docs.google.com/spreadsheets/d/1xfJKIQxVOaPDIICqsflNlL"&amp;"u3JacTDk1FP9RH4phX7mI/edit?usp=sharing"",""พิจิตร!M421"")+IMPORTRANGE(""https://docs.google.com/spreadsheets/d/1JtRfZkJMHtEhI5RdRHxYUG4FIZHqKDpNyIuN7A1Q0_k/edit?usp=sharing"",""พิษณุโลก!M421"")+IMPORTRANGE(""https://docs.google.com/spreadsheets/d/1xlcVZWU"&amp;"Nn6SuWm0c307h32SiGkd9BaeQWlAktfD3KO8/edit?usp=sharing"",""เพชรบูรณ์!M421"")+IMPORTRANGE(""https://docs.google.com/spreadsheets/d/1lOVebEIsI9qjGXl6EX66luk7wiuP2tBaryw-wKvv4e0/edit?usp=sharing"",""แพร่!M421"")+IMPORTRANGE(""https://docs.google.com/spreadshe"&amp;"ets/d/1dQrvX0vEcN7Gu0fnZ0B5S90AeR19zth4XlExFBeExMY/edit?usp=sharing"",""แม่ฮ่องสอน!M421"")+IMPORTRANGE(""https://docs.google.com/spreadsheets/d/1DY4XTNNwjluuxqdfdn6qvOSlMRrZqUtmYcZR0ttFiG4/edit?usp=sharing"",""ลำปาง!M421"")+IMPORTRANGE(""https://docs.goog"&amp;"le.com/spreadsheets/d/1ICwG78r0OFT8biBlxnBF8r7she7gNSzOvJ958PWT09c/edit?usp=sharing"",""ลำพูน!M421"")+IMPORTRANGE(""https://docs.google.com/spreadsheets/d/1B0f2xJpZUC6Z0xXnqKlZtEPzsf6L84eP1r1Q15seqRM/edit?usp=sharing"",""สุโขทัย!M421"")+IMPORTRANGE(""http"&amp;"s://docs.google.com/spreadsheets/d/1v0b9pFQCsKUVExMei7AgY2yQkdeNQvtOssygGsXbiKo/edit?usp=sharing"",""อุตรดิตถ์!M421"")+IMPORTRANGE(""https://docs.google.com/spreadsheets/d/1UsNK1e-WWiCo2PvGqdNfdme4m17_Ezd3J69EeeiQPD0/edit?usp=sharing"",""อุทัยธานี!M421"")"),0)</f>
        <v>0</v>
      </c>
      <c r="N421" s="46">
        <f ca="1">IFERROR(__xludf.DUMMYFUNCTION("IMPORTRANGE(""https://docs.google.com/spreadsheets/d/1jTcq05yEiRwXcBMLjiodW9e4biSGYWAHcDj22rKWQ3s/edit?usp=sharing"",""กำแพงเพชร!N421"")+IMPORTRANGE(""https://docs.google.com/spreadsheets/d/1KS0zmDSZPk8KnTAbGN-Xk6MtX1YRZD0ldgdt20K4CRk/edit?usp=sharing"","&amp;"""เชียงราย!N421"")+IMPORTRANGE(""https://docs.google.com/spreadsheets/d/1rEDxBtusbi64tE0zunoIbsTVV16HeL0oJ6trHQeQ7K8/edit?usp=sharing"",""เชียงใหม่!N421"")+IMPORTRANGE(""https://docs.google.com/spreadsheets/d/1W6MnUbDkMi6xHnHko_XkFDO9kkuL6Wqyc-6OCDFjW9I/e"&amp;"dit?usp=sharing"",""ตาก!N421"")+IMPORTRANGE(""https://docs.google.com/spreadsheets/d/1IQAWArduLkta9LpYo4a_ULsyqdta6-6aDDiwpUnQT6c/edit?usp=sharing"",""นครสวรรค์!N421"")+IMPORTRANGE(""https://docs.google.com/spreadsheets/d/10s13Sk5xrltsiR-Zkbmk5DwIaDIKO8Xl"&amp;"bJAfqyT7Gvg/edit?usp=sharing"",""น่าน!N421"")+IMPORTRANGE(""https://docs.google.com/spreadsheets/d/1uu4nAn4Dbi1XREnLKKotUANlKXa7yCgRcgq8HEzQYW8/edit?usp=sharing"",""พะเยา!N421"")+IMPORTRANGE(""https://docs.google.com/spreadsheets/d/1xfJKIQxVOaPDIICqsflNlL"&amp;"u3JacTDk1FP9RH4phX7mI/edit?usp=sharing"",""พิจิตร!N421"")+IMPORTRANGE(""https://docs.google.com/spreadsheets/d/1JtRfZkJMHtEhI5RdRHxYUG4FIZHqKDpNyIuN7A1Q0_k/edit?usp=sharing"",""พิษณุโลก!N421"")+IMPORTRANGE(""https://docs.google.com/spreadsheets/d/1xlcVZWU"&amp;"Nn6SuWm0c307h32SiGkd9BaeQWlAktfD3KO8/edit?usp=sharing"",""เพชรบูรณ์!N421"")+IMPORTRANGE(""https://docs.google.com/spreadsheets/d/1lOVebEIsI9qjGXl6EX66luk7wiuP2tBaryw-wKvv4e0/edit?usp=sharing"",""แพร่!N421"")+IMPORTRANGE(""https://docs.google.com/spreadshe"&amp;"ets/d/1dQrvX0vEcN7Gu0fnZ0B5S90AeR19zth4XlExFBeExMY/edit?usp=sharing"",""แม่ฮ่องสอน!N421"")+IMPORTRANGE(""https://docs.google.com/spreadsheets/d/1DY4XTNNwjluuxqdfdn6qvOSlMRrZqUtmYcZR0ttFiG4/edit?usp=sharing"",""ลำปาง!N421"")+IMPORTRANGE(""https://docs.goog"&amp;"le.com/spreadsheets/d/1ICwG78r0OFT8biBlxnBF8r7she7gNSzOvJ958PWT09c/edit?usp=sharing"",""ลำพูน!N421"")+IMPORTRANGE(""https://docs.google.com/spreadsheets/d/1B0f2xJpZUC6Z0xXnqKlZtEPzsf6L84eP1r1Q15seqRM/edit?usp=sharing"",""สุโขทัย!N421"")+IMPORTRANGE(""http"&amp;"s://docs.google.com/spreadsheets/d/1v0b9pFQCsKUVExMei7AgY2yQkdeNQvtOssygGsXbiKo/edit?usp=sharing"",""อุตรดิตถ์!N421"")+IMPORTRANGE(""https://docs.google.com/spreadsheets/d/1UsNK1e-WWiCo2PvGqdNfdme4m17_Ezd3J69EeeiQPD0/edit?usp=sharing"",""อุทัยธานี!N421"")"),0)</f>
        <v>0</v>
      </c>
      <c r="O421" s="46">
        <f t="shared" ca="1" si="314"/>
        <v>0</v>
      </c>
      <c r="P421" s="46">
        <f t="shared" ca="1" si="315"/>
        <v>0</v>
      </c>
      <c r="Q421" s="46">
        <f ca="1">IFERROR(__xludf.DUMMYFUNCTION("IMPORTRANGE(""https://docs.google.com/spreadsheets/d/1jTcq05yEiRwXcBMLjiodW9e4biSGYWAHcDj22rKWQ3s/edit?usp=sharing"",""กำแพงเพชร!Q421"")+IMPORTRANGE(""https://docs.google.com/spreadsheets/d/1KS0zmDSZPk8KnTAbGN-Xk6MtX1YRZD0ldgdt20K4CRk/edit?usp=sharing"","&amp;"""เชียงราย!Q421"")+IMPORTRANGE(""https://docs.google.com/spreadsheets/d/1rEDxBtusbi64tE0zunoIbsTVV16HeL0oJ6trHQeQ7K8/edit?usp=sharing"",""เชียงใหม่!Q421"")+IMPORTRANGE(""https://docs.google.com/spreadsheets/d/1W6MnUbDkMi6xHnHko_XkFDO9kkuL6Wqyc-6OCDFjW9I/e"&amp;"dit?usp=sharing"",""ตาก!Q421"")+IMPORTRANGE(""https://docs.google.com/spreadsheets/d/1IQAWArduLkta9LpYo4a_ULsyqdta6-6aDDiwpUnQT6c/edit?usp=sharing"",""นครสวรรค์!Q421"")+IMPORTRANGE(""https://docs.google.com/spreadsheets/d/10s13Sk5xrltsiR-Zkbmk5DwIaDIKO8Xl"&amp;"bJAfqyT7Gvg/edit?usp=sharing"",""น่าน!Q421"")+IMPORTRANGE(""https://docs.google.com/spreadsheets/d/1uu4nAn4Dbi1XREnLKKotUANlKXa7yCgRcgq8HEzQYW8/edit?usp=sharing"",""พะเยา!Q421"")+IMPORTRANGE(""https://docs.google.com/spreadsheets/d/1xfJKIQxVOaPDIICqsflNlL"&amp;"u3JacTDk1FP9RH4phX7mI/edit?usp=sharing"",""พิจิตร!Q421"")+IMPORTRANGE(""https://docs.google.com/spreadsheets/d/1JtRfZkJMHtEhI5RdRHxYUG4FIZHqKDpNyIuN7A1Q0_k/edit?usp=sharing"",""พิษณุโลก!Q421"")+IMPORTRANGE(""https://docs.google.com/spreadsheets/d/1xlcVZWU"&amp;"Nn6SuWm0c307h32SiGkd9BaeQWlAktfD3KO8/edit?usp=sharing"",""เพชรบูรณ์!Q421"")+IMPORTRANGE(""https://docs.google.com/spreadsheets/d/1lOVebEIsI9qjGXl6EX66luk7wiuP2tBaryw-wKvv4e0/edit?usp=sharing"",""แพร่!Q421"")+IMPORTRANGE(""https://docs.google.com/spreadshe"&amp;"ets/d/1dQrvX0vEcN7Gu0fnZ0B5S90AeR19zth4XlExFBeExMY/edit?usp=sharing"",""แม่ฮ่องสอน!Q421"")+IMPORTRANGE(""https://docs.google.com/spreadsheets/d/1DY4XTNNwjluuxqdfdn6qvOSlMRrZqUtmYcZR0ttFiG4/edit?usp=sharing"",""ลำปาง!Q421"")+IMPORTRANGE(""https://docs.goog"&amp;"le.com/spreadsheets/d/1ICwG78r0OFT8biBlxnBF8r7she7gNSzOvJ958PWT09c/edit?usp=sharing"",""ลำพูน!Q421"")+IMPORTRANGE(""https://docs.google.com/spreadsheets/d/1B0f2xJpZUC6Z0xXnqKlZtEPzsf6L84eP1r1Q15seqRM/edit?usp=sharing"",""สุโขทัย!Q421"")+IMPORTRANGE(""http"&amp;"s://docs.google.com/spreadsheets/d/1v0b9pFQCsKUVExMei7AgY2yQkdeNQvtOssygGsXbiKo/edit?usp=sharing"",""อุตรดิตถ์!Q421"")+IMPORTRANGE(""https://docs.google.com/spreadsheets/d/1UsNK1e-WWiCo2PvGqdNfdme4m17_Ezd3J69EeeiQPD0/edit?usp=sharing"",""อุทัยธานี!Q421"")"),0)</f>
        <v>0</v>
      </c>
      <c r="R421" s="46">
        <f ca="1">IFERROR(__xludf.DUMMYFUNCTION("IMPORTRANGE(""https://docs.google.com/spreadsheets/d/1jTcq05yEiRwXcBMLjiodW9e4biSGYWAHcDj22rKWQ3s/edit?usp=sharing"",""กำแพงเพชร!R421"")+IMPORTRANGE(""https://docs.google.com/spreadsheets/d/1KS0zmDSZPk8KnTAbGN-Xk6MtX1YRZD0ldgdt20K4CRk/edit?usp=sharing"","&amp;"""เชียงราย!R421"")+IMPORTRANGE(""https://docs.google.com/spreadsheets/d/1rEDxBtusbi64tE0zunoIbsTVV16HeL0oJ6trHQeQ7K8/edit?usp=sharing"",""เชียงใหม่!R421"")+IMPORTRANGE(""https://docs.google.com/spreadsheets/d/1W6MnUbDkMi6xHnHko_XkFDO9kkuL6Wqyc-6OCDFjW9I/e"&amp;"dit?usp=sharing"",""ตาก!R421"")+IMPORTRANGE(""https://docs.google.com/spreadsheets/d/1IQAWArduLkta9LpYo4a_ULsyqdta6-6aDDiwpUnQT6c/edit?usp=sharing"",""นครสวรรค์!R421"")+IMPORTRANGE(""https://docs.google.com/spreadsheets/d/10s13Sk5xrltsiR-Zkbmk5DwIaDIKO8Xl"&amp;"bJAfqyT7Gvg/edit?usp=sharing"",""น่าน!R421"")+IMPORTRANGE(""https://docs.google.com/spreadsheets/d/1uu4nAn4Dbi1XREnLKKotUANlKXa7yCgRcgq8HEzQYW8/edit?usp=sharing"",""พะเยา!R421"")+IMPORTRANGE(""https://docs.google.com/spreadsheets/d/1xfJKIQxVOaPDIICqsflNlL"&amp;"u3JacTDk1FP9RH4phX7mI/edit?usp=sharing"",""พิจิตร!R421"")+IMPORTRANGE(""https://docs.google.com/spreadsheets/d/1JtRfZkJMHtEhI5RdRHxYUG4FIZHqKDpNyIuN7A1Q0_k/edit?usp=sharing"",""พิษณุโลก!R421"")+IMPORTRANGE(""https://docs.google.com/spreadsheets/d/1xlcVZWU"&amp;"Nn6SuWm0c307h32SiGkd9BaeQWlAktfD3KO8/edit?usp=sharing"",""เพชรบูรณ์!R421"")+IMPORTRANGE(""https://docs.google.com/spreadsheets/d/1lOVebEIsI9qjGXl6EX66luk7wiuP2tBaryw-wKvv4e0/edit?usp=sharing"",""แพร่!R421"")+IMPORTRANGE(""https://docs.google.com/spreadshe"&amp;"ets/d/1dQrvX0vEcN7Gu0fnZ0B5S90AeR19zth4XlExFBeExMY/edit?usp=sharing"",""แม่ฮ่องสอน!R421"")+IMPORTRANGE(""https://docs.google.com/spreadsheets/d/1DY4XTNNwjluuxqdfdn6qvOSlMRrZqUtmYcZR0ttFiG4/edit?usp=sharing"",""ลำปาง!R421"")+IMPORTRANGE(""https://docs.goog"&amp;"le.com/spreadsheets/d/1ICwG78r0OFT8biBlxnBF8r7she7gNSzOvJ958PWT09c/edit?usp=sharing"",""ลำพูน!R421"")+IMPORTRANGE(""https://docs.google.com/spreadsheets/d/1B0f2xJpZUC6Z0xXnqKlZtEPzsf6L84eP1r1Q15seqRM/edit?usp=sharing"",""สุโขทัย!R421"")+IMPORTRANGE(""http"&amp;"s://docs.google.com/spreadsheets/d/1v0b9pFQCsKUVExMei7AgY2yQkdeNQvtOssygGsXbiKo/edit?usp=sharing"",""อุตรดิตถ์!R421"")+IMPORTRANGE(""https://docs.google.com/spreadsheets/d/1UsNK1e-WWiCo2PvGqdNfdme4m17_Ezd3J69EeeiQPD0/edit?usp=sharing"",""อุทัยธานี!R421"")"),0)</f>
        <v>0</v>
      </c>
      <c r="S421" s="46">
        <f ca="1">IFERROR(__xludf.DUMMYFUNCTION("IMPORTRANGE(""https://docs.google.com/spreadsheets/d/1jTcq05yEiRwXcBMLjiodW9e4biSGYWAHcDj22rKWQ3s/edit?usp=sharing"",""กำแพงเพชร!S421"")+IMPORTRANGE(""https://docs.google.com/spreadsheets/d/1KS0zmDSZPk8KnTAbGN-Xk6MtX1YRZD0ldgdt20K4CRk/edit?usp=sharing"","&amp;"""เชียงราย!S421"")+IMPORTRANGE(""https://docs.google.com/spreadsheets/d/1rEDxBtusbi64tE0zunoIbsTVV16HeL0oJ6trHQeQ7K8/edit?usp=sharing"",""เชียงใหม่!S421"")+IMPORTRANGE(""https://docs.google.com/spreadsheets/d/1W6MnUbDkMi6xHnHko_XkFDO9kkuL6Wqyc-6OCDFjW9I/e"&amp;"dit?usp=sharing"",""ตาก!S421"")+IMPORTRANGE(""https://docs.google.com/spreadsheets/d/1IQAWArduLkta9LpYo4a_ULsyqdta6-6aDDiwpUnQT6c/edit?usp=sharing"",""นครสวรรค์!S421"")+IMPORTRANGE(""https://docs.google.com/spreadsheets/d/10s13Sk5xrltsiR-Zkbmk5DwIaDIKO8Xl"&amp;"bJAfqyT7Gvg/edit?usp=sharing"",""น่าน!S421"")+IMPORTRANGE(""https://docs.google.com/spreadsheets/d/1uu4nAn4Dbi1XREnLKKotUANlKXa7yCgRcgq8HEzQYW8/edit?usp=sharing"",""พะเยา!S421"")+IMPORTRANGE(""https://docs.google.com/spreadsheets/d/1xfJKIQxVOaPDIICqsflNlL"&amp;"u3JacTDk1FP9RH4phX7mI/edit?usp=sharing"",""พิจิตร!S421"")+IMPORTRANGE(""https://docs.google.com/spreadsheets/d/1JtRfZkJMHtEhI5RdRHxYUG4FIZHqKDpNyIuN7A1Q0_k/edit?usp=sharing"",""พิษณุโลก!S421"")+IMPORTRANGE(""https://docs.google.com/spreadsheets/d/1xlcVZWU"&amp;"Nn6SuWm0c307h32SiGkd9BaeQWlAktfD3KO8/edit?usp=sharing"",""เพชรบูรณ์!S421"")+IMPORTRANGE(""https://docs.google.com/spreadsheets/d/1lOVebEIsI9qjGXl6EX66luk7wiuP2tBaryw-wKvv4e0/edit?usp=sharing"",""แพร่!S421"")+IMPORTRANGE(""https://docs.google.com/spreadshe"&amp;"ets/d/1dQrvX0vEcN7Gu0fnZ0B5S90AeR19zth4XlExFBeExMY/edit?usp=sharing"",""แม่ฮ่องสอน!S421"")+IMPORTRANGE(""https://docs.google.com/spreadsheets/d/1DY4XTNNwjluuxqdfdn6qvOSlMRrZqUtmYcZR0ttFiG4/edit?usp=sharing"",""ลำปาง!S421"")+IMPORTRANGE(""https://docs.goog"&amp;"le.com/spreadsheets/d/1ICwG78r0OFT8biBlxnBF8r7she7gNSzOvJ958PWT09c/edit?usp=sharing"",""ลำพูน!S421"")+IMPORTRANGE(""https://docs.google.com/spreadsheets/d/1B0f2xJpZUC6Z0xXnqKlZtEPzsf6L84eP1r1Q15seqRM/edit?usp=sharing"",""สุโขทัย!S421"")+IMPORTRANGE(""http"&amp;"s://docs.google.com/spreadsheets/d/1v0b9pFQCsKUVExMei7AgY2yQkdeNQvtOssygGsXbiKo/edit?usp=sharing"",""อุตรดิตถ์!S421"")+IMPORTRANGE(""https://docs.google.com/spreadsheets/d/1UsNK1e-WWiCo2PvGqdNfdme4m17_Ezd3J69EeeiQPD0/edit?usp=sharing"",""อุทัยธานี!S421"")"),0)</f>
        <v>0</v>
      </c>
      <c r="T421" s="46">
        <f t="shared" ca="1" si="317"/>
        <v>0</v>
      </c>
      <c r="U421" s="46">
        <f t="shared" ca="1" si="318"/>
        <v>0</v>
      </c>
    </row>
    <row r="422" spans="1:21" ht="19.5" x14ac:dyDescent="0.3">
      <c r="A422" s="208"/>
      <c r="B422" s="158"/>
      <c r="C422" s="322" t="s">
        <v>18</v>
      </c>
      <c r="D422" s="324" t="s">
        <v>38</v>
      </c>
      <c r="E422" s="158"/>
      <c r="F422" s="158"/>
      <c r="G422" s="180"/>
      <c r="H422" s="180"/>
      <c r="I422" s="44"/>
      <c r="J422" s="44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147">
        <f t="shared" ref="I423:J423" ca="1" si="327">I440</f>
        <v>0</v>
      </c>
      <c r="J423" s="147">
        <f t="shared" ca="1" si="327"/>
        <v>0</v>
      </c>
      <c r="K423" s="132">
        <f t="shared" ref="K423:K425" ca="1" si="328">IF(I423&gt;0,J423*100/I423,0)</f>
        <v>0</v>
      </c>
      <c r="L423" s="45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147">
        <f ca="1">IFERROR(__xludf.DUMMYFUNCTION("IMPORTRANGE(""https://docs.google.com/spreadsheets/d/1jTcq05yEiRwXcBMLjiodW9e4biSGYWAHcDj22rKWQ3s/edit?usp=sharing"",""กำแพงเพชร!I424"")+IMPORTRANGE(""https://docs.google.com/spreadsheets/d/1KS0zmDSZPk8KnTAbGN-Xk6MtX1YRZD0ldgdt20K4CRk/edit?usp=sharing"","&amp;"""เชียงราย!I424"")+IMPORTRANGE(""https://docs.google.com/spreadsheets/d/1rEDxBtusbi64tE0zunoIbsTVV16HeL0oJ6trHQeQ7K8/edit?usp=sharing"",""เชียงใหม่!I424"")+IMPORTRANGE(""https://docs.google.com/spreadsheets/d/1W6MnUbDkMi6xHnHko_XkFDO9kkuL6Wqyc-6OCDFjW9I/e"&amp;"dit?usp=sharing"",""ตาก!I424"")+IMPORTRANGE(""https://docs.google.com/spreadsheets/d/1IQAWArduLkta9LpYo4a_ULsyqdta6-6aDDiwpUnQT6c/edit?usp=sharing"",""นครสวรรค์!I424"")+IMPORTRANGE(""https://docs.google.com/spreadsheets/d/10s13Sk5xrltsiR-Zkbmk5DwIaDIKO8Xl"&amp;"bJAfqyT7Gvg/edit?usp=sharing"",""น่าน!I424"")+IMPORTRANGE(""https://docs.google.com/spreadsheets/d/1uu4nAn4Dbi1XREnLKKotUANlKXa7yCgRcgq8HEzQYW8/edit?usp=sharing"",""พะเยา!I424"")+IMPORTRANGE(""https://docs.google.com/spreadsheets/d/1xfJKIQxVOaPDIICqsflNlL"&amp;"u3JacTDk1FP9RH4phX7mI/edit?usp=sharing"",""พิจิตร!I424"")+IMPORTRANGE(""https://docs.google.com/spreadsheets/d/1JtRfZkJMHtEhI5RdRHxYUG4FIZHqKDpNyIuN7A1Q0_k/edit?usp=sharing"",""พิษณุโลก!I424"")+IMPORTRANGE(""https://docs.google.com/spreadsheets/d/1xlcVZWU"&amp;"Nn6SuWm0c307h32SiGkd9BaeQWlAktfD3KO8/edit?usp=sharing"",""เพชรบูรณ์!I424"")+IMPORTRANGE(""https://docs.google.com/spreadsheets/d/1lOVebEIsI9qjGXl6EX66luk7wiuP2tBaryw-wKvv4e0/edit?usp=sharing"",""แพร่!I424"")+IMPORTRANGE(""https://docs.google.com/spreadshe"&amp;"ets/d/1dQrvX0vEcN7Gu0fnZ0B5S90AeR19zth4XlExFBeExMY/edit?usp=sharing"",""แม่ฮ่องสอน!I424"")+IMPORTRANGE(""https://docs.google.com/spreadsheets/d/1DY4XTNNwjluuxqdfdn6qvOSlMRrZqUtmYcZR0ttFiG4/edit?usp=sharing"",""ลำปาง!I424"")+IMPORTRANGE(""https://docs.goog"&amp;"le.com/spreadsheets/d/1ICwG78r0OFT8biBlxnBF8r7she7gNSzOvJ958PWT09c/edit?usp=sharing"",""ลำพูน!I424"")+IMPORTRANGE(""https://docs.google.com/spreadsheets/d/1B0f2xJpZUC6Z0xXnqKlZtEPzsf6L84eP1r1Q15seqRM/edit?usp=sharing"",""สุโขทัย!I424"")+IMPORTRANGE(""http"&amp;"s://docs.google.com/spreadsheets/d/1v0b9pFQCsKUVExMei7AgY2yQkdeNQvtOssygGsXbiKo/edit?usp=sharing"",""อุตรดิตถ์!I424"")+IMPORTRANGE(""https://docs.google.com/spreadsheets/d/1UsNK1e-WWiCo2PvGqdNfdme4m17_Ezd3J69EeeiQPD0/edit?usp=sharing"",""อุทัยธานี!I424"")"),0)</f>
        <v>0</v>
      </c>
      <c r="J424" s="147">
        <f t="shared" ref="J424:J425" ca="1" si="329">J426+J428+J430</f>
        <v>0</v>
      </c>
      <c r="K424" s="132">
        <f t="shared" ca="1" si="328"/>
        <v>0</v>
      </c>
      <c r="L424" s="45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147">
        <f ca="1">IFERROR(__xludf.DUMMYFUNCTION("IMPORTRANGE(""https://docs.google.com/spreadsheets/d/1jTcq05yEiRwXcBMLjiodW9e4biSGYWAHcDj22rKWQ3s/edit?usp=sharing"",""กำแพงเพชร!I425"")+IMPORTRANGE(""https://docs.google.com/spreadsheets/d/1KS0zmDSZPk8KnTAbGN-Xk6MtX1YRZD0ldgdt20K4CRk/edit?usp=sharing"","&amp;"""เชียงราย!I425"")+IMPORTRANGE(""https://docs.google.com/spreadsheets/d/1rEDxBtusbi64tE0zunoIbsTVV16HeL0oJ6trHQeQ7K8/edit?usp=sharing"",""เชียงใหม่!I425"")+IMPORTRANGE(""https://docs.google.com/spreadsheets/d/1W6MnUbDkMi6xHnHko_XkFDO9kkuL6Wqyc-6OCDFjW9I/e"&amp;"dit?usp=sharing"",""ตาก!I425"")+IMPORTRANGE(""https://docs.google.com/spreadsheets/d/1IQAWArduLkta9LpYo4a_ULsyqdta6-6aDDiwpUnQT6c/edit?usp=sharing"",""นครสวรรค์!I425"")+IMPORTRANGE(""https://docs.google.com/spreadsheets/d/10s13Sk5xrltsiR-Zkbmk5DwIaDIKO8Xl"&amp;"bJAfqyT7Gvg/edit?usp=sharing"",""น่าน!I425"")+IMPORTRANGE(""https://docs.google.com/spreadsheets/d/1uu4nAn4Dbi1XREnLKKotUANlKXa7yCgRcgq8HEzQYW8/edit?usp=sharing"",""พะเยา!I425"")+IMPORTRANGE(""https://docs.google.com/spreadsheets/d/1xfJKIQxVOaPDIICqsflNlL"&amp;"u3JacTDk1FP9RH4phX7mI/edit?usp=sharing"",""พิจิตร!I425"")+IMPORTRANGE(""https://docs.google.com/spreadsheets/d/1JtRfZkJMHtEhI5RdRHxYUG4FIZHqKDpNyIuN7A1Q0_k/edit?usp=sharing"",""พิษณุโลก!I425"")+IMPORTRANGE(""https://docs.google.com/spreadsheets/d/1xlcVZWU"&amp;"Nn6SuWm0c307h32SiGkd9BaeQWlAktfD3KO8/edit?usp=sharing"",""เพชรบูรณ์!I425"")+IMPORTRANGE(""https://docs.google.com/spreadsheets/d/1lOVebEIsI9qjGXl6EX66luk7wiuP2tBaryw-wKvv4e0/edit?usp=sharing"",""แพร่!I425"")+IMPORTRANGE(""https://docs.google.com/spreadshe"&amp;"ets/d/1dQrvX0vEcN7Gu0fnZ0B5S90AeR19zth4XlExFBeExMY/edit?usp=sharing"",""แม่ฮ่องสอน!I425"")+IMPORTRANGE(""https://docs.google.com/spreadsheets/d/1DY4XTNNwjluuxqdfdn6qvOSlMRrZqUtmYcZR0ttFiG4/edit?usp=sharing"",""ลำปาง!I425"")+IMPORTRANGE(""https://docs.goog"&amp;"le.com/spreadsheets/d/1ICwG78r0OFT8biBlxnBF8r7she7gNSzOvJ958PWT09c/edit?usp=sharing"",""ลำพูน!I425"")+IMPORTRANGE(""https://docs.google.com/spreadsheets/d/1B0f2xJpZUC6Z0xXnqKlZtEPzsf6L84eP1r1Q15seqRM/edit?usp=sharing"",""สุโขทัย!I425"")+IMPORTRANGE(""http"&amp;"s://docs.google.com/spreadsheets/d/1v0b9pFQCsKUVExMei7AgY2yQkdeNQvtOssygGsXbiKo/edit?usp=sharing"",""อุตรดิตถ์!I425"")+IMPORTRANGE(""https://docs.google.com/spreadsheets/d/1UsNK1e-WWiCo2PvGqdNfdme4m17_Ezd3J69EeeiQPD0/edit?usp=sharing"",""อุทัยธานี!I425"")"),0)</f>
        <v>0</v>
      </c>
      <c r="J425" s="147">
        <f t="shared" ca="1" si="329"/>
        <v>0</v>
      </c>
      <c r="K425" s="132">
        <f t="shared" ca="1" si="328"/>
        <v>0</v>
      </c>
      <c r="L425" s="45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166">
        <f ca="1">IFERROR(__xludf.DUMMYFUNCTION("IMPORTRANGE(""https://docs.google.com/spreadsheets/d/1jTcq05yEiRwXcBMLjiodW9e4biSGYWAHcDj22rKWQ3s/edit?usp=sharing"",""กำแพงเพชร!J426"")+IMPORTRANGE(""https://docs.google.com/spreadsheets/d/1KS0zmDSZPk8KnTAbGN-Xk6MtX1YRZD0ldgdt20K4CRk/edit?usp=sharing"","&amp;"""เชียงราย!J426"")+IMPORTRANGE(""https://docs.google.com/spreadsheets/d/1rEDxBtusbi64tE0zunoIbsTVV16HeL0oJ6trHQeQ7K8/edit?usp=sharing"",""เชียงใหม่!J426"")+IMPORTRANGE(""https://docs.google.com/spreadsheets/d/1W6MnUbDkMi6xHnHko_XkFDO9kkuL6Wqyc-6OCDFjW9I/e"&amp;"dit?usp=sharing"",""ตาก!J426"")+IMPORTRANGE(""https://docs.google.com/spreadsheets/d/1IQAWArduLkta9LpYo4a_ULsyqdta6-6aDDiwpUnQT6c/edit?usp=sharing"",""นครสวรรค์!J426"")+IMPORTRANGE(""https://docs.google.com/spreadsheets/d/10s13Sk5xrltsiR-Zkbmk5DwIaDIKO8Xl"&amp;"bJAfqyT7Gvg/edit?usp=sharing"",""น่าน!J426"")+IMPORTRANGE(""https://docs.google.com/spreadsheets/d/1uu4nAn4Dbi1XREnLKKotUANlKXa7yCgRcgq8HEzQYW8/edit?usp=sharing"",""พะเยา!J426"")+IMPORTRANGE(""https://docs.google.com/spreadsheets/d/1xfJKIQxVOaPDIICqsflNlL"&amp;"u3JacTDk1FP9RH4phX7mI/edit?usp=sharing"",""พิจิตร!J426"")+IMPORTRANGE(""https://docs.google.com/spreadsheets/d/1JtRfZkJMHtEhI5RdRHxYUG4FIZHqKDpNyIuN7A1Q0_k/edit?usp=sharing"",""พิษณุโลก!J426"")+IMPORTRANGE(""https://docs.google.com/spreadsheets/d/1xlcVZWU"&amp;"Nn6SuWm0c307h32SiGkd9BaeQWlAktfD3KO8/edit?usp=sharing"",""เพชรบูรณ์!J426"")+IMPORTRANGE(""https://docs.google.com/spreadsheets/d/1lOVebEIsI9qjGXl6EX66luk7wiuP2tBaryw-wKvv4e0/edit?usp=sharing"",""แพร่!J426"")+IMPORTRANGE(""https://docs.google.com/spreadshe"&amp;"ets/d/1dQrvX0vEcN7Gu0fnZ0B5S90AeR19zth4XlExFBeExMY/edit?usp=sharing"",""แม่ฮ่องสอน!J426"")+IMPORTRANGE(""https://docs.google.com/spreadsheets/d/1DY4XTNNwjluuxqdfdn6qvOSlMRrZqUtmYcZR0ttFiG4/edit?usp=sharing"",""ลำปาง!J426"")+IMPORTRANGE(""https://docs.goog"&amp;"le.com/spreadsheets/d/1ICwG78r0OFT8biBlxnBF8r7she7gNSzOvJ958PWT09c/edit?usp=sharing"",""ลำพูน!J426"")+IMPORTRANGE(""https://docs.google.com/spreadsheets/d/1B0f2xJpZUC6Z0xXnqKlZtEPzsf6L84eP1r1Q15seqRM/edit?usp=sharing"",""สุโขทัย!J426"")+IMPORTRANGE(""http"&amp;"s://docs.google.com/spreadsheets/d/1v0b9pFQCsKUVExMei7AgY2yQkdeNQvtOssygGsXbiKo/edit?usp=sharing"",""อุตรดิตถ์!J426"")+IMPORTRANGE(""https://docs.google.com/spreadsheets/d/1UsNK1e-WWiCo2PvGqdNfdme4m17_Ezd3J69EeeiQPD0/edit?usp=sharing"",""อุทัยธานี!J426"")"),0)</f>
        <v>0</v>
      </c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166">
        <f ca="1">IFERROR(__xludf.DUMMYFUNCTION("IMPORTRANGE(""https://docs.google.com/spreadsheets/d/1jTcq05yEiRwXcBMLjiodW9e4biSGYWAHcDj22rKWQ3s/edit?usp=sharing"",""กำแพงเพชร!J427"")+IMPORTRANGE(""https://docs.google.com/spreadsheets/d/1KS0zmDSZPk8KnTAbGN-Xk6MtX1YRZD0ldgdt20K4CRk/edit?usp=sharing"","&amp;"""เชียงราย!J427"")+IMPORTRANGE(""https://docs.google.com/spreadsheets/d/1rEDxBtusbi64tE0zunoIbsTVV16HeL0oJ6trHQeQ7K8/edit?usp=sharing"",""เชียงใหม่!J427"")+IMPORTRANGE(""https://docs.google.com/spreadsheets/d/1W6MnUbDkMi6xHnHko_XkFDO9kkuL6Wqyc-6OCDFjW9I/e"&amp;"dit?usp=sharing"",""ตาก!J427"")+IMPORTRANGE(""https://docs.google.com/spreadsheets/d/1IQAWArduLkta9LpYo4a_ULsyqdta6-6aDDiwpUnQT6c/edit?usp=sharing"",""นครสวรรค์!J427"")+IMPORTRANGE(""https://docs.google.com/spreadsheets/d/10s13Sk5xrltsiR-Zkbmk5DwIaDIKO8Xl"&amp;"bJAfqyT7Gvg/edit?usp=sharing"",""น่าน!J427"")+IMPORTRANGE(""https://docs.google.com/spreadsheets/d/1uu4nAn4Dbi1XREnLKKotUANlKXa7yCgRcgq8HEzQYW8/edit?usp=sharing"",""พะเยา!J427"")+IMPORTRANGE(""https://docs.google.com/spreadsheets/d/1xfJKIQxVOaPDIICqsflNlL"&amp;"u3JacTDk1FP9RH4phX7mI/edit?usp=sharing"",""พิจิตร!J427"")+IMPORTRANGE(""https://docs.google.com/spreadsheets/d/1JtRfZkJMHtEhI5RdRHxYUG4FIZHqKDpNyIuN7A1Q0_k/edit?usp=sharing"",""พิษณุโลก!J427"")+IMPORTRANGE(""https://docs.google.com/spreadsheets/d/1xlcVZWU"&amp;"Nn6SuWm0c307h32SiGkd9BaeQWlAktfD3KO8/edit?usp=sharing"",""เพชรบูรณ์!J427"")+IMPORTRANGE(""https://docs.google.com/spreadsheets/d/1lOVebEIsI9qjGXl6EX66luk7wiuP2tBaryw-wKvv4e0/edit?usp=sharing"",""แพร่!J427"")+IMPORTRANGE(""https://docs.google.com/spreadshe"&amp;"ets/d/1dQrvX0vEcN7Gu0fnZ0B5S90AeR19zth4XlExFBeExMY/edit?usp=sharing"",""แม่ฮ่องสอน!J427"")+IMPORTRANGE(""https://docs.google.com/spreadsheets/d/1DY4XTNNwjluuxqdfdn6qvOSlMRrZqUtmYcZR0ttFiG4/edit?usp=sharing"",""ลำปาง!J427"")+IMPORTRANGE(""https://docs.goog"&amp;"le.com/spreadsheets/d/1ICwG78r0OFT8biBlxnBF8r7she7gNSzOvJ958PWT09c/edit?usp=sharing"",""ลำพูน!J427"")+IMPORTRANGE(""https://docs.google.com/spreadsheets/d/1B0f2xJpZUC6Z0xXnqKlZtEPzsf6L84eP1r1Q15seqRM/edit?usp=sharing"",""สุโขทัย!J427"")+IMPORTRANGE(""http"&amp;"s://docs.google.com/spreadsheets/d/1v0b9pFQCsKUVExMei7AgY2yQkdeNQvtOssygGsXbiKo/edit?usp=sharing"",""อุตรดิตถ์!J427"")+IMPORTRANGE(""https://docs.google.com/spreadsheets/d/1UsNK1e-WWiCo2PvGqdNfdme4m17_Ezd3J69EeeiQPD0/edit?usp=sharing"",""อุทัยธานี!J427"")"),0)</f>
        <v>0</v>
      </c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166">
        <f ca="1">IFERROR(__xludf.DUMMYFUNCTION("IMPORTRANGE(""https://docs.google.com/spreadsheets/d/1jTcq05yEiRwXcBMLjiodW9e4biSGYWAHcDj22rKWQ3s/edit?usp=sharing"",""กำแพงเพชร!J428"")+IMPORTRANGE(""https://docs.google.com/spreadsheets/d/1KS0zmDSZPk8KnTAbGN-Xk6MtX1YRZD0ldgdt20K4CRk/edit?usp=sharing"","&amp;"""เชียงราย!J428"")+IMPORTRANGE(""https://docs.google.com/spreadsheets/d/1rEDxBtusbi64tE0zunoIbsTVV16HeL0oJ6trHQeQ7K8/edit?usp=sharing"",""เชียงใหม่!J428"")+IMPORTRANGE(""https://docs.google.com/spreadsheets/d/1W6MnUbDkMi6xHnHko_XkFDO9kkuL6Wqyc-6OCDFjW9I/e"&amp;"dit?usp=sharing"",""ตาก!J428"")+IMPORTRANGE(""https://docs.google.com/spreadsheets/d/1IQAWArduLkta9LpYo4a_ULsyqdta6-6aDDiwpUnQT6c/edit?usp=sharing"",""นครสวรรค์!J428"")+IMPORTRANGE(""https://docs.google.com/spreadsheets/d/10s13Sk5xrltsiR-Zkbmk5DwIaDIKO8Xl"&amp;"bJAfqyT7Gvg/edit?usp=sharing"",""น่าน!J428"")+IMPORTRANGE(""https://docs.google.com/spreadsheets/d/1uu4nAn4Dbi1XREnLKKotUANlKXa7yCgRcgq8HEzQYW8/edit?usp=sharing"",""พะเยา!J428"")+IMPORTRANGE(""https://docs.google.com/spreadsheets/d/1xfJKIQxVOaPDIICqsflNlL"&amp;"u3JacTDk1FP9RH4phX7mI/edit?usp=sharing"",""พิจิตร!J428"")+IMPORTRANGE(""https://docs.google.com/spreadsheets/d/1JtRfZkJMHtEhI5RdRHxYUG4FIZHqKDpNyIuN7A1Q0_k/edit?usp=sharing"",""พิษณุโลก!J428"")+IMPORTRANGE(""https://docs.google.com/spreadsheets/d/1xlcVZWU"&amp;"Nn6SuWm0c307h32SiGkd9BaeQWlAktfD3KO8/edit?usp=sharing"",""เพชรบูรณ์!J428"")+IMPORTRANGE(""https://docs.google.com/spreadsheets/d/1lOVebEIsI9qjGXl6EX66luk7wiuP2tBaryw-wKvv4e0/edit?usp=sharing"",""แพร่!J428"")+IMPORTRANGE(""https://docs.google.com/spreadshe"&amp;"ets/d/1dQrvX0vEcN7Gu0fnZ0B5S90AeR19zth4XlExFBeExMY/edit?usp=sharing"",""แม่ฮ่องสอน!J428"")+IMPORTRANGE(""https://docs.google.com/spreadsheets/d/1DY4XTNNwjluuxqdfdn6qvOSlMRrZqUtmYcZR0ttFiG4/edit?usp=sharing"",""ลำปาง!J428"")+IMPORTRANGE(""https://docs.goog"&amp;"le.com/spreadsheets/d/1ICwG78r0OFT8biBlxnBF8r7she7gNSzOvJ958PWT09c/edit?usp=sharing"",""ลำพูน!J428"")+IMPORTRANGE(""https://docs.google.com/spreadsheets/d/1B0f2xJpZUC6Z0xXnqKlZtEPzsf6L84eP1r1Q15seqRM/edit?usp=sharing"",""สุโขทัย!J428"")+IMPORTRANGE(""http"&amp;"s://docs.google.com/spreadsheets/d/1v0b9pFQCsKUVExMei7AgY2yQkdeNQvtOssygGsXbiKo/edit?usp=sharing"",""อุตรดิตถ์!J428"")+IMPORTRANGE(""https://docs.google.com/spreadsheets/d/1UsNK1e-WWiCo2PvGqdNfdme4m17_Ezd3J69EeeiQPD0/edit?usp=sharing"",""อุทัยธานี!J428"")"),0)</f>
        <v>0</v>
      </c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166">
        <f ca="1">IFERROR(__xludf.DUMMYFUNCTION("IMPORTRANGE(""https://docs.google.com/spreadsheets/d/1jTcq05yEiRwXcBMLjiodW9e4biSGYWAHcDj22rKWQ3s/edit?usp=sharing"",""กำแพงเพชร!J429"")+IMPORTRANGE(""https://docs.google.com/spreadsheets/d/1KS0zmDSZPk8KnTAbGN-Xk6MtX1YRZD0ldgdt20K4CRk/edit?usp=sharing"","&amp;"""เชียงราย!J429"")+IMPORTRANGE(""https://docs.google.com/spreadsheets/d/1rEDxBtusbi64tE0zunoIbsTVV16HeL0oJ6trHQeQ7K8/edit?usp=sharing"",""เชียงใหม่!J429"")+IMPORTRANGE(""https://docs.google.com/spreadsheets/d/1W6MnUbDkMi6xHnHko_XkFDO9kkuL6Wqyc-6OCDFjW9I/e"&amp;"dit?usp=sharing"",""ตาก!J429"")+IMPORTRANGE(""https://docs.google.com/spreadsheets/d/1IQAWArduLkta9LpYo4a_ULsyqdta6-6aDDiwpUnQT6c/edit?usp=sharing"",""นครสวรรค์!J429"")+IMPORTRANGE(""https://docs.google.com/spreadsheets/d/10s13Sk5xrltsiR-Zkbmk5DwIaDIKO8Xl"&amp;"bJAfqyT7Gvg/edit?usp=sharing"",""น่าน!J429"")+IMPORTRANGE(""https://docs.google.com/spreadsheets/d/1uu4nAn4Dbi1XREnLKKotUANlKXa7yCgRcgq8HEzQYW8/edit?usp=sharing"",""พะเยา!J429"")+IMPORTRANGE(""https://docs.google.com/spreadsheets/d/1xfJKIQxVOaPDIICqsflNlL"&amp;"u3JacTDk1FP9RH4phX7mI/edit?usp=sharing"",""พิจิตร!J429"")+IMPORTRANGE(""https://docs.google.com/spreadsheets/d/1JtRfZkJMHtEhI5RdRHxYUG4FIZHqKDpNyIuN7A1Q0_k/edit?usp=sharing"",""พิษณุโลก!J429"")+IMPORTRANGE(""https://docs.google.com/spreadsheets/d/1xlcVZWU"&amp;"Nn6SuWm0c307h32SiGkd9BaeQWlAktfD3KO8/edit?usp=sharing"",""เพชรบูรณ์!J429"")+IMPORTRANGE(""https://docs.google.com/spreadsheets/d/1lOVebEIsI9qjGXl6EX66luk7wiuP2tBaryw-wKvv4e0/edit?usp=sharing"",""แพร่!J429"")+IMPORTRANGE(""https://docs.google.com/spreadshe"&amp;"ets/d/1dQrvX0vEcN7Gu0fnZ0B5S90AeR19zth4XlExFBeExMY/edit?usp=sharing"",""แม่ฮ่องสอน!J429"")+IMPORTRANGE(""https://docs.google.com/spreadsheets/d/1DY4XTNNwjluuxqdfdn6qvOSlMRrZqUtmYcZR0ttFiG4/edit?usp=sharing"",""ลำปาง!J429"")+IMPORTRANGE(""https://docs.goog"&amp;"le.com/spreadsheets/d/1ICwG78r0OFT8biBlxnBF8r7she7gNSzOvJ958PWT09c/edit?usp=sharing"",""ลำพูน!J429"")+IMPORTRANGE(""https://docs.google.com/spreadsheets/d/1B0f2xJpZUC6Z0xXnqKlZtEPzsf6L84eP1r1Q15seqRM/edit?usp=sharing"",""สุโขทัย!J429"")+IMPORTRANGE(""http"&amp;"s://docs.google.com/spreadsheets/d/1v0b9pFQCsKUVExMei7AgY2yQkdeNQvtOssygGsXbiKo/edit?usp=sharing"",""อุตรดิตถ์!J429"")+IMPORTRANGE(""https://docs.google.com/spreadsheets/d/1UsNK1e-WWiCo2PvGqdNfdme4m17_Ezd3J69EeeiQPD0/edit?usp=sharing"",""อุทัยธานี!J429"")"),0)</f>
        <v>0</v>
      </c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166">
        <f ca="1">IFERROR(__xludf.DUMMYFUNCTION("IMPORTRANGE(""https://docs.google.com/spreadsheets/d/1jTcq05yEiRwXcBMLjiodW9e4biSGYWAHcDj22rKWQ3s/edit?usp=sharing"",""กำแพงเพชร!J430"")+IMPORTRANGE(""https://docs.google.com/spreadsheets/d/1KS0zmDSZPk8KnTAbGN-Xk6MtX1YRZD0ldgdt20K4CRk/edit?usp=sharing"","&amp;"""เชียงราย!J430"")+IMPORTRANGE(""https://docs.google.com/spreadsheets/d/1rEDxBtusbi64tE0zunoIbsTVV16HeL0oJ6trHQeQ7K8/edit?usp=sharing"",""เชียงใหม่!J430"")+IMPORTRANGE(""https://docs.google.com/spreadsheets/d/1W6MnUbDkMi6xHnHko_XkFDO9kkuL6Wqyc-6OCDFjW9I/e"&amp;"dit?usp=sharing"",""ตาก!J430"")+IMPORTRANGE(""https://docs.google.com/spreadsheets/d/1IQAWArduLkta9LpYo4a_ULsyqdta6-6aDDiwpUnQT6c/edit?usp=sharing"",""นครสวรรค์!J430"")+IMPORTRANGE(""https://docs.google.com/spreadsheets/d/10s13Sk5xrltsiR-Zkbmk5DwIaDIKO8Xl"&amp;"bJAfqyT7Gvg/edit?usp=sharing"",""น่าน!J430"")+IMPORTRANGE(""https://docs.google.com/spreadsheets/d/1uu4nAn4Dbi1XREnLKKotUANlKXa7yCgRcgq8HEzQYW8/edit?usp=sharing"",""พะเยา!J430"")+IMPORTRANGE(""https://docs.google.com/spreadsheets/d/1xfJKIQxVOaPDIICqsflNlL"&amp;"u3JacTDk1FP9RH4phX7mI/edit?usp=sharing"",""พิจิตร!J430"")+IMPORTRANGE(""https://docs.google.com/spreadsheets/d/1JtRfZkJMHtEhI5RdRHxYUG4FIZHqKDpNyIuN7A1Q0_k/edit?usp=sharing"",""พิษณุโลก!J430"")+IMPORTRANGE(""https://docs.google.com/spreadsheets/d/1xlcVZWU"&amp;"Nn6SuWm0c307h32SiGkd9BaeQWlAktfD3KO8/edit?usp=sharing"",""เพชรบูรณ์!J430"")+IMPORTRANGE(""https://docs.google.com/spreadsheets/d/1lOVebEIsI9qjGXl6EX66luk7wiuP2tBaryw-wKvv4e0/edit?usp=sharing"",""แพร่!J430"")+IMPORTRANGE(""https://docs.google.com/spreadshe"&amp;"ets/d/1dQrvX0vEcN7Gu0fnZ0B5S90AeR19zth4XlExFBeExMY/edit?usp=sharing"",""แม่ฮ่องสอน!J430"")+IMPORTRANGE(""https://docs.google.com/spreadsheets/d/1DY4XTNNwjluuxqdfdn6qvOSlMRrZqUtmYcZR0ttFiG4/edit?usp=sharing"",""ลำปาง!J430"")+IMPORTRANGE(""https://docs.goog"&amp;"le.com/spreadsheets/d/1ICwG78r0OFT8biBlxnBF8r7she7gNSzOvJ958PWT09c/edit?usp=sharing"",""ลำพูน!J430"")+IMPORTRANGE(""https://docs.google.com/spreadsheets/d/1B0f2xJpZUC6Z0xXnqKlZtEPzsf6L84eP1r1Q15seqRM/edit?usp=sharing"",""สุโขทัย!J430"")+IMPORTRANGE(""http"&amp;"s://docs.google.com/spreadsheets/d/1v0b9pFQCsKUVExMei7AgY2yQkdeNQvtOssygGsXbiKo/edit?usp=sharing"",""อุตรดิตถ์!J430"")+IMPORTRANGE(""https://docs.google.com/spreadsheets/d/1UsNK1e-WWiCo2PvGqdNfdme4m17_Ezd3J69EeeiQPD0/edit?usp=sharing"",""อุทัยธานี!J430"")"),0)</f>
        <v>0</v>
      </c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166">
        <f ca="1">IFERROR(__xludf.DUMMYFUNCTION("IMPORTRANGE(""https://docs.google.com/spreadsheets/d/1jTcq05yEiRwXcBMLjiodW9e4biSGYWAHcDj22rKWQ3s/edit?usp=sharing"",""กำแพงเพชร!J431"")+IMPORTRANGE(""https://docs.google.com/spreadsheets/d/1KS0zmDSZPk8KnTAbGN-Xk6MtX1YRZD0ldgdt20K4CRk/edit?usp=sharing"","&amp;"""เชียงราย!J431"")+IMPORTRANGE(""https://docs.google.com/spreadsheets/d/1rEDxBtusbi64tE0zunoIbsTVV16HeL0oJ6trHQeQ7K8/edit?usp=sharing"",""เชียงใหม่!J431"")+IMPORTRANGE(""https://docs.google.com/spreadsheets/d/1W6MnUbDkMi6xHnHko_XkFDO9kkuL6Wqyc-6OCDFjW9I/e"&amp;"dit?usp=sharing"",""ตาก!J431"")+IMPORTRANGE(""https://docs.google.com/spreadsheets/d/1IQAWArduLkta9LpYo4a_ULsyqdta6-6aDDiwpUnQT6c/edit?usp=sharing"",""นครสวรรค์!J431"")+IMPORTRANGE(""https://docs.google.com/spreadsheets/d/10s13Sk5xrltsiR-Zkbmk5DwIaDIKO8Xl"&amp;"bJAfqyT7Gvg/edit?usp=sharing"",""น่าน!J431"")+IMPORTRANGE(""https://docs.google.com/spreadsheets/d/1uu4nAn4Dbi1XREnLKKotUANlKXa7yCgRcgq8HEzQYW8/edit?usp=sharing"",""พะเยา!J431"")+IMPORTRANGE(""https://docs.google.com/spreadsheets/d/1xfJKIQxVOaPDIICqsflNlL"&amp;"u3JacTDk1FP9RH4phX7mI/edit?usp=sharing"",""พิจิตร!J431"")+IMPORTRANGE(""https://docs.google.com/spreadsheets/d/1JtRfZkJMHtEhI5RdRHxYUG4FIZHqKDpNyIuN7A1Q0_k/edit?usp=sharing"",""พิษณุโลก!J431"")+IMPORTRANGE(""https://docs.google.com/spreadsheets/d/1xlcVZWU"&amp;"Nn6SuWm0c307h32SiGkd9BaeQWlAktfD3KO8/edit?usp=sharing"",""เพชรบูรณ์!J431"")+IMPORTRANGE(""https://docs.google.com/spreadsheets/d/1lOVebEIsI9qjGXl6EX66luk7wiuP2tBaryw-wKvv4e0/edit?usp=sharing"",""แพร่!J431"")+IMPORTRANGE(""https://docs.google.com/spreadshe"&amp;"ets/d/1dQrvX0vEcN7Gu0fnZ0B5S90AeR19zth4XlExFBeExMY/edit?usp=sharing"",""แม่ฮ่องสอน!J431"")+IMPORTRANGE(""https://docs.google.com/spreadsheets/d/1DY4XTNNwjluuxqdfdn6qvOSlMRrZqUtmYcZR0ttFiG4/edit?usp=sharing"",""ลำปาง!J431"")+IMPORTRANGE(""https://docs.goog"&amp;"le.com/spreadsheets/d/1ICwG78r0OFT8biBlxnBF8r7she7gNSzOvJ958PWT09c/edit?usp=sharing"",""ลำพูน!J431"")+IMPORTRANGE(""https://docs.google.com/spreadsheets/d/1B0f2xJpZUC6Z0xXnqKlZtEPzsf6L84eP1r1Q15seqRM/edit?usp=sharing"",""สุโขทัย!J431"")+IMPORTRANGE(""http"&amp;"s://docs.google.com/spreadsheets/d/1v0b9pFQCsKUVExMei7AgY2yQkdeNQvtOssygGsXbiKo/edit?usp=sharing"",""อุตรดิตถ์!J431"")+IMPORTRANGE(""https://docs.google.com/spreadsheets/d/1UsNK1e-WWiCo2PvGqdNfdme4m17_Ezd3J69EeeiQPD0/edit?usp=sharing"",""อุทัยธานี!J431"")"),0)</f>
        <v>0</v>
      </c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147">
        <f ca="1">IFERROR(__xludf.DUMMYFUNCTION("IMPORTRANGE(""https://docs.google.com/spreadsheets/d/1jTcq05yEiRwXcBMLjiodW9e4biSGYWAHcDj22rKWQ3s/edit?usp=sharing"",""กำแพงเพชร!I432"")+IMPORTRANGE(""https://docs.google.com/spreadsheets/d/1KS0zmDSZPk8KnTAbGN-Xk6MtX1YRZD0ldgdt20K4CRk/edit?usp=sharing"","&amp;"""เชียงราย!I432"")+IMPORTRANGE(""https://docs.google.com/spreadsheets/d/1rEDxBtusbi64tE0zunoIbsTVV16HeL0oJ6trHQeQ7K8/edit?usp=sharing"",""เชียงใหม่!I432"")+IMPORTRANGE(""https://docs.google.com/spreadsheets/d/1W6MnUbDkMi6xHnHko_XkFDO9kkuL6Wqyc-6OCDFjW9I/e"&amp;"dit?usp=sharing"",""ตาก!I432"")+IMPORTRANGE(""https://docs.google.com/spreadsheets/d/1IQAWArduLkta9LpYo4a_ULsyqdta6-6aDDiwpUnQT6c/edit?usp=sharing"",""นครสวรรค์!I432"")+IMPORTRANGE(""https://docs.google.com/spreadsheets/d/10s13Sk5xrltsiR-Zkbmk5DwIaDIKO8Xl"&amp;"bJAfqyT7Gvg/edit?usp=sharing"",""น่าน!I432"")+IMPORTRANGE(""https://docs.google.com/spreadsheets/d/1uu4nAn4Dbi1XREnLKKotUANlKXa7yCgRcgq8HEzQYW8/edit?usp=sharing"",""พะเยา!I432"")+IMPORTRANGE(""https://docs.google.com/spreadsheets/d/1xfJKIQxVOaPDIICqsflNlL"&amp;"u3JacTDk1FP9RH4phX7mI/edit?usp=sharing"",""พิจิตร!I432"")+IMPORTRANGE(""https://docs.google.com/spreadsheets/d/1JtRfZkJMHtEhI5RdRHxYUG4FIZHqKDpNyIuN7A1Q0_k/edit?usp=sharing"",""พิษณุโลก!I432"")+IMPORTRANGE(""https://docs.google.com/spreadsheets/d/1xlcVZWU"&amp;"Nn6SuWm0c307h32SiGkd9BaeQWlAktfD3KO8/edit?usp=sharing"",""เพชรบูรณ์!I432"")+IMPORTRANGE(""https://docs.google.com/spreadsheets/d/1lOVebEIsI9qjGXl6EX66luk7wiuP2tBaryw-wKvv4e0/edit?usp=sharing"",""แพร่!I432"")+IMPORTRANGE(""https://docs.google.com/spreadshe"&amp;"ets/d/1dQrvX0vEcN7Gu0fnZ0B5S90AeR19zth4XlExFBeExMY/edit?usp=sharing"",""แม่ฮ่องสอน!I432"")+IMPORTRANGE(""https://docs.google.com/spreadsheets/d/1DY4XTNNwjluuxqdfdn6qvOSlMRrZqUtmYcZR0ttFiG4/edit?usp=sharing"",""ลำปาง!I432"")+IMPORTRANGE(""https://docs.goog"&amp;"le.com/spreadsheets/d/1ICwG78r0OFT8biBlxnBF8r7she7gNSzOvJ958PWT09c/edit?usp=sharing"",""ลำพูน!I432"")+IMPORTRANGE(""https://docs.google.com/spreadsheets/d/1B0f2xJpZUC6Z0xXnqKlZtEPzsf6L84eP1r1Q15seqRM/edit?usp=sharing"",""สุโขทัย!I432"")+IMPORTRANGE(""http"&amp;"s://docs.google.com/spreadsheets/d/1v0b9pFQCsKUVExMei7AgY2yQkdeNQvtOssygGsXbiKo/edit?usp=sharing"",""อุตรดิตถ์!I432"")+IMPORTRANGE(""https://docs.google.com/spreadsheets/d/1UsNK1e-WWiCo2PvGqdNfdme4m17_Ezd3J69EeeiQPD0/edit?usp=sharing"",""อุทัยธานี!I432"")"),0)</f>
        <v>0</v>
      </c>
      <c r="J432" s="147">
        <f t="shared" ref="J432:J433" ca="1" si="330">J434+J436+J438</f>
        <v>0</v>
      </c>
      <c r="K432" s="132">
        <f t="shared" ref="K432:K433" ca="1" si="331">IF(I432&gt;0,J432*100/I432,0)</f>
        <v>0</v>
      </c>
      <c r="L432" s="45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147">
        <f ca="1">IFERROR(__xludf.DUMMYFUNCTION("IMPORTRANGE(""https://docs.google.com/spreadsheets/d/1jTcq05yEiRwXcBMLjiodW9e4biSGYWAHcDj22rKWQ3s/edit?usp=sharing"",""กำแพงเพชร!I433"")+IMPORTRANGE(""https://docs.google.com/spreadsheets/d/1KS0zmDSZPk8KnTAbGN-Xk6MtX1YRZD0ldgdt20K4CRk/edit?usp=sharing"","&amp;"""เชียงราย!I433"")+IMPORTRANGE(""https://docs.google.com/spreadsheets/d/1rEDxBtusbi64tE0zunoIbsTVV16HeL0oJ6trHQeQ7K8/edit?usp=sharing"",""เชียงใหม่!I433"")+IMPORTRANGE(""https://docs.google.com/spreadsheets/d/1W6MnUbDkMi6xHnHko_XkFDO9kkuL6Wqyc-6OCDFjW9I/e"&amp;"dit?usp=sharing"",""ตาก!I433"")+IMPORTRANGE(""https://docs.google.com/spreadsheets/d/1IQAWArduLkta9LpYo4a_ULsyqdta6-6aDDiwpUnQT6c/edit?usp=sharing"",""นครสวรรค์!I433"")+IMPORTRANGE(""https://docs.google.com/spreadsheets/d/10s13Sk5xrltsiR-Zkbmk5DwIaDIKO8Xl"&amp;"bJAfqyT7Gvg/edit?usp=sharing"",""น่าน!I433"")+IMPORTRANGE(""https://docs.google.com/spreadsheets/d/1uu4nAn4Dbi1XREnLKKotUANlKXa7yCgRcgq8HEzQYW8/edit?usp=sharing"",""พะเยา!I433"")+IMPORTRANGE(""https://docs.google.com/spreadsheets/d/1xfJKIQxVOaPDIICqsflNlL"&amp;"u3JacTDk1FP9RH4phX7mI/edit?usp=sharing"",""พิจิตร!I433"")+IMPORTRANGE(""https://docs.google.com/spreadsheets/d/1JtRfZkJMHtEhI5RdRHxYUG4FIZHqKDpNyIuN7A1Q0_k/edit?usp=sharing"",""พิษณุโลก!I433"")+IMPORTRANGE(""https://docs.google.com/spreadsheets/d/1xlcVZWU"&amp;"Nn6SuWm0c307h32SiGkd9BaeQWlAktfD3KO8/edit?usp=sharing"",""เพชรบูรณ์!I433"")+IMPORTRANGE(""https://docs.google.com/spreadsheets/d/1lOVebEIsI9qjGXl6EX66luk7wiuP2tBaryw-wKvv4e0/edit?usp=sharing"",""แพร่!I433"")+IMPORTRANGE(""https://docs.google.com/spreadshe"&amp;"ets/d/1dQrvX0vEcN7Gu0fnZ0B5S90AeR19zth4XlExFBeExMY/edit?usp=sharing"",""แม่ฮ่องสอน!I433"")+IMPORTRANGE(""https://docs.google.com/spreadsheets/d/1DY4XTNNwjluuxqdfdn6qvOSlMRrZqUtmYcZR0ttFiG4/edit?usp=sharing"",""ลำปาง!I433"")+IMPORTRANGE(""https://docs.goog"&amp;"le.com/spreadsheets/d/1ICwG78r0OFT8biBlxnBF8r7she7gNSzOvJ958PWT09c/edit?usp=sharing"",""ลำพูน!I433"")+IMPORTRANGE(""https://docs.google.com/spreadsheets/d/1B0f2xJpZUC6Z0xXnqKlZtEPzsf6L84eP1r1Q15seqRM/edit?usp=sharing"",""สุโขทัย!I433"")+IMPORTRANGE(""http"&amp;"s://docs.google.com/spreadsheets/d/1v0b9pFQCsKUVExMei7AgY2yQkdeNQvtOssygGsXbiKo/edit?usp=sharing"",""อุตรดิตถ์!I433"")+IMPORTRANGE(""https://docs.google.com/spreadsheets/d/1UsNK1e-WWiCo2PvGqdNfdme4m17_Ezd3J69EeeiQPD0/edit?usp=sharing"",""อุทัยธานี!I433"")"),0)</f>
        <v>0</v>
      </c>
      <c r="J433" s="147">
        <f t="shared" ca="1" si="330"/>
        <v>0</v>
      </c>
      <c r="K433" s="132">
        <f t="shared" ca="1" si="331"/>
        <v>0</v>
      </c>
      <c r="L433" s="45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166">
        <f ca="1">IFERROR(__xludf.DUMMYFUNCTION("IMPORTRANGE(""https://docs.google.com/spreadsheets/d/1jTcq05yEiRwXcBMLjiodW9e4biSGYWAHcDj22rKWQ3s/edit?usp=sharing"",""กำแพงเพชร!J434"")+IMPORTRANGE(""https://docs.google.com/spreadsheets/d/1KS0zmDSZPk8KnTAbGN-Xk6MtX1YRZD0ldgdt20K4CRk/edit?usp=sharing"","&amp;"""เชียงราย!J434"")+IMPORTRANGE(""https://docs.google.com/spreadsheets/d/1rEDxBtusbi64tE0zunoIbsTVV16HeL0oJ6trHQeQ7K8/edit?usp=sharing"",""เชียงใหม่!J434"")+IMPORTRANGE(""https://docs.google.com/spreadsheets/d/1W6MnUbDkMi6xHnHko_XkFDO9kkuL6Wqyc-6OCDFjW9I/e"&amp;"dit?usp=sharing"",""ตาก!J434"")+IMPORTRANGE(""https://docs.google.com/spreadsheets/d/1IQAWArduLkta9LpYo4a_ULsyqdta6-6aDDiwpUnQT6c/edit?usp=sharing"",""นครสวรรค์!J434"")+IMPORTRANGE(""https://docs.google.com/spreadsheets/d/10s13Sk5xrltsiR-Zkbmk5DwIaDIKO8Xl"&amp;"bJAfqyT7Gvg/edit?usp=sharing"",""น่าน!J434"")+IMPORTRANGE(""https://docs.google.com/spreadsheets/d/1uu4nAn4Dbi1XREnLKKotUANlKXa7yCgRcgq8HEzQYW8/edit?usp=sharing"",""พะเยา!J434"")+IMPORTRANGE(""https://docs.google.com/spreadsheets/d/1xfJKIQxVOaPDIICqsflNlL"&amp;"u3JacTDk1FP9RH4phX7mI/edit?usp=sharing"",""พิจิตร!J434"")+IMPORTRANGE(""https://docs.google.com/spreadsheets/d/1JtRfZkJMHtEhI5RdRHxYUG4FIZHqKDpNyIuN7A1Q0_k/edit?usp=sharing"",""พิษณุโลก!J434"")+IMPORTRANGE(""https://docs.google.com/spreadsheets/d/1xlcVZWU"&amp;"Nn6SuWm0c307h32SiGkd9BaeQWlAktfD3KO8/edit?usp=sharing"",""เพชรบูรณ์!J434"")+IMPORTRANGE(""https://docs.google.com/spreadsheets/d/1lOVebEIsI9qjGXl6EX66luk7wiuP2tBaryw-wKvv4e0/edit?usp=sharing"",""แพร่!J434"")+IMPORTRANGE(""https://docs.google.com/spreadshe"&amp;"ets/d/1dQrvX0vEcN7Gu0fnZ0B5S90AeR19zth4XlExFBeExMY/edit?usp=sharing"",""แม่ฮ่องสอน!J434"")+IMPORTRANGE(""https://docs.google.com/spreadsheets/d/1DY4XTNNwjluuxqdfdn6qvOSlMRrZqUtmYcZR0ttFiG4/edit?usp=sharing"",""ลำปาง!J434"")+IMPORTRANGE(""https://docs.goog"&amp;"le.com/spreadsheets/d/1ICwG78r0OFT8biBlxnBF8r7she7gNSzOvJ958PWT09c/edit?usp=sharing"",""ลำพูน!J434"")+IMPORTRANGE(""https://docs.google.com/spreadsheets/d/1B0f2xJpZUC6Z0xXnqKlZtEPzsf6L84eP1r1Q15seqRM/edit?usp=sharing"",""สุโขทัย!J434"")+IMPORTRANGE(""http"&amp;"s://docs.google.com/spreadsheets/d/1v0b9pFQCsKUVExMei7AgY2yQkdeNQvtOssygGsXbiKo/edit?usp=sharing"",""อุตรดิตถ์!J434"")+IMPORTRANGE(""https://docs.google.com/spreadsheets/d/1UsNK1e-WWiCo2PvGqdNfdme4m17_Ezd3J69EeeiQPD0/edit?usp=sharing"",""อุทัยธานี!J434"")"),0)</f>
        <v>0</v>
      </c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166">
        <f ca="1">IFERROR(__xludf.DUMMYFUNCTION("IMPORTRANGE(""https://docs.google.com/spreadsheets/d/1jTcq05yEiRwXcBMLjiodW9e4biSGYWAHcDj22rKWQ3s/edit?usp=sharing"",""กำแพงเพชร!J435"")+IMPORTRANGE(""https://docs.google.com/spreadsheets/d/1KS0zmDSZPk8KnTAbGN-Xk6MtX1YRZD0ldgdt20K4CRk/edit?usp=sharing"","&amp;"""เชียงราย!J435"")+IMPORTRANGE(""https://docs.google.com/spreadsheets/d/1rEDxBtusbi64tE0zunoIbsTVV16HeL0oJ6trHQeQ7K8/edit?usp=sharing"",""เชียงใหม่!J435"")+IMPORTRANGE(""https://docs.google.com/spreadsheets/d/1W6MnUbDkMi6xHnHko_XkFDO9kkuL6Wqyc-6OCDFjW9I/e"&amp;"dit?usp=sharing"",""ตาก!J435"")+IMPORTRANGE(""https://docs.google.com/spreadsheets/d/1IQAWArduLkta9LpYo4a_ULsyqdta6-6aDDiwpUnQT6c/edit?usp=sharing"",""นครสวรรค์!J435"")+IMPORTRANGE(""https://docs.google.com/spreadsheets/d/10s13Sk5xrltsiR-Zkbmk5DwIaDIKO8Xl"&amp;"bJAfqyT7Gvg/edit?usp=sharing"",""น่าน!J435"")+IMPORTRANGE(""https://docs.google.com/spreadsheets/d/1uu4nAn4Dbi1XREnLKKotUANlKXa7yCgRcgq8HEzQYW8/edit?usp=sharing"",""พะเยา!J435"")+IMPORTRANGE(""https://docs.google.com/spreadsheets/d/1xfJKIQxVOaPDIICqsflNlL"&amp;"u3JacTDk1FP9RH4phX7mI/edit?usp=sharing"",""พิจิตร!J435"")+IMPORTRANGE(""https://docs.google.com/spreadsheets/d/1JtRfZkJMHtEhI5RdRHxYUG4FIZHqKDpNyIuN7A1Q0_k/edit?usp=sharing"",""พิษณุโลก!J435"")+IMPORTRANGE(""https://docs.google.com/spreadsheets/d/1xlcVZWU"&amp;"Nn6SuWm0c307h32SiGkd9BaeQWlAktfD3KO8/edit?usp=sharing"",""เพชรบูรณ์!J435"")+IMPORTRANGE(""https://docs.google.com/spreadsheets/d/1lOVebEIsI9qjGXl6EX66luk7wiuP2tBaryw-wKvv4e0/edit?usp=sharing"",""แพร่!J435"")+IMPORTRANGE(""https://docs.google.com/spreadshe"&amp;"ets/d/1dQrvX0vEcN7Gu0fnZ0B5S90AeR19zth4XlExFBeExMY/edit?usp=sharing"",""แม่ฮ่องสอน!J435"")+IMPORTRANGE(""https://docs.google.com/spreadsheets/d/1DY4XTNNwjluuxqdfdn6qvOSlMRrZqUtmYcZR0ttFiG4/edit?usp=sharing"",""ลำปาง!J435"")+IMPORTRANGE(""https://docs.goog"&amp;"le.com/spreadsheets/d/1ICwG78r0OFT8biBlxnBF8r7she7gNSzOvJ958PWT09c/edit?usp=sharing"",""ลำพูน!J435"")+IMPORTRANGE(""https://docs.google.com/spreadsheets/d/1B0f2xJpZUC6Z0xXnqKlZtEPzsf6L84eP1r1Q15seqRM/edit?usp=sharing"",""สุโขทัย!J435"")+IMPORTRANGE(""http"&amp;"s://docs.google.com/spreadsheets/d/1v0b9pFQCsKUVExMei7AgY2yQkdeNQvtOssygGsXbiKo/edit?usp=sharing"",""อุตรดิตถ์!J435"")+IMPORTRANGE(""https://docs.google.com/spreadsheets/d/1UsNK1e-WWiCo2PvGqdNfdme4m17_Ezd3J69EeeiQPD0/edit?usp=sharing"",""อุทัยธานี!J435"")"),0)</f>
        <v>0</v>
      </c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166">
        <f ca="1">IFERROR(__xludf.DUMMYFUNCTION("IMPORTRANGE(""https://docs.google.com/spreadsheets/d/1jTcq05yEiRwXcBMLjiodW9e4biSGYWAHcDj22rKWQ3s/edit?usp=sharing"",""กำแพงเพชร!J436"")+IMPORTRANGE(""https://docs.google.com/spreadsheets/d/1KS0zmDSZPk8KnTAbGN-Xk6MtX1YRZD0ldgdt20K4CRk/edit?usp=sharing"","&amp;"""เชียงราย!J436"")+IMPORTRANGE(""https://docs.google.com/spreadsheets/d/1rEDxBtusbi64tE0zunoIbsTVV16HeL0oJ6trHQeQ7K8/edit?usp=sharing"",""เชียงใหม่!J436"")+IMPORTRANGE(""https://docs.google.com/spreadsheets/d/1W6MnUbDkMi6xHnHko_XkFDO9kkuL6Wqyc-6OCDFjW9I/e"&amp;"dit?usp=sharing"",""ตาก!J436"")+IMPORTRANGE(""https://docs.google.com/spreadsheets/d/1IQAWArduLkta9LpYo4a_ULsyqdta6-6aDDiwpUnQT6c/edit?usp=sharing"",""นครสวรรค์!J436"")+IMPORTRANGE(""https://docs.google.com/spreadsheets/d/10s13Sk5xrltsiR-Zkbmk5DwIaDIKO8Xl"&amp;"bJAfqyT7Gvg/edit?usp=sharing"",""น่าน!J436"")+IMPORTRANGE(""https://docs.google.com/spreadsheets/d/1uu4nAn4Dbi1XREnLKKotUANlKXa7yCgRcgq8HEzQYW8/edit?usp=sharing"",""พะเยา!J436"")+IMPORTRANGE(""https://docs.google.com/spreadsheets/d/1xfJKIQxVOaPDIICqsflNlL"&amp;"u3JacTDk1FP9RH4phX7mI/edit?usp=sharing"",""พิจิตร!J436"")+IMPORTRANGE(""https://docs.google.com/spreadsheets/d/1JtRfZkJMHtEhI5RdRHxYUG4FIZHqKDpNyIuN7A1Q0_k/edit?usp=sharing"",""พิษณุโลก!J436"")+IMPORTRANGE(""https://docs.google.com/spreadsheets/d/1xlcVZWU"&amp;"Nn6SuWm0c307h32SiGkd9BaeQWlAktfD3KO8/edit?usp=sharing"",""เพชรบูรณ์!J436"")+IMPORTRANGE(""https://docs.google.com/spreadsheets/d/1lOVebEIsI9qjGXl6EX66luk7wiuP2tBaryw-wKvv4e0/edit?usp=sharing"",""แพร่!J436"")+IMPORTRANGE(""https://docs.google.com/spreadshe"&amp;"ets/d/1dQrvX0vEcN7Gu0fnZ0B5S90AeR19zth4XlExFBeExMY/edit?usp=sharing"",""แม่ฮ่องสอน!J436"")+IMPORTRANGE(""https://docs.google.com/spreadsheets/d/1DY4XTNNwjluuxqdfdn6qvOSlMRrZqUtmYcZR0ttFiG4/edit?usp=sharing"",""ลำปาง!J436"")+IMPORTRANGE(""https://docs.goog"&amp;"le.com/spreadsheets/d/1ICwG78r0OFT8biBlxnBF8r7she7gNSzOvJ958PWT09c/edit?usp=sharing"",""ลำพูน!J436"")+IMPORTRANGE(""https://docs.google.com/spreadsheets/d/1B0f2xJpZUC6Z0xXnqKlZtEPzsf6L84eP1r1Q15seqRM/edit?usp=sharing"",""สุโขทัย!J436"")+IMPORTRANGE(""http"&amp;"s://docs.google.com/spreadsheets/d/1v0b9pFQCsKUVExMei7AgY2yQkdeNQvtOssygGsXbiKo/edit?usp=sharing"",""อุตรดิตถ์!J436"")+IMPORTRANGE(""https://docs.google.com/spreadsheets/d/1UsNK1e-WWiCo2PvGqdNfdme4m17_Ezd3J69EeeiQPD0/edit?usp=sharing"",""อุทัยธานี!J436"")"),0)</f>
        <v>0</v>
      </c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166">
        <f ca="1">IFERROR(__xludf.DUMMYFUNCTION("IMPORTRANGE(""https://docs.google.com/spreadsheets/d/1jTcq05yEiRwXcBMLjiodW9e4biSGYWAHcDj22rKWQ3s/edit?usp=sharing"",""กำแพงเพชร!J437"")+IMPORTRANGE(""https://docs.google.com/spreadsheets/d/1KS0zmDSZPk8KnTAbGN-Xk6MtX1YRZD0ldgdt20K4CRk/edit?usp=sharing"","&amp;"""เชียงราย!J437"")+IMPORTRANGE(""https://docs.google.com/spreadsheets/d/1rEDxBtusbi64tE0zunoIbsTVV16HeL0oJ6trHQeQ7K8/edit?usp=sharing"",""เชียงใหม่!J437"")+IMPORTRANGE(""https://docs.google.com/spreadsheets/d/1W6MnUbDkMi6xHnHko_XkFDO9kkuL6Wqyc-6OCDFjW9I/e"&amp;"dit?usp=sharing"",""ตาก!J437"")+IMPORTRANGE(""https://docs.google.com/spreadsheets/d/1IQAWArduLkta9LpYo4a_ULsyqdta6-6aDDiwpUnQT6c/edit?usp=sharing"",""นครสวรรค์!J437"")+IMPORTRANGE(""https://docs.google.com/spreadsheets/d/10s13Sk5xrltsiR-Zkbmk5DwIaDIKO8Xl"&amp;"bJAfqyT7Gvg/edit?usp=sharing"",""น่าน!J437"")+IMPORTRANGE(""https://docs.google.com/spreadsheets/d/1uu4nAn4Dbi1XREnLKKotUANlKXa7yCgRcgq8HEzQYW8/edit?usp=sharing"",""พะเยา!J437"")+IMPORTRANGE(""https://docs.google.com/spreadsheets/d/1xfJKIQxVOaPDIICqsflNlL"&amp;"u3JacTDk1FP9RH4phX7mI/edit?usp=sharing"",""พิจิตร!J437"")+IMPORTRANGE(""https://docs.google.com/spreadsheets/d/1JtRfZkJMHtEhI5RdRHxYUG4FIZHqKDpNyIuN7A1Q0_k/edit?usp=sharing"",""พิษณุโลก!J437"")+IMPORTRANGE(""https://docs.google.com/spreadsheets/d/1xlcVZWU"&amp;"Nn6SuWm0c307h32SiGkd9BaeQWlAktfD3KO8/edit?usp=sharing"",""เพชรบูรณ์!J437"")+IMPORTRANGE(""https://docs.google.com/spreadsheets/d/1lOVebEIsI9qjGXl6EX66luk7wiuP2tBaryw-wKvv4e0/edit?usp=sharing"",""แพร่!J437"")+IMPORTRANGE(""https://docs.google.com/spreadshe"&amp;"ets/d/1dQrvX0vEcN7Gu0fnZ0B5S90AeR19zth4XlExFBeExMY/edit?usp=sharing"",""แม่ฮ่องสอน!J437"")+IMPORTRANGE(""https://docs.google.com/spreadsheets/d/1DY4XTNNwjluuxqdfdn6qvOSlMRrZqUtmYcZR0ttFiG4/edit?usp=sharing"",""ลำปาง!J437"")+IMPORTRANGE(""https://docs.goog"&amp;"le.com/spreadsheets/d/1ICwG78r0OFT8biBlxnBF8r7she7gNSzOvJ958PWT09c/edit?usp=sharing"",""ลำพูน!J437"")+IMPORTRANGE(""https://docs.google.com/spreadsheets/d/1B0f2xJpZUC6Z0xXnqKlZtEPzsf6L84eP1r1Q15seqRM/edit?usp=sharing"",""สุโขทัย!J437"")+IMPORTRANGE(""http"&amp;"s://docs.google.com/spreadsheets/d/1v0b9pFQCsKUVExMei7AgY2yQkdeNQvtOssygGsXbiKo/edit?usp=sharing"",""อุตรดิตถ์!J437"")+IMPORTRANGE(""https://docs.google.com/spreadsheets/d/1UsNK1e-WWiCo2PvGqdNfdme4m17_Ezd3J69EeeiQPD0/edit?usp=sharing"",""อุทัยธานี!J437"")"),0)</f>
        <v>0</v>
      </c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166">
        <f ca="1">IFERROR(__xludf.DUMMYFUNCTION("IMPORTRANGE(""https://docs.google.com/spreadsheets/d/1jTcq05yEiRwXcBMLjiodW9e4biSGYWAHcDj22rKWQ3s/edit?usp=sharing"",""กำแพงเพชร!J438"")+IMPORTRANGE(""https://docs.google.com/spreadsheets/d/1KS0zmDSZPk8KnTAbGN-Xk6MtX1YRZD0ldgdt20K4CRk/edit?usp=sharing"","&amp;"""เชียงราย!J438"")+IMPORTRANGE(""https://docs.google.com/spreadsheets/d/1rEDxBtusbi64tE0zunoIbsTVV16HeL0oJ6trHQeQ7K8/edit?usp=sharing"",""เชียงใหม่!J438"")+IMPORTRANGE(""https://docs.google.com/spreadsheets/d/1W6MnUbDkMi6xHnHko_XkFDO9kkuL6Wqyc-6OCDFjW9I/e"&amp;"dit?usp=sharing"",""ตาก!J438"")+IMPORTRANGE(""https://docs.google.com/spreadsheets/d/1IQAWArduLkta9LpYo4a_ULsyqdta6-6aDDiwpUnQT6c/edit?usp=sharing"",""นครสวรรค์!J438"")+IMPORTRANGE(""https://docs.google.com/spreadsheets/d/10s13Sk5xrltsiR-Zkbmk5DwIaDIKO8Xl"&amp;"bJAfqyT7Gvg/edit?usp=sharing"",""น่าน!J438"")+IMPORTRANGE(""https://docs.google.com/spreadsheets/d/1uu4nAn4Dbi1XREnLKKotUANlKXa7yCgRcgq8HEzQYW8/edit?usp=sharing"",""พะเยา!J438"")+IMPORTRANGE(""https://docs.google.com/spreadsheets/d/1xfJKIQxVOaPDIICqsflNlL"&amp;"u3JacTDk1FP9RH4phX7mI/edit?usp=sharing"",""พิจิตร!J438"")+IMPORTRANGE(""https://docs.google.com/spreadsheets/d/1JtRfZkJMHtEhI5RdRHxYUG4FIZHqKDpNyIuN7A1Q0_k/edit?usp=sharing"",""พิษณุโลก!J438"")+IMPORTRANGE(""https://docs.google.com/spreadsheets/d/1xlcVZWU"&amp;"Nn6SuWm0c307h32SiGkd9BaeQWlAktfD3KO8/edit?usp=sharing"",""เพชรบูรณ์!J438"")+IMPORTRANGE(""https://docs.google.com/spreadsheets/d/1lOVebEIsI9qjGXl6EX66luk7wiuP2tBaryw-wKvv4e0/edit?usp=sharing"",""แพร่!J438"")+IMPORTRANGE(""https://docs.google.com/spreadshe"&amp;"ets/d/1dQrvX0vEcN7Gu0fnZ0B5S90AeR19zth4XlExFBeExMY/edit?usp=sharing"",""แม่ฮ่องสอน!J438"")+IMPORTRANGE(""https://docs.google.com/spreadsheets/d/1DY4XTNNwjluuxqdfdn6qvOSlMRrZqUtmYcZR0ttFiG4/edit?usp=sharing"",""ลำปาง!J438"")+IMPORTRANGE(""https://docs.goog"&amp;"le.com/spreadsheets/d/1ICwG78r0OFT8biBlxnBF8r7she7gNSzOvJ958PWT09c/edit?usp=sharing"",""ลำพูน!J438"")+IMPORTRANGE(""https://docs.google.com/spreadsheets/d/1B0f2xJpZUC6Z0xXnqKlZtEPzsf6L84eP1r1Q15seqRM/edit?usp=sharing"",""สุโขทัย!J438"")+IMPORTRANGE(""http"&amp;"s://docs.google.com/spreadsheets/d/1v0b9pFQCsKUVExMei7AgY2yQkdeNQvtOssygGsXbiKo/edit?usp=sharing"",""อุตรดิตถ์!J438"")+IMPORTRANGE(""https://docs.google.com/spreadsheets/d/1UsNK1e-WWiCo2PvGqdNfdme4m17_Ezd3J69EeeiQPD0/edit?usp=sharing"",""อุทัยธานี!J438"")"),0)</f>
        <v>0</v>
      </c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166">
        <f ca="1">IFERROR(__xludf.DUMMYFUNCTION("IMPORTRANGE(""https://docs.google.com/spreadsheets/d/1jTcq05yEiRwXcBMLjiodW9e4biSGYWAHcDj22rKWQ3s/edit?usp=sharing"",""กำแพงเพชร!J439"")+IMPORTRANGE(""https://docs.google.com/spreadsheets/d/1KS0zmDSZPk8KnTAbGN-Xk6MtX1YRZD0ldgdt20K4CRk/edit?usp=sharing"","&amp;"""เชียงราย!J439"")+IMPORTRANGE(""https://docs.google.com/spreadsheets/d/1rEDxBtusbi64tE0zunoIbsTVV16HeL0oJ6trHQeQ7K8/edit?usp=sharing"",""เชียงใหม่!J439"")+IMPORTRANGE(""https://docs.google.com/spreadsheets/d/1W6MnUbDkMi6xHnHko_XkFDO9kkuL6Wqyc-6OCDFjW9I/e"&amp;"dit?usp=sharing"",""ตาก!J439"")+IMPORTRANGE(""https://docs.google.com/spreadsheets/d/1IQAWArduLkta9LpYo4a_ULsyqdta6-6aDDiwpUnQT6c/edit?usp=sharing"",""นครสวรรค์!J439"")+IMPORTRANGE(""https://docs.google.com/spreadsheets/d/10s13Sk5xrltsiR-Zkbmk5DwIaDIKO8Xl"&amp;"bJAfqyT7Gvg/edit?usp=sharing"",""น่าน!J439"")+IMPORTRANGE(""https://docs.google.com/spreadsheets/d/1uu4nAn4Dbi1XREnLKKotUANlKXa7yCgRcgq8HEzQYW8/edit?usp=sharing"",""พะเยา!J439"")+IMPORTRANGE(""https://docs.google.com/spreadsheets/d/1xfJKIQxVOaPDIICqsflNlL"&amp;"u3JacTDk1FP9RH4phX7mI/edit?usp=sharing"",""พิจิตร!J439"")+IMPORTRANGE(""https://docs.google.com/spreadsheets/d/1JtRfZkJMHtEhI5RdRHxYUG4FIZHqKDpNyIuN7A1Q0_k/edit?usp=sharing"",""พิษณุโลก!J439"")+IMPORTRANGE(""https://docs.google.com/spreadsheets/d/1xlcVZWU"&amp;"Nn6SuWm0c307h32SiGkd9BaeQWlAktfD3KO8/edit?usp=sharing"",""เพชรบูรณ์!J439"")+IMPORTRANGE(""https://docs.google.com/spreadsheets/d/1lOVebEIsI9qjGXl6EX66luk7wiuP2tBaryw-wKvv4e0/edit?usp=sharing"",""แพร่!J439"")+IMPORTRANGE(""https://docs.google.com/spreadshe"&amp;"ets/d/1dQrvX0vEcN7Gu0fnZ0B5S90AeR19zth4XlExFBeExMY/edit?usp=sharing"",""แม่ฮ่องสอน!J439"")+IMPORTRANGE(""https://docs.google.com/spreadsheets/d/1DY4XTNNwjluuxqdfdn6qvOSlMRrZqUtmYcZR0ttFiG4/edit?usp=sharing"",""ลำปาง!J439"")+IMPORTRANGE(""https://docs.goog"&amp;"le.com/spreadsheets/d/1ICwG78r0OFT8biBlxnBF8r7she7gNSzOvJ958PWT09c/edit?usp=sharing"",""ลำพูน!J439"")+IMPORTRANGE(""https://docs.google.com/spreadsheets/d/1B0f2xJpZUC6Z0xXnqKlZtEPzsf6L84eP1r1Q15seqRM/edit?usp=sharing"",""สุโขทัย!J439"")+IMPORTRANGE(""http"&amp;"s://docs.google.com/spreadsheets/d/1v0b9pFQCsKUVExMei7AgY2yQkdeNQvtOssygGsXbiKo/edit?usp=sharing"",""อุตรดิตถ์!J439"")+IMPORTRANGE(""https://docs.google.com/spreadsheets/d/1UsNK1e-WWiCo2PvGqdNfdme4m17_Ezd3J69EeeiQPD0/edit?usp=sharing"",""อุทัยธานี!J439"")"),0)</f>
        <v>0</v>
      </c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147">
        <f ca="1">IFERROR(__xludf.DUMMYFUNCTION("IMPORTRANGE(""https://docs.google.com/spreadsheets/d/1jTcq05yEiRwXcBMLjiodW9e4biSGYWAHcDj22rKWQ3s/edit?usp=sharing"",""กำแพงเพชร!I440"")+IMPORTRANGE(""https://docs.google.com/spreadsheets/d/1KS0zmDSZPk8KnTAbGN-Xk6MtX1YRZD0ldgdt20K4CRk/edit?usp=sharing"","&amp;"""เชียงราย!I440"")+IMPORTRANGE(""https://docs.google.com/spreadsheets/d/1rEDxBtusbi64tE0zunoIbsTVV16HeL0oJ6trHQeQ7K8/edit?usp=sharing"",""เชียงใหม่!I440"")+IMPORTRANGE(""https://docs.google.com/spreadsheets/d/1W6MnUbDkMi6xHnHko_XkFDO9kkuL6Wqyc-6OCDFjW9I/e"&amp;"dit?usp=sharing"",""ตาก!I440"")+IMPORTRANGE(""https://docs.google.com/spreadsheets/d/1IQAWArduLkta9LpYo4a_ULsyqdta6-6aDDiwpUnQT6c/edit?usp=sharing"",""นครสวรรค์!I440"")+IMPORTRANGE(""https://docs.google.com/spreadsheets/d/10s13Sk5xrltsiR-Zkbmk5DwIaDIKO8Xl"&amp;"bJAfqyT7Gvg/edit?usp=sharing"",""น่าน!I440"")+IMPORTRANGE(""https://docs.google.com/spreadsheets/d/1uu4nAn4Dbi1XREnLKKotUANlKXa7yCgRcgq8HEzQYW8/edit?usp=sharing"",""พะเยา!I440"")+IMPORTRANGE(""https://docs.google.com/spreadsheets/d/1xfJKIQxVOaPDIICqsflNlL"&amp;"u3JacTDk1FP9RH4phX7mI/edit?usp=sharing"",""พิจิตร!I440"")+IMPORTRANGE(""https://docs.google.com/spreadsheets/d/1JtRfZkJMHtEhI5RdRHxYUG4FIZHqKDpNyIuN7A1Q0_k/edit?usp=sharing"",""พิษณุโลก!I440"")+IMPORTRANGE(""https://docs.google.com/spreadsheets/d/1xlcVZWU"&amp;"Nn6SuWm0c307h32SiGkd9BaeQWlAktfD3KO8/edit?usp=sharing"",""เพชรบูรณ์!I440"")+IMPORTRANGE(""https://docs.google.com/spreadsheets/d/1lOVebEIsI9qjGXl6EX66luk7wiuP2tBaryw-wKvv4e0/edit?usp=sharing"",""แพร่!I440"")+IMPORTRANGE(""https://docs.google.com/spreadshe"&amp;"ets/d/1dQrvX0vEcN7Gu0fnZ0B5S90AeR19zth4XlExFBeExMY/edit?usp=sharing"",""แม่ฮ่องสอน!I440"")+IMPORTRANGE(""https://docs.google.com/spreadsheets/d/1DY4XTNNwjluuxqdfdn6qvOSlMRrZqUtmYcZR0ttFiG4/edit?usp=sharing"",""ลำปาง!I440"")+IMPORTRANGE(""https://docs.goog"&amp;"le.com/spreadsheets/d/1ICwG78r0OFT8biBlxnBF8r7she7gNSzOvJ958PWT09c/edit?usp=sharing"",""ลำพูน!I440"")+IMPORTRANGE(""https://docs.google.com/spreadsheets/d/1B0f2xJpZUC6Z0xXnqKlZtEPzsf6L84eP1r1Q15seqRM/edit?usp=sharing"",""สุโขทัย!I440"")+IMPORTRANGE(""http"&amp;"s://docs.google.com/spreadsheets/d/1v0b9pFQCsKUVExMei7AgY2yQkdeNQvtOssygGsXbiKo/edit?usp=sharing"",""อุตรดิตถ์!I440"")+IMPORTRANGE(""https://docs.google.com/spreadsheets/d/1UsNK1e-WWiCo2PvGqdNfdme4m17_Ezd3J69EeeiQPD0/edit?usp=sharing"",""อุทัยธานี!I440"")"),0)</f>
        <v>0</v>
      </c>
      <c r="J440" s="147">
        <f t="shared" ref="J440:J441" ca="1" si="332">J442+J444+J446+J452+J454</f>
        <v>0</v>
      </c>
      <c r="K440" s="132">
        <f t="shared" ref="K440:K441" ca="1" si="333">IF(I440&gt;0,J440*100/I440,0)</f>
        <v>0</v>
      </c>
      <c r="L440" s="45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147">
        <f ca="1">IFERROR(__xludf.DUMMYFUNCTION("IMPORTRANGE(""https://docs.google.com/spreadsheets/d/1jTcq05yEiRwXcBMLjiodW9e4biSGYWAHcDj22rKWQ3s/edit?usp=sharing"",""กำแพงเพชร!I441"")+IMPORTRANGE(""https://docs.google.com/spreadsheets/d/1KS0zmDSZPk8KnTAbGN-Xk6MtX1YRZD0ldgdt20K4CRk/edit?usp=sharing"","&amp;"""เชียงราย!I441"")+IMPORTRANGE(""https://docs.google.com/spreadsheets/d/1rEDxBtusbi64tE0zunoIbsTVV16HeL0oJ6trHQeQ7K8/edit?usp=sharing"",""เชียงใหม่!I441"")+IMPORTRANGE(""https://docs.google.com/spreadsheets/d/1W6MnUbDkMi6xHnHko_XkFDO9kkuL6Wqyc-6OCDFjW9I/e"&amp;"dit?usp=sharing"",""ตาก!I441"")+IMPORTRANGE(""https://docs.google.com/spreadsheets/d/1IQAWArduLkta9LpYo4a_ULsyqdta6-6aDDiwpUnQT6c/edit?usp=sharing"",""นครสวรรค์!I441"")+IMPORTRANGE(""https://docs.google.com/spreadsheets/d/10s13Sk5xrltsiR-Zkbmk5DwIaDIKO8Xl"&amp;"bJAfqyT7Gvg/edit?usp=sharing"",""น่าน!I441"")+IMPORTRANGE(""https://docs.google.com/spreadsheets/d/1uu4nAn4Dbi1XREnLKKotUANlKXa7yCgRcgq8HEzQYW8/edit?usp=sharing"",""พะเยา!I441"")+IMPORTRANGE(""https://docs.google.com/spreadsheets/d/1xfJKIQxVOaPDIICqsflNlL"&amp;"u3JacTDk1FP9RH4phX7mI/edit?usp=sharing"",""พิจิตร!I441"")+IMPORTRANGE(""https://docs.google.com/spreadsheets/d/1JtRfZkJMHtEhI5RdRHxYUG4FIZHqKDpNyIuN7A1Q0_k/edit?usp=sharing"",""พิษณุโลก!I441"")+IMPORTRANGE(""https://docs.google.com/spreadsheets/d/1xlcVZWU"&amp;"Nn6SuWm0c307h32SiGkd9BaeQWlAktfD3KO8/edit?usp=sharing"",""เพชรบูรณ์!I441"")+IMPORTRANGE(""https://docs.google.com/spreadsheets/d/1lOVebEIsI9qjGXl6EX66luk7wiuP2tBaryw-wKvv4e0/edit?usp=sharing"",""แพร่!I441"")+IMPORTRANGE(""https://docs.google.com/spreadshe"&amp;"ets/d/1dQrvX0vEcN7Gu0fnZ0B5S90AeR19zth4XlExFBeExMY/edit?usp=sharing"",""แม่ฮ่องสอน!I441"")+IMPORTRANGE(""https://docs.google.com/spreadsheets/d/1DY4XTNNwjluuxqdfdn6qvOSlMRrZqUtmYcZR0ttFiG4/edit?usp=sharing"",""ลำปาง!I441"")+IMPORTRANGE(""https://docs.goog"&amp;"le.com/spreadsheets/d/1ICwG78r0OFT8biBlxnBF8r7she7gNSzOvJ958PWT09c/edit?usp=sharing"",""ลำพูน!I441"")+IMPORTRANGE(""https://docs.google.com/spreadsheets/d/1B0f2xJpZUC6Z0xXnqKlZtEPzsf6L84eP1r1Q15seqRM/edit?usp=sharing"",""สุโขทัย!I441"")+IMPORTRANGE(""http"&amp;"s://docs.google.com/spreadsheets/d/1v0b9pFQCsKUVExMei7AgY2yQkdeNQvtOssygGsXbiKo/edit?usp=sharing"",""อุตรดิตถ์!I441"")+IMPORTRANGE(""https://docs.google.com/spreadsheets/d/1UsNK1e-WWiCo2PvGqdNfdme4m17_Ezd3J69EeeiQPD0/edit?usp=sharing"",""อุทัยธานี!I441"")"),0)</f>
        <v>0</v>
      </c>
      <c r="J441" s="147">
        <f t="shared" ca="1" si="332"/>
        <v>0</v>
      </c>
      <c r="K441" s="132">
        <f t="shared" ca="1" si="333"/>
        <v>0</v>
      </c>
      <c r="L441" s="45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166">
        <f ca="1">IFERROR(__xludf.DUMMYFUNCTION("IMPORTRANGE(""https://docs.google.com/spreadsheets/d/1jTcq05yEiRwXcBMLjiodW9e4biSGYWAHcDj22rKWQ3s/edit?usp=sharing"",""กำแพงเพชร!J442"")+IMPORTRANGE(""https://docs.google.com/spreadsheets/d/1KS0zmDSZPk8KnTAbGN-Xk6MtX1YRZD0ldgdt20K4CRk/edit?usp=sharing"","&amp;"""เชียงราย!J442"")+IMPORTRANGE(""https://docs.google.com/spreadsheets/d/1rEDxBtusbi64tE0zunoIbsTVV16HeL0oJ6trHQeQ7K8/edit?usp=sharing"",""เชียงใหม่!J442"")+IMPORTRANGE(""https://docs.google.com/spreadsheets/d/1W6MnUbDkMi6xHnHko_XkFDO9kkuL6Wqyc-6OCDFjW9I/e"&amp;"dit?usp=sharing"",""ตาก!J442"")+IMPORTRANGE(""https://docs.google.com/spreadsheets/d/1IQAWArduLkta9LpYo4a_ULsyqdta6-6aDDiwpUnQT6c/edit?usp=sharing"",""นครสวรรค์!J442"")+IMPORTRANGE(""https://docs.google.com/spreadsheets/d/10s13Sk5xrltsiR-Zkbmk5DwIaDIKO8Xl"&amp;"bJAfqyT7Gvg/edit?usp=sharing"",""น่าน!J442"")+IMPORTRANGE(""https://docs.google.com/spreadsheets/d/1uu4nAn4Dbi1XREnLKKotUANlKXa7yCgRcgq8HEzQYW8/edit?usp=sharing"",""พะเยา!J442"")+IMPORTRANGE(""https://docs.google.com/spreadsheets/d/1xfJKIQxVOaPDIICqsflNlL"&amp;"u3JacTDk1FP9RH4phX7mI/edit?usp=sharing"",""พิจิตร!J442"")+IMPORTRANGE(""https://docs.google.com/spreadsheets/d/1JtRfZkJMHtEhI5RdRHxYUG4FIZHqKDpNyIuN7A1Q0_k/edit?usp=sharing"",""พิษณุโลก!J442"")+IMPORTRANGE(""https://docs.google.com/spreadsheets/d/1xlcVZWU"&amp;"Nn6SuWm0c307h32SiGkd9BaeQWlAktfD3KO8/edit?usp=sharing"",""เพชรบูรณ์!J442"")+IMPORTRANGE(""https://docs.google.com/spreadsheets/d/1lOVebEIsI9qjGXl6EX66luk7wiuP2tBaryw-wKvv4e0/edit?usp=sharing"",""แพร่!J442"")+IMPORTRANGE(""https://docs.google.com/spreadshe"&amp;"ets/d/1dQrvX0vEcN7Gu0fnZ0B5S90AeR19zth4XlExFBeExMY/edit?usp=sharing"",""แม่ฮ่องสอน!J442"")+IMPORTRANGE(""https://docs.google.com/spreadsheets/d/1DY4XTNNwjluuxqdfdn6qvOSlMRrZqUtmYcZR0ttFiG4/edit?usp=sharing"",""ลำปาง!J442"")+IMPORTRANGE(""https://docs.goog"&amp;"le.com/spreadsheets/d/1ICwG78r0OFT8biBlxnBF8r7she7gNSzOvJ958PWT09c/edit?usp=sharing"",""ลำพูน!J442"")+IMPORTRANGE(""https://docs.google.com/spreadsheets/d/1B0f2xJpZUC6Z0xXnqKlZtEPzsf6L84eP1r1Q15seqRM/edit?usp=sharing"",""สุโขทัย!J442"")+IMPORTRANGE(""http"&amp;"s://docs.google.com/spreadsheets/d/1v0b9pFQCsKUVExMei7AgY2yQkdeNQvtOssygGsXbiKo/edit?usp=sharing"",""อุตรดิตถ์!J442"")+IMPORTRANGE(""https://docs.google.com/spreadsheets/d/1UsNK1e-WWiCo2PvGqdNfdme4m17_Ezd3J69EeeiQPD0/edit?usp=sharing"",""อุทัยธานี!J442"")"),0)</f>
        <v>0</v>
      </c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166">
        <f ca="1">IFERROR(__xludf.DUMMYFUNCTION("IMPORTRANGE(""https://docs.google.com/spreadsheets/d/1jTcq05yEiRwXcBMLjiodW9e4biSGYWAHcDj22rKWQ3s/edit?usp=sharing"",""กำแพงเพชร!J443"")+IMPORTRANGE(""https://docs.google.com/spreadsheets/d/1KS0zmDSZPk8KnTAbGN-Xk6MtX1YRZD0ldgdt20K4CRk/edit?usp=sharing"","&amp;"""เชียงราย!J443"")+IMPORTRANGE(""https://docs.google.com/spreadsheets/d/1rEDxBtusbi64tE0zunoIbsTVV16HeL0oJ6trHQeQ7K8/edit?usp=sharing"",""เชียงใหม่!J443"")+IMPORTRANGE(""https://docs.google.com/spreadsheets/d/1W6MnUbDkMi6xHnHko_XkFDO9kkuL6Wqyc-6OCDFjW9I/e"&amp;"dit?usp=sharing"",""ตาก!J443"")+IMPORTRANGE(""https://docs.google.com/spreadsheets/d/1IQAWArduLkta9LpYo4a_ULsyqdta6-6aDDiwpUnQT6c/edit?usp=sharing"",""นครสวรรค์!J443"")+IMPORTRANGE(""https://docs.google.com/spreadsheets/d/10s13Sk5xrltsiR-Zkbmk5DwIaDIKO8Xl"&amp;"bJAfqyT7Gvg/edit?usp=sharing"",""น่าน!J443"")+IMPORTRANGE(""https://docs.google.com/spreadsheets/d/1uu4nAn4Dbi1XREnLKKotUANlKXa7yCgRcgq8HEzQYW8/edit?usp=sharing"",""พะเยา!J443"")+IMPORTRANGE(""https://docs.google.com/spreadsheets/d/1xfJKIQxVOaPDIICqsflNlL"&amp;"u3JacTDk1FP9RH4phX7mI/edit?usp=sharing"",""พิจิตร!J443"")+IMPORTRANGE(""https://docs.google.com/spreadsheets/d/1JtRfZkJMHtEhI5RdRHxYUG4FIZHqKDpNyIuN7A1Q0_k/edit?usp=sharing"",""พิษณุโลก!J443"")+IMPORTRANGE(""https://docs.google.com/spreadsheets/d/1xlcVZWU"&amp;"Nn6SuWm0c307h32SiGkd9BaeQWlAktfD3KO8/edit?usp=sharing"",""เพชรบูรณ์!J443"")+IMPORTRANGE(""https://docs.google.com/spreadsheets/d/1lOVebEIsI9qjGXl6EX66luk7wiuP2tBaryw-wKvv4e0/edit?usp=sharing"",""แพร่!J443"")+IMPORTRANGE(""https://docs.google.com/spreadshe"&amp;"ets/d/1dQrvX0vEcN7Gu0fnZ0B5S90AeR19zth4XlExFBeExMY/edit?usp=sharing"",""แม่ฮ่องสอน!J443"")+IMPORTRANGE(""https://docs.google.com/spreadsheets/d/1DY4XTNNwjluuxqdfdn6qvOSlMRrZqUtmYcZR0ttFiG4/edit?usp=sharing"",""ลำปาง!J443"")+IMPORTRANGE(""https://docs.goog"&amp;"le.com/spreadsheets/d/1ICwG78r0OFT8biBlxnBF8r7she7gNSzOvJ958PWT09c/edit?usp=sharing"",""ลำพูน!J443"")+IMPORTRANGE(""https://docs.google.com/spreadsheets/d/1B0f2xJpZUC6Z0xXnqKlZtEPzsf6L84eP1r1Q15seqRM/edit?usp=sharing"",""สุโขทัย!J443"")+IMPORTRANGE(""http"&amp;"s://docs.google.com/spreadsheets/d/1v0b9pFQCsKUVExMei7AgY2yQkdeNQvtOssygGsXbiKo/edit?usp=sharing"",""อุตรดิตถ์!J443"")+IMPORTRANGE(""https://docs.google.com/spreadsheets/d/1UsNK1e-WWiCo2PvGqdNfdme4m17_Ezd3J69EeeiQPD0/edit?usp=sharing"",""อุทัยธานี!J443"")"),0)</f>
        <v>0</v>
      </c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166">
        <f ca="1">IFERROR(__xludf.DUMMYFUNCTION("IMPORTRANGE(""https://docs.google.com/spreadsheets/d/1jTcq05yEiRwXcBMLjiodW9e4biSGYWAHcDj22rKWQ3s/edit?usp=sharing"",""กำแพงเพชร!J444"")+IMPORTRANGE(""https://docs.google.com/spreadsheets/d/1KS0zmDSZPk8KnTAbGN-Xk6MtX1YRZD0ldgdt20K4CRk/edit?usp=sharing"","&amp;"""เชียงราย!J444"")+IMPORTRANGE(""https://docs.google.com/spreadsheets/d/1rEDxBtusbi64tE0zunoIbsTVV16HeL0oJ6trHQeQ7K8/edit?usp=sharing"",""เชียงใหม่!J444"")+IMPORTRANGE(""https://docs.google.com/spreadsheets/d/1W6MnUbDkMi6xHnHko_XkFDO9kkuL6Wqyc-6OCDFjW9I/e"&amp;"dit?usp=sharing"",""ตาก!J444"")+IMPORTRANGE(""https://docs.google.com/spreadsheets/d/1IQAWArduLkta9LpYo4a_ULsyqdta6-6aDDiwpUnQT6c/edit?usp=sharing"",""นครสวรรค์!J444"")+IMPORTRANGE(""https://docs.google.com/spreadsheets/d/10s13Sk5xrltsiR-Zkbmk5DwIaDIKO8Xl"&amp;"bJAfqyT7Gvg/edit?usp=sharing"",""น่าน!J444"")+IMPORTRANGE(""https://docs.google.com/spreadsheets/d/1uu4nAn4Dbi1XREnLKKotUANlKXa7yCgRcgq8HEzQYW8/edit?usp=sharing"",""พะเยา!J444"")+IMPORTRANGE(""https://docs.google.com/spreadsheets/d/1xfJKIQxVOaPDIICqsflNlL"&amp;"u3JacTDk1FP9RH4phX7mI/edit?usp=sharing"",""พิจิตร!J444"")+IMPORTRANGE(""https://docs.google.com/spreadsheets/d/1JtRfZkJMHtEhI5RdRHxYUG4FIZHqKDpNyIuN7A1Q0_k/edit?usp=sharing"",""พิษณุโลก!J444"")+IMPORTRANGE(""https://docs.google.com/spreadsheets/d/1xlcVZWU"&amp;"Nn6SuWm0c307h32SiGkd9BaeQWlAktfD3KO8/edit?usp=sharing"",""เพชรบูรณ์!J444"")+IMPORTRANGE(""https://docs.google.com/spreadsheets/d/1lOVebEIsI9qjGXl6EX66luk7wiuP2tBaryw-wKvv4e0/edit?usp=sharing"",""แพร่!J444"")+IMPORTRANGE(""https://docs.google.com/spreadshe"&amp;"ets/d/1dQrvX0vEcN7Gu0fnZ0B5S90AeR19zth4XlExFBeExMY/edit?usp=sharing"",""แม่ฮ่องสอน!J444"")+IMPORTRANGE(""https://docs.google.com/spreadsheets/d/1DY4XTNNwjluuxqdfdn6qvOSlMRrZqUtmYcZR0ttFiG4/edit?usp=sharing"",""ลำปาง!J444"")+IMPORTRANGE(""https://docs.goog"&amp;"le.com/spreadsheets/d/1ICwG78r0OFT8biBlxnBF8r7she7gNSzOvJ958PWT09c/edit?usp=sharing"",""ลำพูน!J444"")+IMPORTRANGE(""https://docs.google.com/spreadsheets/d/1B0f2xJpZUC6Z0xXnqKlZtEPzsf6L84eP1r1Q15seqRM/edit?usp=sharing"",""สุโขทัย!J444"")+IMPORTRANGE(""http"&amp;"s://docs.google.com/spreadsheets/d/1v0b9pFQCsKUVExMei7AgY2yQkdeNQvtOssygGsXbiKo/edit?usp=sharing"",""อุตรดิตถ์!J444"")+IMPORTRANGE(""https://docs.google.com/spreadsheets/d/1UsNK1e-WWiCo2PvGqdNfdme4m17_Ezd3J69EeeiQPD0/edit?usp=sharing"",""อุทัยธานี!J444"")"),0)</f>
        <v>0</v>
      </c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166">
        <f ca="1">IFERROR(__xludf.DUMMYFUNCTION("IMPORTRANGE(""https://docs.google.com/spreadsheets/d/1jTcq05yEiRwXcBMLjiodW9e4biSGYWAHcDj22rKWQ3s/edit?usp=sharing"",""กำแพงเพชร!J445"")+IMPORTRANGE(""https://docs.google.com/spreadsheets/d/1KS0zmDSZPk8KnTAbGN-Xk6MtX1YRZD0ldgdt20K4CRk/edit?usp=sharing"","&amp;"""เชียงราย!J445"")+IMPORTRANGE(""https://docs.google.com/spreadsheets/d/1rEDxBtusbi64tE0zunoIbsTVV16HeL0oJ6trHQeQ7K8/edit?usp=sharing"",""เชียงใหม่!J445"")+IMPORTRANGE(""https://docs.google.com/spreadsheets/d/1W6MnUbDkMi6xHnHko_XkFDO9kkuL6Wqyc-6OCDFjW9I/e"&amp;"dit?usp=sharing"",""ตาก!J445"")+IMPORTRANGE(""https://docs.google.com/spreadsheets/d/1IQAWArduLkta9LpYo4a_ULsyqdta6-6aDDiwpUnQT6c/edit?usp=sharing"",""นครสวรรค์!J445"")+IMPORTRANGE(""https://docs.google.com/spreadsheets/d/10s13Sk5xrltsiR-Zkbmk5DwIaDIKO8Xl"&amp;"bJAfqyT7Gvg/edit?usp=sharing"",""น่าน!J445"")+IMPORTRANGE(""https://docs.google.com/spreadsheets/d/1uu4nAn4Dbi1XREnLKKotUANlKXa7yCgRcgq8HEzQYW8/edit?usp=sharing"",""พะเยา!J445"")+IMPORTRANGE(""https://docs.google.com/spreadsheets/d/1xfJKIQxVOaPDIICqsflNlL"&amp;"u3JacTDk1FP9RH4phX7mI/edit?usp=sharing"",""พิจิตร!J445"")+IMPORTRANGE(""https://docs.google.com/spreadsheets/d/1JtRfZkJMHtEhI5RdRHxYUG4FIZHqKDpNyIuN7A1Q0_k/edit?usp=sharing"",""พิษณุโลก!J445"")+IMPORTRANGE(""https://docs.google.com/spreadsheets/d/1xlcVZWU"&amp;"Nn6SuWm0c307h32SiGkd9BaeQWlAktfD3KO8/edit?usp=sharing"",""เพชรบูรณ์!J445"")+IMPORTRANGE(""https://docs.google.com/spreadsheets/d/1lOVebEIsI9qjGXl6EX66luk7wiuP2tBaryw-wKvv4e0/edit?usp=sharing"",""แพร่!J445"")+IMPORTRANGE(""https://docs.google.com/spreadshe"&amp;"ets/d/1dQrvX0vEcN7Gu0fnZ0B5S90AeR19zth4XlExFBeExMY/edit?usp=sharing"",""แม่ฮ่องสอน!J445"")+IMPORTRANGE(""https://docs.google.com/spreadsheets/d/1DY4XTNNwjluuxqdfdn6qvOSlMRrZqUtmYcZR0ttFiG4/edit?usp=sharing"",""ลำปาง!J445"")+IMPORTRANGE(""https://docs.goog"&amp;"le.com/spreadsheets/d/1ICwG78r0OFT8biBlxnBF8r7she7gNSzOvJ958PWT09c/edit?usp=sharing"",""ลำพูน!J445"")+IMPORTRANGE(""https://docs.google.com/spreadsheets/d/1B0f2xJpZUC6Z0xXnqKlZtEPzsf6L84eP1r1Q15seqRM/edit?usp=sharing"",""สุโขทัย!J445"")+IMPORTRANGE(""http"&amp;"s://docs.google.com/spreadsheets/d/1v0b9pFQCsKUVExMei7AgY2yQkdeNQvtOssygGsXbiKo/edit?usp=sharing"",""อุตรดิตถ์!J445"")+IMPORTRANGE(""https://docs.google.com/spreadsheets/d/1UsNK1e-WWiCo2PvGqdNfdme4m17_Ezd3J69EeeiQPD0/edit?usp=sharing"",""อุทัยธานี!J445"")"),0)</f>
        <v>0</v>
      </c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147">
        <f t="shared" ref="J446:J447" ca="1" si="334">J448+J450</f>
        <v>0</v>
      </c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147">
        <f t="shared" ca="1" si="334"/>
        <v>0</v>
      </c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166">
        <f ca="1">IFERROR(__xludf.DUMMYFUNCTION("IMPORTRANGE(""https://docs.google.com/spreadsheets/d/1jTcq05yEiRwXcBMLjiodW9e4biSGYWAHcDj22rKWQ3s/edit?usp=sharing"",""กำแพงเพชร!J448"")+IMPORTRANGE(""https://docs.google.com/spreadsheets/d/1KS0zmDSZPk8KnTAbGN-Xk6MtX1YRZD0ldgdt20K4CRk/edit?usp=sharing"","&amp;"""เชียงราย!J448"")+IMPORTRANGE(""https://docs.google.com/spreadsheets/d/1rEDxBtusbi64tE0zunoIbsTVV16HeL0oJ6trHQeQ7K8/edit?usp=sharing"",""เชียงใหม่!J448"")+IMPORTRANGE(""https://docs.google.com/spreadsheets/d/1W6MnUbDkMi6xHnHko_XkFDO9kkuL6Wqyc-6OCDFjW9I/e"&amp;"dit?usp=sharing"",""ตาก!J448"")+IMPORTRANGE(""https://docs.google.com/spreadsheets/d/1IQAWArduLkta9LpYo4a_ULsyqdta6-6aDDiwpUnQT6c/edit?usp=sharing"",""นครสวรรค์!J448"")+IMPORTRANGE(""https://docs.google.com/spreadsheets/d/10s13Sk5xrltsiR-Zkbmk5DwIaDIKO8Xl"&amp;"bJAfqyT7Gvg/edit?usp=sharing"",""น่าน!J448"")+IMPORTRANGE(""https://docs.google.com/spreadsheets/d/1uu4nAn4Dbi1XREnLKKotUANlKXa7yCgRcgq8HEzQYW8/edit?usp=sharing"",""พะเยา!J448"")+IMPORTRANGE(""https://docs.google.com/spreadsheets/d/1xfJKIQxVOaPDIICqsflNlL"&amp;"u3JacTDk1FP9RH4phX7mI/edit?usp=sharing"",""พิจิตร!J448"")+IMPORTRANGE(""https://docs.google.com/spreadsheets/d/1JtRfZkJMHtEhI5RdRHxYUG4FIZHqKDpNyIuN7A1Q0_k/edit?usp=sharing"",""พิษณุโลก!J448"")+IMPORTRANGE(""https://docs.google.com/spreadsheets/d/1xlcVZWU"&amp;"Nn6SuWm0c307h32SiGkd9BaeQWlAktfD3KO8/edit?usp=sharing"",""เพชรบูรณ์!J448"")+IMPORTRANGE(""https://docs.google.com/spreadsheets/d/1lOVebEIsI9qjGXl6EX66luk7wiuP2tBaryw-wKvv4e0/edit?usp=sharing"",""แพร่!J448"")+IMPORTRANGE(""https://docs.google.com/spreadshe"&amp;"ets/d/1dQrvX0vEcN7Gu0fnZ0B5S90AeR19zth4XlExFBeExMY/edit?usp=sharing"",""แม่ฮ่องสอน!J448"")+IMPORTRANGE(""https://docs.google.com/spreadsheets/d/1DY4XTNNwjluuxqdfdn6qvOSlMRrZqUtmYcZR0ttFiG4/edit?usp=sharing"",""ลำปาง!J448"")+IMPORTRANGE(""https://docs.goog"&amp;"le.com/spreadsheets/d/1ICwG78r0OFT8biBlxnBF8r7she7gNSzOvJ958PWT09c/edit?usp=sharing"",""ลำพูน!J448"")+IMPORTRANGE(""https://docs.google.com/spreadsheets/d/1B0f2xJpZUC6Z0xXnqKlZtEPzsf6L84eP1r1Q15seqRM/edit?usp=sharing"",""สุโขทัย!J448"")+IMPORTRANGE(""http"&amp;"s://docs.google.com/spreadsheets/d/1v0b9pFQCsKUVExMei7AgY2yQkdeNQvtOssygGsXbiKo/edit?usp=sharing"",""อุตรดิตถ์!J448"")+IMPORTRANGE(""https://docs.google.com/spreadsheets/d/1UsNK1e-WWiCo2PvGqdNfdme4m17_Ezd3J69EeeiQPD0/edit?usp=sharing"",""อุทัยธานี!J448"")"),0)</f>
        <v>0</v>
      </c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166">
        <f ca="1">IFERROR(__xludf.DUMMYFUNCTION("IMPORTRANGE(""https://docs.google.com/spreadsheets/d/1jTcq05yEiRwXcBMLjiodW9e4biSGYWAHcDj22rKWQ3s/edit?usp=sharing"",""กำแพงเพชร!J449"")+IMPORTRANGE(""https://docs.google.com/spreadsheets/d/1KS0zmDSZPk8KnTAbGN-Xk6MtX1YRZD0ldgdt20K4CRk/edit?usp=sharing"","&amp;"""เชียงราย!J449"")+IMPORTRANGE(""https://docs.google.com/spreadsheets/d/1rEDxBtusbi64tE0zunoIbsTVV16HeL0oJ6trHQeQ7K8/edit?usp=sharing"",""เชียงใหม่!J449"")+IMPORTRANGE(""https://docs.google.com/spreadsheets/d/1W6MnUbDkMi6xHnHko_XkFDO9kkuL6Wqyc-6OCDFjW9I/e"&amp;"dit?usp=sharing"",""ตาก!J449"")+IMPORTRANGE(""https://docs.google.com/spreadsheets/d/1IQAWArduLkta9LpYo4a_ULsyqdta6-6aDDiwpUnQT6c/edit?usp=sharing"",""นครสวรรค์!J449"")+IMPORTRANGE(""https://docs.google.com/spreadsheets/d/10s13Sk5xrltsiR-Zkbmk5DwIaDIKO8Xl"&amp;"bJAfqyT7Gvg/edit?usp=sharing"",""น่าน!J449"")+IMPORTRANGE(""https://docs.google.com/spreadsheets/d/1uu4nAn4Dbi1XREnLKKotUANlKXa7yCgRcgq8HEzQYW8/edit?usp=sharing"",""พะเยา!J449"")+IMPORTRANGE(""https://docs.google.com/spreadsheets/d/1xfJKIQxVOaPDIICqsflNlL"&amp;"u3JacTDk1FP9RH4phX7mI/edit?usp=sharing"",""พิจิตร!J449"")+IMPORTRANGE(""https://docs.google.com/spreadsheets/d/1JtRfZkJMHtEhI5RdRHxYUG4FIZHqKDpNyIuN7A1Q0_k/edit?usp=sharing"",""พิษณุโลก!J449"")+IMPORTRANGE(""https://docs.google.com/spreadsheets/d/1xlcVZWU"&amp;"Nn6SuWm0c307h32SiGkd9BaeQWlAktfD3KO8/edit?usp=sharing"",""เพชรบูรณ์!J449"")+IMPORTRANGE(""https://docs.google.com/spreadsheets/d/1lOVebEIsI9qjGXl6EX66luk7wiuP2tBaryw-wKvv4e0/edit?usp=sharing"",""แพร่!J449"")+IMPORTRANGE(""https://docs.google.com/spreadshe"&amp;"ets/d/1dQrvX0vEcN7Gu0fnZ0B5S90AeR19zth4XlExFBeExMY/edit?usp=sharing"",""แม่ฮ่องสอน!J449"")+IMPORTRANGE(""https://docs.google.com/spreadsheets/d/1DY4XTNNwjluuxqdfdn6qvOSlMRrZqUtmYcZR0ttFiG4/edit?usp=sharing"",""ลำปาง!J449"")+IMPORTRANGE(""https://docs.goog"&amp;"le.com/spreadsheets/d/1ICwG78r0OFT8biBlxnBF8r7she7gNSzOvJ958PWT09c/edit?usp=sharing"",""ลำพูน!J449"")+IMPORTRANGE(""https://docs.google.com/spreadsheets/d/1B0f2xJpZUC6Z0xXnqKlZtEPzsf6L84eP1r1Q15seqRM/edit?usp=sharing"",""สุโขทัย!J449"")+IMPORTRANGE(""http"&amp;"s://docs.google.com/spreadsheets/d/1v0b9pFQCsKUVExMei7AgY2yQkdeNQvtOssygGsXbiKo/edit?usp=sharing"",""อุตรดิตถ์!J449"")+IMPORTRANGE(""https://docs.google.com/spreadsheets/d/1UsNK1e-WWiCo2PvGqdNfdme4m17_Ezd3J69EeeiQPD0/edit?usp=sharing"",""อุทัยธานี!J449"")"),0)</f>
        <v>0</v>
      </c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166">
        <f ca="1">IFERROR(__xludf.DUMMYFUNCTION("IMPORTRANGE(""https://docs.google.com/spreadsheets/d/1jTcq05yEiRwXcBMLjiodW9e4biSGYWAHcDj22rKWQ3s/edit?usp=sharing"",""กำแพงเพชร!J450"")+IMPORTRANGE(""https://docs.google.com/spreadsheets/d/1KS0zmDSZPk8KnTAbGN-Xk6MtX1YRZD0ldgdt20K4CRk/edit?usp=sharing"","&amp;"""เชียงราย!J450"")+IMPORTRANGE(""https://docs.google.com/spreadsheets/d/1rEDxBtusbi64tE0zunoIbsTVV16HeL0oJ6trHQeQ7K8/edit?usp=sharing"",""เชียงใหม่!J450"")+IMPORTRANGE(""https://docs.google.com/spreadsheets/d/1W6MnUbDkMi6xHnHko_XkFDO9kkuL6Wqyc-6OCDFjW9I/e"&amp;"dit?usp=sharing"",""ตาก!J450"")+IMPORTRANGE(""https://docs.google.com/spreadsheets/d/1IQAWArduLkta9LpYo4a_ULsyqdta6-6aDDiwpUnQT6c/edit?usp=sharing"",""นครสวรรค์!J450"")+IMPORTRANGE(""https://docs.google.com/spreadsheets/d/10s13Sk5xrltsiR-Zkbmk5DwIaDIKO8Xl"&amp;"bJAfqyT7Gvg/edit?usp=sharing"",""น่าน!J450"")+IMPORTRANGE(""https://docs.google.com/spreadsheets/d/1uu4nAn4Dbi1XREnLKKotUANlKXa7yCgRcgq8HEzQYW8/edit?usp=sharing"",""พะเยา!J450"")+IMPORTRANGE(""https://docs.google.com/spreadsheets/d/1xfJKIQxVOaPDIICqsflNlL"&amp;"u3JacTDk1FP9RH4phX7mI/edit?usp=sharing"",""พิจิตร!J450"")+IMPORTRANGE(""https://docs.google.com/spreadsheets/d/1JtRfZkJMHtEhI5RdRHxYUG4FIZHqKDpNyIuN7A1Q0_k/edit?usp=sharing"",""พิษณุโลก!J450"")+IMPORTRANGE(""https://docs.google.com/spreadsheets/d/1xlcVZWU"&amp;"Nn6SuWm0c307h32SiGkd9BaeQWlAktfD3KO8/edit?usp=sharing"",""เพชรบูรณ์!J450"")+IMPORTRANGE(""https://docs.google.com/spreadsheets/d/1lOVebEIsI9qjGXl6EX66luk7wiuP2tBaryw-wKvv4e0/edit?usp=sharing"",""แพร่!J450"")+IMPORTRANGE(""https://docs.google.com/spreadshe"&amp;"ets/d/1dQrvX0vEcN7Gu0fnZ0B5S90AeR19zth4XlExFBeExMY/edit?usp=sharing"",""แม่ฮ่องสอน!J450"")+IMPORTRANGE(""https://docs.google.com/spreadsheets/d/1DY4XTNNwjluuxqdfdn6qvOSlMRrZqUtmYcZR0ttFiG4/edit?usp=sharing"",""ลำปาง!J450"")+IMPORTRANGE(""https://docs.goog"&amp;"le.com/spreadsheets/d/1ICwG78r0OFT8biBlxnBF8r7she7gNSzOvJ958PWT09c/edit?usp=sharing"",""ลำพูน!J450"")+IMPORTRANGE(""https://docs.google.com/spreadsheets/d/1B0f2xJpZUC6Z0xXnqKlZtEPzsf6L84eP1r1Q15seqRM/edit?usp=sharing"",""สุโขทัย!J450"")+IMPORTRANGE(""http"&amp;"s://docs.google.com/spreadsheets/d/1v0b9pFQCsKUVExMei7AgY2yQkdeNQvtOssygGsXbiKo/edit?usp=sharing"",""อุตรดิตถ์!J450"")+IMPORTRANGE(""https://docs.google.com/spreadsheets/d/1UsNK1e-WWiCo2PvGqdNfdme4m17_Ezd3J69EeeiQPD0/edit?usp=sharing"",""อุทัยธานี!J450"")"),0)</f>
        <v>0</v>
      </c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166">
        <f ca="1">IFERROR(__xludf.DUMMYFUNCTION("IMPORTRANGE(""https://docs.google.com/spreadsheets/d/1jTcq05yEiRwXcBMLjiodW9e4biSGYWAHcDj22rKWQ3s/edit?usp=sharing"",""กำแพงเพชร!J451"")+IMPORTRANGE(""https://docs.google.com/spreadsheets/d/1KS0zmDSZPk8KnTAbGN-Xk6MtX1YRZD0ldgdt20K4CRk/edit?usp=sharing"","&amp;"""เชียงราย!J451"")+IMPORTRANGE(""https://docs.google.com/spreadsheets/d/1rEDxBtusbi64tE0zunoIbsTVV16HeL0oJ6trHQeQ7K8/edit?usp=sharing"",""เชียงใหม่!J451"")+IMPORTRANGE(""https://docs.google.com/spreadsheets/d/1W6MnUbDkMi6xHnHko_XkFDO9kkuL6Wqyc-6OCDFjW9I/e"&amp;"dit?usp=sharing"",""ตาก!J451"")+IMPORTRANGE(""https://docs.google.com/spreadsheets/d/1IQAWArduLkta9LpYo4a_ULsyqdta6-6aDDiwpUnQT6c/edit?usp=sharing"",""นครสวรรค์!J451"")+IMPORTRANGE(""https://docs.google.com/spreadsheets/d/10s13Sk5xrltsiR-Zkbmk5DwIaDIKO8Xl"&amp;"bJAfqyT7Gvg/edit?usp=sharing"",""น่าน!J451"")+IMPORTRANGE(""https://docs.google.com/spreadsheets/d/1uu4nAn4Dbi1XREnLKKotUANlKXa7yCgRcgq8HEzQYW8/edit?usp=sharing"",""พะเยา!J451"")+IMPORTRANGE(""https://docs.google.com/spreadsheets/d/1xfJKIQxVOaPDIICqsflNlL"&amp;"u3JacTDk1FP9RH4phX7mI/edit?usp=sharing"",""พิจิตร!J451"")+IMPORTRANGE(""https://docs.google.com/spreadsheets/d/1JtRfZkJMHtEhI5RdRHxYUG4FIZHqKDpNyIuN7A1Q0_k/edit?usp=sharing"",""พิษณุโลก!J451"")+IMPORTRANGE(""https://docs.google.com/spreadsheets/d/1xlcVZWU"&amp;"Nn6SuWm0c307h32SiGkd9BaeQWlAktfD3KO8/edit?usp=sharing"",""เพชรบูรณ์!J451"")+IMPORTRANGE(""https://docs.google.com/spreadsheets/d/1lOVebEIsI9qjGXl6EX66luk7wiuP2tBaryw-wKvv4e0/edit?usp=sharing"",""แพร่!J451"")+IMPORTRANGE(""https://docs.google.com/spreadshe"&amp;"ets/d/1dQrvX0vEcN7Gu0fnZ0B5S90AeR19zth4XlExFBeExMY/edit?usp=sharing"",""แม่ฮ่องสอน!J451"")+IMPORTRANGE(""https://docs.google.com/spreadsheets/d/1DY4XTNNwjluuxqdfdn6qvOSlMRrZqUtmYcZR0ttFiG4/edit?usp=sharing"",""ลำปาง!J451"")+IMPORTRANGE(""https://docs.goog"&amp;"le.com/spreadsheets/d/1ICwG78r0OFT8biBlxnBF8r7she7gNSzOvJ958PWT09c/edit?usp=sharing"",""ลำพูน!J451"")+IMPORTRANGE(""https://docs.google.com/spreadsheets/d/1B0f2xJpZUC6Z0xXnqKlZtEPzsf6L84eP1r1Q15seqRM/edit?usp=sharing"",""สุโขทัย!J451"")+IMPORTRANGE(""http"&amp;"s://docs.google.com/spreadsheets/d/1v0b9pFQCsKUVExMei7AgY2yQkdeNQvtOssygGsXbiKo/edit?usp=sharing"",""อุตรดิตถ์!J451"")+IMPORTRANGE(""https://docs.google.com/spreadsheets/d/1UsNK1e-WWiCo2PvGqdNfdme4m17_Ezd3J69EeeiQPD0/edit?usp=sharing"",""อุทัยธานี!J451"")"),0)</f>
        <v>0</v>
      </c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166">
        <f ca="1">IFERROR(__xludf.DUMMYFUNCTION("IMPORTRANGE(""https://docs.google.com/spreadsheets/d/1jTcq05yEiRwXcBMLjiodW9e4biSGYWAHcDj22rKWQ3s/edit?usp=sharing"",""กำแพงเพชร!J452"")+IMPORTRANGE(""https://docs.google.com/spreadsheets/d/1KS0zmDSZPk8KnTAbGN-Xk6MtX1YRZD0ldgdt20K4CRk/edit?usp=sharing"","&amp;"""เชียงราย!J452"")+IMPORTRANGE(""https://docs.google.com/spreadsheets/d/1rEDxBtusbi64tE0zunoIbsTVV16HeL0oJ6trHQeQ7K8/edit?usp=sharing"",""เชียงใหม่!J452"")+IMPORTRANGE(""https://docs.google.com/spreadsheets/d/1W6MnUbDkMi6xHnHko_XkFDO9kkuL6Wqyc-6OCDFjW9I/e"&amp;"dit?usp=sharing"",""ตาก!J452"")+IMPORTRANGE(""https://docs.google.com/spreadsheets/d/1IQAWArduLkta9LpYo4a_ULsyqdta6-6aDDiwpUnQT6c/edit?usp=sharing"",""นครสวรรค์!J452"")+IMPORTRANGE(""https://docs.google.com/spreadsheets/d/10s13Sk5xrltsiR-Zkbmk5DwIaDIKO8Xl"&amp;"bJAfqyT7Gvg/edit?usp=sharing"",""น่าน!J452"")+IMPORTRANGE(""https://docs.google.com/spreadsheets/d/1uu4nAn4Dbi1XREnLKKotUANlKXa7yCgRcgq8HEzQYW8/edit?usp=sharing"",""พะเยา!J452"")+IMPORTRANGE(""https://docs.google.com/spreadsheets/d/1xfJKIQxVOaPDIICqsflNlL"&amp;"u3JacTDk1FP9RH4phX7mI/edit?usp=sharing"",""พิจิตร!J452"")+IMPORTRANGE(""https://docs.google.com/spreadsheets/d/1JtRfZkJMHtEhI5RdRHxYUG4FIZHqKDpNyIuN7A1Q0_k/edit?usp=sharing"",""พิษณุโลก!J452"")+IMPORTRANGE(""https://docs.google.com/spreadsheets/d/1xlcVZWU"&amp;"Nn6SuWm0c307h32SiGkd9BaeQWlAktfD3KO8/edit?usp=sharing"",""เพชรบูรณ์!J452"")+IMPORTRANGE(""https://docs.google.com/spreadsheets/d/1lOVebEIsI9qjGXl6EX66luk7wiuP2tBaryw-wKvv4e0/edit?usp=sharing"",""แพร่!J452"")+IMPORTRANGE(""https://docs.google.com/spreadshe"&amp;"ets/d/1dQrvX0vEcN7Gu0fnZ0B5S90AeR19zth4XlExFBeExMY/edit?usp=sharing"",""แม่ฮ่องสอน!J452"")+IMPORTRANGE(""https://docs.google.com/spreadsheets/d/1DY4XTNNwjluuxqdfdn6qvOSlMRrZqUtmYcZR0ttFiG4/edit?usp=sharing"",""ลำปาง!J452"")+IMPORTRANGE(""https://docs.goog"&amp;"le.com/spreadsheets/d/1ICwG78r0OFT8biBlxnBF8r7she7gNSzOvJ958PWT09c/edit?usp=sharing"",""ลำพูน!J452"")+IMPORTRANGE(""https://docs.google.com/spreadsheets/d/1B0f2xJpZUC6Z0xXnqKlZtEPzsf6L84eP1r1Q15seqRM/edit?usp=sharing"",""สุโขทัย!J452"")+IMPORTRANGE(""http"&amp;"s://docs.google.com/spreadsheets/d/1v0b9pFQCsKUVExMei7AgY2yQkdeNQvtOssygGsXbiKo/edit?usp=sharing"",""อุตรดิตถ์!J452"")+IMPORTRANGE(""https://docs.google.com/spreadsheets/d/1UsNK1e-WWiCo2PvGqdNfdme4m17_Ezd3J69EeeiQPD0/edit?usp=sharing"",""อุทัยธานี!J452"")"),0)</f>
        <v>0</v>
      </c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166">
        <f ca="1">IFERROR(__xludf.DUMMYFUNCTION("IMPORTRANGE(""https://docs.google.com/spreadsheets/d/1jTcq05yEiRwXcBMLjiodW9e4biSGYWAHcDj22rKWQ3s/edit?usp=sharing"",""กำแพงเพชร!J453"")+IMPORTRANGE(""https://docs.google.com/spreadsheets/d/1KS0zmDSZPk8KnTAbGN-Xk6MtX1YRZD0ldgdt20K4CRk/edit?usp=sharing"","&amp;"""เชียงราย!J453"")+IMPORTRANGE(""https://docs.google.com/spreadsheets/d/1rEDxBtusbi64tE0zunoIbsTVV16HeL0oJ6trHQeQ7K8/edit?usp=sharing"",""เชียงใหม่!J453"")+IMPORTRANGE(""https://docs.google.com/spreadsheets/d/1W6MnUbDkMi6xHnHko_XkFDO9kkuL6Wqyc-6OCDFjW9I/e"&amp;"dit?usp=sharing"",""ตาก!J453"")+IMPORTRANGE(""https://docs.google.com/spreadsheets/d/1IQAWArduLkta9LpYo4a_ULsyqdta6-6aDDiwpUnQT6c/edit?usp=sharing"",""นครสวรรค์!J453"")+IMPORTRANGE(""https://docs.google.com/spreadsheets/d/10s13Sk5xrltsiR-Zkbmk5DwIaDIKO8Xl"&amp;"bJAfqyT7Gvg/edit?usp=sharing"",""น่าน!J453"")+IMPORTRANGE(""https://docs.google.com/spreadsheets/d/1uu4nAn4Dbi1XREnLKKotUANlKXa7yCgRcgq8HEzQYW8/edit?usp=sharing"",""พะเยา!J453"")+IMPORTRANGE(""https://docs.google.com/spreadsheets/d/1xfJKIQxVOaPDIICqsflNlL"&amp;"u3JacTDk1FP9RH4phX7mI/edit?usp=sharing"",""พิจิตร!J453"")+IMPORTRANGE(""https://docs.google.com/spreadsheets/d/1JtRfZkJMHtEhI5RdRHxYUG4FIZHqKDpNyIuN7A1Q0_k/edit?usp=sharing"",""พิษณุโลก!J453"")+IMPORTRANGE(""https://docs.google.com/spreadsheets/d/1xlcVZWU"&amp;"Nn6SuWm0c307h32SiGkd9BaeQWlAktfD3KO8/edit?usp=sharing"",""เพชรบูรณ์!J453"")+IMPORTRANGE(""https://docs.google.com/spreadsheets/d/1lOVebEIsI9qjGXl6EX66luk7wiuP2tBaryw-wKvv4e0/edit?usp=sharing"",""แพร่!J453"")+IMPORTRANGE(""https://docs.google.com/spreadshe"&amp;"ets/d/1dQrvX0vEcN7Gu0fnZ0B5S90AeR19zth4XlExFBeExMY/edit?usp=sharing"",""แม่ฮ่องสอน!J453"")+IMPORTRANGE(""https://docs.google.com/spreadsheets/d/1DY4XTNNwjluuxqdfdn6qvOSlMRrZqUtmYcZR0ttFiG4/edit?usp=sharing"",""ลำปาง!J453"")+IMPORTRANGE(""https://docs.goog"&amp;"le.com/spreadsheets/d/1ICwG78r0OFT8biBlxnBF8r7she7gNSzOvJ958PWT09c/edit?usp=sharing"",""ลำพูน!J453"")+IMPORTRANGE(""https://docs.google.com/spreadsheets/d/1B0f2xJpZUC6Z0xXnqKlZtEPzsf6L84eP1r1Q15seqRM/edit?usp=sharing"",""สุโขทัย!J453"")+IMPORTRANGE(""http"&amp;"s://docs.google.com/spreadsheets/d/1v0b9pFQCsKUVExMei7AgY2yQkdeNQvtOssygGsXbiKo/edit?usp=sharing"",""อุตรดิตถ์!J453"")+IMPORTRANGE(""https://docs.google.com/spreadsheets/d/1UsNK1e-WWiCo2PvGqdNfdme4m17_Ezd3J69EeeiQPD0/edit?usp=sharing"",""อุทัยธานี!J453"")"),0)</f>
        <v>0</v>
      </c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325">
        <f ca="1">IFERROR(__xludf.DUMMYFUNCTION("IMPORTRANGE(""https://docs.google.com/spreadsheets/d/1jTcq05yEiRwXcBMLjiodW9e4biSGYWAHcDj22rKWQ3s/edit?usp=sharing"",""กำแพงเพชร!J454"")+IMPORTRANGE(""https://docs.google.com/spreadsheets/d/1KS0zmDSZPk8KnTAbGN-Xk6MtX1YRZD0ldgdt20K4CRk/edit?usp=sharing"","&amp;"""เชียงราย!J454"")+IMPORTRANGE(""https://docs.google.com/spreadsheets/d/1rEDxBtusbi64tE0zunoIbsTVV16HeL0oJ6trHQeQ7K8/edit?usp=sharing"",""เชียงใหม่!J454"")+IMPORTRANGE(""https://docs.google.com/spreadsheets/d/1W6MnUbDkMi6xHnHko_XkFDO9kkuL6Wqyc-6OCDFjW9I/e"&amp;"dit?usp=sharing"",""ตาก!J454"")+IMPORTRANGE(""https://docs.google.com/spreadsheets/d/1IQAWArduLkta9LpYo4a_ULsyqdta6-6aDDiwpUnQT6c/edit?usp=sharing"",""นครสวรรค์!J454"")+IMPORTRANGE(""https://docs.google.com/spreadsheets/d/10s13Sk5xrltsiR-Zkbmk5DwIaDIKO8Xl"&amp;"bJAfqyT7Gvg/edit?usp=sharing"",""น่าน!J454"")+IMPORTRANGE(""https://docs.google.com/spreadsheets/d/1uu4nAn4Dbi1XREnLKKotUANlKXa7yCgRcgq8HEzQYW8/edit?usp=sharing"",""พะเยา!J454"")+IMPORTRANGE(""https://docs.google.com/spreadsheets/d/1xfJKIQxVOaPDIICqsflNlL"&amp;"u3JacTDk1FP9RH4phX7mI/edit?usp=sharing"",""พิจิตร!J454"")+IMPORTRANGE(""https://docs.google.com/spreadsheets/d/1JtRfZkJMHtEhI5RdRHxYUG4FIZHqKDpNyIuN7A1Q0_k/edit?usp=sharing"",""พิษณุโลก!J454"")+IMPORTRANGE(""https://docs.google.com/spreadsheets/d/1xlcVZWU"&amp;"Nn6SuWm0c307h32SiGkd9BaeQWlAktfD3KO8/edit?usp=sharing"",""เพชรบูรณ์!J454"")+IMPORTRANGE(""https://docs.google.com/spreadsheets/d/1lOVebEIsI9qjGXl6EX66luk7wiuP2tBaryw-wKvv4e0/edit?usp=sharing"",""แพร่!J454"")+IMPORTRANGE(""https://docs.google.com/spreadshe"&amp;"ets/d/1dQrvX0vEcN7Gu0fnZ0B5S90AeR19zth4XlExFBeExMY/edit?usp=sharing"",""แม่ฮ่องสอน!J454"")+IMPORTRANGE(""https://docs.google.com/spreadsheets/d/1DY4XTNNwjluuxqdfdn6qvOSlMRrZqUtmYcZR0ttFiG4/edit?usp=sharing"",""ลำปาง!J454"")+IMPORTRANGE(""https://docs.goog"&amp;"le.com/spreadsheets/d/1ICwG78r0OFT8biBlxnBF8r7she7gNSzOvJ958PWT09c/edit?usp=sharing"",""ลำพูน!J454"")+IMPORTRANGE(""https://docs.google.com/spreadsheets/d/1B0f2xJpZUC6Z0xXnqKlZtEPzsf6L84eP1r1Q15seqRM/edit?usp=sharing"",""สุโขทัย!J454"")+IMPORTRANGE(""http"&amp;"s://docs.google.com/spreadsheets/d/1v0b9pFQCsKUVExMei7AgY2yQkdeNQvtOssygGsXbiKo/edit?usp=sharing"",""อุตรดิตถ์!J454"")+IMPORTRANGE(""https://docs.google.com/spreadsheets/d/1UsNK1e-WWiCo2PvGqdNfdme4m17_Ezd3J69EeeiQPD0/edit?usp=sharing"",""อุทัยธานี!J454"")"),0)</f>
        <v>0</v>
      </c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166">
        <f ca="1">IFERROR(__xludf.DUMMYFUNCTION("IMPORTRANGE(""https://docs.google.com/spreadsheets/d/1jTcq05yEiRwXcBMLjiodW9e4biSGYWAHcDj22rKWQ3s/edit?usp=sharing"",""กำแพงเพชร!J455"")+IMPORTRANGE(""https://docs.google.com/spreadsheets/d/1KS0zmDSZPk8KnTAbGN-Xk6MtX1YRZD0ldgdt20K4CRk/edit?usp=sharing"","&amp;"""เชียงราย!J455"")+IMPORTRANGE(""https://docs.google.com/spreadsheets/d/1rEDxBtusbi64tE0zunoIbsTVV16HeL0oJ6trHQeQ7K8/edit?usp=sharing"",""เชียงใหม่!J455"")+IMPORTRANGE(""https://docs.google.com/spreadsheets/d/1W6MnUbDkMi6xHnHko_XkFDO9kkuL6Wqyc-6OCDFjW9I/e"&amp;"dit?usp=sharing"",""ตาก!J455"")+IMPORTRANGE(""https://docs.google.com/spreadsheets/d/1IQAWArduLkta9LpYo4a_ULsyqdta6-6aDDiwpUnQT6c/edit?usp=sharing"",""นครสวรรค์!J455"")+IMPORTRANGE(""https://docs.google.com/spreadsheets/d/10s13Sk5xrltsiR-Zkbmk5DwIaDIKO8Xl"&amp;"bJAfqyT7Gvg/edit?usp=sharing"",""น่าน!J455"")+IMPORTRANGE(""https://docs.google.com/spreadsheets/d/1uu4nAn4Dbi1XREnLKKotUANlKXa7yCgRcgq8HEzQYW8/edit?usp=sharing"",""พะเยา!J455"")+IMPORTRANGE(""https://docs.google.com/spreadsheets/d/1xfJKIQxVOaPDIICqsflNlL"&amp;"u3JacTDk1FP9RH4phX7mI/edit?usp=sharing"",""พิจิตร!J455"")+IMPORTRANGE(""https://docs.google.com/spreadsheets/d/1JtRfZkJMHtEhI5RdRHxYUG4FIZHqKDpNyIuN7A1Q0_k/edit?usp=sharing"",""พิษณุโลก!J455"")+IMPORTRANGE(""https://docs.google.com/spreadsheets/d/1xlcVZWU"&amp;"Nn6SuWm0c307h32SiGkd9BaeQWlAktfD3KO8/edit?usp=sharing"",""เพชรบูรณ์!J455"")+IMPORTRANGE(""https://docs.google.com/spreadsheets/d/1lOVebEIsI9qjGXl6EX66luk7wiuP2tBaryw-wKvv4e0/edit?usp=sharing"",""แพร่!J455"")+IMPORTRANGE(""https://docs.google.com/spreadshe"&amp;"ets/d/1dQrvX0vEcN7Gu0fnZ0B5S90AeR19zth4XlExFBeExMY/edit?usp=sharing"",""แม่ฮ่องสอน!J455"")+IMPORTRANGE(""https://docs.google.com/spreadsheets/d/1DY4XTNNwjluuxqdfdn6qvOSlMRrZqUtmYcZR0ttFiG4/edit?usp=sharing"",""ลำปาง!J455"")+IMPORTRANGE(""https://docs.goog"&amp;"le.com/spreadsheets/d/1ICwG78r0OFT8biBlxnBF8r7she7gNSzOvJ958PWT09c/edit?usp=sharing"",""ลำพูน!J455"")+IMPORTRANGE(""https://docs.google.com/spreadsheets/d/1B0f2xJpZUC6Z0xXnqKlZtEPzsf6L84eP1r1Q15seqRM/edit?usp=sharing"",""สุโขทัย!J455"")+IMPORTRANGE(""http"&amp;"s://docs.google.com/spreadsheets/d/1v0b9pFQCsKUVExMei7AgY2yQkdeNQvtOssygGsXbiKo/edit?usp=sharing"",""อุตรดิตถ์!J455"")+IMPORTRANGE(""https://docs.google.com/spreadsheets/d/1UsNK1e-WWiCo2PvGqdNfdme4m17_Ezd3J69EeeiQPD0/edit?usp=sharing"",""อุทัยธานี!J455"")"),0)</f>
        <v>0</v>
      </c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147">
        <f t="shared" ref="I456:J456" ca="1" si="335">I457</f>
        <v>0</v>
      </c>
      <c r="J456" s="147">
        <f t="shared" ca="1" si="335"/>
        <v>0</v>
      </c>
      <c r="K456" s="132">
        <f t="shared" ref="K456:K458" ca="1" si="336">IF(I456&gt;0,J456*100/I456,0)</f>
        <v>0</v>
      </c>
      <c r="L456" s="45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147">
        <f ca="1">IFERROR(__xludf.DUMMYFUNCTION("IMPORTRANGE(""https://docs.google.com/spreadsheets/d/1jTcq05yEiRwXcBMLjiodW9e4biSGYWAHcDj22rKWQ3s/edit?usp=sharing"",""กำแพงเพชร!I457"")+IMPORTRANGE(""https://docs.google.com/spreadsheets/d/1KS0zmDSZPk8KnTAbGN-Xk6MtX1YRZD0ldgdt20K4CRk/edit?usp=sharing"","&amp;"""เชียงราย!I457"")+IMPORTRANGE(""https://docs.google.com/spreadsheets/d/1rEDxBtusbi64tE0zunoIbsTVV16HeL0oJ6trHQeQ7K8/edit?usp=sharing"",""เชียงใหม่!I457"")+IMPORTRANGE(""https://docs.google.com/spreadsheets/d/1W6MnUbDkMi6xHnHko_XkFDO9kkuL6Wqyc-6OCDFjW9I/e"&amp;"dit?usp=sharing"",""ตาก!I457"")+IMPORTRANGE(""https://docs.google.com/spreadsheets/d/1IQAWArduLkta9LpYo4a_ULsyqdta6-6aDDiwpUnQT6c/edit?usp=sharing"",""นครสวรรค์!I457"")+IMPORTRANGE(""https://docs.google.com/spreadsheets/d/10s13Sk5xrltsiR-Zkbmk5DwIaDIKO8Xl"&amp;"bJAfqyT7Gvg/edit?usp=sharing"",""น่าน!I457"")+IMPORTRANGE(""https://docs.google.com/spreadsheets/d/1uu4nAn4Dbi1XREnLKKotUANlKXa7yCgRcgq8HEzQYW8/edit?usp=sharing"",""พะเยา!I457"")+IMPORTRANGE(""https://docs.google.com/spreadsheets/d/1xfJKIQxVOaPDIICqsflNlL"&amp;"u3JacTDk1FP9RH4phX7mI/edit?usp=sharing"",""พิจิตร!I457"")+IMPORTRANGE(""https://docs.google.com/spreadsheets/d/1JtRfZkJMHtEhI5RdRHxYUG4FIZHqKDpNyIuN7A1Q0_k/edit?usp=sharing"",""พิษณุโลก!I457"")+IMPORTRANGE(""https://docs.google.com/spreadsheets/d/1xlcVZWU"&amp;"Nn6SuWm0c307h32SiGkd9BaeQWlAktfD3KO8/edit?usp=sharing"",""เพชรบูรณ์!I457"")+IMPORTRANGE(""https://docs.google.com/spreadsheets/d/1lOVebEIsI9qjGXl6EX66luk7wiuP2tBaryw-wKvv4e0/edit?usp=sharing"",""แพร่!I457"")+IMPORTRANGE(""https://docs.google.com/spreadshe"&amp;"ets/d/1dQrvX0vEcN7Gu0fnZ0B5S90AeR19zth4XlExFBeExMY/edit?usp=sharing"",""แม่ฮ่องสอน!I457"")+IMPORTRANGE(""https://docs.google.com/spreadsheets/d/1DY4XTNNwjluuxqdfdn6qvOSlMRrZqUtmYcZR0ttFiG4/edit?usp=sharing"",""ลำปาง!I457"")+IMPORTRANGE(""https://docs.goog"&amp;"le.com/spreadsheets/d/1ICwG78r0OFT8biBlxnBF8r7she7gNSzOvJ958PWT09c/edit?usp=sharing"",""ลำพูน!I457"")+IMPORTRANGE(""https://docs.google.com/spreadsheets/d/1B0f2xJpZUC6Z0xXnqKlZtEPzsf6L84eP1r1Q15seqRM/edit?usp=sharing"",""สุโขทัย!I457"")+IMPORTRANGE(""http"&amp;"s://docs.google.com/spreadsheets/d/1v0b9pFQCsKUVExMei7AgY2yQkdeNQvtOssygGsXbiKo/edit?usp=sharing"",""อุตรดิตถ์!I457"")+IMPORTRANGE(""https://docs.google.com/spreadsheets/d/1UsNK1e-WWiCo2PvGqdNfdme4m17_Ezd3J69EeeiQPD0/edit?usp=sharing"",""อุทัยธานี!I457"")"),0)</f>
        <v>0</v>
      </c>
      <c r="J457" s="147">
        <f t="shared" ref="J457:J458" ca="1" si="337">J459+J467+J473</f>
        <v>0</v>
      </c>
      <c r="K457" s="132">
        <f t="shared" ca="1" si="336"/>
        <v>0</v>
      </c>
      <c r="L457" s="45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147">
        <f ca="1">IFERROR(__xludf.DUMMYFUNCTION("IMPORTRANGE(""https://docs.google.com/spreadsheets/d/1jTcq05yEiRwXcBMLjiodW9e4biSGYWAHcDj22rKWQ3s/edit?usp=sharing"",""กำแพงเพชร!I458"")+IMPORTRANGE(""https://docs.google.com/spreadsheets/d/1KS0zmDSZPk8KnTAbGN-Xk6MtX1YRZD0ldgdt20K4CRk/edit?usp=sharing"","&amp;"""เชียงราย!I458"")+IMPORTRANGE(""https://docs.google.com/spreadsheets/d/1rEDxBtusbi64tE0zunoIbsTVV16HeL0oJ6trHQeQ7K8/edit?usp=sharing"",""เชียงใหม่!I458"")+IMPORTRANGE(""https://docs.google.com/spreadsheets/d/1W6MnUbDkMi6xHnHko_XkFDO9kkuL6Wqyc-6OCDFjW9I/e"&amp;"dit?usp=sharing"",""ตาก!I458"")+IMPORTRANGE(""https://docs.google.com/spreadsheets/d/1IQAWArduLkta9LpYo4a_ULsyqdta6-6aDDiwpUnQT6c/edit?usp=sharing"",""นครสวรรค์!I458"")+IMPORTRANGE(""https://docs.google.com/spreadsheets/d/10s13Sk5xrltsiR-Zkbmk5DwIaDIKO8Xl"&amp;"bJAfqyT7Gvg/edit?usp=sharing"",""น่าน!I458"")+IMPORTRANGE(""https://docs.google.com/spreadsheets/d/1uu4nAn4Dbi1XREnLKKotUANlKXa7yCgRcgq8HEzQYW8/edit?usp=sharing"",""พะเยา!I458"")+IMPORTRANGE(""https://docs.google.com/spreadsheets/d/1xfJKIQxVOaPDIICqsflNlL"&amp;"u3JacTDk1FP9RH4phX7mI/edit?usp=sharing"",""พิจิตร!I458"")+IMPORTRANGE(""https://docs.google.com/spreadsheets/d/1JtRfZkJMHtEhI5RdRHxYUG4FIZHqKDpNyIuN7A1Q0_k/edit?usp=sharing"",""พิษณุโลก!I458"")+IMPORTRANGE(""https://docs.google.com/spreadsheets/d/1xlcVZWU"&amp;"Nn6SuWm0c307h32SiGkd9BaeQWlAktfD3KO8/edit?usp=sharing"",""เพชรบูรณ์!I458"")+IMPORTRANGE(""https://docs.google.com/spreadsheets/d/1lOVebEIsI9qjGXl6EX66luk7wiuP2tBaryw-wKvv4e0/edit?usp=sharing"",""แพร่!I458"")+IMPORTRANGE(""https://docs.google.com/spreadshe"&amp;"ets/d/1dQrvX0vEcN7Gu0fnZ0B5S90AeR19zth4XlExFBeExMY/edit?usp=sharing"",""แม่ฮ่องสอน!I458"")+IMPORTRANGE(""https://docs.google.com/spreadsheets/d/1DY4XTNNwjluuxqdfdn6qvOSlMRrZqUtmYcZR0ttFiG4/edit?usp=sharing"",""ลำปาง!I458"")+IMPORTRANGE(""https://docs.goog"&amp;"le.com/spreadsheets/d/1ICwG78r0OFT8biBlxnBF8r7she7gNSzOvJ958PWT09c/edit?usp=sharing"",""ลำพูน!I458"")+IMPORTRANGE(""https://docs.google.com/spreadsheets/d/1B0f2xJpZUC6Z0xXnqKlZtEPzsf6L84eP1r1Q15seqRM/edit?usp=sharing"",""สุโขทัย!I458"")+IMPORTRANGE(""http"&amp;"s://docs.google.com/spreadsheets/d/1v0b9pFQCsKUVExMei7AgY2yQkdeNQvtOssygGsXbiKo/edit?usp=sharing"",""อุตรดิตถ์!I458"")+IMPORTRANGE(""https://docs.google.com/spreadsheets/d/1UsNK1e-WWiCo2PvGqdNfdme4m17_Ezd3J69EeeiQPD0/edit?usp=sharing"",""อุทัยธานี!I458"")"),0)</f>
        <v>0</v>
      </c>
      <c r="J458" s="147">
        <f t="shared" ca="1" si="337"/>
        <v>0</v>
      </c>
      <c r="K458" s="132">
        <f t="shared" ca="1" si="336"/>
        <v>0</v>
      </c>
      <c r="L458" s="45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66">
        <f t="shared" ref="J459:J460" ca="1" si="338">J461+J463</f>
        <v>0</v>
      </c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66">
        <f t="shared" ca="1" si="338"/>
        <v>0</v>
      </c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166">
        <f ca="1">IFERROR(__xludf.DUMMYFUNCTION("IMPORTRANGE(""https://docs.google.com/spreadsheets/d/1jTcq05yEiRwXcBMLjiodW9e4biSGYWAHcDj22rKWQ3s/edit?usp=sharing"",""กำแพงเพชร!J461"")+IMPORTRANGE(""https://docs.google.com/spreadsheets/d/1KS0zmDSZPk8KnTAbGN-Xk6MtX1YRZD0ldgdt20K4CRk/edit?usp=sharing"","&amp;"""เชียงราย!J461"")+IMPORTRANGE(""https://docs.google.com/spreadsheets/d/1rEDxBtusbi64tE0zunoIbsTVV16HeL0oJ6trHQeQ7K8/edit?usp=sharing"",""เชียงใหม่!J461"")+IMPORTRANGE(""https://docs.google.com/spreadsheets/d/1W6MnUbDkMi6xHnHko_XkFDO9kkuL6Wqyc-6OCDFjW9I/e"&amp;"dit?usp=sharing"",""ตาก!J461"")+IMPORTRANGE(""https://docs.google.com/spreadsheets/d/1IQAWArduLkta9LpYo4a_ULsyqdta6-6aDDiwpUnQT6c/edit?usp=sharing"",""นครสวรรค์!J461"")+IMPORTRANGE(""https://docs.google.com/spreadsheets/d/10s13Sk5xrltsiR-Zkbmk5DwIaDIKO8Xl"&amp;"bJAfqyT7Gvg/edit?usp=sharing"",""น่าน!J461"")+IMPORTRANGE(""https://docs.google.com/spreadsheets/d/1uu4nAn4Dbi1XREnLKKotUANlKXa7yCgRcgq8HEzQYW8/edit?usp=sharing"",""พะเยา!J461"")+IMPORTRANGE(""https://docs.google.com/spreadsheets/d/1xfJKIQxVOaPDIICqsflNlL"&amp;"u3JacTDk1FP9RH4phX7mI/edit?usp=sharing"",""พิจิตร!J461"")+IMPORTRANGE(""https://docs.google.com/spreadsheets/d/1JtRfZkJMHtEhI5RdRHxYUG4FIZHqKDpNyIuN7A1Q0_k/edit?usp=sharing"",""พิษณุโลก!J461"")+IMPORTRANGE(""https://docs.google.com/spreadsheets/d/1xlcVZWU"&amp;"Nn6SuWm0c307h32SiGkd9BaeQWlAktfD3KO8/edit?usp=sharing"",""เพชรบูรณ์!J461"")+IMPORTRANGE(""https://docs.google.com/spreadsheets/d/1lOVebEIsI9qjGXl6EX66luk7wiuP2tBaryw-wKvv4e0/edit?usp=sharing"",""แพร่!J461"")+IMPORTRANGE(""https://docs.google.com/spreadshe"&amp;"ets/d/1dQrvX0vEcN7Gu0fnZ0B5S90AeR19zth4XlExFBeExMY/edit?usp=sharing"",""แม่ฮ่องสอน!J461"")+IMPORTRANGE(""https://docs.google.com/spreadsheets/d/1DY4XTNNwjluuxqdfdn6qvOSlMRrZqUtmYcZR0ttFiG4/edit?usp=sharing"",""ลำปาง!J461"")+IMPORTRANGE(""https://docs.goog"&amp;"le.com/spreadsheets/d/1ICwG78r0OFT8biBlxnBF8r7she7gNSzOvJ958PWT09c/edit?usp=sharing"",""ลำพูน!J461"")+IMPORTRANGE(""https://docs.google.com/spreadsheets/d/1B0f2xJpZUC6Z0xXnqKlZtEPzsf6L84eP1r1Q15seqRM/edit?usp=sharing"",""สุโขทัย!J461"")+IMPORTRANGE(""http"&amp;"s://docs.google.com/spreadsheets/d/1v0b9pFQCsKUVExMei7AgY2yQkdeNQvtOssygGsXbiKo/edit?usp=sharing"",""อุตรดิตถ์!J461"")+IMPORTRANGE(""https://docs.google.com/spreadsheets/d/1UsNK1e-WWiCo2PvGqdNfdme4m17_Ezd3J69EeeiQPD0/edit?usp=sharing"",""อุทัยธานี!J461"")"),0)</f>
        <v>0</v>
      </c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166">
        <f ca="1">IFERROR(__xludf.DUMMYFUNCTION("IMPORTRANGE(""https://docs.google.com/spreadsheets/d/1jTcq05yEiRwXcBMLjiodW9e4biSGYWAHcDj22rKWQ3s/edit?usp=sharing"",""กำแพงเพชร!J462"")+IMPORTRANGE(""https://docs.google.com/spreadsheets/d/1KS0zmDSZPk8KnTAbGN-Xk6MtX1YRZD0ldgdt20K4CRk/edit?usp=sharing"","&amp;"""เชียงราย!J462"")+IMPORTRANGE(""https://docs.google.com/spreadsheets/d/1rEDxBtusbi64tE0zunoIbsTVV16HeL0oJ6trHQeQ7K8/edit?usp=sharing"",""เชียงใหม่!J462"")+IMPORTRANGE(""https://docs.google.com/spreadsheets/d/1W6MnUbDkMi6xHnHko_XkFDO9kkuL6Wqyc-6OCDFjW9I/e"&amp;"dit?usp=sharing"",""ตาก!J462"")+IMPORTRANGE(""https://docs.google.com/spreadsheets/d/1IQAWArduLkta9LpYo4a_ULsyqdta6-6aDDiwpUnQT6c/edit?usp=sharing"",""นครสวรรค์!J462"")+IMPORTRANGE(""https://docs.google.com/spreadsheets/d/10s13Sk5xrltsiR-Zkbmk5DwIaDIKO8Xl"&amp;"bJAfqyT7Gvg/edit?usp=sharing"",""น่าน!J462"")+IMPORTRANGE(""https://docs.google.com/spreadsheets/d/1uu4nAn4Dbi1XREnLKKotUANlKXa7yCgRcgq8HEzQYW8/edit?usp=sharing"",""พะเยา!J462"")+IMPORTRANGE(""https://docs.google.com/spreadsheets/d/1xfJKIQxVOaPDIICqsflNlL"&amp;"u3JacTDk1FP9RH4phX7mI/edit?usp=sharing"",""พิจิตร!J462"")+IMPORTRANGE(""https://docs.google.com/spreadsheets/d/1JtRfZkJMHtEhI5RdRHxYUG4FIZHqKDpNyIuN7A1Q0_k/edit?usp=sharing"",""พิษณุโลก!J462"")+IMPORTRANGE(""https://docs.google.com/spreadsheets/d/1xlcVZWU"&amp;"Nn6SuWm0c307h32SiGkd9BaeQWlAktfD3KO8/edit?usp=sharing"",""เพชรบูรณ์!J462"")+IMPORTRANGE(""https://docs.google.com/spreadsheets/d/1lOVebEIsI9qjGXl6EX66luk7wiuP2tBaryw-wKvv4e0/edit?usp=sharing"",""แพร่!J462"")+IMPORTRANGE(""https://docs.google.com/spreadshe"&amp;"ets/d/1dQrvX0vEcN7Gu0fnZ0B5S90AeR19zth4XlExFBeExMY/edit?usp=sharing"",""แม่ฮ่องสอน!J462"")+IMPORTRANGE(""https://docs.google.com/spreadsheets/d/1DY4XTNNwjluuxqdfdn6qvOSlMRrZqUtmYcZR0ttFiG4/edit?usp=sharing"",""ลำปาง!J462"")+IMPORTRANGE(""https://docs.goog"&amp;"le.com/spreadsheets/d/1ICwG78r0OFT8biBlxnBF8r7she7gNSzOvJ958PWT09c/edit?usp=sharing"",""ลำพูน!J462"")+IMPORTRANGE(""https://docs.google.com/spreadsheets/d/1B0f2xJpZUC6Z0xXnqKlZtEPzsf6L84eP1r1Q15seqRM/edit?usp=sharing"",""สุโขทัย!J462"")+IMPORTRANGE(""http"&amp;"s://docs.google.com/spreadsheets/d/1v0b9pFQCsKUVExMei7AgY2yQkdeNQvtOssygGsXbiKo/edit?usp=sharing"",""อุตรดิตถ์!J462"")+IMPORTRANGE(""https://docs.google.com/spreadsheets/d/1UsNK1e-WWiCo2PvGqdNfdme4m17_Ezd3J69EeeiQPD0/edit?usp=sharing"",""อุทัยธานี!J462"")"),0)</f>
        <v>0</v>
      </c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166">
        <f ca="1">IFERROR(__xludf.DUMMYFUNCTION("IMPORTRANGE(""https://docs.google.com/spreadsheets/d/1jTcq05yEiRwXcBMLjiodW9e4biSGYWAHcDj22rKWQ3s/edit?usp=sharing"",""กำแพงเพชร!J463"")+IMPORTRANGE(""https://docs.google.com/spreadsheets/d/1KS0zmDSZPk8KnTAbGN-Xk6MtX1YRZD0ldgdt20K4CRk/edit?usp=sharing"","&amp;"""เชียงราย!J463"")+IMPORTRANGE(""https://docs.google.com/spreadsheets/d/1rEDxBtusbi64tE0zunoIbsTVV16HeL0oJ6trHQeQ7K8/edit?usp=sharing"",""เชียงใหม่!J463"")+IMPORTRANGE(""https://docs.google.com/spreadsheets/d/1W6MnUbDkMi6xHnHko_XkFDO9kkuL6Wqyc-6OCDFjW9I/e"&amp;"dit?usp=sharing"",""ตาก!J463"")+IMPORTRANGE(""https://docs.google.com/spreadsheets/d/1IQAWArduLkta9LpYo4a_ULsyqdta6-6aDDiwpUnQT6c/edit?usp=sharing"",""นครสวรรค์!J463"")+IMPORTRANGE(""https://docs.google.com/spreadsheets/d/10s13Sk5xrltsiR-Zkbmk5DwIaDIKO8Xl"&amp;"bJAfqyT7Gvg/edit?usp=sharing"",""น่าน!J463"")+IMPORTRANGE(""https://docs.google.com/spreadsheets/d/1uu4nAn4Dbi1XREnLKKotUANlKXa7yCgRcgq8HEzQYW8/edit?usp=sharing"",""พะเยา!J463"")+IMPORTRANGE(""https://docs.google.com/spreadsheets/d/1xfJKIQxVOaPDIICqsflNlL"&amp;"u3JacTDk1FP9RH4phX7mI/edit?usp=sharing"",""พิจิตร!J463"")+IMPORTRANGE(""https://docs.google.com/spreadsheets/d/1JtRfZkJMHtEhI5RdRHxYUG4FIZHqKDpNyIuN7A1Q0_k/edit?usp=sharing"",""พิษณุโลก!J463"")+IMPORTRANGE(""https://docs.google.com/spreadsheets/d/1xlcVZWU"&amp;"Nn6SuWm0c307h32SiGkd9BaeQWlAktfD3KO8/edit?usp=sharing"",""เพชรบูรณ์!J463"")+IMPORTRANGE(""https://docs.google.com/spreadsheets/d/1lOVebEIsI9qjGXl6EX66luk7wiuP2tBaryw-wKvv4e0/edit?usp=sharing"",""แพร่!J463"")+IMPORTRANGE(""https://docs.google.com/spreadshe"&amp;"ets/d/1dQrvX0vEcN7Gu0fnZ0B5S90AeR19zth4XlExFBeExMY/edit?usp=sharing"",""แม่ฮ่องสอน!J463"")+IMPORTRANGE(""https://docs.google.com/spreadsheets/d/1DY4XTNNwjluuxqdfdn6qvOSlMRrZqUtmYcZR0ttFiG4/edit?usp=sharing"",""ลำปาง!J463"")+IMPORTRANGE(""https://docs.goog"&amp;"le.com/spreadsheets/d/1ICwG78r0OFT8biBlxnBF8r7she7gNSzOvJ958PWT09c/edit?usp=sharing"",""ลำพูน!J463"")+IMPORTRANGE(""https://docs.google.com/spreadsheets/d/1B0f2xJpZUC6Z0xXnqKlZtEPzsf6L84eP1r1Q15seqRM/edit?usp=sharing"",""สุโขทัย!J463"")+IMPORTRANGE(""http"&amp;"s://docs.google.com/spreadsheets/d/1v0b9pFQCsKUVExMei7AgY2yQkdeNQvtOssygGsXbiKo/edit?usp=sharing"",""อุตรดิตถ์!J463"")+IMPORTRANGE(""https://docs.google.com/spreadsheets/d/1UsNK1e-WWiCo2PvGqdNfdme4m17_Ezd3J69EeeiQPD0/edit?usp=sharing"",""อุทัยธานี!J463"")"),0)</f>
        <v>0</v>
      </c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166">
        <f ca="1">IFERROR(__xludf.DUMMYFUNCTION("IMPORTRANGE(""https://docs.google.com/spreadsheets/d/1jTcq05yEiRwXcBMLjiodW9e4biSGYWAHcDj22rKWQ3s/edit?usp=sharing"",""กำแพงเพชร!J464"")+IMPORTRANGE(""https://docs.google.com/spreadsheets/d/1KS0zmDSZPk8KnTAbGN-Xk6MtX1YRZD0ldgdt20K4CRk/edit?usp=sharing"","&amp;"""เชียงราย!J464"")+IMPORTRANGE(""https://docs.google.com/spreadsheets/d/1rEDxBtusbi64tE0zunoIbsTVV16HeL0oJ6trHQeQ7K8/edit?usp=sharing"",""เชียงใหม่!J464"")+IMPORTRANGE(""https://docs.google.com/spreadsheets/d/1W6MnUbDkMi6xHnHko_XkFDO9kkuL6Wqyc-6OCDFjW9I/e"&amp;"dit?usp=sharing"",""ตาก!J464"")+IMPORTRANGE(""https://docs.google.com/spreadsheets/d/1IQAWArduLkta9LpYo4a_ULsyqdta6-6aDDiwpUnQT6c/edit?usp=sharing"",""นครสวรรค์!J464"")+IMPORTRANGE(""https://docs.google.com/spreadsheets/d/10s13Sk5xrltsiR-Zkbmk5DwIaDIKO8Xl"&amp;"bJAfqyT7Gvg/edit?usp=sharing"",""น่าน!J464"")+IMPORTRANGE(""https://docs.google.com/spreadsheets/d/1uu4nAn4Dbi1XREnLKKotUANlKXa7yCgRcgq8HEzQYW8/edit?usp=sharing"",""พะเยา!J464"")+IMPORTRANGE(""https://docs.google.com/spreadsheets/d/1xfJKIQxVOaPDIICqsflNlL"&amp;"u3JacTDk1FP9RH4phX7mI/edit?usp=sharing"",""พิจิตร!J464"")+IMPORTRANGE(""https://docs.google.com/spreadsheets/d/1JtRfZkJMHtEhI5RdRHxYUG4FIZHqKDpNyIuN7A1Q0_k/edit?usp=sharing"",""พิษณุโลก!J464"")+IMPORTRANGE(""https://docs.google.com/spreadsheets/d/1xlcVZWU"&amp;"Nn6SuWm0c307h32SiGkd9BaeQWlAktfD3KO8/edit?usp=sharing"",""เพชรบูรณ์!J464"")+IMPORTRANGE(""https://docs.google.com/spreadsheets/d/1lOVebEIsI9qjGXl6EX66luk7wiuP2tBaryw-wKvv4e0/edit?usp=sharing"",""แพร่!J464"")+IMPORTRANGE(""https://docs.google.com/spreadshe"&amp;"ets/d/1dQrvX0vEcN7Gu0fnZ0B5S90AeR19zth4XlExFBeExMY/edit?usp=sharing"",""แม่ฮ่องสอน!J464"")+IMPORTRANGE(""https://docs.google.com/spreadsheets/d/1DY4XTNNwjluuxqdfdn6qvOSlMRrZqUtmYcZR0ttFiG4/edit?usp=sharing"",""ลำปาง!J464"")+IMPORTRANGE(""https://docs.goog"&amp;"le.com/spreadsheets/d/1ICwG78r0OFT8biBlxnBF8r7she7gNSzOvJ958PWT09c/edit?usp=sharing"",""ลำพูน!J464"")+IMPORTRANGE(""https://docs.google.com/spreadsheets/d/1B0f2xJpZUC6Z0xXnqKlZtEPzsf6L84eP1r1Q15seqRM/edit?usp=sharing"",""สุโขทัย!J464"")+IMPORTRANGE(""http"&amp;"s://docs.google.com/spreadsheets/d/1v0b9pFQCsKUVExMei7AgY2yQkdeNQvtOssygGsXbiKo/edit?usp=sharing"",""อุตรดิตถ์!J464"")+IMPORTRANGE(""https://docs.google.com/spreadsheets/d/1UsNK1e-WWiCo2PvGqdNfdme4m17_Ezd3J69EeeiQPD0/edit?usp=sharing"",""อุทัยธานี!J464"")"),0)</f>
        <v>0</v>
      </c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166">
        <f ca="1">IFERROR(__xludf.DUMMYFUNCTION("IMPORTRANGE(""https://docs.google.com/spreadsheets/d/1jTcq05yEiRwXcBMLjiodW9e4biSGYWAHcDj22rKWQ3s/edit?usp=sharing"",""กำแพงเพชร!J465"")+IMPORTRANGE(""https://docs.google.com/spreadsheets/d/1KS0zmDSZPk8KnTAbGN-Xk6MtX1YRZD0ldgdt20K4CRk/edit?usp=sharing"","&amp;"""เชียงราย!J465"")+IMPORTRANGE(""https://docs.google.com/spreadsheets/d/1rEDxBtusbi64tE0zunoIbsTVV16HeL0oJ6trHQeQ7K8/edit?usp=sharing"",""เชียงใหม่!J465"")+IMPORTRANGE(""https://docs.google.com/spreadsheets/d/1W6MnUbDkMi6xHnHko_XkFDO9kkuL6Wqyc-6OCDFjW9I/e"&amp;"dit?usp=sharing"",""ตาก!J465"")+IMPORTRANGE(""https://docs.google.com/spreadsheets/d/1IQAWArduLkta9LpYo4a_ULsyqdta6-6aDDiwpUnQT6c/edit?usp=sharing"",""นครสวรรค์!J465"")+IMPORTRANGE(""https://docs.google.com/spreadsheets/d/10s13Sk5xrltsiR-Zkbmk5DwIaDIKO8Xl"&amp;"bJAfqyT7Gvg/edit?usp=sharing"",""น่าน!J465"")+IMPORTRANGE(""https://docs.google.com/spreadsheets/d/1uu4nAn4Dbi1XREnLKKotUANlKXa7yCgRcgq8HEzQYW8/edit?usp=sharing"",""พะเยา!J465"")+IMPORTRANGE(""https://docs.google.com/spreadsheets/d/1xfJKIQxVOaPDIICqsflNlL"&amp;"u3JacTDk1FP9RH4phX7mI/edit?usp=sharing"",""พิจิตร!J465"")+IMPORTRANGE(""https://docs.google.com/spreadsheets/d/1JtRfZkJMHtEhI5RdRHxYUG4FIZHqKDpNyIuN7A1Q0_k/edit?usp=sharing"",""พิษณุโลก!J465"")+IMPORTRANGE(""https://docs.google.com/spreadsheets/d/1xlcVZWU"&amp;"Nn6SuWm0c307h32SiGkd9BaeQWlAktfD3KO8/edit?usp=sharing"",""เพชรบูรณ์!J465"")+IMPORTRANGE(""https://docs.google.com/spreadsheets/d/1lOVebEIsI9qjGXl6EX66luk7wiuP2tBaryw-wKvv4e0/edit?usp=sharing"",""แพร่!J465"")+IMPORTRANGE(""https://docs.google.com/spreadshe"&amp;"ets/d/1dQrvX0vEcN7Gu0fnZ0B5S90AeR19zth4XlExFBeExMY/edit?usp=sharing"",""แม่ฮ่องสอน!J465"")+IMPORTRANGE(""https://docs.google.com/spreadsheets/d/1DY4XTNNwjluuxqdfdn6qvOSlMRrZqUtmYcZR0ttFiG4/edit?usp=sharing"",""ลำปาง!J465"")+IMPORTRANGE(""https://docs.goog"&amp;"le.com/spreadsheets/d/1ICwG78r0OFT8biBlxnBF8r7she7gNSzOvJ958PWT09c/edit?usp=sharing"",""ลำพูน!J465"")+IMPORTRANGE(""https://docs.google.com/spreadsheets/d/1B0f2xJpZUC6Z0xXnqKlZtEPzsf6L84eP1r1Q15seqRM/edit?usp=sharing"",""สุโขทัย!J465"")+IMPORTRANGE(""http"&amp;"s://docs.google.com/spreadsheets/d/1v0b9pFQCsKUVExMei7AgY2yQkdeNQvtOssygGsXbiKo/edit?usp=sharing"",""อุตรดิตถ์!J465"")+IMPORTRANGE(""https://docs.google.com/spreadsheets/d/1UsNK1e-WWiCo2PvGqdNfdme4m17_Ezd3J69EeeiQPD0/edit?usp=sharing"",""อุทัยธานี!J465"")"),0)</f>
        <v>0</v>
      </c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166">
        <f ca="1">IFERROR(__xludf.DUMMYFUNCTION("IMPORTRANGE(""https://docs.google.com/spreadsheets/d/1jTcq05yEiRwXcBMLjiodW9e4biSGYWAHcDj22rKWQ3s/edit?usp=sharing"",""กำแพงเพชร!J466"")+IMPORTRANGE(""https://docs.google.com/spreadsheets/d/1KS0zmDSZPk8KnTAbGN-Xk6MtX1YRZD0ldgdt20K4CRk/edit?usp=sharing"","&amp;"""เชียงราย!J466"")+IMPORTRANGE(""https://docs.google.com/spreadsheets/d/1rEDxBtusbi64tE0zunoIbsTVV16HeL0oJ6trHQeQ7K8/edit?usp=sharing"",""เชียงใหม่!J466"")+IMPORTRANGE(""https://docs.google.com/spreadsheets/d/1W6MnUbDkMi6xHnHko_XkFDO9kkuL6Wqyc-6OCDFjW9I/e"&amp;"dit?usp=sharing"",""ตาก!J466"")+IMPORTRANGE(""https://docs.google.com/spreadsheets/d/1IQAWArduLkta9LpYo4a_ULsyqdta6-6aDDiwpUnQT6c/edit?usp=sharing"",""นครสวรรค์!J466"")+IMPORTRANGE(""https://docs.google.com/spreadsheets/d/10s13Sk5xrltsiR-Zkbmk5DwIaDIKO8Xl"&amp;"bJAfqyT7Gvg/edit?usp=sharing"",""น่าน!J466"")+IMPORTRANGE(""https://docs.google.com/spreadsheets/d/1uu4nAn4Dbi1XREnLKKotUANlKXa7yCgRcgq8HEzQYW8/edit?usp=sharing"",""พะเยา!J466"")+IMPORTRANGE(""https://docs.google.com/spreadsheets/d/1xfJKIQxVOaPDIICqsflNlL"&amp;"u3JacTDk1FP9RH4phX7mI/edit?usp=sharing"",""พิจิตร!J466"")+IMPORTRANGE(""https://docs.google.com/spreadsheets/d/1JtRfZkJMHtEhI5RdRHxYUG4FIZHqKDpNyIuN7A1Q0_k/edit?usp=sharing"",""พิษณุโลก!J466"")+IMPORTRANGE(""https://docs.google.com/spreadsheets/d/1xlcVZWU"&amp;"Nn6SuWm0c307h32SiGkd9BaeQWlAktfD3KO8/edit?usp=sharing"",""เพชรบูรณ์!J466"")+IMPORTRANGE(""https://docs.google.com/spreadsheets/d/1lOVebEIsI9qjGXl6EX66luk7wiuP2tBaryw-wKvv4e0/edit?usp=sharing"",""แพร่!J466"")+IMPORTRANGE(""https://docs.google.com/spreadshe"&amp;"ets/d/1dQrvX0vEcN7Gu0fnZ0B5S90AeR19zth4XlExFBeExMY/edit?usp=sharing"",""แม่ฮ่องสอน!J466"")+IMPORTRANGE(""https://docs.google.com/spreadsheets/d/1DY4XTNNwjluuxqdfdn6qvOSlMRrZqUtmYcZR0ttFiG4/edit?usp=sharing"",""ลำปาง!J466"")+IMPORTRANGE(""https://docs.goog"&amp;"le.com/spreadsheets/d/1ICwG78r0OFT8biBlxnBF8r7she7gNSzOvJ958PWT09c/edit?usp=sharing"",""ลำพูน!J466"")+IMPORTRANGE(""https://docs.google.com/spreadsheets/d/1B0f2xJpZUC6Z0xXnqKlZtEPzsf6L84eP1r1Q15seqRM/edit?usp=sharing"",""สุโขทัย!J466"")+IMPORTRANGE(""http"&amp;"s://docs.google.com/spreadsheets/d/1v0b9pFQCsKUVExMei7AgY2yQkdeNQvtOssygGsXbiKo/edit?usp=sharing"",""อุตรดิตถ์!J466"")+IMPORTRANGE(""https://docs.google.com/spreadsheets/d/1UsNK1e-WWiCo2PvGqdNfdme4m17_Ezd3J69EeeiQPD0/edit?usp=sharing"",""อุทัยธานี!J466"")"),0)</f>
        <v>0</v>
      </c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66">
        <f t="shared" ref="J467:J468" ca="1" si="339">J469+J471</f>
        <v>0</v>
      </c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66">
        <f t="shared" ca="1" si="339"/>
        <v>0</v>
      </c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166">
        <f ca="1">IFERROR(__xludf.DUMMYFUNCTION("IMPORTRANGE(""https://docs.google.com/spreadsheets/d/1jTcq05yEiRwXcBMLjiodW9e4biSGYWAHcDj22rKWQ3s/edit?usp=sharing"",""กำแพงเพชร!J469"")+IMPORTRANGE(""https://docs.google.com/spreadsheets/d/1KS0zmDSZPk8KnTAbGN-Xk6MtX1YRZD0ldgdt20K4CRk/edit?usp=sharing"","&amp;"""เชียงราย!J469"")+IMPORTRANGE(""https://docs.google.com/spreadsheets/d/1rEDxBtusbi64tE0zunoIbsTVV16HeL0oJ6trHQeQ7K8/edit?usp=sharing"",""เชียงใหม่!J469"")+IMPORTRANGE(""https://docs.google.com/spreadsheets/d/1W6MnUbDkMi6xHnHko_XkFDO9kkuL6Wqyc-6OCDFjW9I/e"&amp;"dit?usp=sharing"",""ตาก!J469"")+IMPORTRANGE(""https://docs.google.com/spreadsheets/d/1IQAWArduLkta9LpYo4a_ULsyqdta6-6aDDiwpUnQT6c/edit?usp=sharing"",""นครสวรรค์!J469"")+IMPORTRANGE(""https://docs.google.com/spreadsheets/d/10s13Sk5xrltsiR-Zkbmk5DwIaDIKO8Xl"&amp;"bJAfqyT7Gvg/edit?usp=sharing"",""น่าน!J469"")+IMPORTRANGE(""https://docs.google.com/spreadsheets/d/1uu4nAn4Dbi1XREnLKKotUANlKXa7yCgRcgq8HEzQYW8/edit?usp=sharing"",""พะเยา!J469"")+IMPORTRANGE(""https://docs.google.com/spreadsheets/d/1xfJKIQxVOaPDIICqsflNlL"&amp;"u3JacTDk1FP9RH4phX7mI/edit?usp=sharing"",""พิจิตร!J469"")+IMPORTRANGE(""https://docs.google.com/spreadsheets/d/1JtRfZkJMHtEhI5RdRHxYUG4FIZHqKDpNyIuN7A1Q0_k/edit?usp=sharing"",""พิษณุโลก!J469"")+IMPORTRANGE(""https://docs.google.com/spreadsheets/d/1xlcVZWU"&amp;"Nn6SuWm0c307h32SiGkd9BaeQWlAktfD3KO8/edit?usp=sharing"",""เพชรบูรณ์!J469"")+IMPORTRANGE(""https://docs.google.com/spreadsheets/d/1lOVebEIsI9qjGXl6EX66luk7wiuP2tBaryw-wKvv4e0/edit?usp=sharing"",""แพร่!J469"")+IMPORTRANGE(""https://docs.google.com/spreadshe"&amp;"ets/d/1dQrvX0vEcN7Gu0fnZ0B5S90AeR19zth4XlExFBeExMY/edit?usp=sharing"",""แม่ฮ่องสอน!J469"")+IMPORTRANGE(""https://docs.google.com/spreadsheets/d/1DY4XTNNwjluuxqdfdn6qvOSlMRrZqUtmYcZR0ttFiG4/edit?usp=sharing"",""ลำปาง!J469"")+IMPORTRANGE(""https://docs.goog"&amp;"le.com/spreadsheets/d/1ICwG78r0OFT8biBlxnBF8r7she7gNSzOvJ958PWT09c/edit?usp=sharing"",""ลำพูน!J469"")+IMPORTRANGE(""https://docs.google.com/spreadsheets/d/1B0f2xJpZUC6Z0xXnqKlZtEPzsf6L84eP1r1Q15seqRM/edit?usp=sharing"",""สุโขทัย!J469"")+IMPORTRANGE(""http"&amp;"s://docs.google.com/spreadsheets/d/1v0b9pFQCsKUVExMei7AgY2yQkdeNQvtOssygGsXbiKo/edit?usp=sharing"",""อุตรดิตถ์!J469"")+IMPORTRANGE(""https://docs.google.com/spreadsheets/d/1UsNK1e-WWiCo2PvGqdNfdme4m17_Ezd3J69EeeiQPD0/edit?usp=sharing"",""อุทัยธานี!J469"")"),0)</f>
        <v>0</v>
      </c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166">
        <f ca="1">IFERROR(__xludf.DUMMYFUNCTION("IMPORTRANGE(""https://docs.google.com/spreadsheets/d/1jTcq05yEiRwXcBMLjiodW9e4biSGYWAHcDj22rKWQ3s/edit?usp=sharing"",""กำแพงเพชร!J470"")+IMPORTRANGE(""https://docs.google.com/spreadsheets/d/1KS0zmDSZPk8KnTAbGN-Xk6MtX1YRZD0ldgdt20K4CRk/edit?usp=sharing"","&amp;"""เชียงราย!J470"")+IMPORTRANGE(""https://docs.google.com/spreadsheets/d/1rEDxBtusbi64tE0zunoIbsTVV16HeL0oJ6trHQeQ7K8/edit?usp=sharing"",""เชียงใหม่!J470"")+IMPORTRANGE(""https://docs.google.com/spreadsheets/d/1W6MnUbDkMi6xHnHko_XkFDO9kkuL6Wqyc-6OCDFjW9I/e"&amp;"dit?usp=sharing"",""ตาก!J470"")+IMPORTRANGE(""https://docs.google.com/spreadsheets/d/1IQAWArduLkta9LpYo4a_ULsyqdta6-6aDDiwpUnQT6c/edit?usp=sharing"",""นครสวรรค์!J470"")+IMPORTRANGE(""https://docs.google.com/spreadsheets/d/10s13Sk5xrltsiR-Zkbmk5DwIaDIKO8Xl"&amp;"bJAfqyT7Gvg/edit?usp=sharing"",""น่าน!J470"")+IMPORTRANGE(""https://docs.google.com/spreadsheets/d/1uu4nAn4Dbi1XREnLKKotUANlKXa7yCgRcgq8HEzQYW8/edit?usp=sharing"",""พะเยา!J470"")+IMPORTRANGE(""https://docs.google.com/spreadsheets/d/1xfJKIQxVOaPDIICqsflNlL"&amp;"u3JacTDk1FP9RH4phX7mI/edit?usp=sharing"",""พิจิตร!J470"")+IMPORTRANGE(""https://docs.google.com/spreadsheets/d/1JtRfZkJMHtEhI5RdRHxYUG4FIZHqKDpNyIuN7A1Q0_k/edit?usp=sharing"",""พิษณุโลก!J470"")+IMPORTRANGE(""https://docs.google.com/spreadsheets/d/1xlcVZWU"&amp;"Nn6SuWm0c307h32SiGkd9BaeQWlAktfD3KO8/edit?usp=sharing"",""เพชรบูรณ์!J470"")+IMPORTRANGE(""https://docs.google.com/spreadsheets/d/1lOVebEIsI9qjGXl6EX66luk7wiuP2tBaryw-wKvv4e0/edit?usp=sharing"",""แพร่!J470"")+IMPORTRANGE(""https://docs.google.com/spreadshe"&amp;"ets/d/1dQrvX0vEcN7Gu0fnZ0B5S90AeR19zth4XlExFBeExMY/edit?usp=sharing"",""แม่ฮ่องสอน!J470"")+IMPORTRANGE(""https://docs.google.com/spreadsheets/d/1DY4XTNNwjluuxqdfdn6qvOSlMRrZqUtmYcZR0ttFiG4/edit?usp=sharing"",""ลำปาง!J470"")+IMPORTRANGE(""https://docs.goog"&amp;"le.com/spreadsheets/d/1ICwG78r0OFT8biBlxnBF8r7she7gNSzOvJ958PWT09c/edit?usp=sharing"",""ลำพูน!J470"")+IMPORTRANGE(""https://docs.google.com/spreadsheets/d/1B0f2xJpZUC6Z0xXnqKlZtEPzsf6L84eP1r1Q15seqRM/edit?usp=sharing"",""สุโขทัย!J470"")+IMPORTRANGE(""http"&amp;"s://docs.google.com/spreadsheets/d/1v0b9pFQCsKUVExMei7AgY2yQkdeNQvtOssygGsXbiKo/edit?usp=sharing"",""อุตรดิตถ์!J470"")+IMPORTRANGE(""https://docs.google.com/spreadsheets/d/1UsNK1e-WWiCo2PvGqdNfdme4m17_Ezd3J69EeeiQPD0/edit?usp=sharing"",""อุทัยธานี!J470"")"),0)</f>
        <v>0</v>
      </c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166">
        <f ca="1">IFERROR(__xludf.DUMMYFUNCTION("IMPORTRANGE(""https://docs.google.com/spreadsheets/d/1jTcq05yEiRwXcBMLjiodW9e4biSGYWAHcDj22rKWQ3s/edit?usp=sharing"",""กำแพงเพชร!J471"")+IMPORTRANGE(""https://docs.google.com/spreadsheets/d/1KS0zmDSZPk8KnTAbGN-Xk6MtX1YRZD0ldgdt20K4CRk/edit?usp=sharing"","&amp;"""เชียงราย!J471"")+IMPORTRANGE(""https://docs.google.com/spreadsheets/d/1rEDxBtusbi64tE0zunoIbsTVV16HeL0oJ6trHQeQ7K8/edit?usp=sharing"",""เชียงใหม่!J471"")+IMPORTRANGE(""https://docs.google.com/spreadsheets/d/1W6MnUbDkMi6xHnHko_XkFDO9kkuL6Wqyc-6OCDFjW9I/e"&amp;"dit?usp=sharing"",""ตาก!J471"")+IMPORTRANGE(""https://docs.google.com/spreadsheets/d/1IQAWArduLkta9LpYo4a_ULsyqdta6-6aDDiwpUnQT6c/edit?usp=sharing"",""นครสวรรค์!J471"")+IMPORTRANGE(""https://docs.google.com/spreadsheets/d/10s13Sk5xrltsiR-Zkbmk5DwIaDIKO8Xl"&amp;"bJAfqyT7Gvg/edit?usp=sharing"",""น่าน!J471"")+IMPORTRANGE(""https://docs.google.com/spreadsheets/d/1uu4nAn4Dbi1XREnLKKotUANlKXa7yCgRcgq8HEzQYW8/edit?usp=sharing"",""พะเยา!J471"")+IMPORTRANGE(""https://docs.google.com/spreadsheets/d/1xfJKIQxVOaPDIICqsflNlL"&amp;"u3JacTDk1FP9RH4phX7mI/edit?usp=sharing"",""พิจิตร!J471"")+IMPORTRANGE(""https://docs.google.com/spreadsheets/d/1JtRfZkJMHtEhI5RdRHxYUG4FIZHqKDpNyIuN7A1Q0_k/edit?usp=sharing"",""พิษณุโลก!J471"")+IMPORTRANGE(""https://docs.google.com/spreadsheets/d/1xlcVZWU"&amp;"Nn6SuWm0c307h32SiGkd9BaeQWlAktfD3KO8/edit?usp=sharing"",""เพชรบูรณ์!J471"")+IMPORTRANGE(""https://docs.google.com/spreadsheets/d/1lOVebEIsI9qjGXl6EX66luk7wiuP2tBaryw-wKvv4e0/edit?usp=sharing"",""แพร่!J471"")+IMPORTRANGE(""https://docs.google.com/spreadshe"&amp;"ets/d/1dQrvX0vEcN7Gu0fnZ0B5S90AeR19zth4XlExFBeExMY/edit?usp=sharing"",""แม่ฮ่องสอน!J471"")+IMPORTRANGE(""https://docs.google.com/spreadsheets/d/1DY4XTNNwjluuxqdfdn6qvOSlMRrZqUtmYcZR0ttFiG4/edit?usp=sharing"",""ลำปาง!J471"")+IMPORTRANGE(""https://docs.goog"&amp;"le.com/spreadsheets/d/1ICwG78r0OFT8biBlxnBF8r7she7gNSzOvJ958PWT09c/edit?usp=sharing"",""ลำพูน!J471"")+IMPORTRANGE(""https://docs.google.com/spreadsheets/d/1B0f2xJpZUC6Z0xXnqKlZtEPzsf6L84eP1r1Q15seqRM/edit?usp=sharing"",""สุโขทัย!J471"")+IMPORTRANGE(""http"&amp;"s://docs.google.com/spreadsheets/d/1v0b9pFQCsKUVExMei7AgY2yQkdeNQvtOssygGsXbiKo/edit?usp=sharing"",""อุตรดิตถ์!J471"")+IMPORTRANGE(""https://docs.google.com/spreadsheets/d/1UsNK1e-WWiCo2PvGqdNfdme4m17_Ezd3J69EeeiQPD0/edit?usp=sharing"",""อุทัยธานี!J471"")"),0)</f>
        <v>0</v>
      </c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166">
        <f ca="1">IFERROR(__xludf.DUMMYFUNCTION("IMPORTRANGE(""https://docs.google.com/spreadsheets/d/1jTcq05yEiRwXcBMLjiodW9e4biSGYWAHcDj22rKWQ3s/edit?usp=sharing"",""กำแพงเพชร!J472"")+IMPORTRANGE(""https://docs.google.com/spreadsheets/d/1KS0zmDSZPk8KnTAbGN-Xk6MtX1YRZD0ldgdt20K4CRk/edit?usp=sharing"","&amp;"""เชียงราย!J472"")+IMPORTRANGE(""https://docs.google.com/spreadsheets/d/1rEDxBtusbi64tE0zunoIbsTVV16HeL0oJ6trHQeQ7K8/edit?usp=sharing"",""เชียงใหม่!J472"")+IMPORTRANGE(""https://docs.google.com/spreadsheets/d/1W6MnUbDkMi6xHnHko_XkFDO9kkuL6Wqyc-6OCDFjW9I/e"&amp;"dit?usp=sharing"",""ตาก!J472"")+IMPORTRANGE(""https://docs.google.com/spreadsheets/d/1IQAWArduLkta9LpYo4a_ULsyqdta6-6aDDiwpUnQT6c/edit?usp=sharing"",""นครสวรรค์!J472"")+IMPORTRANGE(""https://docs.google.com/spreadsheets/d/10s13Sk5xrltsiR-Zkbmk5DwIaDIKO8Xl"&amp;"bJAfqyT7Gvg/edit?usp=sharing"",""น่าน!J472"")+IMPORTRANGE(""https://docs.google.com/spreadsheets/d/1uu4nAn4Dbi1XREnLKKotUANlKXa7yCgRcgq8HEzQYW8/edit?usp=sharing"",""พะเยา!J472"")+IMPORTRANGE(""https://docs.google.com/spreadsheets/d/1xfJKIQxVOaPDIICqsflNlL"&amp;"u3JacTDk1FP9RH4phX7mI/edit?usp=sharing"",""พิจิตร!J472"")+IMPORTRANGE(""https://docs.google.com/spreadsheets/d/1JtRfZkJMHtEhI5RdRHxYUG4FIZHqKDpNyIuN7A1Q0_k/edit?usp=sharing"",""พิษณุโลก!J472"")+IMPORTRANGE(""https://docs.google.com/spreadsheets/d/1xlcVZWU"&amp;"Nn6SuWm0c307h32SiGkd9BaeQWlAktfD3KO8/edit?usp=sharing"",""เพชรบูรณ์!J472"")+IMPORTRANGE(""https://docs.google.com/spreadsheets/d/1lOVebEIsI9qjGXl6EX66luk7wiuP2tBaryw-wKvv4e0/edit?usp=sharing"",""แพร่!J472"")+IMPORTRANGE(""https://docs.google.com/spreadshe"&amp;"ets/d/1dQrvX0vEcN7Gu0fnZ0B5S90AeR19zth4XlExFBeExMY/edit?usp=sharing"",""แม่ฮ่องสอน!J472"")+IMPORTRANGE(""https://docs.google.com/spreadsheets/d/1DY4XTNNwjluuxqdfdn6qvOSlMRrZqUtmYcZR0ttFiG4/edit?usp=sharing"",""ลำปาง!J472"")+IMPORTRANGE(""https://docs.goog"&amp;"le.com/spreadsheets/d/1ICwG78r0OFT8biBlxnBF8r7she7gNSzOvJ958PWT09c/edit?usp=sharing"",""ลำพูน!J472"")+IMPORTRANGE(""https://docs.google.com/spreadsheets/d/1B0f2xJpZUC6Z0xXnqKlZtEPzsf6L84eP1r1Q15seqRM/edit?usp=sharing"",""สุโขทัย!J472"")+IMPORTRANGE(""http"&amp;"s://docs.google.com/spreadsheets/d/1v0b9pFQCsKUVExMei7AgY2yQkdeNQvtOssygGsXbiKo/edit?usp=sharing"",""อุตรดิตถ์!J472"")+IMPORTRANGE(""https://docs.google.com/spreadsheets/d/1UsNK1e-WWiCo2PvGqdNfdme4m17_Ezd3J69EeeiQPD0/edit?usp=sharing"",""อุทัยธานี!J472"")"),0)</f>
        <v>0</v>
      </c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166">
        <f ca="1">IFERROR(__xludf.DUMMYFUNCTION("IMPORTRANGE(""https://docs.google.com/spreadsheets/d/1jTcq05yEiRwXcBMLjiodW9e4biSGYWAHcDj22rKWQ3s/edit?usp=sharing"",""กำแพงเพชร!J473"")+IMPORTRANGE(""https://docs.google.com/spreadsheets/d/1KS0zmDSZPk8KnTAbGN-Xk6MtX1YRZD0ldgdt20K4CRk/edit?usp=sharing"","&amp;"""เชียงราย!J473"")+IMPORTRANGE(""https://docs.google.com/spreadsheets/d/1rEDxBtusbi64tE0zunoIbsTVV16HeL0oJ6trHQeQ7K8/edit?usp=sharing"",""เชียงใหม่!J473"")+IMPORTRANGE(""https://docs.google.com/spreadsheets/d/1W6MnUbDkMi6xHnHko_XkFDO9kkuL6Wqyc-6OCDFjW9I/e"&amp;"dit?usp=sharing"",""ตาก!J473"")+IMPORTRANGE(""https://docs.google.com/spreadsheets/d/1IQAWArduLkta9LpYo4a_ULsyqdta6-6aDDiwpUnQT6c/edit?usp=sharing"",""นครสวรรค์!J473"")+IMPORTRANGE(""https://docs.google.com/spreadsheets/d/10s13Sk5xrltsiR-Zkbmk5DwIaDIKO8Xl"&amp;"bJAfqyT7Gvg/edit?usp=sharing"",""น่าน!J473"")+IMPORTRANGE(""https://docs.google.com/spreadsheets/d/1uu4nAn4Dbi1XREnLKKotUANlKXa7yCgRcgq8HEzQYW8/edit?usp=sharing"",""พะเยา!J473"")+IMPORTRANGE(""https://docs.google.com/spreadsheets/d/1xfJKIQxVOaPDIICqsflNlL"&amp;"u3JacTDk1FP9RH4phX7mI/edit?usp=sharing"",""พิจิตร!J473"")+IMPORTRANGE(""https://docs.google.com/spreadsheets/d/1JtRfZkJMHtEhI5RdRHxYUG4FIZHqKDpNyIuN7A1Q0_k/edit?usp=sharing"",""พิษณุโลก!J473"")+IMPORTRANGE(""https://docs.google.com/spreadsheets/d/1xlcVZWU"&amp;"Nn6SuWm0c307h32SiGkd9BaeQWlAktfD3KO8/edit?usp=sharing"",""เพชรบูรณ์!J473"")+IMPORTRANGE(""https://docs.google.com/spreadsheets/d/1lOVebEIsI9qjGXl6EX66luk7wiuP2tBaryw-wKvv4e0/edit?usp=sharing"",""แพร่!J473"")+IMPORTRANGE(""https://docs.google.com/spreadshe"&amp;"ets/d/1dQrvX0vEcN7Gu0fnZ0B5S90AeR19zth4XlExFBeExMY/edit?usp=sharing"",""แม่ฮ่องสอน!J473"")+IMPORTRANGE(""https://docs.google.com/spreadsheets/d/1DY4XTNNwjluuxqdfdn6qvOSlMRrZqUtmYcZR0ttFiG4/edit?usp=sharing"",""ลำปาง!J473"")+IMPORTRANGE(""https://docs.goog"&amp;"le.com/spreadsheets/d/1ICwG78r0OFT8biBlxnBF8r7she7gNSzOvJ958PWT09c/edit?usp=sharing"",""ลำพูน!J473"")+IMPORTRANGE(""https://docs.google.com/spreadsheets/d/1B0f2xJpZUC6Z0xXnqKlZtEPzsf6L84eP1r1Q15seqRM/edit?usp=sharing"",""สุโขทัย!J473"")+IMPORTRANGE(""http"&amp;"s://docs.google.com/spreadsheets/d/1v0b9pFQCsKUVExMei7AgY2yQkdeNQvtOssygGsXbiKo/edit?usp=sharing"",""อุตรดิตถ์!J473"")+IMPORTRANGE(""https://docs.google.com/spreadsheets/d/1UsNK1e-WWiCo2PvGqdNfdme4m17_Ezd3J69EeeiQPD0/edit?usp=sharing"",""อุทัยธานี!J473"")"),0)</f>
        <v>0</v>
      </c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166">
        <f ca="1">IFERROR(__xludf.DUMMYFUNCTION("IMPORTRANGE(""https://docs.google.com/spreadsheets/d/1jTcq05yEiRwXcBMLjiodW9e4biSGYWAHcDj22rKWQ3s/edit?usp=sharing"",""กำแพงเพชร!J474"")+IMPORTRANGE(""https://docs.google.com/spreadsheets/d/1KS0zmDSZPk8KnTAbGN-Xk6MtX1YRZD0ldgdt20K4CRk/edit?usp=sharing"","&amp;"""เชียงราย!J474"")+IMPORTRANGE(""https://docs.google.com/spreadsheets/d/1rEDxBtusbi64tE0zunoIbsTVV16HeL0oJ6trHQeQ7K8/edit?usp=sharing"",""เชียงใหม่!J474"")+IMPORTRANGE(""https://docs.google.com/spreadsheets/d/1W6MnUbDkMi6xHnHko_XkFDO9kkuL6Wqyc-6OCDFjW9I/e"&amp;"dit?usp=sharing"",""ตาก!J474"")+IMPORTRANGE(""https://docs.google.com/spreadsheets/d/1IQAWArduLkta9LpYo4a_ULsyqdta6-6aDDiwpUnQT6c/edit?usp=sharing"",""นครสวรรค์!J474"")+IMPORTRANGE(""https://docs.google.com/spreadsheets/d/10s13Sk5xrltsiR-Zkbmk5DwIaDIKO8Xl"&amp;"bJAfqyT7Gvg/edit?usp=sharing"",""น่าน!J474"")+IMPORTRANGE(""https://docs.google.com/spreadsheets/d/1uu4nAn4Dbi1XREnLKKotUANlKXa7yCgRcgq8HEzQYW8/edit?usp=sharing"",""พะเยา!J474"")+IMPORTRANGE(""https://docs.google.com/spreadsheets/d/1xfJKIQxVOaPDIICqsflNlL"&amp;"u3JacTDk1FP9RH4phX7mI/edit?usp=sharing"",""พิจิตร!J474"")+IMPORTRANGE(""https://docs.google.com/spreadsheets/d/1JtRfZkJMHtEhI5RdRHxYUG4FIZHqKDpNyIuN7A1Q0_k/edit?usp=sharing"",""พิษณุโลก!J474"")+IMPORTRANGE(""https://docs.google.com/spreadsheets/d/1xlcVZWU"&amp;"Nn6SuWm0c307h32SiGkd9BaeQWlAktfD3KO8/edit?usp=sharing"",""เพชรบูรณ์!J474"")+IMPORTRANGE(""https://docs.google.com/spreadsheets/d/1lOVebEIsI9qjGXl6EX66luk7wiuP2tBaryw-wKvv4e0/edit?usp=sharing"",""แพร่!J474"")+IMPORTRANGE(""https://docs.google.com/spreadshe"&amp;"ets/d/1dQrvX0vEcN7Gu0fnZ0B5S90AeR19zth4XlExFBeExMY/edit?usp=sharing"",""แม่ฮ่องสอน!J474"")+IMPORTRANGE(""https://docs.google.com/spreadsheets/d/1DY4XTNNwjluuxqdfdn6qvOSlMRrZqUtmYcZR0ttFiG4/edit?usp=sharing"",""ลำปาง!J474"")+IMPORTRANGE(""https://docs.goog"&amp;"le.com/spreadsheets/d/1ICwG78r0OFT8biBlxnBF8r7she7gNSzOvJ958PWT09c/edit?usp=sharing"",""ลำพูน!J474"")+IMPORTRANGE(""https://docs.google.com/spreadsheets/d/1B0f2xJpZUC6Z0xXnqKlZtEPzsf6L84eP1r1Q15seqRM/edit?usp=sharing"",""สุโขทัย!J474"")+IMPORTRANGE(""http"&amp;"s://docs.google.com/spreadsheets/d/1v0b9pFQCsKUVExMei7AgY2yQkdeNQvtOssygGsXbiKo/edit?usp=sharing"",""อุตรดิตถ์!J474"")+IMPORTRANGE(""https://docs.google.com/spreadsheets/d/1UsNK1e-WWiCo2PvGqdNfdme4m17_Ezd3J69EeeiQPD0/edit?usp=sharing"",""อุทัยธานี!J474"")"),0)</f>
        <v>0</v>
      </c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147">
        <f ca="1">J478+J480</f>
        <v>0</v>
      </c>
      <c r="K475" s="132">
        <f t="shared" ref="K475:K477" si="340">IF(I475&gt;0,J475*100/I475,0)</f>
        <v>0</v>
      </c>
      <c r="L475" s="45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147">
        <f t="shared" ref="J476:J477" ca="1" si="341">J478+J480</f>
        <v>0</v>
      </c>
      <c r="K476" s="132">
        <f t="shared" si="340"/>
        <v>0</v>
      </c>
      <c r="L476" s="45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147">
        <f t="shared" ca="1" si="341"/>
        <v>0</v>
      </c>
      <c r="K477" s="132">
        <f t="shared" si="340"/>
        <v>0</v>
      </c>
      <c r="L477" s="45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166">
        <f ca="1">IFERROR(__xludf.DUMMYFUNCTION("IMPORTRANGE(""https://docs.google.com/spreadsheets/d/1jTcq05yEiRwXcBMLjiodW9e4biSGYWAHcDj22rKWQ3s/edit?usp=sharing"",""กำแพงเพชร!J478"")+IMPORTRANGE(""https://docs.google.com/spreadsheets/d/1KS0zmDSZPk8KnTAbGN-Xk6MtX1YRZD0ldgdt20K4CRk/edit?usp=sharing"","&amp;"""เชียงราย!J478"")+IMPORTRANGE(""https://docs.google.com/spreadsheets/d/1rEDxBtusbi64tE0zunoIbsTVV16HeL0oJ6trHQeQ7K8/edit?usp=sharing"",""เชียงใหม่!J478"")+IMPORTRANGE(""https://docs.google.com/spreadsheets/d/1W6MnUbDkMi6xHnHko_XkFDO9kkuL6Wqyc-6OCDFjW9I/e"&amp;"dit?usp=sharing"",""ตาก!J478"")+IMPORTRANGE(""https://docs.google.com/spreadsheets/d/1IQAWArduLkta9LpYo4a_ULsyqdta6-6aDDiwpUnQT6c/edit?usp=sharing"",""นครสวรรค์!J478"")+IMPORTRANGE(""https://docs.google.com/spreadsheets/d/10s13Sk5xrltsiR-Zkbmk5DwIaDIKO8Xl"&amp;"bJAfqyT7Gvg/edit?usp=sharing"",""น่าน!J478"")+IMPORTRANGE(""https://docs.google.com/spreadsheets/d/1uu4nAn4Dbi1XREnLKKotUANlKXa7yCgRcgq8HEzQYW8/edit?usp=sharing"",""พะเยา!J478"")+IMPORTRANGE(""https://docs.google.com/spreadsheets/d/1xfJKIQxVOaPDIICqsflNlL"&amp;"u3JacTDk1FP9RH4phX7mI/edit?usp=sharing"",""พิจิตร!J478"")+IMPORTRANGE(""https://docs.google.com/spreadsheets/d/1JtRfZkJMHtEhI5RdRHxYUG4FIZHqKDpNyIuN7A1Q0_k/edit?usp=sharing"",""พิษณุโลก!J478"")+IMPORTRANGE(""https://docs.google.com/spreadsheets/d/1xlcVZWU"&amp;"Nn6SuWm0c307h32SiGkd9BaeQWlAktfD3KO8/edit?usp=sharing"",""เพชรบูรณ์!J478"")+IMPORTRANGE(""https://docs.google.com/spreadsheets/d/1lOVebEIsI9qjGXl6EX66luk7wiuP2tBaryw-wKvv4e0/edit?usp=sharing"",""แพร่!J478"")+IMPORTRANGE(""https://docs.google.com/spreadshe"&amp;"ets/d/1dQrvX0vEcN7Gu0fnZ0B5S90AeR19zth4XlExFBeExMY/edit?usp=sharing"",""แม่ฮ่องสอน!J478"")+IMPORTRANGE(""https://docs.google.com/spreadsheets/d/1DY4XTNNwjluuxqdfdn6qvOSlMRrZqUtmYcZR0ttFiG4/edit?usp=sharing"",""ลำปาง!J478"")+IMPORTRANGE(""https://docs.goog"&amp;"le.com/spreadsheets/d/1ICwG78r0OFT8biBlxnBF8r7she7gNSzOvJ958PWT09c/edit?usp=sharing"",""ลำพูน!J478"")+IMPORTRANGE(""https://docs.google.com/spreadsheets/d/1B0f2xJpZUC6Z0xXnqKlZtEPzsf6L84eP1r1Q15seqRM/edit?usp=sharing"",""สุโขทัย!J478"")+IMPORTRANGE(""http"&amp;"s://docs.google.com/spreadsheets/d/1v0b9pFQCsKUVExMei7AgY2yQkdeNQvtOssygGsXbiKo/edit?usp=sharing"",""อุตรดิตถ์!J478"")+IMPORTRANGE(""https://docs.google.com/spreadsheets/d/1UsNK1e-WWiCo2PvGqdNfdme4m17_Ezd3J69EeeiQPD0/edit?usp=sharing"",""อุทัยธานี!J478"")"),0)</f>
        <v>0</v>
      </c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166">
        <f ca="1">IFERROR(__xludf.DUMMYFUNCTION("IMPORTRANGE(""https://docs.google.com/spreadsheets/d/1jTcq05yEiRwXcBMLjiodW9e4biSGYWAHcDj22rKWQ3s/edit?usp=sharing"",""กำแพงเพชร!J479"")+IMPORTRANGE(""https://docs.google.com/spreadsheets/d/1KS0zmDSZPk8KnTAbGN-Xk6MtX1YRZD0ldgdt20K4CRk/edit?usp=sharing"","&amp;"""เชียงราย!J479"")+IMPORTRANGE(""https://docs.google.com/spreadsheets/d/1rEDxBtusbi64tE0zunoIbsTVV16HeL0oJ6trHQeQ7K8/edit?usp=sharing"",""เชียงใหม่!J479"")+IMPORTRANGE(""https://docs.google.com/spreadsheets/d/1W6MnUbDkMi6xHnHko_XkFDO9kkuL6Wqyc-6OCDFjW9I/e"&amp;"dit?usp=sharing"",""ตาก!J479"")+IMPORTRANGE(""https://docs.google.com/spreadsheets/d/1IQAWArduLkta9LpYo4a_ULsyqdta6-6aDDiwpUnQT6c/edit?usp=sharing"",""นครสวรรค์!J479"")+IMPORTRANGE(""https://docs.google.com/spreadsheets/d/10s13Sk5xrltsiR-Zkbmk5DwIaDIKO8Xl"&amp;"bJAfqyT7Gvg/edit?usp=sharing"",""น่าน!J479"")+IMPORTRANGE(""https://docs.google.com/spreadsheets/d/1uu4nAn4Dbi1XREnLKKotUANlKXa7yCgRcgq8HEzQYW8/edit?usp=sharing"",""พะเยา!J479"")+IMPORTRANGE(""https://docs.google.com/spreadsheets/d/1xfJKIQxVOaPDIICqsflNlL"&amp;"u3JacTDk1FP9RH4phX7mI/edit?usp=sharing"",""พิจิตร!J479"")+IMPORTRANGE(""https://docs.google.com/spreadsheets/d/1JtRfZkJMHtEhI5RdRHxYUG4FIZHqKDpNyIuN7A1Q0_k/edit?usp=sharing"",""พิษณุโลก!J479"")+IMPORTRANGE(""https://docs.google.com/spreadsheets/d/1xlcVZWU"&amp;"Nn6SuWm0c307h32SiGkd9BaeQWlAktfD3KO8/edit?usp=sharing"",""เพชรบูรณ์!J479"")+IMPORTRANGE(""https://docs.google.com/spreadsheets/d/1lOVebEIsI9qjGXl6EX66luk7wiuP2tBaryw-wKvv4e0/edit?usp=sharing"",""แพร่!J479"")+IMPORTRANGE(""https://docs.google.com/spreadshe"&amp;"ets/d/1dQrvX0vEcN7Gu0fnZ0B5S90AeR19zth4XlExFBeExMY/edit?usp=sharing"",""แม่ฮ่องสอน!J479"")+IMPORTRANGE(""https://docs.google.com/spreadsheets/d/1DY4XTNNwjluuxqdfdn6qvOSlMRrZqUtmYcZR0ttFiG4/edit?usp=sharing"",""ลำปาง!J479"")+IMPORTRANGE(""https://docs.goog"&amp;"le.com/spreadsheets/d/1ICwG78r0OFT8biBlxnBF8r7she7gNSzOvJ958PWT09c/edit?usp=sharing"",""ลำพูน!J479"")+IMPORTRANGE(""https://docs.google.com/spreadsheets/d/1B0f2xJpZUC6Z0xXnqKlZtEPzsf6L84eP1r1Q15seqRM/edit?usp=sharing"",""สุโขทัย!J479"")+IMPORTRANGE(""http"&amp;"s://docs.google.com/spreadsheets/d/1v0b9pFQCsKUVExMei7AgY2yQkdeNQvtOssygGsXbiKo/edit?usp=sharing"",""อุตรดิตถ์!J479"")+IMPORTRANGE(""https://docs.google.com/spreadsheets/d/1UsNK1e-WWiCo2PvGqdNfdme4m17_Ezd3J69EeeiQPD0/edit?usp=sharing"",""อุทัยธานี!J479"")"),0)</f>
        <v>0</v>
      </c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166">
        <f ca="1">IFERROR(__xludf.DUMMYFUNCTION("IMPORTRANGE(""https://docs.google.com/spreadsheets/d/1jTcq05yEiRwXcBMLjiodW9e4biSGYWAHcDj22rKWQ3s/edit?usp=sharing"",""กำแพงเพชร!J480"")+IMPORTRANGE(""https://docs.google.com/spreadsheets/d/1KS0zmDSZPk8KnTAbGN-Xk6MtX1YRZD0ldgdt20K4CRk/edit?usp=sharing"","&amp;"""เชียงราย!J480"")+IMPORTRANGE(""https://docs.google.com/spreadsheets/d/1rEDxBtusbi64tE0zunoIbsTVV16HeL0oJ6trHQeQ7K8/edit?usp=sharing"",""เชียงใหม่!J480"")+IMPORTRANGE(""https://docs.google.com/spreadsheets/d/1W6MnUbDkMi6xHnHko_XkFDO9kkuL6Wqyc-6OCDFjW9I/e"&amp;"dit?usp=sharing"",""ตาก!J480"")+IMPORTRANGE(""https://docs.google.com/spreadsheets/d/1IQAWArduLkta9LpYo4a_ULsyqdta6-6aDDiwpUnQT6c/edit?usp=sharing"",""นครสวรรค์!J480"")+IMPORTRANGE(""https://docs.google.com/spreadsheets/d/10s13Sk5xrltsiR-Zkbmk5DwIaDIKO8Xl"&amp;"bJAfqyT7Gvg/edit?usp=sharing"",""น่าน!J480"")+IMPORTRANGE(""https://docs.google.com/spreadsheets/d/1uu4nAn4Dbi1XREnLKKotUANlKXa7yCgRcgq8HEzQYW8/edit?usp=sharing"",""พะเยา!J480"")+IMPORTRANGE(""https://docs.google.com/spreadsheets/d/1xfJKIQxVOaPDIICqsflNlL"&amp;"u3JacTDk1FP9RH4phX7mI/edit?usp=sharing"",""พิจิตร!J480"")+IMPORTRANGE(""https://docs.google.com/spreadsheets/d/1JtRfZkJMHtEhI5RdRHxYUG4FIZHqKDpNyIuN7A1Q0_k/edit?usp=sharing"",""พิษณุโลก!J480"")+IMPORTRANGE(""https://docs.google.com/spreadsheets/d/1xlcVZWU"&amp;"Nn6SuWm0c307h32SiGkd9BaeQWlAktfD3KO8/edit?usp=sharing"",""เพชรบูรณ์!J480"")+IMPORTRANGE(""https://docs.google.com/spreadsheets/d/1lOVebEIsI9qjGXl6EX66luk7wiuP2tBaryw-wKvv4e0/edit?usp=sharing"",""แพร่!J480"")+IMPORTRANGE(""https://docs.google.com/spreadshe"&amp;"ets/d/1dQrvX0vEcN7Gu0fnZ0B5S90AeR19zth4XlExFBeExMY/edit?usp=sharing"",""แม่ฮ่องสอน!J480"")+IMPORTRANGE(""https://docs.google.com/spreadsheets/d/1DY4XTNNwjluuxqdfdn6qvOSlMRrZqUtmYcZR0ttFiG4/edit?usp=sharing"",""ลำปาง!J480"")+IMPORTRANGE(""https://docs.goog"&amp;"le.com/spreadsheets/d/1ICwG78r0OFT8biBlxnBF8r7she7gNSzOvJ958PWT09c/edit?usp=sharing"",""ลำพูน!J480"")+IMPORTRANGE(""https://docs.google.com/spreadsheets/d/1B0f2xJpZUC6Z0xXnqKlZtEPzsf6L84eP1r1Q15seqRM/edit?usp=sharing"",""สุโขทัย!J480"")+IMPORTRANGE(""http"&amp;"s://docs.google.com/spreadsheets/d/1v0b9pFQCsKUVExMei7AgY2yQkdeNQvtOssygGsXbiKo/edit?usp=sharing"",""อุตรดิตถ์!J480"")+IMPORTRANGE(""https://docs.google.com/spreadsheets/d/1UsNK1e-WWiCo2PvGqdNfdme4m17_Ezd3J69EeeiQPD0/edit?usp=sharing"",""อุทัยธานี!J480"")"),0)</f>
        <v>0</v>
      </c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166">
        <f ca="1">IFERROR(__xludf.DUMMYFUNCTION("IMPORTRANGE(""https://docs.google.com/spreadsheets/d/1jTcq05yEiRwXcBMLjiodW9e4biSGYWAHcDj22rKWQ3s/edit?usp=sharing"",""กำแพงเพชร!J481"")+IMPORTRANGE(""https://docs.google.com/spreadsheets/d/1KS0zmDSZPk8KnTAbGN-Xk6MtX1YRZD0ldgdt20K4CRk/edit?usp=sharing"","&amp;"""เชียงราย!J481"")+IMPORTRANGE(""https://docs.google.com/spreadsheets/d/1rEDxBtusbi64tE0zunoIbsTVV16HeL0oJ6trHQeQ7K8/edit?usp=sharing"",""เชียงใหม่!J481"")+IMPORTRANGE(""https://docs.google.com/spreadsheets/d/1W6MnUbDkMi6xHnHko_XkFDO9kkuL6Wqyc-6OCDFjW9I/e"&amp;"dit?usp=sharing"",""ตาก!J481"")+IMPORTRANGE(""https://docs.google.com/spreadsheets/d/1IQAWArduLkta9LpYo4a_ULsyqdta6-6aDDiwpUnQT6c/edit?usp=sharing"",""นครสวรรค์!J481"")+IMPORTRANGE(""https://docs.google.com/spreadsheets/d/10s13Sk5xrltsiR-Zkbmk5DwIaDIKO8Xl"&amp;"bJAfqyT7Gvg/edit?usp=sharing"",""น่าน!J481"")+IMPORTRANGE(""https://docs.google.com/spreadsheets/d/1uu4nAn4Dbi1XREnLKKotUANlKXa7yCgRcgq8HEzQYW8/edit?usp=sharing"",""พะเยา!J481"")+IMPORTRANGE(""https://docs.google.com/spreadsheets/d/1xfJKIQxVOaPDIICqsflNlL"&amp;"u3JacTDk1FP9RH4phX7mI/edit?usp=sharing"",""พิจิตร!J481"")+IMPORTRANGE(""https://docs.google.com/spreadsheets/d/1JtRfZkJMHtEhI5RdRHxYUG4FIZHqKDpNyIuN7A1Q0_k/edit?usp=sharing"",""พิษณุโลก!J481"")+IMPORTRANGE(""https://docs.google.com/spreadsheets/d/1xlcVZWU"&amp;"Nn6SuWm0c307h32SiGkd9BaeQWlAktfD3KO8/edit?usp=sharing"",""เพชรบูรณ์!J481"")+IMPORTRANGE(""https://docs.google.com/spreadsheets/d/1lOVebEIsI9qjGXl6EX66luk7wiuP2tBaryw-wKvv4e0/edit?usp=sharing"",""แพร่!J481"")+IMPORTRANGE(""https://docs.google.com/spreadshe"&amp;"ets/d/1dQrvX0vEcN7Gu0fnZ0B5S90AeR19zth4XlExFBeExMY/edit?usp=sharing"",""แม่ฮ่องสอน!J481"")+IMPORTRANGE(""https://docs.google.com/spreadsheets/d/1DY4XTNNwjluuxqdfdn6qvOSlMRrZqUtmYcZR0ttFiG4/edit?usp=sharing"",""ลำปาง!J481"")+IMPORTRANGE(""https://docs.goog"&amp;"le.com/spreadsheets/d/1ICwG78r0OFT8biBlxnBF8r7she7gNSzOvJ958PWT09c/edit?usp=sharing"",""ลำพูน!J481"")+IMPORTRANGE(""https://docs.google.com/spreadsheets/d/1B0f2xJpZUC6Z0xXnqKlZtEPzsf6L84eP1r1Q15seqRM/edit?usp=sharing"",""สุโขทัย!J481"")+IMPORTRANGE(""http"&amp;"s://docs.google.com/spreadsheets/d/1v0b9pFQCsKUVExMei7AgY2yQkdeNQvtOssygGsXbiKo/edit?usp=sharing"",""อุตรดิตถ์!J481"")+IMPORTRANGE(""https://docs.google.com/spreadsheets/d/1UsNK1e-WWiCo2PvGqdNfdme4m17_Ezd3J69EeeiQPD0/edit?usp=sharing"",""อุทัยธานี!J481"")"),0)</f>
        <v>0</v>
      </c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66">
        <f ca="1">IFERROR(__xludf.DUMMYFUNCTION("IMPORTRANGE(""https://docs.google.com/spreadsheets/d/1jTcq05yEiRwXcBMLjiodW9e4biSGYWAHcDj22rKWQ3s/edit?usp=sharing"",""กำแพงเพชร!J482"")+IMPORTRANGE(""https://docs.google.com/spreadsheets/d/1KS0zmDSZPk8KnTAbGN-Xk6MtX1YRZD0ldgdt20K4CRk/edit?usp=sharing"","&amp;"""เชียงราย!J482"")+IMPORTRANGE(""https://docs.google.com/spreadsheets/d/1rEDxBtusbi64tE0zunoIbsTVV16HeL0oJ6trHQeQ7K8/edit?usp=sharing"",""เชียงใหม่!J482"")+IMPORTRANGE(""https://docs.google.com/spreadsheets/d/1W6MnUbDkMi6xHnHko_XkFDO9kkuL6Wqyc-6OCDFjW9I/e"&amp;"dit?usp=sharing"",""ตาก!J482"")+IMPORTRANGE(""https://docs.google.com/spreadsheets/d/1IQAWArduLkta9LpYo4a_ULsyqdta6-6aDDiwpUnQT6c/edit?usp=sharing"",""นครสวรรค์!J482"")+IMPORTRANGE(""https://docs.google.com/spreadsheets/d/10s13Sk5xrltsiR-Zkbmk5DwIaDIKO8Xl"&amp;"bJAfqyT7Gvg/edit?usp=sharing"",""น่าน!J482"")+IMPORTRANGE(""https://docs.google.com/spreadsheets/d/1uu4nAn4Dbi1XREnLKKotUANlKXa7yCgRcgq8HEzQYW8/edit?usp=sharing"",""พะเยา!J482"")+IMPORTRANGE(""https://docs.google.com/spreadsheets/d/1xfJKIQxVOaPDIICqsflNlL"&amp;"u3JacTDk1FP9RH4phX7mI/edit?usp=sharing"",""พิจิตร!J482"")+IMPORTRANGE(""https://docs.google.com/spreadsheets/d/1JtRfZkJMHtEhI5RdRHxYUG4FIZHqKDpNyIuN7A1Q0_k/edit?usp=sharing"",""พิษณุโลก!J482"")+IMPORTRANGE(""https://docs.google.com/spreadsheets/d/1xlcVZWU"&amp;"Nn6SuWm0c307h32SiGkd9BaeQWlAktfD3KO8/edit?usp=sharing"",""เพชรบูรณ์!J482"")+IMPORTRANGE(""https://docs.google.com/spreadsheets/d/1lOVebEIsI9qjGXl6EX66luk7wiuP2tBaryw-wKvv4e0/edit?usp=sharing"",""แพร่!J482"")+IMPORTRANGE(""https://docs.google.com/spreadshe"&amp;"ets/d/1dQrvX0vEcN7Gu0fnZ0B5S90AeR19zth4XlExFBeExMY/edit?usp=sharing"",""แม่ฮ่องสอน!J482"")+IMPORTRANGE(""https://docs.google.com/spreadsheets/d/1DY4XTNNwjluuxqdfdn6qvOSlMRrZqUtmYcZR0ttFiG4/edit?usp=sharing"",""ลำปาง!J482"")+IMPORTRANGE(""https://docs.goog"&amp;"le.com/spreadsheets/d/1ICwG78r0OFT8biBlxnBF8r7she7gNSzOvJ958PWT09c/edit?usp=sharing"",""ลำพูน!J482"")+IMPORTRANGE(""https://docs.google.com/spreadsheets/d/1B0f2xJpZUC6Z0xXnqKlZtEPzsf6L84eP1r1Q15seqRM/edit?usp=sharing"",""สุโขทัย!J482"")+IMPORTRANGE(""http"&amp;"s://docs.google.com/spreadsheets/d/1v0b9pFQCsKUVExMei7AgY2yQkdeNQvtOssygGsXbiKo/edit?usp=sharing"",""อุตรดิตถ์!J482"")+IMPORTRANGE(""https://docs.google.com/spreadsheets/d/1UsNK1e-WWiCo2PvGqdNfdme4m17_Ezd3J69EeeiQPD0/edit?usp=sharing"",""อุทัยธานี!J482"")"),0)</f>
        <v>0</v>
      </c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66">
        <f ca="1">IFERROR(__xludf.DUMMYFUNCTION("IMPORTRANGE(""https://docs.google.com/spreadsheets/d/1jTcq05yEiRwXcBMLjiodW9e4biSGYWAHcDj22rKWQ3s/edit?usp=sharing"",""กำแพงเพชร!J483"")+IMPORTRANGE(""https://docs.google.com/spreadsheets/d/1KS0zmDSZPk8KnTAbGN-Xk6MtX1YRZD0ldgdt20K4CRk/edit?usp=sharing"","&amp;"""เชียงราย!J483"")+IMPORTRANGE(""https://docs.google.com/spreadsheets/d/1rEDxBtusbi64tE0zunoIbsTVV16HeL0oJ6trHQeQ7K8/edit?usp=sharing"",""เชียงใหม่!J483"")+IMPORTRANGE(""https://docs.google.com/spreadsheets/d/1W6MnUbDkMi6xHnHko_XkFDO9kkuL6Wqyc-6OCDFjW9I/e"&amp;"dit?usp=sharing"",""ตาก!J483"")+IMPORTRANGE(""https://docs.google.com/spreadsheets/d/1IQAWArduLkta9LpYo4a_ULsyqdta6-6aDDiwpUnQT6c/edit?usp=sharing"",""นครสวรรค์!J483"")+IMPORTRANGE(""https://docs.google.com/spreadsheets/d/10s13Sk5xrltsiR-Zkbmk5DwIaDIKO8Xl"&amp;"bJAfqyT7Gvg/edit?usp=sharing"",""น่าน!J483"")+IMPORTRANGE(""https://docs.google.com/spreadsheets/d/1uu4nAn4Dbi1XREnLKKotUANlKXa7yCgRcgq8HEzQYW8/edit?usp=sharing"",""พะเยา!J483"")+IMPORTRANGE(""https://docs.google.com/spreadsheets/d/1xfJKIQxVOaPDIICqsflNlL"&amp;"u3JacTDk1FP9RH4phX7mI/edit?usp=sharing"",""พิจิตร!J483"")+IMPORTRANGE(""https://docs.google.com/spreadsheets/d/1JtRfZkJMHtEhI5RdRHxYUG4FIZHqKDpNyIuN7A1Q0_k/edit?usp=sharing"",""พิษณุโลก!J483"")+IMPORTRANGE(""https://docs.google.com/spreadsheets/d/1xlcVZWU"&amp;"Nn6SuWm0c307h32SiGkd9BaeQWlAktfD3KO8/edit?usp=sharing"",""เพชรบูรณ์!J483"")+IMPORTRANGE(""https://docs.google.com/spreadsheets/d/1lOVebEIsI9qjGXl6EX66luk7wiuP2tBaryw-wKvv4e0/edit?usp=sharing"",""แพร่!J483"")+IMPORTRANGE(""https://docs.google.com/spreadshe"&amp;"ets/d/1dQrvX0vEcN7Gu0fnZ0B5S90AeR19zth4XlExFBeExMY/edit?usp=sharing"",""แม่ฮ่องสอน!J483"")+IMPORTRANGE(""https://docs.google.com/spreadsheets/d/1DY4XTNNwjluuxqdfdn6qvOSlMRrZqUtmYcZR0ttFiG4/edit?usp=sharing"",""ลำปาง!J483"")+IMPORTRANGE(""https://docs.goog"&amp;"le.com/spreadsheets/d/1ICwG78r0OFT8biBlxnBF8r7she7gNSzOvJ958PWT09c/edit?usp=sharing"",""ลำพูน!J483"")+IMPORTRANGE(""https://docs.google.com/spreadsheets/d/1B0f2xJpZUC6Z0xXnqKlZtEPzsf6L84eP1r1Q15seqRM/edit?usp=sharing"",""สุโขทัย!J483"")+IMPORTRANGE(""http"&amp;"s://docs.google.com/spreadsheets/d/1v0b9pFQCsKUVExMei7AgY2yQkdeNQvtOssygGsXbiKo/edit?usp=sharing"",""อุตรดิตถ์!J483"")+IMPORTRANGE(""https://docs.google.com/spreadsheets/d/1UsNK1e-WWiCo2PvGqdNfdme4m17_Ezd3J69EeeiQPD0/edit?usp=sharing"",""อุทัยธานี!J483"")"),0)</f>
        <v>0</v>
      </c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166">
        <f t="shared" ref="I484:I485" ca="1" si="342">J480</f>
        <v>0</v>
      </c>
      <c r="J484" s="147">
        <f t="shared" ref="J484:J485" ca="1" si="343">J486+J488+J490</f>
        <v>0</v>
      </c>
      <c r="K484" s="132">
        <f t="shared" ref="K484:K485" ca="1" si="344">IF(I484&gt;0,J484*100/I484,0)</f>
        <v>0</v>
      </c>
      <c r="L484" s="45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166">
        <f t="shared" ca="1" si="342"/>
        <v>0</v>
      </c>
      <c r="J485" s="147">
        <f t="shared" ca="1" si="343"/>
        <v>0</v>
      </c>
      <c r="K485" s="132">
        <f t="shared" ca="1" si="344"/>
        <v>0</v>
      </c>
      <c r="L485" s="45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166">
        <f ca="1">IFERROR(__xludf.DUMMYFUNCTION("IMPORTRANGE(""https://docs.google.com/spreadsheets/d/1jTcq05yEiRwXcBMLjiodW9e4biSGYWAHcDj22rKWQ3s/edit?usp=sharing"",""กำแพงเพชร!J486"")+IMPORTRANGE(""https://docs.google.com/spreadsheets/d/1KS0zmDSZPk8KnTAbGN-Xk6MtX1YRZD0ldgdt20K4CRk/edit?usp=sharing"","&amp;"""เชียงราย!J486"")+IMPORTRANGE(""https://docs.google.com/spreadsheets/d/1rEDxBtusbi64tE0zunoIbsTVV16HeL0oJ6trHQeQ7K8/edit?usp=sharing"",""เชียงใหม่!J486"")+IMPORTRANGE(""https://docs.google.com/spreadsheets/d/1W6MnUbDkMi6xHnHko_XkFDO9kkuL6Wqyc-6OCDFjW9I/e"&amp;"dit?usp=sharing"",""ตาก!J486"")+IMPORTRANGE(""https://docs.google.com/spreadsheets/d/1IQAWArduLkta9LpYo4a_ULsyqdta6-6aDDiwpUnQT6c/edit?usp=sharing"",""นครสวรรค์!J486"")+IMPORTRANGE(""https://docs.google.com/spreadsheets/d/10s13Sk5xrltsiR-Zkbmk5DwIaDIKO8Xl"&amp;"bJAfqyT7Gvg/edit?usp=sharing"",""น่าน!J486"")+IMPORTRANGE(""https://docs.google.com/spreadsheets/d/1uu4nAn4Dbi1XREnLKKotUANlKXa7yCgRcgq8HEzQYW8/edit?usp=sharing"",""พะเยา!J486"")+IMPORTRANGE(""https://docs.google.com/spreadsheets/d/1xfJKIQxVOaPDIICqsflNlL"&amp;"u3JacTDk1FP9RH4phX7mI/edit?usp=sharing"",""พิจิตร!J486"")+IMPORTRANGE(""https://docs.google.com/spreadsheets/d/1JtRfZkJMHtEhI5RdRHxYUG4FIZHqKDpNyIuN7A1Q0_k/edit?usp=sharing"",""พิษณุโลก!J486"")+IMPORTRANGE(""https://docs.google.com/spreadsheets/d/1xlcVZWU"&amp;"Nn6SuWm0c307h32SiGkd9BaeQWlAktfD3KO8/edit?usp=sharing"",""เพชรบูรณ์!J486"")+IMPORTRANGE(""https://docs.google.com/spreadsheets/d/1lOVebEIsI9qjGXl6EX66luk7wiuP2tBaryw-wKvv4e0/edit?usp=sharing"",""แพร่!J486"")+IMPORTRANGE(""https://docs.google.com/spreadshe"&amp;"ets/d/1dQrvX0vEcN7Gu0fnZ0B5S90AeR19zth4XlExFBeExMY/edit?usp=sharing"",""แม่ฮ่องสอน!J486"")+IMPORTRANGE(""https://docs.google.com/spreadsheets/d/1DY4XTNNwjluuxqdfdn6qvOSlMRrZqUtmYcZR0ttFiG4/edit?usp=sharing"",""ลำปาง!J486"")+IMPORTRANGE(""https://docs.goog"&amp;"le.com/spreadsheets/d/1ICwG78r0OFT8biBlxnBF8r7she7gNSzOvJ958PWT09c/edit?usp=sharing"",""ลำพูน!J486"")+IMPORTRANGE(""https://docs.google.com/spreadsheets/d/1B0f2xJpZUC6Z0xXnqKlZtEPzsf6L84eP1r1Q15seqRM/edit?usp=sharing"",""สุโขทัย!J486"")+IMPORTRANGE(""http"&amp;"s://docs.google.com/spreadsheets/d/1v0b9pFQCsKUVExMei7AgY2yQkdeNQvtOssygGsXbiKo/edit?usp=sharing"",""อุตรดิตถ์!J486"")+IMPORTRANGE(""https://docs.google.com/spreadsheets/d/1UsNK1e-WWiCo2PvGqdNfdme4m17_Ezd3J69EeeiQPD0/edit?usp=sharing"",""อุทัยธานี!J486"")"),0)</f>
        <v>0</v>
      </c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166">
        <f ca="1">IFERROR(__xludf.DUMMYFUNCTION("IMPORTRANGE(""https://docs.google.com/spreadsheets/d/1jTcq05yEiRwXcBMLjiodW9e4biSGYWAHcDj22rKWQ3s/edit?usp=sharing"",""กำแพงเพชร!J487"")+IMPORTRANGE(""https://docs.google.com/spreadsheets/d/1KS0zmDSZPk8KnTAbGN-Xk6MtX1YRZD0ldgdt20K4CRk/edit?usp=sharing"","&amp;"""เชียงราย!J487"")+IMPORTRANGE(""https://docs.google.com/spreadsheets/d/1rEDxBtusbi64tE0zunoIbsTVV16HeL0oJ6trHQeQ7K8/edit?usp=sharing"",""เชียงใหม่!J487"")+IMPORTRANGE(""https://docs.google.com/spreadsheets/d/1W6MnUbDkMi6xHnHko_XkFDO9kkuL6Wqyc-6OCDFjW9I/e"&amp;"dit?usp=sharing"",""ตาก!J487"")+IMPORTRANGE(""https://docs.google.com/spreadsheets/d/1IQAWArduLkta9LpYo4a_ULsyqdta6-6aDDiwpUnQT6c/edit?usp=sharing"",""นครสวรรค์!J487"")+IMPORTRANGE(""https://docs.google.com/spreadsheets/d/10s13Sk5xrltsiR-Zkbmk5DwIaDIKO8Xl"&amp;"bJAfqyT7Gvg/edit?usp=sharing"",""น่าน!J487"")+IMPORTRANGE(""https://docs.google.com/spreadsheets/d/1uu4nAn4Dbi1XREnLKKotUANlKXa7yCgRcgq8HEzQYW8/edit?usp=sharing"",""พะเยา!J487"")+IMPORTRANGE(""https://docs.google.com/spreadsheets/d/1xfJKIQxVOaPDIICqsflNlL"&amp;"u3JacTDk1FP9RH4phX7mI/edit?usp=sharing"",""พิจิตร!J487"")+IMPORTRANGE(""https://docs.google.com/spreadsheets/d/1JtRfZkJMHtEhI5RdRHxYUG4FIZHqKDpNyIuN7A1Q0_k/edit?usp=sharing"",""พิษณุโลก!J487"")+IMPORTRANGE(""https://docs.google.com/spreadsheets/d/1xlcVZWU"&amp;"Nn6SuWm0c307h32SiGkd9BaeQWlAktfD3KO8/edit?usp=sharing"",""เพชรบูรณ์!J487"")+IMPORTRANGE(""https://docs.google.com/spreadsheets/d/1lOVebEIsI9qjGXl6EX66luk7wiuP2tBaryw-wKvv4e0/edit?usp=sharing"",""แพร่!J487"")+IMPORTRANGE(""https://docs.google.com/spreadshe"&amp;"ets/d/1dQrvX0vEcN7Gu0fnZ0B5S90AeR19zth4XlExFBeExMY/edit?usp=sharing"",""แม่ฮ่องสอน!J487"")+IMPORTRANGE(""https://docs.google.com/spreadsheets/d/1DY4XTNNwjluuxqdfdn6qvOSlMRrZqUtmYcZR0ttFiG4/edit?usp=sharing"",""ลำปาง!J487"")+IMPORTRANGE(""https://docs.goog"&amp;"le.com/spreadsheets/d/1ICwG78r0OFT8biBlxnBF8r7she7gNSzOvJ958PWT09c/edit?usp=sharing"",""ลำพูน!J487"")+IMPORTRANGE(""https://docs.google.com/spreadsheets/d/1B0f2xJpZUC6Z0xXnqKlZtEPzsf6L84eP1r1Q15seqRM/edit?usp=sharing"",""สุโขทัย!J487"")+IMPORTRANGE(""http"&amp;"s://docs.google.com/spreadsheets/d/1v0b9pFQCsKUVExMei7AgY2yQkdeNQvtOssygGsXbiKo/edit?usp=sharing"",""อุตรดิตถ์!J487"")+IMPORTRANGE(""https://docs.google.com/spreadsheets/d/1UsNK1e-WWiCo2PvGqdNfdme4m17_Ezd3J69EeeiQPD0/edit?usp=sharing"",""อุทัยธานี!J487"")"),0)</f>
        <v>0</v>
      </c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166">
        <f ca="1">IFERROR(__xludf.DUMMYFUNCTION("IMPORTRANGE(""https://docs.google.com/spreadsheets/d/1jTcq05yEiRwXcBMLjiodW9e4biSGYWAHcDj22rKWQ3s/edit?usp=sharing"",""กำแพงเพชร!J488"")+IMPORTRANGE(""https://docs.google.com/spreadsheets/d/1KS0zmDSZPk8KnTAbGN-Xk6MtX1YRZD0ldgdt20K4CRk/edit?usp=sharing"","&amp;"""เชียงราย!J488"")+IMPORTRANGE(""https://docs.google.com/spreadsheets/d/1rEDxBtusbi64tE0zunoIbsTVV16HeL0oJ6trHQeQ7K8/edit?usp=sharing"",""เชียงใหม่!J488"")+IMPORTRANGE(""https://docs.google.com/spreadsheets/d/1W6MnUbDkMi6xHnHko_XkFDO9kkuL6Wqyc-6OCDFjW9I/e"&amp;"dit?usp=sharing"",""ตาก!J488"")+IMPORTRANGE(""https://docs.google.com/spreadsheets/d/1IQAWArduLkta9LpYo4a_ULsyqdta6-6aDDiwpUnQT6c/edit?usp=sharing"",""นครสวรรค์!J488"")+IMPORTRANGE(""https://docs.google.com/spreadsheets/d/10s13Sk5xrltsiR-Zkbmk5DwIaDIKO8Xl"&amp;"bJAfqyT7Gvg/edit?usp=sharing"",""น่าน!J488"")+IMPORTRANGE(""https://docs.google.com/spreadsheets/d/1uu4nAn4Dbi1XREnLKKotUANlKXa7yCgRcgq8HEzQYW8/edit?usp=sharing"",""พะเยา!J488"")+IMPORTRANGE(""https://docs.google.com/spreadsheets/d/1xfJKIQxVOaPDIICqsflNlL"&amp;"u3JacTDk1FP9RH4phX7mI/edit?usp=sharing"",""พิจิตร!J488"")+IMPORTRANGE(""https://docs.google.com/spreadsheets/d/1JtRfZkJMHtEhI5RdRHxYUG4FIZHqKDpNyIuN7A1Q0_k/edit?usp=sharing"",""พิษณุโลก!J488"")+IMPORTRANGE(""https://docs.google.com/spreadsheets/d/1xlcVZWU"&amp;"Nn6SuWm0c307h32SiGkd9BaeQWlAktfD3KO8/edit?usp=sharing"",""เพชรบูรณ์!J488"")+IMPORTRANGE(""https://docs.google.com/spreadsheets/d/1lOVebEIsI9qjGXl6EX66luk7wiuP2tBaryw-wKvv4e0/edit?usp=sharing"",""แพร่!J488"")+IMPORTRANGE(""https://docs.google.com/spreadshe"&amp;"ets/d/1dQrvX0vEcN7Gu0fnZ0B5S90AeR19zth4XlExFBeExMY/edit?usp=sharing"",""แม่ฮ่องสอน!J488"")+IMPORTRANGE(""https://docs.google.com/spreadsheets/d/1DY4XTNNwjluuxqdfdn6qvOSlMRrZqUtmYcZR0ttFiG4/edit?usp=sharing"",""ลำปาง!J488"")+IMPORTRANGE(""https://docs.goog"&amp;"le.com/spreadsheets/d/1ICwG78r0OFT8biBlxnBF8r7she7gNSzOvJ958PWT09c/edit?usp=sharing"",""ลำพูน!J488"")+IMPORTRANGE(""https://docs.google.com/spreadsheets/d/1B0f2xJpZUC6Z0xXnqKlZtEPzsf6L84eP1r1Q15seqRM/edit?usp=sharing"",""สุโขทัย!J488"")+IMPORTRANGE(""http"&amp;"s://docs.google.com/spreadsheets/d/1v0b9pFQCsKUVExMei7AgY2yQkdeNQvtOssygGsXbiKo/edit?usp=sharing"",""อุตรดิตถ์!J488"")+IMPORTRANGE(""https://docs.google.com/spreadsheets/d/1UsNK1e-WWiCo2PvGqdNfdme4m17_Ezd3J69EeeiQPD0/edit?usp=sharing"",""อุทัยธานี!J488"")"),0)</f>
        <v>0</v>
      </c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166">
        <f ca="1">IFERROR(__xludf.DUMMYFUNCTION("IMPORTRANGE(""https://docs.google.com/spreadsheets/d/1jTcq05yEiRwXcBMLjiodW9e4biSGYWAHcDj22rKWQ3s/edit?usp=sharing"",""กำแพงเพชร!J489"")+IMPORTRANGE(""https://docs.google.com/spreadsheets/d/1KS0zmDSZPk8KnTAbGN-Xk6MtX1YRZD0ldgdt20K4CRk/edit?usp=sharing"","&amp;"""เชียงราย!J489"")+IMPORTRANGE(""https://docs.google.com/spreadsheets/d/1rEDxBtusbi64tE0zunoIbsTVV16HeL0oJ6trHQeQ7K8/edit?usp=sharing"",""เชียงใหม่!J489"")+IMPORTRANGE(""https://docs.google.com/spreadsheets/d/1W6MnUbDkMi6xHnHko_XkFDO9kkuL6Wqyc-6OCDFjW9I/e"&amp;"dit?usp=sharing"",""ตาก!J489"")+IMPORTRANGE(""https://docs.google.com/spreadsheets/d/1IQAWArduLkta9LpYo4a_ULsyqdta6-6aDDiwpUnQT6c/edit?usp=sharing"",""นครสวรรค์!J489"")+IMPORTRANGE(""https://docs.google.com/spreadsheets/d/10s13Sk5xrltsiR-Zkbmk5DwIaDIKO8Xl"&amp;"bJAfqyT7Gvg/edit?usp=sharing"",""น่าน!J489"")+IMPORTRANGE(""https://docs.google.com/spreadsheets/d/1uu4nAn4Dbi1XREnLKKotUANlKXa7yCgRcgq8HEzQYW8/edit?usp=sharing"",""พะเยา!J489"")+IMPORTRANGE(""https://docs.google.com/spreadsheets/d/1xfJKIQxVOaPDIICqsflNlL"&amp;"u3JacTDk1FP9RH4phX7mI/edit?usp=sharing"",""พิจิตร!J489"")+IMPORTRANGE(""https://docs.google.com/spreadsheets/d/1JtRfZkJMHtEhI5RdRHxYUG4FIZHqKDpNyIuN7A1Q0_k/edit?usp=sharing"",""พิษณุโลก!J489"")+IMPORTRANGE(""https://docs.google.com/spreadsheets/d/1xlcVZWU"&amp;"Nn6SuWm0c307h32SiGkd9BaeQWlAktfD3KO8/edit?usp=sharing"",""เพชรบูรณ์!J489"")+IMPORTRANGE(""https://docs.google.com/spreadsheets/d/1lOVebEIsI9qjGXl6EX66luk7wiuP2tBaryw-wKvv4e0/edit?usp=sharing"",""แพร่!J489"")+IMPORTRANGE(""https://docs.google.com/spreadshe"&amp;"ets/d/1dQrvX0vEcN7Gu0fnZ0B5S90AeR19zth4XlExFBeExMY/edit?usp=sharing"",""แม่ฮ่องสอน!J489"")+IMPORTRANGE(""https://docs.google.com/spreadsheets/d/1DY4XTNNwjluuxqdfdn6qvOSlMRrZqUtmYcZR0ttFiG4/edit?usp=sharing"",""ลำปาง!J489"")+IMPORTRANGE(""https://docs.goog"&amp;"le.com/spreadsheets/d/1ICwG78r0OFT8biBlxnBF8r7she7gNSzOvJ958PWT09c/edit?usp=sharing"",""ลำพูน!J489"")+IMPORTRANGE(""https://docs.google.com/spreadsheets/d/1B0f2xJpZUC6Z0xXnqKlZtEPzsf6L84eP1r1Q15seqRM/edit?usp=sharing"",""สุโขทัย!J489"")+IMPORTRANGE(""http"&amp;"s://docs.google.com/spreadsheets/d/1v0b9pFQCsKUVExMei7AgY2yQkdeNQvtOssygGsXbiKo/edit?usp=sharing"",""อุตรดิตถ์!J489"")+IMPORTRANGE(""https://docs.google.com/spreadsheets/d/1UsNK1e-WWiCo2PvGqdNfdme4m17_Ezd3J69EeeiQPD0/edit?usp=sharing"",""อุทัยธานี!J489"")"),0)</f>
        <v>0</v>
      </c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166">
        <f ca="1">IFERROR(__xludf.DUMMYFUNCTION("IMPORTRANGE(""https://docs.google.com/spreadsheets/d/1jTcq05yEiRwXcBMLjiodW9e4biSGYWAHcDj22rKWQ3s/edit?usp=sharing"",""กำแพงเพชร!J490"")+IMPORTRANGE(""https://docs.google.com/spreadsheets/d/1KS0zmDSZPk8KnTAbGN-Xk6MtX1YRZD0ldgdt20K4CRk/edit?usp=sharing"","&amp;"""เชียงราย!J490"")+IMPORTRANGE(""https://docs.google.com/spreadsheets/d/1rEDxBtusbi64tE0zunoIbsTVV16HeL0oJ6trHQeQ7K8/edit?usp=sharing"",""เชียงใหม่!J490"")+IMPORTRANGE(""https://docs.google.com/spreadsheets/d/1W6MnUbDkMi6xHnHko_XkFDO9kkuL6Wqyc-6OCDFjW9I/e"&amp;"dit?usp=sharing"",""ตาก!J490"")+IMPORTRANGE(""https://docs.google.com/spreadsheets/d/1IQAWArduLkta9LpYo4a_ULsyqdta6-6aDDiwpUnQT6c/edit?usp=sharing"",""นครสวรรค์!J490"")+IMPORTRANGE(""https://docs.google.com/spreadsheets/d/10s13Sk5xrltsiR-Zkbmk5DwIaDIKO8Xl"&amp;"bJAfqyT7Gvg/edit?usp=sharing"",""น่าน!J490"")+IMPORTRANGE(""https://docs.google.com/spreadsheets/d/1uu4nAn4Dbi1XREnLKKotUANlKXa7yCgRcgq8HEzQYW8/edit?usp=sharing"",""พะเยา!J490"")+IMPORTRANGE(""https://docs.google.com/spreadsheets/d/1xfJKIQxVOaPDIICqsflNlL"&amp;"u3JacTDk1FP9RH4phX7mI/edit?usp=sharing"",""พิจิตร!J490"")+IMPORTRANGE(""https://docs.google.com/spreadsheets/d/1JtRfZkJMHtEhI5RdRHxYUG4FIZHqKDpNyIuN7A1Q0_k/edit?usp=sharing"",""พิษณุโลก!J490"")+IMPORTRANGE(""https://docs.google.com/spreadsheets/d/1xlcVZWU"&amp;"Nn6SuWm0c307h32SiGkd9BaeQWlAktfD3KO8/edit?usp=sharing"",""เพชรบูรณ์!J490"")+IMPORTRANGE(""https://docs.google.com/spreadsheets/d/1lOVebEIsI9qjGXl6EX66luk7wiuP2tBaryw-wKvv4e0/edit?usp=sharing"",""แพร่!J490"")+IMPORTRANGE(""https://docs.google.com/spreadshe"&amp;"ets/d/1dQrvX0vEcN7Gu0fnZ0B5S90AeR19zth4XlExFBeExMY/edit?usp=sharing"",""แม่ฮ่องสอน!J490"")+IMPORTRANGE(""https://docs.google.com/spreadsheets/d/1DY4XTNNwjluuxqdfdn6qvOSlMRrZqUtmYcZR0ttFiG4/edit?usp=sharing"",""ลำปาง!J490"")+IMPORTRANGE(""https://docs.goog"&amp;"le.com/spreadsheets/d/1ICwG78r0OFT8biBlxnBF8r7she7gNSzOvJ958PWT09c/edit?usp=sharing"",""ลำพูน!J490"")+IMPORTRANGE(""https://docs.google.com/spreadsheets/d/1B0f2xJpZUC6Z0xXnqKlZtEPzsf6L84eP1r1Q15seqRM/edit?usp=sharing"",""สุโขทัย!J490"")+IMPORTRANGE(""http"&amp;"s://docs.google.com/spreadsheets/d/1v0b9pFQCsKUVExMei7AgY2yQkdeNQvtOssygGsXbiKo/edit?usp=sharing"",""อุตรดิตถ์!J490"")+IMPORTRANGE(""https://docs.google.com/spreadsheets/d/1UsNK1e-WWiCo2PvGqdNfdme4m17_Ezd3J69EeeiQPD0/edit?usp=sharing"",""อุทัยธานี!J490"")"),0)</f>
        <v>0</v>
      </c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187">
        <f ca="1">IFERROR(__xludf.DUMMYFUNCTION("IMPORTRANGE(""https://docs.google.com/spreadsheets/d/1jTcq05yEiRwXcBMLjiodW9e4biSGYWAHcDj22rKWQ3s/edit?usp=sharing"",""กำแพงเพชร!J491"")+IMPORTRANGE(""https://docs.google.com/spreadsheets/d/1KS0zmDSZPk8KnTAbGN-Xk6MtX1YRZD0ldgdt20K4CRk/edit?usp=sharing"","&amp;"""เชียงราย!J491"")+IMPORTRANGE(""https://docs.google.com/spreadsheets/d/1rEDxBtusbi64tE0zunoIbsTVV16HeL0oJ6trHQeQ7K8/edit?usp=sharing"",""เชียงใหม่!J491"")+IMPORTRANGE(""https://docs.google.com/spreadsheets/d/1W6MnUbDkMi6xHnHko_XkFDO9kkuL6Wqyc-6OCDFjW9I/e"&amp;"dit?usp=sharing"",""ตาก!J491"")+IMPORTRANGE(""https://docs.google.com/spreadsheets/d/1IQAWArduLkta9LpYo4a_ULsyqdta6-6aDDiwpUnQT6c/edit?usp=sharing"",""นครสวรรค์!J491"")+IMPORTRANGE(""https://docs.google.com/spreadsheets/d/10s13Sk5xrltsiR-Zkbmk5DwIaDIKO8Xl"&amp;"bJAfqyT7Gvg/edit?usp=sharing"",""น่าน!J491"")+IMPORTRANGE(""https://docs.google.com/spreadsheets/d/1uu4nAn4Dbi1XREnLKKotUANlKXa7yCgRcgq8HEzQYW8/edit?usp=sharing"",""พะเยา!J491"")+IMPORTRANGE(""https://docs.google.com/spreadsheets/d/1xfJKIQxVOaPDIICqsflNlL"&amp;"u3JacTDk1FP9RH4phX7mI/edit?usp=sharing"",""พิจิตร!J491"")+IMPORTRANGE(""https://docs.google.com/spreadsheets/d/1JtRfZkJMHtEhI5RdRHxYUG4FIZHqKDpNyIuN7A1Q0_k/edit?usp=sharing"",""พิษณุโลก!J491"")+IMPORTRANGE(""https://docs.google.com/spreadsheets/d/1xlcVZWU"&amp;"Nn6SuWm0c307h32SiGkd9BaeQWlAktfD3KO8/edit?usp=sharing"",""เพชรบูรณ์!J491"")+IMPORTRANGE(""https://docs.google.com/spreadsheets/d/1lOVebEIsI9qjGXl6EX66luk7wiuP2tBaryw-wKvv4e0/edit?usp=sharing"",""แพร่!J491"")+IMPORTRANGE(""https://docs.google.com/spreadshe"&amp;"ets/d/1dQrvX0vEcN7Gu0fnZ0B5S90AeR19zth4XlExFBeExMY/edit?usp=sharing"",""แม่ฮ่องสอน!J491"")+IMPORTRANGE(""https://docs.google.com/spreadsheets/d/1DY4XTNNwjluuxqdfdn6qvOSlMRrZqUtmYcZR0ttFiG4/edit?usp=sharing"",""ลำปาง!J491"")+IMPORTRANGE(""https://docs.goog"&amp;"le.com/spreadsheets/d/1ICwG78r0OFT8biBlxnBF8r7she7gNSzOvJ958PWT09c/edit?usp=sharing"",""ลำพูน!J491"")+IMPORTRANGE(""https://docs.google.com/spreadsheets/d/1B0f2xJpZUC6Z0xXnqKlZtEPzsf6L84eP1r1Q15seqRM/edit?usp=sharing"",""สุโขทัย!J491"")+IMPORTRANGE(""http"&amp;"s://docs.google.com/spreadsheets/d/1v0b9pFQCsKUVExMei7AgY2yQkdeNQvtOssygGsXbiKo/edit?usp=sharing"",""อุตรดิตถ์!J491"")+IMPORTRANGE(""https://docs.google.com/spreadsheets/d/1UsNK1e-WWiCo2PvGqdNfdme4m17_Ezd3J69EeeiQPD0/edit?usp=sharing"",""อุทัยธานี!J491"")"),0)</f>
        <v>0</v>
      </c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296">
        <f t="shared" ref="I492:J492" ca="1" si="345">I503</f>
        <v>60</v>
      </c>
      <c r="J492" s="296">
        <f t="shared" ca="1" si="345"/>
        <v>0</v>
      </c>
      <c r="K492" s="297">
        <f ca="1">IF(I492&gt;0,J492*100/I492,0)</f>
        <v>0</v>
      </c>
      <c r="L492" s="298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x14ac:dyDescent="0.3">
      <c r="A493" s="128"/>
      <c r="B493" s="158"/>
      <c r="C493" s="177" t="s">
        <v>18</v>
      </c>
      <c r="D493" s="806" t="s">
        <v>19</v>
      </c>
      <c r="E493" s="800"/>
      <c r="F493" s="800"/>
      <c r="G493" s="42"/>
      <c r="H493" s="221" t="s">
        <v>14</v>
      </c>
      <c r="I493" s="44"/>
      <c r="J493" s="44"/>
      <c r="K493" s="45"/>
      <c r="L493" s="132">
        <f t="shared" ref="L493:N493" ca="1" si="346">L494+L495</f>
        <v>0</v>
      </c>
      <c r="M493" s="132">
        <f t="shared" ca="1" si="346"/>
        <v>0</v>
      </c>
      <c r="N493" s="132">
        <f t="shared" ca="1" si="346"/>
        <v>0</v>
      </c>
      <c r="O493" s="132">
        <f t="shared" ref="O493:O501" ca="1" si="347">IF(L493&gt;0,N493*100/L493,0)</f>
        <v>0</v>
      </c>
      <c r="P493" s="132">
        <f t="shared" ref="P493:P501" ca="1" si="348">IF(M493&gt;0,N493*100/M493,0)</f>
        <v>0</v>
      </c>
      <c r="Q493" s="132">
        <f t="shared" ref="Q493:S493" ca="1" si="349">Q494+Q495</f>
        <v>741945</v>
      </c>
      <c r="R493" s="132">
        <f t="shared" ca="1" si="349"/>
        <v>741945</v>
      </c>
      <c r="S493" s="132">
        <f t="shared" ca="1" si="349"/>
        <v>74960</v>
      </c>
      <c r="T493" s="132">
        <f t="shared" ref="T493:T501" ca="1" si="350">IF(Q493&gt;0,S493*100/Q493,0)</f>
        <v>10.103174763628031</v>
      </c>
      <c r="U493" s="132">
        <f t="shared" ref="U493:U501" ca="1" si="351">IF(R493&gt;0,S493*100/R493,0)</f>
        <v>10.103174763628031</v>
      </c>
    </row>
    <row r="494" spans="1:21" ht="18.75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48">
        <f t="shared" ref="L494:N494" ca="1" si="352">L497+L500</f>
        <v>0</v>
      </c>
      <c r="M494" s="48">
        <f t="shared" ca="1" si="352"/>
        <v>0</v>
      </c>
      <c r="N494" s="48">
        <f t="shared" ca="1" si="352"/>
        <v>0</v>
      </c>
      <c r="O494" s="48">
        <f t="shared" ca="1" si="347"/>
        <v>0</v>
      </c>
      <c r="P494" s="48">
        <f t="shared" ca="1" si="348"/>
        <v>0</v>
      </c>
      <c r="Q494" s="48">
        <f t="shared" ref="Q494:S494" ca="1" si="353">Q497+Q500</f>
        <v>0</v>
      </c>
      <c r="R494" s="48">
        <f t="shared" ca="1" si="353"/>
        <v>0</v>
      </c>
      <c r="S494" s="48">
        <f t="shared" ca="1" si="353"/>
        <v>0</v>
      </c>
      <c r="T494" s="48">
        <f t="shared" ca="1" si="350"/>
        <v>0</v>
      </c>
      <c r="U494" s="48">
        <f t="shared" ca="1" si="351"/>
        <v>0</v>
      </c>
    </row>
    <row r="495" spans="1:21" ht="18.75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46">
        <f t="shared" ref="L495:N495" ca="1" si="354">L498+L501</f>
        <v>0</v>
      </c>
      <c r="M495" s="46">
        <f t="shared" ca="1" si="354"/>
        <v>0</v>
      </c>
      <c r="N495" s="46">
        <f t="shared" ca="1" si="354"/>
        <v>0</v>
      </c>
      <c r="O495" s="46">
        <f t="shared" ca="1" si="347"/>
        <v>0</v>
      </c>
      <c r="P495" s="46">
        <f t="shared" ca="1" si="348"/>
        <v>0</v>
      </c>
      <c r="Q495" s="46">
        <f t="shared" ref="Q495:S495" ca="1" si="355">Q498+Q501</f>
        <v>741945</v>
      </c>
      <c r="R495" s="46">
        <f t="shared" ca="1" si="355"/>
        <v>741945</v>
      </c>
      <c r="S495" s="46">
        <f t="shared" ca="1" si="355"/>
        <v>74960</v>
      </c>
      <c r="T495" s="46">
        <f t="shared" ca="1" si="350"/>
        <v>10.103174763628031</v>
      </c>
      <c r="U495" s="46">
        <f t="shared" ca="1" si="351"/>
        <v>10.103174763628031</v>
      </c>
    </row>
    <row r="496" spans="1:21" ht="18.75" x14ac:dyDescent="0.25">
      <c r="A496" s="128"/>
      <c r="B496" s="158"/>
      <c r="C496" s="158"/>
      <c r="D496" s="160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46">
        <f t="shared" ref="L496:N496" ca="1" si="356">L497+L498</f>
        <v>0</v>
      </c>
      <c r="M496" s="46">
        <f t="shared" ca="1" si="356"/>
        <v>0</v>
      </c>
      <c r="N496" s="46">
        <f t="shared" ca="1" si="356"/>
        <v>0</v>
      </c>
      <c r="O496" s="46">
        <f t="shared" ca="1" si="347"/>
        <v>0</v>
      </c>
      <c r="P496" s="46">
        <f t="shared" ca="1" si="348"/>
        <v>0</v>
      </c>
      <c r="Q496" s="46">
        <f t="shared" ref="Q496:S496" ca="1" si="357">Q497+Q498</f>
        <v>741945</v>
      </c>
      <c r="R496" s="46">
        <f t="shared" ca="1" si="357"/>
        <v>741945</v>
      </c>
      <c r="S496" s="46">
        <f t="shared" ca="1" si="357"/>
        <v>74960</v>
      </c>
      <c r="T496" s="46">
        <f t="shared" ca="1" si="350"/>
        <v>10.103174763628031</v>
      </c>
      <c r="U496" s="46">
        <f t="shared" ca="1" si="351"/>
        <v>10.103174763628031</v>
      </c>
    </row>
    <row r="497" spans="1:21" ht="18.75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48">
        <f ca="1">IFERROR(__xludf.DUMMYFUNCTION("IMPORTRANGE(""https://docs.google.com/spreadsheets/d/1jTcq05yEiRwXcBMLjiodW9e4biSGYWAHcDj22rKWQ3s/edit?usp=sharing"",""กำแพงเพชร!L497"")+IMPORTRANGE(""https://docs.google.com/spreadsheets/d/1KS0zmDSZPk8KnTAbGN-Xk6MtX1YRZD0ldgdt20K4CRk/edit?usp=sharing"","&amp;"""เชียงราย!L497"")+IMPORTRANGE(""https://docs.google.com/spreadsheets/d/1rEDxBtusbi64tE0zunoIbsTVV16HeL0oJ6trHQeQ7K8/edit?usp=sharing"",""เชียงใหม่!L497"")+IMPORTRANGE(""https://docs.google.com/spreadsheets/d/1W6MnUbDkMi6xHnHko_XkFDO9kkuL6Wqyc-6OCDFjW9I/e"&amp;"dit?usp=sharing"",""ตาก!L497"")+IMPORTRANGE(""https://docs.google.com/spreadsheets/d/1IQAWArduLkta9LpYo4a_ULsyqdta6-6aDDiwpUnQT6c/edit?usp=sharing"",""นครสวรรค์!L497"")+IMPORTRANGE(""https://docs.google.com/spreadsheets/d/10s13Sk5xrltsiR-Zkbmk5DwIaDIKO8Xl"&amp;"bJAfqyT7Gvg/edit?usp=sharing"",""น่าน!L497"")+IMPORTRANGE(""https://docs.google.com/spreadsheets/d/1uu4nAn4Dbi1XREnLKKotUANlKXa7yCgRcgq8HEzQYW8/edit?usp=sharing"",""พะเยา!L497"")+IMPORTRANGE(""https://docs.google.com/spreadsheets/d/1xfJKIQxVOaPDIICqsflNlL"&amp;"u3JacTDk1FP9RH4phX7mI/edit?usp=sharing"",""พิจิตร!L497"")+IMPORTRANGE(""https://docs.google.com/spreadsheets/d/1JtRfZkJMHtEhI5RdRHxYUG4FIZHqKDpNyIuN7A1Q0_k/edit?usp=sharing"",""พิษณุโลก!L497"")+IMPORTRANGE(""https://docs.google.com/spreadsheets/d/1xlcVZWU"&amp;"Nn6SuWm0c307h32SiGkd9BaeQWlAktfD3KO8/edit?usp=sharing"",""เพชรบูรณ์!L497"")+IMPORTRANGE(""https://docs.google.com/spreadsheets/d/1lOVebEIsI9qjGXl6EX66luk7wiuP2tBaryw-wKvv4e0/edit?usp=sharing"",""แพร่!L497"")+IMPORTRANGE(""https://docs.google.com/spreadshe"&amp;"ets/d/1dQrvX0vEcN7Gu0fnZ0B5S90AeR19zth4XlExFBeExMY/edit?usp=sharing"",""แม่ฮ่องสอน!L497"")+IMPORTRANGE(""https://docs.google.com/spreadsheets/d/1DY4XTNNwjluuxqdfdn6qvOSlMRrZqUtmYcZR0ttFiG4/edit?usp=sharing"",""ลำปาง!L497"")+IMPORTRANGE(""https://docs.goog"&amp;"le.com/spreadsheets/d/1ICwG78r0OFT8biBlxnBF8r7she7gNSzOvJ958PWT09c/edit?usp=sharing"",""ลำพูน!L497"")+IMPORTRANGE(""https://docs.google.com/spreadsheets/d/1B0f2xJpZUC6Z0xXnqKlZtEPzsf6L84eP1r1Q15seqRM/edit?usp=sharing"",""สุโขทัย!L497"")+IMPORTRANGE(""http"&amp;"s://docs.google.com/spreadsheets/d/1v0b9pFQCsKUVExMei7AgY2yQkdeNQvtOssygGsXbiKo/edit?usp=sharing"",""อุตรดิตถ์!L497"")+IMPORTRANGE(""https://docs.google.com/spreadsheets/d/1UsNK1e-WWiCo2PvGqdNfdme4m17_Ezd3J69EeeiQPD0/edit?usp=sharing"",""อุทัยธานี!L497"")"),0)</f>
        <v>0</v>
      </c>
      <c r="M497" s="48">
        <f ca="1">IFERROR(__xludf.DUMMYFUNCTION("IMPORTRANGE(""https://docs.google.com/spreadsheets/d/1jTcq05yEiRwXcBMLjiodW9e4biSGYWAHcDj22rKWQ3s/edit?usp=sharing"",""กำแพงเพชร!M497"")+IMPORTRANGE(""https://docs.google.com/spreadsheets/d/1KS0zmDSZPk8KnTAbGN-Xk6MtX1YRZD0ldgdt20K4CRk/edit?usp=sharing"","&amp;"""เชียงราย!M497"")+IMPORTRANGE(""https://docs.google.com/spreadsheets/d/1rEDxBtusbi64tE0zunoIbsTVV16HeL0oJ6trHQeQ7K8/edit?usp=sharing"",""เชียงใหม่!M497"")+IMPORTRANGE(""https://docs.google.com/spreadsheets/d/1W6MnUbDkMi6xHnHko_XkFDO9kkuL6Wqyc-6OCDFjW9I/e"&amp;"dit?usp=sharing"",""ตาก!M497"")+IMPORTRANGE(""https://docs.google.com/spreadsheets/d/1IQAWArduLkta9LpYo4a_ULsyqdta6-6aDDiwpUnQT6c/edit?usp=sharing"",""นครสวรรค์!M497"")+IMPORTRANGE(""https://docs.google.com/spreadsheets/d/10s13Sk5xrltsiR-Zkbmk5DwIaDIKO8Xl"&amp;"bJAfqyT7Gvg/edit?usp=sharing"",""น่าน!M497"")+IMPORTRANGE(""https://docs.google.com/spreadsheets/d/1uu4nAn4Dbi1XREnLKKotUANlKXa7yCgRcgq8HEzQYW8/edit?usp=sharing"",""พะเยา!M497"")+IMPORTRANGE(""https://docs.google.com/spreadsheets/d/1xfJKIQxVOaPDIICqsflNlL"&amp;"u3JacTDk1FP9RH4phX7mI/edit?usp=sharing"",""พิจิตร!M497"")+IMPORTRANGE(""https://docs.google.com/spreadsheets/d/1JtRfZkJMHtEhI5RdRHxYUG4FIZHqKDpNyIuN7A1Q0_k/edit?usp=sharing"",""พิษณุโลก!M497"")+IMPORTRANGE(""https://docs.google.com/spreadsheets/d/1xlcVZWU"&amp;"Nn6SuWm0c307h32SiGkd9BaeQWlAktfD3KO8/edit?usp=sharing"",""เพชรบูรณ์!M497"")+IMPORTRANGE(""https://docs.google.com/spreadsheets/d/1lOVebEIsI9qjGXl6EX66luk7wiuP2tBaryw-wKvv4e0/edit?usp=sharing"",""แพร่!M497"")+IMPORTRANGE(""https://docs.google.com/spreadshe"&amp;"ets/d/1dQrvX0vEcN7Gu0fnZ0B5S90AeR19zth4XlExFBeExMY/edit?usp=sharing"",""แม่ฮ่องสอน!M497"")+IMPORTRANGE(""https://docs.google.com/spreadsheets/d/1DY4XTNNwjluuxqdfdn6qvOSlMRrZqUtmYcZR0ttFiG4/edit?usp=sharing"",""ลำปาง!M497"")+IMPORTRANGE(""https://docs.goog"&amp;"le.com/spreadsheets/d/1ICwG78r0OFT8biBlxnBF8r7she7gNSzOvJ958PWT09c/edit?usp=sharing"",""ลำพูน!M497"")+IMPORTRANGE(""https://docs.google.com/spreadsheets/d/1B0f2xJpZUC6Z0xXnqKlZtEPzsf6L84eP1r1Q15seqRM/edit?usp=sharing"",""สุโขทัย!M497"")+IMPORTRANGE(""http"&amp;"s://docs.google.com/spreadsheets/d/1v0b9pFQCsKUVExMei7AgY2yQkdeNQvtOssygGsXbiKo/edit?usp=sharing"",""อุตรดิตถ์!M497"")+IMPORTRANGE(""https://docs.google.com/spreadsheets/d/1UsNK1e-WWiCo2PvGqdNfdme4m17_Ezd3J69EeeiQPD0/edit?usp=sharing"",""อุทัยธานี!M497"")"),0)</f>
        <v>0</v>
      </c>
      <c r="N497" s="48">
        <f ca="1">IFERROR(__xludf.DUMMYFUNCTION("IMPORTRANGE(""https://docs.google.com/spreadsheets/d/1jTcq05yEiRwXcBMLjiodW9e4biSGYWAHcDj22rKWQ3s/edit?usp=sharing"",""กำแพงเพชร!N497"")+IMPORTRANGE(""https://docs.google.com/spreadsheets/d/1KS0zmDSZPk8KnTAbGN-Xk6MtX1YRZD0ldgdt20K4CRk/edit?usp=sharing"","&amp;"""เชียงราย!N497"")+IMPORTRANGE(""https://docs.google.com/spreadsheets/d/1rEDxBtusbi64tE0zunoIbsTVV16HeL0oJ6trHQeQ7K8/edit?usp=sharing"",""เชียงใหม่!N497"")+IMPORTRANGE(""https://docs.google.com/spreadsheets/d/1W6MnUbDkMi6xHnHko_XkFDO9kkuL6Wqyc-6OCDFjW9I/e"&amp;"dit?usp=sharing"",""ตาก!N497"")+IMPORTRANGE(""https://docs.google.com/spreadsheets/d/1IQAWArduLkta9LpYo4a_ULsyqdta6-6aDDiwpUnQT6c/edit?usp=sharing"",""นครสวรรค์!N497"")+IMPORTRANGE(""https://docs.google.com/spreadsheets/d/10s13Sk5xrltsiR-Zkbmk5DwIaDIKO8Xl"&amp;"bJAfqyT7Gvg/edit?usp=sharing"",""น่าน!N497"")+IMPORTRANGE(""https://docs.google.com/spreadsheets/d/1uu4nAn4Dbi1XREnLKKotUANlKXa7yCgRcgq8HEzQYW8/edit?usp=sharing"",""พะเยา!N497"")+IMPORTRANGE(""https://docs.google.com/spreadsheets/d/1xfJKIQxVOaPDIICqsflNlL"&amp;"u3JacTDk1FP9RH4phX7mI/edit?usp=sharing"",""พิจิตร!N497"")+IMPORTRANGE(""https://docs.google.com/spreadsheets/d/1JtRfZkJMHtEhI5RdRHxYUG4FIZHqKDpNyIuN7A1Q0_k/edit?usp=sharing"",""พิษณุโลก!N497"")+IMPORTRANGE(""https://docs.google.com/spreadsheets/d/1xlcVZWU"&amp;"Nn6SuWm0c307h32SiGkd9BaeQWlAktfD3KO8/edit?usp=sharing"",""เพชรบูรณ์!N497"")+IMPORTRANGE(""https://docs.google.com/spreadsheets/d/1lOVebEIsI9qjGXl6EX66luk7wiuP2tBaryw-wKvv4e0/edit?usp=sharing"",""แพร่!N497"")+IMPORTRANGE(""https://docs.google.com/spreadshe"&amp;"ets/d/1dQrvX0vEcN7Gu0fnZ0B5S90AeR19zth4XlExFBeExMY/edit?usp=sharing"",""แม่ฮ่องสอน!N497"")+IMPORTRANGE(""https://docs.google.com/spreadsheets/d/1DY4XTNNwjluuxqdfdn6qvOSlMRrZqUtmYcZR0ttFiG4/edit?usp=sharing"",""ลำปาง!N497"")+IMPORTRANGE(""https://docs.goog"&amp;"le.com/spreadsheets/d/1ICwG78r0OFT8biBlxnBF8r7she7gNSzOvJ958PWT09c/edit?usp=sharing"",""ลำพูน!N497"")+IMPORTRANGE(""https://docs.google.com/spreadsheets/d/1B0f2xJpZUC6Z0xXnqKlZtEPzsf6L84eP1r1Q15seqRM/edit?usp=sharing"",""สุโขทัย!N497"")+IMPORTRANGE(""http"&amp;"s://docs.google.com/spreadsheets/d/1v0b9pFQCsKUVExMei7AgY2yQkdeNQvtOssygGsXbiKo/edit?usp=sharing"",""อุตรดิตถ์!N497"")+IMPORTRANGE(""https://docs.google.com/spreadsheets/d/1UsNK1e-WWiCo2PvGqdNfdme4m17_Ezd3J69EeeiQPD0/edit?usp=sharing"",""อุทัยธานี!N497"")"),0)</f>
        <v>0</v>
      </c>
      <c r="O497" s="48">
        <f t="shared" ca="1" si="347"/>
        <v>0</v>
      </c>
      <c r="P497" s="48">
        <f t="shared" ca="1" si="348"/>
        <v>0</v>
      </c>
      <c r="Q497" s="48">
        <f ca="1">IFERROR(__xludf.DUMMYFUNCTION("IMPORTRANGE(""https://docs.google.com/spreadsheets/d/1jTcq05yEiRwXcBMLjiodW9e4biSGYWAHcDj22rKWQ3s/edit?usp=sharing"",""กำแพงเพชร!Q497"")+IMPORTRANGE(""https://docs.google.com/spreadsheets/d/1KS0zmDSZPk8KnTAbGN-Xk6MtX1YRZD0ldgdt20K4CRk/edit?usp=sharing"","&amp;"""เชียงราย!Q497"")+IMPORTRANGE(""https://docs.google.com/spreadsheets/d/1rEDxBtusbi64tE0zunoIbsTVV16HeL0oJ6trHQeQ7K8/edit?usp=sharing"",""เชียงใหม่!Q497"")+IMPORTRANGE(""https://docs.google.com/spreadsheets/d/1W6MnUbDkMi6xHnHko_XkFDO9kkuL6Wqyc-6OCDFjW9I/e"&amp;"dit?usp=sharing"",""ตาก!Q497"")+IMPORTRANGE(""https://docs.google.com/spreadsheets/d/1IQAWArduLkta9LpYo4a_ULsyqdta6-6aDDiwpUnQT6c/edit?usp=sharing"",""นครสวรรค์!Q497"")+IMPORTRANGE(""https://docs.google.com/spreadsheets/d/10s13Sk5xrltsiR-Zkbmk5DwIaDIKO8Xl"&amp;"bJAfqyT7Gvg/edit?usp=sharing"",""น่าน!Q497"")+IMPORTRANGE(""https://docs.google.com/spreadsheets/d/1uu4nAn4Dbi1XREnLKKotUANlKXa7yCgRcgq8HEzQYW8/edit?usp=sharing"",""พะเยา!Q497"")+IMPORTRANGE(""https://docs.google.com/spreadsheets/d/1xfJKIQxVOaPDIICqsflNlL"&amp;"u3JacTDk1FP9RH4phX7mI/edit?usp=sharing"",""พิจิตร!Q497"")+IMPORTRANGE(""https://docs.google.com/spreadsheets/d/1JtRfZkJMHtEhI5RdRHxYUG4FIZHqKDpNyIuN7A1Q0_k/edit?usp=sharing"",""พิษณุโลก!Q497"")+IMPORTRANGE(""https://docs.google.com/spreadsheets/d/1xlcVZWU"&amp;"Nn6SuWm0c307h32SiGkd9BaeQWlAktfD3KO8/edit?usp=sharing"",""เพชรบูรณ์!Q497"")+IMPORTRANGE(""https://docs.google.com/spreadsheets/d/1lOVebEIsI9qjGXl6EX66luk7wiuP2tBaryw-wKvv4e0/edit?usp=sharing"",""แพร่!Q497"")+IMPORTRANGE(""https://docs.google.com/spreadshe"&amp;"ets/d/1dQrvX0vEcN7Gu0fnZ0B5S90AeR19zth4XlExFBeExMY/edit?usp=sharing"",""แม่ฮ่องสอน!Q497"")+IMPORTRANGE(""https://docs.google.com/spreadsheets/d/1DY4XTNNwjluuxqdfdn6qvOSlMRrZqUtmYcZR0ttFiG4/edit?usp=sharing"",""ลำปาง!Q497"")+IMPORTRANGE(""https://docs.goog"&amp;"le.com/spreadsheets/d/1ICwG78r0OFT8biBlxnBF8r7she7gNSzOvJ958PWT09c/edit?usp=sharing"",""ลำพูน!Q497"")+IMPORTRANGE(""https://docs.google.com/spreadsheets/d/1B0f2xJpZUC6Z0xXnqKlZtEPzsf6L84eP1r1Q15seqRM/edit?usp=sharing"",""สุโขทัย!Q497"")+IMPORTRANGE(""http"&amp;"s://docs.google.com/spreadsheets/d/1v0b9pFQCsKUVExMei7AgY2yQkdeNQvtOssygGsXbiKo/edit?usp=sharing"",""อุตรดิตถ์!Q497"")+IMPORTRANGE(""https://docs.google.com/spreadsheets/d/1UsNK1e-WWiCo2PvGqdNfdme4m17_Ezd3J69EeeiQPD0/edit?usp=sharing"",""อุทัยธานี!Q497"")"),0)</f>
        <v>0</v>
      </c>
      <c r="R497" s="48">
        <f ca="1">IFERROR(__xludf.DUMMYFUNCTION("IMPORTRANGE(""https://docs.google.com/spreadsheets/d/1jTcq05yEiRwXcBMLjiodW9e4biSGYWAHcDj22rKWQ3s/edit?usp=sharing"",""กำแพงเพชร!R497"")+IMPORTRANGE(""https://docs.google.com/spreadsheets/d/1KS0zmDSZPk8KnTAbGN-Xk6MtX1YRZD0ldgdt20K4CRk/edit?usp=sharing"","&amp;"""เชียงราย!R497"")+IMPORTRANGE(""https://docs.google.com/spreadsheets/d/1rEDxBtusbi64tE0zunoIbsTVV16HeL0oJ6trHQeQ7K8/edit?usp=sharing"",""เชียงใหม่!R497"")+IMPORTRANGE(""https://docs.google.com/spreadsheets/d/1W6MnUbDkMi6xHnHko_XkFDO9kkuL6Wqyc-6OCDFjW9I/e"&amp;"dit?usp=sharing"",""ตาก!R497"")+IMPORTRANGE(""https://docs.google.com/spreadsheets/d/1IQAWArduLkta9LpYo4a_ULsyqdta6-6aDDiwpUnQT6c/edit?usp=sharing"",""นครสวรรค์!R497"")+IMPORTRANGE(""https://docs.google.com/spreadsheets/d/10s13Sk5xrltsiR-Zkbmk5DwIaDIKO8Xl"&amp;"bJAfqyT7Gvg/edit?usp=sharing"",""น่าน!R497"")+IMPORTRANGE(""https://docs.google.com/spreadsheets/d/1uu4nAn4Dbi1XREnLKKotUANlKXa7yCgRcgq8HEzQYW8/edit?usp=sharing"",""พะเยา!R497"")+IMPORTRANGE(""https://docs.google.com/spreadsheets/d/1xfJKIQxVOaPDIICqsflNlL"&amp;"u3JacTDk1FP9RH4phX7mI/edit?usp=sharing"",""พิจิตร!R497"")+IMPORTRANGE(""https://docs.google.com/spreadsheets/d/1JtRfZkJMHtEhI5RdRHxYUG4FIZHqKDpNyIuN7A1Q0_k/edit?usp=sharing"",""พิษณุโลก!R497"")+IMPORTRANGE(""https://docs.google.com/spreadsheets/d/1xlcVZWU"&amp;"Nn6SuWm0c307h32SiGkd9BaeQWlAktfD3KO8/edit?usp=sharing"",""เพชรบูรณ์!R497"")+IMPORTRANGE(""https://docs.google.com/spreadsheets/d/1lOVebEIsI9qjGXl6EX66luk7wiuP2tBaryw-wKvv4e0/edit?usp=sharing"",""แพร่!R497"")+IMPORTRANGE(""https://docs.google.com/spreadshe"&amp;"ets/d/1dQrvX0vEcN7Gu0fnZ0B5S90AeR19zth4XlExFBeExMY/edit?usp=sharing"",""แม่ฮ่องสอน!R497"")+IMPORTRANGE(""https://docs.google.com/spreadsheets/d/1DY4XTNNwjluuxqdfdn6qvOSlMRrZqUtmYcZR0ttFiG4/edit?usp=sharing"",""ลำปาง!R497"")+IMPORTRANGE(""https://docs.goog"&amp;"le.com/spreadsheets/d/1ICwG78r0OFT8biBlxnBF8r7she7gNSzOvJ958PWT09c/edit?usp=sharing"",""ลำพูน!R497"")+IMPORTRANGE(""https://docs.google.com/spreadsheets/d/1B0f2xJpZUC6Z0xXnqKlZtEPzsf6L84eP1r1Q15seqRM/edit?usp=sharing"",""สุโขทัย!R497"")+IMPORTRANGE(""http"&amp;"s://docs.google.com/spreadsheets/d/1v0b9pFQCsKUVExMei7AgY2yQkdeNQvtOssygGsXbiKo/edit?usp=sharing"",""อุตรดิตถ์!R497"")+IMPORTRANGE(""https://docs.google.com/spreadsheets/d/1UsNK1e-WWiCo2PvGqdNfdme4m17_Ezd3J69EeeiQPD0/edit?usp=sharing"",""อุทัยธานี!R497"")"),0)</f>
        <v>0</v>
      </c>
      <c r="S497" s="48">
        <f ca="1">IFERROR(__xludf.DUMMYFUNCTION("IMPORTRANGE(""https://docs.google.com/spreadsheets/d/1jTcq05yEiRwXcBMLjiodW9e4biSGYWAHcDj22rKWQ3s/edit?usp=sharing"",""กำแพงเพชร!S497"")+IMPORTRANGE(""https://docs.google.com/spreadsheets/d/1KS0zmDSZPk8KnTAbGN-Xk6MtX1YRZD0ldgdt20K4CRk/edit?usp=sharing"","&amp;"""เชียงราย!S497"")+IMPORTRANGE(""https://docs.google.com/spreadsheets/d/1rEDxBtusbi64tE0zunoIbsTVV16HeL0oJ6trHQeQ7K8/edit?usp=sharing"",""เชียงใหม่!S497"")+IMPORTRANGE(""https://docs.google.com/spreadsheets/d/1W6MnUbDkMi6xHnHko_XkFDO9kkuL6Wqyc-6OCDFjW9I/e"&amp;"dit?usp=sharing"",""ตาก!S497"")+IMPORTRANGE(""https://docs.google.com/spreadsheets/d/1IQAWArduLkta9LpYo4a_ULsyqdta6-6aDDiwpUnQT6c/edit?usp=sharing"",""นครสวรรค์!S497"")+IMPORTRANGE(""https://docs.google.com/spreadsheets/d/10s13Sk5xrltsiR-Zkbmk5DwIaDIKO8Xl"&amp;"bJAfqyT7Gvg/edit?usp=sharing"",""น่าน!S497"")+IMPORTRANGE(""https://docs.google.com/spreadsheets/d/1uu4nAn4Dbi1XREnLKKotUANlKXa7yCgRcgq8HEzQYW8/edit?usp=sharing"",""พะเยา!S497"")+IMPORTRANGE(""https://docs.google.com/spreadsheets/d/1xfJKIQxVOaPDIICqsflNlL"&amp;"u3JacTDk1FP9RH4phX7mI/edit?usp=sharing"",""พิจิตร!S497"")+IMPORTRANGE(""https://docs.google.com/spreadsheets/d/1JtRfZkJMHtEhI5RdRHxYUG4FIZHqKDpNyIuN7A1Q0_k/edit?usp=sharing"",""พิษณุโลก!S497"")+IMPORTRANGE(""https://docs.google.com/spreadsheets/d/1xlcVZWU"&amp;"Nn6SuWm0c307h32SiGkd9BaeQWlAktfD3KO8/edit?usp=sharing"",""เพชรบูรณ์!S497"")+IMPORTRANGE(""https://docs.google.com/spreadsheets/d/1lOVebEIsI9qjGXl6EX66luk7wiuP2tBaryw-wKvv4e0/edit?usp=sharing"",""แพร่!S497"")+IMPORTRANGE(""https://docs.google.com/spreadshe"&amp;"ets/d/1dQrvX0vEcN7Gu0fnZ0B5S90AeR19zth4XlExFBeExMY/edit?usp=sharing"",""แม่ฮ่องสอน!S497"")+IMPORTRANGE(""https://docs.google.com/spreadsheets/d/1DY4XTNNwjluuxqdfdn6qvOSlMRrZqUtmYcZR0ttFiG4/edit?usp=sharing"",""ลำปาง!S497"")+IMPORTRANGE(""https://docs.goog"&amp;"le.com/spreadsheets/d/1ICwG78r0OFT8biBlxnBF8r7she7gNSzOvJ958PWT09c/edit?usp=sharing"",""ลำพูน!S497"")+IMPORTRANGE(""https://docs.google.com/spreadsheets/d/1B0f2xJpZUC6Z0xXnqKlZtEPzsf6L84eP1r1Q15seqRM/edit?usp=sharing"",""สุโขทัย!S497"")+IMPORTRANGE(""http"&amp;"s://docs.google.com/spreadsheets/d/1v0b9pFQCsKUVExMei7AgY2yQkdeNQvtOssygGsXbiKo/edit?usp=sharing"",""อุตรดิตถ์!S497"")+IMPORTRANGE(""https://docs.google.com/spreadsheets/d/1UsNK1e-WWiCo2PvGqdNfdme4m17_Ezd3J69EeeiQPD0/edit?usp=sharing"",""อุทัยธานี!S497"")"),0)</f>
        <v>0</v>
      </c>
      <c r="T497" s="48">
        <f t="shared" ca="1" si="350"/>
        <v>0</v>
      </c>
      <c r="U497" s="48">
        <f t="shared" ca="1" si="351"/>
        <v>0</v>
      </c>
    </row>
    <row r="498" spans="1:21" ht="18.75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46">
        <f ca="1">IFERROR(__xludf.DUMMYFUNCTION("IMPORTRANGE(""https://docs.google.com/spreadsheets/d/1jTcq05yEiRwXcBMLjiodW9e4biSGYWAHcDj22rKWQ3s/edit?usp=sharing"",""กำแพงเพชร!L498"")+IMPORTRANGE(""https://docs.google.com/spreadsheets/d/1KS0zmDSZPk8KnTAbGN-Xk6MtX1YRZD0ldgdt20K4CRk/edit?usp=sharing"","&amp;"""เชียงราย!L498"")+IMPORTRANGE(""https://docs.google.com/spreadsheets/d/1rEDxBtusbi64tE0zunoIbsTVV16HeL0oJ6trHQeQ7K8/edit?usp=sharing"",""เชียงใหม่!L498"")+IMPORTRANGE(""https://docs.google.com/spreadsheets/d/1W6MnUbDkMi6xHnHko_XkFDO9kkuL6Wqyc-6OCDFjW9I/e"&amp;"dit?usp=sharing"",""ตาก!L498"")+IMPORTRANGE(""https://docs.google.com/spreadsheets/d/1IQAWArduLkta9LpYo4a_ULsyqdta6-6aDDiwpUnQT6c/edit?usp=sharing"",""นครสวรรค์!L498"")+IMPORTRANGE(""https://docs.google.com/spreadsheets/d/10s13Sk5xrltsiR-Zkbmk5DwIaDIKO8Xl"&amp;"bJAfqyT7Gvg/edit?usp=sharing"",""น่าน!L498"")+IMPORTRANGE(""https://docs.google.com/spreadsheets/d/1uu4nAn4Dbi1XREnLKKotUANlKXa7yCgRcgq8HEzQYW8/edit?usp=sharing"",""พะเยา!L498"")+IMPORTRANGE(""https://docs.google.com/spreadsheets/d/1xfJKIQxVOaPDIICqsflNlL"&amp;"u3JacTDk1FP9RH4phX7mI/edit?usp=sharing"",""พิจิตร!L498"")+IMPORTRANGE(""https://docs.google.com/spreadsheets/d/1JtRfZkJMHtEhI5RdRHxYUG4FIZHqKDpNyIuN7A1Q0_k/edit?usp=sharing"",""พิษณุโลก!L498"")+IMPORTRANGE(""https://docs.google.com/spreadsheets/d/1xlcVZWU"&amp;"Nn6SuWm0c307h32SiGkd9BaeQWlAktfD3KO8/edit?usp=sharing"",""เพชรบูรณ์!L498"")+IMPORTRANGE(""https://docs.google.com/spreadsheets/d/1lOVebEIsI9qjGXl6EX66luk7wiuP2tBaryw-wKvv4e0/edit?usp=sharing"",""แพร่!L498"")+IMPORTRANGE(""https://docs.google.com/spreadshe"&amp;"ets/d/1dQrvX0vEcN7Gu0fnZ0B5S90AeR19zth4XlExFBeExMY/edit?usp=sharing"",""แม่ฮ่องสอน!L498"")+IMPORTRANGE(""https://docs.google.com/spreadsheets/d/1DY4XTNNwjluuxqdfdn6qvOSlMRrZqUtmYcZR0ttFiG4/edit?usp=sharing"",""ลำปาง!L498"")+IMPORTRANGE(""https://docs.goog"&amp;"le.com/spreadsheets/d/1ICwG78r0OFT8biBlxnBF8r7she7gNSzOvJ958PWT09c/edit?usp=sharing"",""ลำพูน!L498"")+IMPORTRANGE(""https://docs.google.com/spreadsheets/d/1B0f2xJpZUC6Z0xXnqKlZtEPzsf6L84eP1r1Q15seqRM/edit?usp=sharing"",""สุโขทัย!L498"")+IMPORTRANGE(""http"&amp;"s://docs.google.com/spreadsheets/d/1v0b9pFQCsKUVExMei7AgY2yQkdeNQvtOssygGsXbiKo/edit?usp=sharing"",""อุตรดิตถ์!L498"")+IMPORTRANGE(""https://docs.google.com/spreadsheets/d/1UsNK1e-WWiCo2PvGqdNfdme4m17_Ezd3J69EeeiQPD0/edit?usp=sharing"",""อุทัยธานี!L498"")"),0)</f>
        <v>0</v>
      </c>
      <c r="M498" s="46">
        <f ca="1">IFERROR(__xludf.DUMMYFUNCTION("IMPORTRANGE(""https://docs.google.com/spreadsheets/d/1jTcq05yEiRwXcBMLjiodW9e4biSGYWAHcDj22rKWQ3s/edit?usp=sharing"",""กำแพงเพชร!M498"")+IMPORTRANGE(""https://docs.google.com/spreadsheets/d/1KS0zmDSZPk8KnTAbGN-Xk6MtX1YRZD0ldgdt20K4CRk/edit?usp=sharing"","&amp;"""เชียงราย!M498"")+IMPORTRANGE(""https://docs.google.com/spreadsheets/d/1rEDxBtusbi64tE0zunoIbsTVV16HeL0oJ6trHQeQ7K8/edit?usp=sharing"",""เชียงใหม่!M498"")+IMPORTRANGE(""https://docs.google.com/spreadsheets/d/1W6MnUbDkMi6xHnHko_XkFDO9kkuL6Wqyc-6OCDFjW9I/e"&amp;"dit?usp=sharing"",""ตาก!M498"")+IMPORTRANGE(""https://docs.google.com/spreadsheets/d/1IQAWArduLkta9LpYo4a_ULsyqdta6-6aDDiwpUnQT6c/edit?usp=sharing"",""นครสวรรค์!M498"")+IMPORTRANGE(""https://docs.google.com/spreadsheets/d/10s13Sk5xrltsiR-Zkbmk5DwIaDIKO8Xl"&amp;"bJAfqyT7Gvg/edit?usp=sharing"",""น่าน!M498"")+IMPORTRANGE(""https://docs.google.com/spreadsheets/d/1uu4nAn4Dbi1XREnLKKotUANlKXa7yCgRcgq8HEzQYW8/edit?usp=sharing"",""พะเยา!M498"")+IMPORTRANGE(""https://docs.google.com/spreadsheets/d/1xfJKIQxVOaPDIICqsflNlL"&amp;"u3JacTDk1FP9RH4phX7mI/edit?usp=sharing"",""พิจิตร!M498"")+IMPORTRANGE(""https://docs.google.com/spreadsheets/d/1JtRfZkJMHtEhI5RdRHxYUG4FIZHqKDpNyIuN7A1Q0_k/edit?usp=sharing"",""พิษณุโลก!M498"")+IMPORTRANGE(""https://docs.google.com/spreadsheets/d/1xlcVZWU"&amp;"Nn6SuWm0c307h32SiGkd9BaeQWlAktfD3KO8/edit?usp=sharing"",""เพชรบูรณ์!M498"")+IMPORTRANGE(""https://docs.google.com/spreadsheets/d/1lOVebEIsI9qjGXl6EX66luk7wiuP2tBaryw-wKvv4e0/edit?usp=sharing"",""แพร่!M498"")+IMPORTRANGE(""https://docs.google.com/spreadshe"&amp;"ets/d/1dQrvX0vEcN7Gu0fnZ0B5S90AeR19zth4XlExFBeExMY/edit?usp=sharing"",""แม่ฮ่องสอน!M498"")+IMPORTRANGE(""https://docs.google.com/spreadsheets/d/1DY4XTNNwjluuxqdfdn6qvOSlMRrZqUtmYcZR0ttFiG4/edit?usp=sharing"",""ลำปาง!M498"")+IMPORTRANGE(""https://docs.goog"&amp;"le.com/spreadsheets/d/1ICwG78r0OFT8biBlxnBF8r7she7gNSzOvJ958PWT09c/edit?usp=sharing"",""ลำพูน!M498"")+IMPORTRANGE(""https://docs.google.com/spreadsheets/d/1B0f2xJpZUC6Z0xXnqKlZtEPzsf6L84eP1r1Q15seqRM/edit?usp=sharing"",""สุโขทัย!M498"")+IMPORTRANGE(""http"&amp;"s://docs.google.com/spreadsheets/d/1v0b9pFQCsKUVExMei7AgY2yQkdeNQvtOssygGsXbiKo/edit?usp=sharing"",""อุตรดิตถ์!M498"")+IMPORTRANGE(""https://docs.google.com/spreadsheets/d/1UsNK1e-WWiCo2PvGqdNfdme4m17_Ezd3J69EeeiQPD0/edit?usp=sharing"",""อุทัยธานี!M498"")"),0)</f>
        <v>0</v>
      </c>
      <c r="N498" s="46">
        <f ca="1">IFERROR(__xludf.DUMMYFUNCTION("IMPORTRANGE(""https://docs.google.com/spreadsheets/d/1jTcq05yEiRwXcBMLjiodW9e4biSGYWAHcDj22rKWQ3s/edit?usp=sharing"",""กำแพงเพชร!N498"")+IMPORTRANGE(""https://docs.google.com/spreadsheets/d/1KS0zmDSZPk8KnTAbGN-Xk6MtX1YRZD0ldgdt20K4CRk/edit?usp=sharing"","&amp;"""เชียงราย!N498"")+IMPORTRANGE(""https://docs.google.com/spreadsheets/d/1rEDxBtusbi64tE0zunoIbsTVV16HeL0oJ6trHQeQ7K8/edit?usp=sharing"",""เชียงใหม่!N498"")+IMPORTRANGE(""https://docs.google.com/spreadsheets/d/1W6MnUbDkMi6xHnHko_XkFDO9kkuL6Wqyc-6OCDFjW9I/e"&amp;"dit?usp=sharing"",""ตาก!N498"")+IMPORTRANGE(""https://docs.google.com/spreadsheets/d/1IQAWArduLkta9LpYo4a_ULsyqdta6-6aDDiwpUnQT6c/edit?usp=sharing"",""นครสวรรค์!N498"")+IMPORTRANGE(""https://docs.google.com/spreadsheets/d/10s13Sk5xrltsiR-Zkbmk5DwIaDIKO8Xl"&amp;"bJAfqyT7Gvg/edit?usp=sharing"",""น่าน!N498"")+IMPORTRANGE(""https://docs.google.com/spreadsheets/d/1uu4nAn4Dbi1XREnLKKotUANlKXa7yCgRcgq8HEzQYW8/edit?usp=sharing"",""พะเยา!N498"")+IMPORTRANGE(""https://docs.google.com/spreadsheets/d/1xfJKIQxVOaPDIICqsflNlL"&amp;"u3JacTDk1FP9RH4phX7mI/edit?usp=sharing"",""พิจิตร!N498"")+IMPORTRANGE(""https://docs.google.com/spreadsheets/d/1JtRfZkJMHtEhI5RdRHxYUG4FIZHqKDpNyIuN7A1Q0_k/edit?usp=sharing"",""พิษณุโลก!N498"")+IMPORTRANGE(""https://docs.google.com/spreadsheets/d/1xlcVZWU"&amp;"Nn6SuWm0c307h32SiGkd9BaeQWlAktfD3KO8/edit?usp=sharing"",""เพชรบูรณ์!N498"")+IMPORTRANGE(""https://docs.google.com/spreadsheets/d/1lOVebEIsI9qjGXl6EX66luk7wiuP2tBaryw-wKvv4e0/edit?usp=sharing"",""แพร่!N498"")+IMPORTRANGE(""https://docs.google.com/spreadshe"&amp;"ets/d/1dQrvX0vEcN7Gu0fnZ0B5S90AeR19zth4XlExFBeExMY/edit?usp=sharing"",""แม่ฮ่องสอน!N498"")+IMPORTRANGE(""https://docs.google.com/spreadsheets/d/1DY4XTNNwjluuxqdfdn6qvOSlMRrZqUtmYcZR0ttFiG4/edit?usp=sharing"",""ลำปาง!N498"")+IMPORTRANGE(""https://docs.goog"&amp;"le.com/spreadsheets/d/1ICwG78r0OFT8biBlxnBF8r7she7gNSzOvJ958PWT09c/edit?usp=sharing"",""ลำพูน!N498"")+IMPORTRANGE(""https://docs.google.com/spreadsheets/d/1B0f2xJpZUC6Z0xXnqKlZtEPzsf6L84eP1r1Q15seqRM/edit?usp=sharing"",""สุโขทัย!N498"")+IMPORTRANGE(""http"&amp;"s://docs.google.com/spreadsheets/d/1v0b9pFQCsKUVExMei7AgY2yQkdeNQvtOssygGsXbiKo/edit?usp=sharing"",""อุตรดิตถ์!N498"")+IMPORTRANGE(""https://docs.google.com/spreadsheets/d/1UsNK1e-WWiCo2PvGqdNfdme4m17_Ezd3J69EeeiQPD0/edit?usp=sharing"",""อุทัยธานี!N498"")"),0)</f>
        <v>0</v>
      </c>
      <c r="O498" s="46">
        <f t="shared" ca="1" si="347"/>
        <v>0</v>
      </c>
      <c r="P498" s="46">
        <f t="shared" ca="1" si="348"/>
        <v>0</v>
      </c>
      <c r="Q498" s="46">
        <f ca="1">IFERROR(__xludf.DUMMYFUNCTION("IMPORTRANGE(""https://docs.google.com/spreadsheets/d/1jTcq05yEiRwXcBMLjiodW9e4biSGYWAHcDj22rKWQ3s/edit?usp=sharing"",""กำแพงเพชร!Q498"")+IMPORTRANGE(""https://docs.google.com/spreadsheets/d/1KS0zmDSZPk8KnTAbGN-Xk6MtX1YRZD0ldgdt20K4CRk/edit?usp=sharing"","&amp;"""เชียงราย!Q498"")+IMPORTRANGE(""https://docs.google.com/spreadsheets/d/1rEDxBtusbi64tE0zunoIbsTVV16HeL0oJ6trHQeQ7K8/edit?usp=sharing"",""เชียงใหม่!Q498"")+IMPORTRANGE(""https://docs.google.com/spreadsheets/d/1W6MnUbDkMi6xHnHko_XkFDO9kkuL6Wqyc-6OCDFjW9I/e"&amp;"dit?usp=sharing"",""ตาก!Q498"")+IMPORTRANGE(""https://docs.google.com/spreadsheets/d/1IQAWArduLkta9LpYo4a_ULsyqdta6-6aDDiwpUnQT6c/edit?usp=sharing"",""นครสวรรค์!Q498"")+IMPORTRANGE(""https://docs.google.com/spreadsheets/d/10s13Sk5xrltsiR-Zkbmk5DwIaDIKO8Xl"&amp;"bJAfqyT7Gvg/edit?usp=sharing"",""น่าน!Q498"")+IMPORTRANGE(""https://docs.google.com/spreadsheets/d/1uu4nAn4Dbi1XREnLKKotUANlKXa7yCgRcgq8HEzQYW8/edit?usp=sharing"",""พะเยา!Q498"")+IMPORTRANGE(""https://docs.google.com/spreadsheets/d/1xfJKIQxVOaPDIICqsflNlL"&amp;"u3JacTDk1FP9RH4phX7mI/edit?usp=sharing"",""พิจิตร!Q498"")+IMPORTRANGE(""https://docs.google.com/spreadsheets/d/1JtRfZkJMHtEhI5RdRHxYUG4FIZHqKDpNyIuN7A1Q0_k/edit?usp=sharing"",""พิษณุโลก!Q498"")+IMPORTRANGE(""https://docs.google.com/spreadsheets/d/1xlcVZWU"&amp;"Nn6SuWm0c307h32SiGkd9BaeQWlAktfD3KO8/edit?usp=sharing"",""เพชรบูรณ์!Q498"")+IMPORTRANGE(""https://docs.google.com/spreadsheets/d/1lOVebEIsI9qjGXl6EX66luk7wiuP2tBaryw-wKvv4e0/edit?usp=sharing"",""แพร่!Q498"")+IMPORTRANGE(""https://docs.google.com/spreadshe"&amp;"ets/d/1dQrvX0vEcN7Gu0fnZ0B5S90AeR19zth4XlExFBeExMY/edit?usp=sharing"",""แม่ฮ่องสอน!Q498"")+IMPORTRANGE(""https://docs.google.com/spreadsheets/d/1DY4XTNNwjluuxqdfdn6qvOSlMRrZqUtmYcZR0ttFiG4/edit?usp=sharing"",""ลำปาง!Q498"")+IMPORTRANGE(""https://docs.goog"&amp;"le.com/spreadsheets/d/1ICwG78r0OFT8biBlxnBF8r7she7gNSzOvJ958PWT09c/edit?usp=sharing"",""ลำพูน!Q498"")+IMPORTRANGE(""https://docs.google.com/spreadsheets/d/1B0f2xJpZUC6Z0xXnqKlZtEPzsf6L84eP1r1Q15seqRM/edit?usp=sharing"",""สุโขทัย!Q498"")+IMPORTRANGE(""http"&amp;"s://docs.google.com/spreadsheets/d/1v0b9pFQCsKUVExMei7AgY2yQkdeNQvtOssygGsXbiKo/edit?usp=sharing"",""อุตรดิตถ์!Q498"")+IMPORTRANGE(""https://docs.google.com/spreadsheets/d/1UsNK1e-WWiCo2PvGqdNfdme4m17_Ezd3J69EeeiQPD0/edit?usp=sharing"",""อุทัยธานี!Q498"")"),741945)</f>
        <v>741945</v>
      </c>
      <c r="R498" s="46">
        <f ca="1">IFERROR(__xludf.DUMMYFUNCTION("IMPORTRANGE(""https://docs.google.com/spreadsheets/d/1jTcq05yEiRwXcBMLjiodW9e4biSGYWAHcDj22rKWQ3s/edit?usp=sharing"",""กำแพงเพชร!R498"")+IMPORTRANGE(""https://docs.google.com/spreadsheets/d/1KS0zmDSZPk8KnTAbGN-Xk6MtX1YRZD0ldgdt20K4CRk/edit?usp=sharing"","&amp;"""เชียงราย!R498"")+IMPORTRANGE(""https://docs.google.com/spreadsheets/d/1rEDxBtusbi64tE0zunoIbsTVV16HeL0oJ6trHQeQ7K8/edit?usp=sharing"",""เชียงใหม่!R498"")+IMPORTRANGE(""https://docs.google.com/spreadsheets/d/1W6MnUbDkMi6xHnHko_XkFDO9kkuL6Wqyc-6OCDFjW9I/e"&amp;"dit?usp=sharing"",""ตาก!R498"")+IMPORTRANGE(""https://docs.google.com/spreadsheets/d/1IQAWArduLkta9LpYo4a_ULsyqdta6-6aDDiwpUnQT6c/edit?usp=sharing"",""นครสวรรค์!R498"")+IMPORTRANGE(""https://docs.google.com/spreadsheets/d/10s13Sk5xrltsiR-Zkbmk5DwIaDIKO8Xl"&amp;"bJAfqyT7Gvg/edit?usp=sharing"",""น่าน!R498"")+IMPORTRANGE(""https://docs.google.com/spreadsheets/d/1uu4nAn4Dbi1XREnLKKotUANlKXa7yCgRcgq8HEzQYW8/edit?usp=sharing"",""พะเยา!R498"")+IMPORTRANGE(""https://docs.google.com/spreadsheets/d/1xfJKIQxVOaPDIICqsflNlL"&amp;"u3JacTDk1FP9RH4phX7mI/edit?usp=sharing"",""พิจิตร!R498"")+IMPORTRANGE(""https://docs.google.com/spreadsheets/d/1JtRfZkJMHtEhI5RdRHxYUG4FIZHqKDpNyIuN7A1Q0_k/edit?usp=sharing"",""พิษณุโลก!R498"")+IMPORTRANGE(""https://docs.google.com/spreadsheets/d/1xlcVZWU"&amp;"Nn6SuWm0c307h32SiGkd9BaeQWlAktfD3KO8/edit?usp=sharing"",""เพชรบูรณ์!R498"")+IMPORTRANGE(""https://docs.google.com/spreadsheets/d/1lOVebEIsI9qjGXl6EX66luk7wiuP2tBaryw-wKvv4e0/edit?usp=sharing"",""แพร่!R498"")+IMPORTRANGE(""https://docs.google.com/spreadshe"&amp;"ets/d/1dQrvX0vEcN7Gu0fnZ0B5S90AeR19zth4XlExFBeExMY/edit?usp=sharing"",""แม่ฮ่องสอน!R498"")+IMPORTRANGE(""https://docs.google.com/spreadsheets/d/1DY4XTNNwjluuxqdfdn6qvOSlMRrZqUtmYcZR0ttFiG4/edit?usp=sharing"",""ลำปาง!R498"")+IMPORTRANGE(""https://docs.goog"&amp;"le.com/spreadsheets/d/1ICwG78r0OFT8biBlxnBF8r7she7gNSzOvJ958PWT09c/edit?usp=sharing"",""ลำพูน!R498"")+IMPORTRANGE(""https://docs.google.com/spreadsheets/d/1B0f2xJpZUC6Z0xXnqKlZtEPzsf6L84eP1r1Q15seqRM/edit?usp=sharing"",""สุโขทัย!R498"")+IMPORTRANGE(""http"&amp;"s://docs.google.com/spreadsheets/d/1v0b9pFQCsKUVExMei7AgY2yQkdeNQvtOssygGsXbiKo/edit?usp=sharing"",""อุตรดิตถ์!R498"")+IMPORTRANGE(""https://docs.google.com/spreadsheets/d/1UsNK1e-WWiCo2PvGqdNfdme4m17_Ezd3J69EeeiQPD0/edit?usp=sharing"",""อุทัยธานี!R498"")"),741945)</f>
        <v>741945</v>
      </c>
      <c r="S498" s="46">
        <f ca="1">IFERROR(__xludf.DUMMYFUNCTION("IMPORTRANGE(""https://docs.google.com/spreadsheets/d/1jTcq05yEiRwXcBMLjiodW9e4biSGYWAHcDj22rKWQ3s/edit?usp=sharing"",""กำแพงเพชร!S498"")+IMPORTRANGE(""https://docs.google.com/spreadsheets/d/1KS0zmDSZPk8KnTAbGN-Xk6MtX1YRZD0ldgdt20K4CRk/edit?usp=sharing"","&amp;"""เชียงราย!S498"")+IMPORTRANGE(""https://docs.google.com/spreadsheets/d/1rEDxBtusbi64tE0zunoIbsTVV16HeL0oJ6trHQeQ7K8/edit?usp=sharing"",""เชียงใหม่!S498"")+IMPORTRANGE(""https://docs.google.com/spreadsheets/d/1W6MnUbDkMi6xHnHko_XkFDO9kkuL6Wqyc-6OCDFjW9I/e"&amp;"dit?usp=sharing"",""ตาก!S498"")+IMPORTRANGE(""https://docs.google.com/spreadsheets/d/1IQAWArduLkta9LpYo4a_ULsyqdta6-6aDDiwpUnQT6c/edit?usp=sharing"",""นครสวรรค์!S498"")+IMPORTRANGE(""https://docs.google.com/spreadsheets/d/10s13Sk5xrltsiR-Zkbmk5DwIaDIKO8Xl"&amp;"bJAfqyT7Gvg/edit?usp=sharing"",""น่าน!S498"")+IMPORTRANGE(""https://docs.google.com/spreadsheets/d/1uu4nAn4Dbi1XREnLKKotUANlKXa7yCgRcgq8HEzQYW8/edit?usp=sharing"",""พะเยา!S498"")+IMPORTRANGE(""https://docs.google.com/spreadsheets/d/1xfJKIQxVOaPDIICqsflNlL"&amp;"u3JacTDk1FP9RH4phX7mI/edit?usp=sharing"",""พิจิตร!S498"")+IMPORTRANGE(""https://docs.google.com/spreadsheets/d/1JtRfZkJMHtEhI5RdRHxYUG4FIZHqKDpNyIuN7A1Q0_k/edit?usp=sharing"",""พิษณุโลก!S498"")+IMPORTRANGE(""https://docs.google.com/spreadsheets/d/1xlcVZWU"&amp;"Nn6SuWm0c307h32SiGkd9BaeQWlAktfD3KO8/edit?usp=sharing"",""เพชรบูรณ์!S498"")+IMPORTRANGE(""https://docs.google.com/spreadsheets/d/1lOVebEIsI9qjGXl6EX66luk7wiuP2tBaryw-wKvv4e0/edit?usp=sharing"",""แพร่!S498"")+IMPORTRANGE(""https://docs.google.com/spreadshe"&amp;"ets/d/1dQrvX0vEcN7Gu0fnZ0B5S90AeR19zth4XlExFBeExMY/edit?usp=sharing"",""แม่ฮ่องสอน!S498"")+IMPORTRANGE(""https://docs.google.com/spreadsheets/d/1DY4XTNNwjluuxqdfdn6qvOSlMRrZqUtmYcZR0ttFiG4/edit?usp=sharing"",""ลำปาง!S498"")+IMPORTRANGE(""https://docs.goog"&amp;"le.com/spreadsheets/d/1ICwG78r0OFT8biBlxnBF8r7she7gNSzOvJ958PWT09c/edit?usp=sharing"",""ลำพูน!S498"")+IMPORTRANGE(""https://docs.google.com/spreadsheets/d/1B0f2xJpZUC6Z0xXnqKlZtEPzsf6L84eP1r1Q15seqRM/edit?usp=sharing"",""สุโขทัย!S498"")+IMPORTRANGE(""http"&amp;"s://docs.google.com/spreadsheets/d/1v0b9pFQCsKUVExMei7AgY2yQkdeNQvtOssygGsXbiKo/edit?usp=sharing"",""อุตรดิตถ์!S498"")+IMPORTRANGE(""https://docs.google.com/spreadsheets/d/1UsNK1e-WWiCo2PvGqdNfdme4m17_Ezd3J69EeeiQPD0/edit?usp=sharing"",""อุทัยธานี!S498"")"),74960)</f>
        <v>74960</v>
      </c>
      <c r="T498" s="46">
        <f t="shared" ca="1" si="350"/>
        <v>10.103174763628031</v>
      </c>
      <c r="U498" s="46">
        <f t="shared" ca="1" si="351"/>
        <v>10.103174763628031</v>
      </c>
    </row>
    <row r="499" spans="1:21" ht="18.75" x14ac:dyDescent="0.25">
      <c r="A499" s="128"/>
      <c r="B499" s="158"/>
      <c r="C499" s="158"/>
      <c r="D499" s="160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46">
        <f t="shared" ref="L499:N499" ca="1" si="358">L500+L501</f>
        <v>0</v>
      </c>
      <c r="M499" s="46">
        <f t="shared" ca="1" si="358"/>
        <v>0</v>
      </c>
      <c r="N499" s="46">
        <f t="shared" ca="1" si="358"/>
        <v>0</v>
      </c>
      <c r="O499" s="46">
        <f t="shared" ca="1" si="347"/>
        <v>0</v>
      </c>
      <c r="P499" s="46">
        <f t="shared" ca="1" si="348"/>
        <v>0</v>
      </c>
      <c r="Q499" s="46">
        <f t="shared" ref="Q499:S499" ca="1" si="359">Q500+Q501</f>
        <v>0</v>
      </c>
      <c r="R499" s="46">
        <f t="shared" ca="1" si="359"/>
        <v>0</v>
      </c>
      <c r="S499" s="46">
        <f t="shared" ca="1" si="359"/>
        <v>0</v>
      </c>
      <c r="T499" s="46">
        <f t="shared" ca="1" si="350"/>
        <v>0</v>
      </c>
      <c r="U499" s="46">
        <f t="shared" ca="1" si="351"/>
        <v>0</v>
      </c>
    </row>
    <row r="500" spans="1:21" ht="18.75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48">
        <f ca="1">IFERROR(__xludf.DUMMYFUNCTION("IMPORTRANGE(""https://docs.google.com/spreadsheets/d/1jTcq05yEiRwXcBMLjiodW9e4biSGYWAHcDj22rKWQ3s/edit?usp=sharing"",""กำแพงเพชร!L500"")+IMPORTRANGE(""https://docs.google.com/spreadsheets/d/1KS0zmDSZPk8KnTAbGN-Xk6MtX1YRZD0ldgdt20K4CRk/edit?usp=sharing"","&amp;"""เชียงราย!L500"")+IMPORTRANGE(""https://docs.google.com/spreadsheets/d/1rEDxBtusbi64tE0zunoIbsTVV16HeL0oJ6trHQeQ7K8/edit?usp=sharing"",""เชียงใหม่!L500"")+IMPORTRANGE(""https://docs.google.com/spreadsheets/d/1W6MnUbDkMi6xHnHko_XkFDO9kkuL6Wqyc-6OCDFjW9I/e"&amp;"dit?usp=sharing"",""ตาก!L500"")+IMPORTRANGE(""https://docs.google.com/spreadsheets/d/1IQAWArduLkta9LpYo4a_ULsyqdta6-6aDDiwpUnQT6c/edit?usp=sharing"",""นครสวรรค์!L500"")+IMPORTRANGE(""https://docs.google.com/spreadsheets/d/10s13Sk5xrltsiR-Zkbmk5DwIaDIKO8Xl"&amp;"bJAfqyT7Gvg/edit?usp=sharing"",""น่าน!L500"")+IMPORTRANGE(""https://docs.google.com/spreadsheets/d/1uu4nAn4Dbi1XREnLKKotUANlKXa7yCgRcgq8HEzQYW8/edit?usp=sharing"",""พะเยา!L500"")+IMPORTRANGE(""https://docs.google.com/spreadsheets/d/1xfJKIQxVOaPDIICqsflNlL"&amp;"u3JacTDk1FP9RH4phX7mI/edit?usp=sharing"",""พิจิตร!L500"")+IMPORTRANGE(""https://docs.google.com/spreadsheets/d/1JtRfZkJMHtEhI5RdRHxYUG4FIZHqKDpNyIuN7A1Q0_k/edit?usp=sharing"",""พิษณุโลก!L500"")+IMPORTRANGE(""https://docs.google.com/spreadsheets/d/1xlcVZWU"&amp;"Nn6SuWm0c307h32SiGkd9BaeQWlAktfD3KO8/edit?usp=sharing"",""เพชรบูรณ์!L500"")+IMPORTRANGE(""https://docs.google.com/spreadsheets/d/1lOVebEIsI9qjGXl6EX66luk7wiuP2tBaryw-wKvv4e0/edit?usp=sharing"",""แพร่!L500"")+IMPORTRANGE(""https://docs.google.com/spreadshe"&amp;"ets/d/1dQrvX0vEcN7Gu0fnZ0B5S90AeR19zth4XlExFBeExMY/edit?usp=sharing"",""แม่ฮ่องสอน!L500"")+IMPORTRANGE(""https://docs.google.com/spreadsheets/d/1DY4XTNNwjluuxqdfdn6qvOSlMRrZqUtmYcZR0ttFiG4/edit?usp=sharing"",""ลำปาง!L500"")+IMPORTRANGE(""https://docs.goog"&amp;"le.com/spreadsheets/d/1ICwG78r0OFT8biBlxnBF8r7she7gNSzOvJ958PWT09c/edit?usp=sharing"",""ลำพูน!L500"")+IMPORTRANGE(""https://docs.google.com/spreadsheets/d/1B0f2xJpZUC6Z0xXnqKlZtEPzsf6L84eP1r1Q15seqRM/edit?usp=sharing"",""สุโขทัย!L500"")+IMPORTRANGE(""http"&amp;"s://docs.google.com/spreadsheets/d/1v0b9pFQCsKUVExMei7AgY2yQkdeNQvtOssygGsXbiKo/edit?usp=sharing"",""อุตรดิตถ์!L500"")+IMPORTRANGE(""https://docs.google.com/spreadsheets/d/1UsNK1e-WWiCo2PvGqdNfdme4m17_Ezd3J69EeeiQPD0/edit?usp=sharing"",""อุทัยธานี!L500"")"),0)</f>
        <v>0</v>
      </c>
      <c r="M500" s="48">
        <f ca="1">IFERROR(__xludf.DUMMYFUNCTION("IMPORTRANGE(""https://docs.google.com/spreadsheets/d/1jTcq05yEiRwXcBMLjiodW9e4biSGYWAHcDj22rKWQ3s/edit?usp=sharing"",""กำแพงเพชร!M500"")+IMPORTRANGE(""https://docs.google.com/spreadsheets/d/1KS0zmDSZPk8KnTAbGN-Xk6MtX1YRZD0ldgdt20K4CRk/edit?usp=sharing"","&amp;"""เชียงราย!M500"")+IMPORTRANGE(""https://docs.google.com/spreadsheets/d/1rEDxBtusbi64tE0zunoIbsTVV16HeL0oJ6trHQeQ7K8/edit?usp=sharing"",""เชียงใหม่!M500"")+IMPORTRANGE(""https://docs.google.com/spreadsheets/d/1W6MnUbDkMi6xHnHko_XkFDO9kkuL6Wqyc-6OCDFjW9I/e"&amp;"dit?usp=sharing"",""ตาก!M500"")+IMPORTRANGE(""https://docs.google.com/spreadsheets/d/1IQAWArduLkta9LpYo4a_ULsyqdta6-6aDDiwpUnQT6c/edit?usp=sharing"",""นครสวรรค์!M500"")+IMPORTRANGE(""https://docs.google.com/spreadsheets/d/10s13Sk5xrltsiR-Zkbmk5DwIaDIKO8Xl"&amp;"bJAfqyT7Gvg/edit?usp=sharing"",""น่าน!M500"")+IMPORTRANGE(""https://docs.google.com/spreadsheets/d/1uu4nAn4Dbi1XREnLKKotUANlKXa7yCgRcgq8HEzQYW8/edit?usp=sharing"",""พะเยา!M500"")+IMPORTRANGE(""https://docs.google.com/spreadsheets/d/1xfJKIQxVOaPDIICqsflNlL"&amp;"u3JacTDk1FP9RH4phX7mI/edit?usp=sharing"",""พิจิตร!M500"")+IMPORTRANGE(""https://docs.google.com/spreadsheets/d/1JtRfZkJMHtEhI5RdRHxYUG4FIZHqKDpNyIuN7A1Q0_k/edit?usp=sharing"",""พิษณุโลก!M500"")+IMPORTRANGE(""https://docs.google.com/spreadsheets/d/1xlcVZWU"&amp;"Nn6SuWm0c307h32SiGkd9BaeQWlAktfD3KO8/edit?usp=sharing"",""เพชรบูรณ์!M500"")+IMPORTRANGE(""https://docs.google.com/spreadsheets/d/1lOVebEIsI9qjGXl6EX66luk7wiuP2tBaryw-wKvv4e0/edit?usp=sharing"",""แพร่!M500"")+IMPORTRANGE(""https://docs.google.com/spreadshe"&amp;"ets/d/1dQrvX0vEcN7Gu0fnZ0B5S90AeR19zth4XlExFBeExMY/edit?usp=sharing"",""แม่ฮ่องสอน!M500"")+IMPORTRANGE(""https://docs.google.com/spreadsheets/d/1DY4XTNNwjluuxqdfdn6qvOSlMRrZqUtmYcZR0ttFiG4/edit?usp=sharing"",""ลำปาง!M500"")+IMPORTRANGE(""https://docs.goog"&amp;"le.com/spreadsheets/d/1ICwG78r0OFT8biBlxnBF8r7she7gNSzOvJ958PWT09c/edit?usp=sharing"",""ลำพูน!M500"")+IMPORTRANGE(""https://docs.google.com/spreadsheets/d/1B0f2xJpZUC6Z0xXnqKlZtEPzsf6L84eP1r1Q15seqRM/edit?usp=sharing"",""สุโขทัย!M500"")+IMPORTRANGE(""http"&amp;"s://docs.google.com/spreadsheets/d/1v0b9pFQCsKUVExMei7AgY2yQkdeNQvtOssygGsXbiKo/edit?usp=sharing"",""อุตรดิตถ์!M500"")+IMPORTRANGE(""https://docs.google.com/spreadsheets/d/1UsNK1e-WWiCo2PvGqdNfdme4m17_Ezd3J69EeeiQPD0/edit?usp=sharing"",""อุทัยธานี!M500"")"),0)</f>
        <v>0</v>
      </c>
      <c r="N500" s="48">
        <f ca="1">IFERROR(__xludf.DUMMYFUNCTION("IMPORTRANGE(""https://docs.google.com/spreadsheets/d/1jTcq05yEiRwXcBMLjiodW9e4biSGYWAHcDj22rKWQ3s/edit?usp=sharing"",""กำแพงเพชร!N500"")+IMPORTRANGE(""https://docs.google.com/spreadsheets/d/1KS0zmDSZPk8KnTAbGN-Xk6MtX1YRZD0ldgdt20K4CRk/edit?usp=sharing"","&amp;"""เชียงราย!N500"")+IMPORTRANGE(""https://docs.google.com/spreadsheets/d/1rEDxBtusbi64tE0zunoIbsTVV16HeL0oJ6trHQeQ7K8/edit?usp=sharing"",""เชียงใหม่!N500"")+IMPORTRANGE(""https://docs.google.com/spreadsheets/d/1W6MnUbDkMi6xHnHko_XkFDO9kkuL6Wqyc-6OCDFjW9I/e"&amp;"dit?usp=sharing"",""ตาก!N500"")+IMPORTRANGE(""https://docs.google.com/spreadsheets/d/1IQAWArduLkta9LpYo4a_ULsyqdta6-6aDDiwpUnQT6c/edit?usp=sharing"",""นครสวรรค์!N500"")+IMPORTRANGE(""https://docs.google.com/spreadsheets/d/10s13Sk5xrltsiR-Zkbmk5DwIaDIKO8Xl"&amp;"bJAfqyT7Gvg/edit?usp=sharing"",""น่าน!N500"")+IMPORTRANGE(""https://docs.google.com/spreadsheets/d/1uu4nAn4Dbi1XREnLKKotUANlKXa7yCgRcgq8HEzQYW8/edit?usp=sharing"",""พะเยา!N500"")+IMPORTRANGE(""https://docs.google.com/spreadsheets/d/1xfJKIQxVOaPDIICqsflNlL"&amp;"u3JacTDk1FP9RH4phX7mI/edit?usp=sharing"",""พิจิตร!N500"")+IMPORTRANGE(""https://docs.google.com/spreadsheets/d/1JtRfZkJMHtEhI5RdRHxYUG4FIZHqKDpNyIuN7A1Q0_k/edit?usp=sharing"",""พิษณุโลก!N500"")+IMPORTRANGE(""https://docs.google.com/spreadsheets/d/1xlcVZWU"&amp;"Nn6SuWm0c307h32SiGkd9BaeQWlAktfD3KO8/edit?usp=sharing"",""เพชรบูรณ์!N500"")+IMPORTRANGE(""https://docs.google.com/spreadsheets/d/1lOVebEIsI9qjGXl6EX66luk7wiuP2tBaryw-wKvv4e0/edit?usp=sharing"",""แพร่!N500"")+IMPORTRANGE(""https://docs.google.com/spreadshe"&amp;"ets/d/1dQrvX0vEcN7Gu0fnZ0B5S90AeR19zth4XlExFBeExMY/edit?usp=sharing"",""แม่ฮ่องสอน!N500"")+IMPORTRANGE(""https://docs.google.com/spreadsheets/d/1DY4XTNNwjluuxqdfdn6qvOSlMRrZqUtmYcZR0ttFiG4/edit?usp=sharing"",""ลำปาง!N500"")+IMPORTRANGE(""https://docs.goog"&amp;"le.com/spreadsheets/d/1ICwG78r0OFT8biBlxnBF8r7she7gNSzOvJ958PWT09c/edit?usp=sharing"",""ลำพูน!N500"")+IMPORTRANGE(""https://docs.google.com/spreadsheets/d/1B0f2xJpZUC6Z0xXnqKlZtEPzsf6L84eP1r1Q15seqRM/edit?usp=sharing"",""สุโขทัย!N500"")+IMPORTRANGE(""http"&amp;"s://docs.google.com/spreadsheets/d/1v0b9pFQCsKUVExMei7AgY2yQkdeNQvtOssygGsXbiKo/edit?usp=sharing"",""อุตรดิตถ์!N500"")+IMPORTRANGE(""https://docs.google.com/spreadsheets/d/1UsNK1e-WWiCo2PvGqdNfdme4m17_Ezd3J69EeeiQPD0/edit?usp=sharing"",""อุทัยธานี!N500"")"),0)</f>
        <v>0</v>
      </c>
      <c r="O500" s="48">
        <f t="shared" ca="1" si="347"/>
        <v>0</v>
      </c>
      <c r="P500" s="48">
        <f t="shared" ca="1" si="348"/>
        <v>0</v>
      </c>
      <c r="Q500" s="48">
        <f ca="1">IFERROR(__xludf.DUMMYFUNCTION("IMPORTRANGE(""https://docs.google.com/spreadsheets/d/1jTcq05yEiRwXcBMLjiodW9e4biSGYWAHcDj22rKWQ3s/edit?usp=sharing"",""กำแพงเพชร!Q500"")+IMPORTRANGE(""https://docs.google.com/spreadsheets/d/1KS0zmDSZPk8KnTAbGN-Xk6MtX1YRZD0ldgdt20K4CRk/edit?usp=sharing"","&amp;"""เชียงราย!Q500"")+IMPORTRANGE(""https://docs.google.com/spreadsheets/d/1rEDxBtusbi64tE0zunoIbsTVV16HeL0oJ6trHQeQ7K8/edit?usp=sharing"",""เชียงใหม่!Q500"")+IMPORTRANGE(""https://docs.google.com/spreadsheets/d/1W6MnUbDkMi6xHnHko_XkFDO9kkuL6Wqyc-6OCDFjW9I/e"&amp;"dit?usp=sharing"",""ตาก!Q500"")+IMPORTRANGE(""https://docs.google.com/spreadsheets/d/1IQAWArduLkta9LpYo4a_ULsyqdta6-6aDDiwpUnQT6c/edit?usp=sharing"",""นครสวรรค์!Q500"")+IMPORTRANGE(""https://docs.google.com/spreadsheets/d/10s13Sk5xrltsiR-Zkbmk5DwIaDIKO8Xl"&amp;"bJAfqyT7Gvg/edit?usp=sharing"",""น่าน!Q500"")+IMPORTRANGE(""https://docs.google.com/spreadsheets/d/1uu4nAn4Dbi1XREnLKKotUANlKXa7yCgRcgq8HEzQYW8/edit?usp=sharing"",""พะเยา!Q500"")+IMPORTRANGE(""https://docs.google.com/spreadsheets/d/1xfJKIQxVOaPDIICqsflNlL"&amp;"u3JacTDk1FP9RH4phX7mI/edit?usp=sharing"",""พิจิตร!Q500"")+IMPORTRANGE(""https://docs.google.com/spreadsheets/d/1JtRfZkJMHtEhI5RdRHxYUG4FIZHqKDpNyIuN7A1Q0_k/edit?usp=sharing"",""พิษณุโลก!Q500"")+IMPORTRANGE(""https://docs.google.com/spreadsheets/d/1xlcVZWU"&amp;"Nn6SuWm0c307h32SiGkd9BaeQWlAktfD3KO8/edit?usp=sharing"",""เพชรบูรณ์!Q500"")+IMPORTRANGE(""https://docs.google.com/spreadsheets/d/1lOVebEIsI9qjGXl6EX66luk7wiuP2tBaryw-wKvv4e0/edit?usp=sharing"",""แพร่!Q500"")+IMPORTRANGE(""https://docs.google.com/spreadshe"&amp;"ets/d/1dQrvX0vEcN7Gu0fnZ0B5S90AeR19zth4XlExFBeExMY/edit?usp=sharing"",""แม่ฮ่องสอน!Q500"")+IMPORTRANGE(""https://docs.google.com/spreadsheets/d/1DY4XTNNwjluuxqdfdn6qvOSlMRrZqUtmYcZR0ttFiG4/edit?usp=sharing"",""ลำปาง!Q500"")+IMPORTRANGE(""https://docs.goog"&amp;"le.com/spreadsheets/d/1ICwG78r0OFT8biBlxnBF8r7she7gNSzOvJ958PWT09c/edit?usp=sharing"",""ลำพูน!Q500"")+IMPORTRANGE(""https://docs.google.com/spreadsheets/d/1B0f2xJpZUC6Z0xXnqKlZtEPzsf6L84eP1r1Q15seqRM/edit?usp=sharing"",""สุโขทัย!Q500"")+IMPORTRANGE(""http"&amp;"s://docs.google.com/spreadsheets/d/1v0b9pFQCsKUVExMei7AgY2yQkdeNQvtOssygGsXbiKo/edit?usp=sharing"",""อุตรดิตถ์!Q500"")+IMPORTRANGE(""https://docs.google.com/spreadsheets/d/1UsNK1e-WWiCo2PvGqdNfdme4m17_Ezd3J69EeeiQPD0/edit?usp=sharing"",""อุทัยธานี!Q500"")"),0)</f>
        <v>0</v>
      </c>
      <c r="R500" s="48">
        <f ca="1">IFERROR(__xludf.DUMMYFUNCTION("IMPORTRANGE(""https://docs.google.com/spreadsheets/d/1jTcq05yEiRwXcBMLjiodW9e4biSGYWAHcDj22rKWQ3s/edit?usp=sharing"",""กำแพงเพชร!R500"")+IMPORTRANGE(""https://docs.google.com/spreadsheets/d/1KS0zmDSZPk8KnTAbGN-Xk6MtX1YRZD0ldgdt20K4CRk/edit?usp=sharing"","&amp;"""เชียงราย!R500"")+IMPORTRANGE(""https://docs.google.com/spreadsheets/d/1rEDxBtusbi64tE0zunoIbsTVV16HeL0oJ6trHQeQ7K8/edit?usp=sharing"",""เชียงใหม่!R500"")+IMPORTRANGE(""https://docs.google.com/spreadsheets/d/1W6MnUbDkMi6xHnHko_XkFDO9kkuL6Wqyc-6OCDFjW9I/e"&amp;"dit?usp=sharing"",""ตาก!R500"")+IMPORTRANGE(""https://docs.google.com/spreadsheets/d/1IQAWArduLkta9LpYo4a_ULsyqdta6-6aDDiwpUnQT6c/edit?usp=sharing"",""นครสวรรค์!R500"")+IMPORTRANGE(""https://docs.google.com/spreadsheets/d/10s13Sk5xrltsiR-Zkbmk5DwIaDIKO8Xl"&amp;"bJAfqyT7Gvg/edit?usp=sharing"",""น่าน!R500"")+IMPORTRANGE(""https://docs.google.com/spreadsheets/d/1uu4nAn4Dbi1XREnLKKotUANlKXa7yCgRcgq8HEzQYW8/edit?usp=sharing"",""พะเยา!R500"")+IMPORTRANGE(""https://docs.google.com/spreadsheets/d/1xfJKIQxVOaPDIICqsflNlL"&amp;"u3JacTDk1FP9RH4phX7mI/edit?usp=sharing"",""พิจิตร!R500"")+IMPORTRANGE(""https://docs.google.com/spreadsheets/d/1JtRfZkJMHtEhI5RdRHxYUG4FIZHqKDpNyIuN7A1Q0_k/edit?usp=sharing"",""พิษณุโลก!R500"")+IMPORTRANGE(""https://docs.google.com/spreadsheets/d/1xlcVZWU"&amp;"Nn6SuWm0c307h32SiGkd9BaeQWlAktfD3KO8/edit?usp=sharing"",""เพชรบูรณ์!R500"")+IMPORTRANGE(""https://docs.google.com/spreadsheets/d/1lOVebEIsI9qjGXl6EX66luk7wiuP2tBaryw-wKvv4e0/edit?usp=sharing"",""แพร่!R500"")+IMPORTRANGE(""https://docs.google.com/spreadshe"&amp;"ets/d/1dQrvX0vEcN7Gu0fnZ0B5S90AeR19zth4XlExFBeExMY/edit?usp=sharing"",""แม่ฮ่องสอน!R500"")+IMPORTRANGE(""https://docs.google.com/spreadsheets/d/1DY4XTNNwjluuxqdfdn6qvOSlMRrZqUtmYcZR0ttFiG4/edit?usp=sharing"",""ลำปาง!R500"")+IMPORTRANGE(""https://docs.goog"&amp;"le.com/spreadsheets/d/1ICwG78r0OFT8biBlxnBF8r7she7gNSzOvJ958PWT09c/edit?usp=sharing"",""ลำพูน!R500"")+IMPORTRANGE(""https://docs.google.com/spreadsheets/d/1B0f2xJpZUC6Z0xXnqKlZtEPzsf6L84eP1r1Q15seqRM/edit?usp=sharing"",""สุโขทัย!R500"")+IMPORTRANGE(""http"&amp;"s://docs.google.com/spreadsheets/d/1v0b9pFQCsKUVExMei7AgY2yQkdeNQvtOssygGsXbiKo/edit?usp=sharing"",""อุตรดิตถ์!R500"")+IMPORTRANGE(""https://docs.google.com/spreadsheets/d/1UsNK1e-WWiCo2PvGqdNfdme4m17_Ezd3J69EeeiQPD0/edit?usp=sharing"",""อุทัยธานี!R500"")"),0)</f>
        <v>0</v>
      </c>
      <c r="S500" s="48">
        <f ca="1">IFERROR(__xludf.DUMMYFUNCTION("IMPORTRANGE(""https://docs.google.com/spreadsheets/d/1jTcq05yEiRwXcBMLjiodW9e4biSGYWAHcDj22rKWQ3s/edit?usp=sharing"",""กำแพงเพชร!S500"")+IMPORTRANGE(""https://docs.google.com/spreadsheets/d/1KS0zmDSZPk8KnTAbGN-Xk6MtX1YRZD0ldgdt20K4CRk/edit?usp=sharing"","&amp;"""เชียงราย!S500"")+IMPORTRANGE(""https://docs.google.com/spreadsheets/d/1rEDxBtusbi64tE0zunoIbsTVV16HeL0oJ6trHQeQ7K8/edit?usp=sharing"",""เชียงใหม่!S500"")+IMPORTRANGE(""https://docs.google.com/spreadsheets/d/1W6MnUbDkMi6xHnHko_XkFDO9kkuL6Wqyc-6OCDFjW9I/e"&amp;"dit?usp=sharing"",""ตาก!S500"")+IMPORTRANGE(""https://docs.google.com/spreadsheets/d/1IQAWArduLkta9LpYo4a_ULsyqdta6-6aDDiwpUnQT6c/edit?usp=sharing"",""นครสวรรค์!S500"")+IMPORTRANGE(""https://docs.google.com/spreadsheets/d/10s13Sk5xrltsiR-Zkbmk5DwIaDIKO8Xl"&amp;"bJAfqyT7Gvg/edit?usp=sharing"",""น่าน!S500"")+IMPORTRANGE(""https://docs.google.com/spreadsheets/d/1uu4nAn4Dbi1XREnLKKotUANlKXa7yCgRcgq8HEzQYW8/edit?usp=sharing"",""พะเยา!S500"")+IMPORTRANGE(""https://docs.google.com/spreadsheets/d/1xfJKIQxVOaPDIICqsflNlL"&amp;"u3JacTDk1FP9RH4phX7mI/edit?usp=sharing"",""พิจิตร!S500"")+IMPORTRANGE(""https://docs.google.com/spreadsheets/d/1JtRfZkJMHtEhI5RdRHxYUG4FIZHqKDpNyIuN7A1Q0_k/edit?usp=sharing"",""พิษณุโลก!S500"")+IMPORTRANGE(""https://docs.google.com/spreadsheets/d/1xlcVZWU"&amp;"Nn6SuWm0c307h32SiGkd9BaeQWlAktfD3KO8/edit?usp=sharing"",""เพชรบูรณ์!S500"")+IMPORTRANGE(""https://docs.google.com/spreadsheets/d/1lOVebEIsI9qjGXl6EX66luk7wiuP2tBaryw-wKvv4e0/edit?usp=sharing"",""แพร่!S500"")+IMPORTRANGE(""https://docs.google.com/spreadshe"&amp;"ets/d/1dQrvX0vEcN7Gu0fnZ0B5S90AeR19zth4XlExFBeExMY/edit?usp=sharing"",""แม่ฮ่องสอน!S500"")+IMPORTRANGE(""https://docs.google.com/spreadsheets/d/1DY4XTNNwjluuxqdfdn6qvOSlMRrZqUtmYcZR0ttFiG4/edit?usp=sharing"",""ลำปาง!S500"")+IMPORTRANGE(""https://docs.goog"&amp;"le.com/spreadsheets/d/1ICwG78r0OFT8biBlxnBF8r7she7gNSzOvJ958PWT09c/edit?usp=sharing"",""ลำพูน!S500"")+IMPORTRANGE(""https://docs.google.com/spreadsheets/d/1B0f2xJpZUC6Z0xXnqKlZtEPzsf6L84eP1r1Q15seqRM/edit?usp=sharing"",""สุโขทัย!S500"")+IMPORTRANGE(""http"&amp;"s://docs.google.com/spreadsheets/d/1v0b9pFQCsKUVExMei7AgY2yQkdeNQvtOssygGsXbiKo/edit?usp=sharing"",""อุตรดิตถ์!S500"")+IMPORTRANGE(""https://docs.google.com/spreadsheets/d/1UsNK1e-WWiCo2PvGqdNfdme4m17_Ezd3J69EeeiQPD0/edit?usp=sharing"",""อุทัยธานี!S500"")"),0)</f>
        <v>0</v>
      </c>
      <c r="T500" s="48">
        <f t="shared" ca="1" si="350"/>
        <v>0</v>
      </c>
      <c r="U500" s="48">
        <f t="shared" ca="1" si="351"/>
        <v>0</v>
      </c>
    </row>
    <row r="501" spans="1:21" ht="18.75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46">
        <f ca="1">IFERROR(__xludf.DUMMYFUNCTION("IMPORTRANGE(""https://docs.google.com/spreadsheets/d/1jTcq05yEiRwXcBMLjiodW9e4biSGYWAHcDj22rKWQ3s/edit?usp=sharing"",""กำแพงเพชร!L501"")+IMPORTRANGE(""https://docs.google.com/spreadsheets/d/1KS0zmDSZPk8KnTAbGN-Xk6MtX1YRZD0ldgdt20K4CRk/edit?usp=sharing"","&amp;"""เชียงราย!L501"")+IMPORTRANGE(""https://docs.google.com/spreadsheets/d/1rEDxBtusbi64tE0zunoIbsTVV16HeL0oJ6trHQeQ7K8/edit?usp=sharing"",""เชียงใหม่!L501"")+IMPORTRANGE(""https://docs.google.com/spreadsheets/d/1W6MnUbDkMi6xHnHko_XkFDO9kkuL6Wqyc-6OCDFjW9I/e"&amp;"dit?usp=sharing"",""ตาก!L501"")+IMPORTRANGE(""https://docs.google.com/spreadsheets/d/1IQAWArduLkta9LpYo4a_ULsyqdta6-6aDDiwpUnQT6c/edit?usp=sharing"",""นครสวรรค์!L501"")+IMPORTRANGE(""https://docs.google.com/spreadsheets/d/10s13Sk5xrltsiR-Zkbmk5DwIaDIKO8Xl"&amp;"bJAfqyT7Gvg/edit?usp=sharing"",""น่าน!L501"")+IMPORTRANGE(""https://docs.google.com/spreadsheets/d/1uu4nAn4Dbi1XREnLKKotUANlKXa7yCgRcgq8HEzQYW8/edit?usp=sharing"",""พะเยา!L501"")+IMPORTRANGE(""https://docs.google.com/spreadsheets/d/1xfJKIQxVOaPDIICqsflNlL"&amp;"u3JacTDk1FP9RH4phX7mI/edit?usp=sharing"",""พิจิตร!L501"")+IMPORTRANGE(""https://docs.google.com/spreadsheets/d/1JtRfZkJMHtEhI5RdRHxYUG4FIZHqKDpNyIuN7A1Q0_k/edit?usp=sharing"",""พิษณุโลก!L501"")+IMPORTRANGE(""https://docs.google.com/spreadsheets/d/1xlcVZWU"&amp;"Nn6SuWm0c307h32SiGkd9BaeQWlAktfD3KO8/edit?usp=sharing"",""เพชรบูรณ์!L501"")+IMPORTRANGE(""https://docs.google.com/spreadsheets/d/1lOVebEIsI9qjGXl6EX66luk7wiuP2tBaryw-wKvv4e0/edit?usp=sharing"",""แพร่!L501"")+IMPORTRANGE(""https://docs.google.com/spreadshe"&amp;"ets/d/1dQrvX0vEcN7Gu0fnZ0B5S90AeR19zth4XlExFBeExMY/edit?usp=sharing"",""แม่ฮ่องสอน!L501"")+IMPORTRANGE(""https://docs.google.com/spreadsheets/d/1DY4XTNNwjluuxqdfdn6qvOSlMRrZqUtmYcZR0ttFiG4/edit?usp=sharing"",""ลำปาง!L501"")+IMPORTRANGE(""https://docs.goog"&amp;"le.com/spreadsheets/d/1ICwG78r0OFT8biBlxnBF8r7she7gNSzOvJ958PWT09c/edit?usp=sharing"",""ลำพูน!L501"")+IMPORTRANGE(""https://docs.google.com/spreadsheets/d/1B0f2xJpZUC6Z0xXnqKlZtEPzsf6L84eP1r1Q15seqRM/edit?usp=sharing"",""สุโขทัย!L501"")+IMPORTRANGE(""http"&amp;"s://docs.google.com/spreadsheets/d/1v0b9pFQCsKUVExMei7AgY2yQkdeNQvtOssygGsXbiKo/edit?usp=sharing"",""อุตรดิตถ์!L501"")+IMPORTRANGE(""https://docs.google.com/spreadsheets/d/1UsNK1e-WWiCo2PvGqdNfdme4m17_Ezd3J69EeeiQPD0/edit?usp=sharing"",""อุทัยธานี!L501"")"),0)</f>
        <v>0</v>
      </c>
      <c r="M501" s="46">
        <f ca="1">IFERROR(__xludf.DUMMYFUNCTION("IMPORTRANGE(""https://docs.google.com/spreadsheets/d/1jTcq05yEiRwXcBMLjiodW9e4biSGYWAHcDj22rKWQ3s/edit?usp=sharing"",""กำแพงเพชร!M501"")+IMPORTRANGE(""https://docs.google.com/spreadsheets/d/1KS0zmDSZPk8KnTAbGN-Xk6MtX1YRZD0ldgdt20K4CRk/edit?usp=sharing"","&amp;"""เชียงราย!M501"")+IMPORTRANGE(""https://docs.google.com/spreadsheets/d/1rEDxBtusbi64tE0zunoIbsTVV16HeL0oJ6trHQeQ7K8/edit?usp=sharing"",""เชียงใหม่!M501"")+IMPORTRANGE(""https://docs.google.com/spreadsheets/d/1W6MnUbDkMi6xHnHko_XkFDO9kkuL6Wqyc-6OCDFjW9I/e"&amp;"dit?usp=sharing"",""ตาก!M501"")+IMPORTRANGE(""https://docs.google.com/spreadsheets/d/1IQAWArduLkta9LpYo4a_ULsyqdta6-6aDDiwpUnQT6c/edit?usp=sharing"",""นครสวรรค์!M501"")+IMPORTRANGE(""https://docs.google.com/spreadsheets/d/10s13Sk5xrltsiR-Zkbmk5DwIaDIKO8Xl"&amp;"bJAfqyT7Gvg/edit?usp=sharing"",""น่าน!M501"")+IMPORTRANGE(""https://docs.google.com/spreadsheets/d/1uu4nAn4Dbi1XREnLKKotUANlKXa7yCgRcgq8HEzQYW8/edit?usp=sharing"",""พะเยา!M501"")+IMPORTRANGE(""https://docs.google.com/spreadsheets/d/1xfJKIQxVOaPDIICqsflNlL"&amp;"u3JacTDk1FP9RH4phX7mI/edit?usp=sharing"",""พิจิตร!M501"")+IMPORTRANGE(""https://docs.google.com/spreadsheets/d/1JtRfZkJMHtEhI5RdRHxYUG4FIZHqKDpNyIuN7A1Q0_k/edit?usp=sharing"",""พิษณุโลก!M501"")+IMPORTRANGE(""https://docs.google.com/spreadsheets/d/1xlcVZWU"&amp;"Nn6SuWm0c307h32SiGkd9BaeQWlAktfD3KO8/edit?usp=sharing"",""เพชรบูรณ์!M501"")+IMPORTRANGE(""https://docs.google.com/spreadsheets/d/1lOVebEIsI9qjGXl6EX66luk7wiuP2tBaryw-wKvv4e0/edit?usp=sharing"",""แพร่!M501"")+IMPORTRANGE(""https://docs.google.com/spreadshe"&amp;"ets/d/1dQrvX0vEcN7Gu0fnZ0B5S90AeR19zth4XlExFBeExMY/edit?usp=sharing"",""แม่ฮ่องสอน!M501"")+IMPORTRANGE(""https://docs.google.com/spreadsheets/d/1DY4XTNNwjluuxqdfdn6qvOSlMRrZqUtmYcZR0ttFiG4/edit?usp=sharing"",""ลำปาง!M501"")+IMPORTRANGE(""https://docs.goog"&amp;"le.com/spreadsheets/d/1ICwG78r0OFT8biBlxnBF8r7she7gNSzOvJ958PWT09c/edit?usp=sharing"",""ลำพูน!M501"")+IMPORTRANGE(""https://docs.google.com/spreadsheets/d/1B0f2xJpZUC6Z0xXnqKlZtEPzsf6L84eP1r1Q15seqRM/edit?usp=sharing"",""สุโขทัย!M501"")+IMPORTRANGE(""http"&amp;"s://docs.google.com/spreadsheets/d/1v0b9pFQCsKUVExMei7AgY2yQkdeNQvtOssygGsXbiKo/edit?usp=sharing"",""อุตรดิตถ์!M501"")+IMPORTRANGE(""https://docs.google.com/spreadsheets/d/1UsNK1e-WWiCo2PvGqdNfdme4m17_Ezd3J69EeeiQPD0/edit?usp=sharing"",""อุทัยธานี!M501"")"),0)</f>
        <v>0</v>
      </c>
      <c r="N501" s="46">
        <f ca="1">IFERROR(__xludf.DUMMYFUNCTION("IMPORTRANGE(""https://docs.google.com/spreadsheets/d/1jTcq05yEiRwXcBMLjiodW9e4biSGYWAHcDj22rKWQ3s/edit?usp=sharing"",""กำแพงเพชร!N501"")+IMPORTRANGE(""https://docs.google.com/spreadsheets/d/1KS0zmDSZPk8KnTAbGN-Xk6MtX1YRZD0ldgdt20K4CRk/edit?usp=sharing"","&amp;"""เชียงราย!N501"")+IMPORTRANGE(""https://docs.google.com/spreadsheets/d/1rEDxBtusbi64tE0zunoIbsTVV16HeL0oJ6trHQeQ7K8/edit?usp=sharing"",""เชียงใหม่!N501"")+IMPORTRANGE(""https://docs.google.com/spreadsheets/d/1W6MnUbDkMi6xHnHko_XkFDO9kkuL6Wqyc-6OCDFjW9I/e"&amp;"dit?usp=sharing"",""ตาก!N501"")+IMPORTRANGE(""https://docs.google.com/spreadsheets/d/1IQAWArduLkta9LpYo4a_ULsyqdta6-6aDDiwpUnQT6c/edit?usp=sharing"",""นครสวรรค์!N501"")+IMPORTRANGE(""https://docs.google.com/spreadsheets/d/10s13Sk5xrltsiR-Zkbmk5DwIaDIKO8Xl"&amp;"bJAfqyT7Gvg/edit?usp=sharing"",""น่าน!N501"")+IMPORTRANGE(""https://docs.google.com/spreadsheets/d/1uu4nAn4Dbi1XREnLKKotUANlKXa7yCgRcgq8HEzQYW8/edit?usp=sharing"",""พะเยา!N501"")+IMPORTRANGE(""https://docs.google.com/spreadsheets/d/1xfJKIQxVOaPDIICqsflNlL"&amp;"u3JacTDk1FP9RH4phX7mI/edit?usp=sharing"",""พิจิตร!N501"")+IMPORTRANGE(""https://docs.google.com/spreadsheets/d/1JtRfZkJMHtEhI5RdRHxYUG4FIZHqKDpNyIuN7A1Q0_k/edit?usp=sharing"",""พิษณุโลก!N501"")+IMPORTRANGE(""https://docs.google.com/spreadsheets/d/1xlcVZWU"&amp;"Nn6SuWm0c307h32SiGkd9BaeQWlAktfD3KO8/edit?usp=sharing"",""เพชรบูรณ์!N501"")+IMPORTRANGE(""https://docs.google.com/spreadsheets/d/1lOVebEIsI9qjGXl6EX66luk7wiuP2tBaryw-wKvv4e0/edit?usp=sharing"",""แพร่!N501"")+IMPORTRANGE(""https://docs.google.com/spreadshe"&amp;"ets/d/1dQrvX0vEcN7Gu0fnZ0B5S90AeR19zth4XlExFBeExMY/edit?usp=sharing"",""แม่ฮ่องสอน!N501"")+IMPORTRANGE(""https://docs.google.com/spreadsheets/d/1DY4XTNNwjluuxqdfdn6qvOSlMRrZqUtmYcZR0ttFiG4/edit?usp=sharing"",""ลำปาง!N501"")+IMPORTRANGE(""https://docs.goog"&amp;"le.com/spreadsheets/d/1ICwG78r0OFT8biBlxnBF8r7she7gNSzOvJ958PWT09c/edit?usp=sharing"",""ลำพูน!N501"")+IMPORTRANGE(""https://docs.google.com/spreadsheets/d/1B0f2xJpZUC6Z0xXnqKlZtEPzsf6L84eP1r1Q15seqRM/edit?usp=sharing"",""สุโขทัย!N501"")+IMPORTRANGE(""http"&amp;"s://docs.google.com/spreadsheets/d/1v0b9pFQCsKUVExMei7AgY2yQkdeNQvtOssygGsXbiKo/edit?usp=sharing"",""อุตรดิตถ์!N501"")+IMPORTRANGE(""https://docs.google.com/spreadsheets/d/1UsNK1e-WWiCo2PvGqdNfdme4m17_Ezd3J69EeeiQPD0/edit?usp=sharing"",""อุทัยธานี!N501"")"),0)</f>
        <v>0</v>
      </c>
      <c r="O501" s="46">
        <f t="shared" ca="1" si="347"/>
        <v>0</v>
      </c>
      <c r="P501" s="46">
        <f t="shared" ca="1" si="348"/>
        <v>0</v>
      </c>
      <c r="Q501" s="46">
        <f ca="1">IFERROR(__xludf.DUMMYFUNCTION("IMPORTRANGE(""https://docs.google.com/spreadsheets/d/1jTcq05yEiRwXcBMLjiodW9e4biSGYWAHcDj22rKWQ3s/edit?usp=sharing"",""กำแพงเพชร!Q501"")+IMPORTRANGE(""https://docs.google.com/spreadsheets/d/1KS0zmDSZPk8KnTAbGN-Xk6MtX1YRZD0ldgdt20K4CRk/edit?usp=sharing"","&amp;"""เชียงราย!Q501"")+IMPORTRANGE(""https://docs.google.com/spreadsheets/d/1rEDxBtusbi64tE0zunoIbsTVV16HeL0oJ6trHQeQ7K8/edit?usp=sharing"",""เชียงใหม่!Q501"")+IMPORTRANGE(""https://docs.google.com/spreadsheets/d/1W6MnUbDkMi6xHnHko_XkFDO9kkuL6Wqyc-6OCDFjW9I/e"&amp;"dit?usp=sharing"",""ตาก!Q501"")+IMPORTRANGE(""https://docs.google.com/spreadsheets/d/1IQAWArduLkta9LpYo4a_ULsyqdta6-6aDDiwpUnQT6c/edit?usp=sharing"",""นครสวรรค์!Q501"")+IMPORTRANGE(""https://docs.google.com/spreadsheets/d/10s13Sk5xrltsiR-Zkbmk5DwIaDIKO8Xl"&amp;"bJAfqyT7Gvg/edit?usp=sharing"",""น่าน!Q501"")+IMPORTRANGE(""https://docs.google.com/spreadsheets/d/1uu4nAn4Dbi1XREnLKKotUANlKXa7yCgRcgq8HEzQYW8/edit?usp=sharing"",""พะเยา!Q501"")+IMPORTRANGE(""https://docs.google.com/spreadsheets/d/1xfJKIQxVOaPDIICqsflNlL"&amp;"u3JacTDk1FP9RH4phX7mI/edit?usp=sharing"",""พิจิตร!Q501"")+IMPORTRANGE(""https://docs.google.com/spreadsheets/d/1JtRfZkJMHtEhI5RdRHxYUG4FIZHqKDpNyIuN7A1Q0_k/edit?usp=sharing"",""พิษณุโลก!Q501"")+IMPORTRANGE(""https://docs.google.com/spreadsheets/d/1xlcVZWU"&amp;"Nn6SuWm0c307h32SiGkd9BaeQWlAktfD3KO8/edit?usp=sharing"",""เพชรบูรณ์!Q501"")+IMPORTRANGE(""https://docs.google.com/spreadsheets/d/1lOVebEIsI9qjGXl6EX66luk7wiuP2tBaryw-wKvv4e0/edit?usp=sharing"",""แพร่!Q501"")+IMPORTRANGE(""https://docs.google.com/spreadshe"&amp;"ets/d/1dQrvX0vEcN7Gu0fnZ0B5S90AeR19zth4XlExFBeExMY/edit?usp=sharing"",""แม่ฮ่องสอน!Q501"")+IMPORTRANGE(""https://docs.google.com/spreadsheets/d/1DY4XTNNwjluuxqdfdn6qvOSlMRrZqUtmYcZR0ttFiG4/edit?usp=sharing"",""ลำปาง!Q501"")+IMPORTRANGE(""https://docs.goog"&amp;"le.com/spreadsheets/d/1ICwG78r0OFT8biBlxnBF8r7she7gNSzOvJ958PWT09c/edit?usp=sharing"",""ลำพูน!Q501"")+IMPORTRANGE(""https://docs.google.com/spreadsheets/d/1B0f2xJpZUC6Z0xXnqKlZtEPzsf6L84eP1r1Q15seqRM/edit?usp=sharing"",""สุโขทัย!Q501"")+IMPORTRANGE(""http"&amp;"s://docs.google.com/spreadsheets/d/1v0b9pFQCsKUVExMei7AgY2yQkdeNQvtOssygGsXbiKo/edit?usp=sharing"",""อุตรดิตถ์!Q501"")+IMPORTRANGE(""https://docs.google.com/spreadsheets/d/1UsNK1e-WWiCo2PvGqdNfdme4m17_Ezd3J69EeeiQPD0/edit?usp=sharing"",""อุทัยธานี!Q501"")"),0)</f>
        <v>0</v>
      </c>
      <c r="R501" s="46">
        <f ca="1">IFERROR(__xludf.DUMMYFUNCTION("IMPORTRANGE(""https://docs.google.com/spreadsheets/d/1jTcq05yEiRwXcBMLjiodW9e4biSGYWAHcDj22rKWQ3s/edit?usp=sharing"",""กำแพงเพชร!R501"")+IMPORTRANGE(""https://docs.google.com/spreadsheets/d/1KS0zmDSZPk8KnTAbGN-Xk6MtX1YRZD0ldgdt20K4CRk/edit?usp=sharing"","&amp;"""เชียงราย!R501"")+IMPORTRANGE(""https://docs.google.com/spreadsheets/d/1rEDxBtusbi64tE0zunoIbsTVV16HeL0oJ6trHQeQ7K8/edit?usp=sharing"",""เชียงใหม่!R501"")+IMPORTRANGE(""https://docs.google.com/spreadsheets/d/1W6MnUbDkMi6xHnHko_XkFDO9kkuL6Wqyc-6OCDFjW9I/e"&amp;"dit?usp=sharing"",""ตาก!R501"")+IMPORTRANGE(""https://docs.google.com/spreadsheets/d/1IQAWArduLkta9LpYo4a_ULsyqdta6-6aDDiwpUnQT6c/edit?usp=sharing"",""นครสวรรค์!R501"")+IMPORTRANGE(""https://docs.google.com/spreadsheets/d/10s13Sk5xrltsiR-Zkbmk5DwIaDIKO8Xl"&amp;"bJAfqyT7Gvg/edit?usp=sharing"",""น่าน!R501"")+IMPORTRANGE(""https://docs.google.com/spreadsheets/d/1uu4nAn4Dbi1XREnLKKotUANlKXa7yCgRcgq8HEzQYW8/edit?usp=sharing"",""พะเยา!R501"")+IMPORTRANGE(""https://docs.google.com/spreadsheets/d/1xfJKIQxVOaPDIICqsflNlL"&amp;"u3JacTDk1FP9RH4phX7mI/edit?usp=sharing"",""พิจิตร!R501"")+IMPORTRANGE(""https://docs.google.com/spreadsheets/d/1JtRfZkJMHtEhI5RdRHxYUG4FIZHqKDpNyIuN7A1Q0_k/edit?usp=sharing"",""พิษณุโลก!R501"")+IMPORTRANGE(""https://docs.google.com/spreadsheets/d/1xlcVZWU"&amp;"Nn6SuWm0c307h32SiGkd9BaeQWlAktfD3KO8/edit?usp=sharing"",""เพชรบูรณ์!R501"")+IMPORTRANGE(""https://docs.google.com/spreadsheets/d/1lOVebEIsI9qjGXl6EX66luk7wiuP2tBaryw-wKvv4e0/edit?usp=sharing"",""แพร่!R501"")+IMPORTRANGE(""https://docs.google.com/spreadshe"&amp;"ets/d/1dQrvX0vEcN7Gu0fnZ0B5S90AeR19zth4XlExFBeExMY/edit?usp=sharing"",""แม่ฮ่องสอน!R501"")+IMPORTRANGE(""https://docs.google.com/spreadsheets/d/1DY4XTNNwjluuxqdfdn6qvOSlMRrZqUtmYcZR0ttFiG4/edit?usp=sharing"",""ลำปาง!R501"")+IMPORTRANGE(""https://docs.goog"&amp;"le.com/spreadsheets/d/1ICwG78r0OFT8biBlxnBF8r7she7gNSzOvJ958PWT09c/edit?usp=sharing"",""ลำพูน!R501"")+IMPORTRANGE(""https://docs.google.com/spreadsheets/d/1B0f2xJpZUC6Z0xXnqKlZtEPzsf6L84eP1r1Q15seqRM/edit?usp=sharing"",""สุโขทัย!R501"")+IMPORTRANGE(""http"&amp;"s://docs.google.com/spreadsheets/d/1v0b9pFQCsKUVExMei7AgY2yQkdeNQvtOssygGsXbiKo/edit?usp=sharing"",""อุตรดิตถ์!R501"")+IMPORTRANGE(""https://docs.google.com/spreadsheets/d/1UsNK1e-WWiCo2PvGqdNfdme4m17_Ezd3J69EeeiQPD0/edit?usp=sharing"",""อุทัยธานี!R501"")"),0)</f>
        <v>0</v>
      </c>
      <c r="S501" s="46">
        <f ca="1">IFERROR(__xludf.DUMMYFUNCTION("IMPORTRANGE(""https://docs.google.com/spreadsheets/d/1jTcq05yEiRwXcBMLjiodW9e4biSGYWAHcDj22rKWQ3s/edit?usp=sharing"",""กำแพงเพชร!S501"")+IMPORTRANGE(""https://docs.google.com/spreadsheets/d/1KS0zmDSZPk8KnTAbGN-Xk6MtX1YRZD0ldgdt20K4CRk/edit?usp=sharing"","&amp;"""เชียงราย!S501"")+IMPORTRANGE(""https://docs.google.com/spreadsheets/d/1rEDxBtusbi64tE0zunoIbsTVV16HeL0oJ6trHQeQ7K8/edit?usp=sharing"",""เชียงใหม่!S501"")+IMPORTRANGE(""https://docs.google.com/spreadsheets/d/1W6MnUbDkMi6xHnHko_XkFDO9kkuL6Wqyc-6OCDFjW9I/e"&amp;"dit?usp=sharing"",""ตาก!S501"")+IMPORTRANGE(""https://docs.google.com/spreadsheets/d/1IQAWArduLkta9LpYo4a_ULsyqdta6-6aDDiwpUnQT6c/edit?usp=sharing"",""นครสวรรค์!S501"")+IMPORTRANGE(""https://docs.google.com/spreadsheets/d/10s13Sk5xrltsiR-Zkbmk5DwIaDIKO8Xl"&amp;"bJAfqyT7Gvg/edit?usp=sharing"",""น่าน!S501"")+IMPORTRANGE(""https://docs.google.com/spreadsheets/d/1uu4nAn4Dbi1XREnLKKotUANlKXa7yCgRcgq8HEzQYW8/edit?usp=sharing"",""พะเยา!S501"")+IMPORTRANGE(""https://docs.google.com/spreadsheets/d/1xfJKIQxVOaPDIICqsflNlL"&amp;"u3JacTDk1FP9RH4phX7mI/edit?usp=sharing"",""พิจิตร!S501"")+IMPORTRANGE(""https://docs.google.com/spreadsheets/d/1JtRfZkJMHtEhI5RdRHxYUG4FIZHqKDpNyIuN7A1Q0_k/edit?usp=sharing"",""พิษณุโลก!S501"")+IMPORTRANGE(""https://docs.google.com/spreadsheets/d/1xlcVZWU"&amp;"Nn6SuWm0c307h32SiGkd9BaeQWlAktfD3KO8/edit?usp=sharing"",""เพชรบูรณ์!S501"")+IMPORTRANGE(""https://docs.google.com/spreadsheets/d/1lOVebEIsI9qjGXl6EX66luk7wiuP2tBaryw-wKvv4e0/edit?usp=sharing"",""แพร่!S501"")+IMPORTRANGE(""https://docs.google.com/spreadshe"&amp;"ets/d/1dQrvX0vEcN7Gu0fnZ0B5S90AeR19zth4XlExFBeExMY/edit?usp=sharing"",""แม่ฮ่องสอน!S501"")+IMPORTRANGE(""https://docs.google.com/spreadsheets/d/1DY4XTNNwjluuxqdfdn6qvOSlMRrZqUtmYcZR0ttFiG4/edit?usp=sharing"",""ลำปาง!S501"")+IMPORTRANGE(""https://docs.goog"&amp;"le.com/spreadsheets/d/1ICwG78r0OFT8biBlxnBF8r7she7gNSzOvJ958PWT09c/edit?usp=sharing"",""ลำพูน!S501"")+IMPORTRANGE(""https://docs.google.com/spreadsheets/d/1B0f2xJpZUC6Z0xXnqKlZtEPzsf6L84eP1r1Q15seqRM/edit?usp=sharing"",""สุโขทัย!S501"")+IMPORTRANGE(""http"&amp;"s://docs.google.com/spreadsheets/d/1v0b9pFQCsKUVExMei7AgY2yQkdeNQvtOssygGsXbiKo/edit?usp=sharing"",""อุตรดิตถ์!S501"")+IMPORTRANGE(""https://docs.google.com/spreadsheets/d/1UsNK1e-WWiCo2PvGqdNfdme4m17_Ezd3J69EeeiQPD0/edit?usp=sharing"",""อุทัยธานี!S501"")"),0)</f>
        <v>0</v>
      </c>
      <c r="T501" s="46">
        <f t="shared" ca="1" si="350"/>
        <v>0</v>
      </c>
      <c r="U501" s="46">
        <f t="shared" ca="1" si="351"/>
        <v>0</v>
      </c>
    </row>
    <row r="502" spans="1:21" ht="19.5" x14ac:dyDescent="0.3">
      <c r="A502" s="138"/>
      <c r="B502" s="139"/>
      <c r="C502" s="177" t="s">
        <v>18</v>
      </c>
      <c r="D502" s="313" t="s">
        <v>38</v>
      </c>
      <c r="E502" s="141"/>
      <c r="F502" s="141"/>
      <c r="G502" s="142"/>
      <c r="H502" s="178"/>
      <c r="I502" s="135"/>
      <c r="J502" s="135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166">
        <f ca="1">IFERROR(__xludf.DUMMYFUNCTION("IMPORTRANGE(""https://docs.google.com/spreadsheets/d/1jTcq05yEiRwXcBMLjiodW9e4biSGYWAHcDj22rKWQ3s/edit?usp=sharing"",""กำแพงเพชร!I503"")+IMPORTRANGE(""https://docs.google.com/spreadsheets/d/1KS0zmDSZPk8KnTAbGN-Xk6MtX1YRZD0ldgdt20K4CRk/edit?usp=sharing"","&amp;"""เชียงราย!I503"")+IMPORTRANGE(""https://docs.google.com/spreadsheets/d/1rEDxBtusbi64tE0zunoIbsTVV16HeL0oJ6trHQeQ7K8/edit?usp=sharing"",""เชียงใหม่!I503"")+IMPORTRANGE(""https://docs.google.com/spreadsheets/d/1W6MnUbDkMi6xHnHko_XkFDO9kkuL6Wqyc-6OCDFjW9I/e"&amp;"dit?usp=sharing"",""ตาก!I503"")+IMPORTRANGE(""https://docs.google.com/spreadsheets/d/1IQAWArduLkta9LpYo4a_ULsyqdta6-6aDDiwpUnQT6c/edit?usp=sharing"",""นครสวรรค์!I503"")+IMPORTRANGE(""https://docs.google.com/spreadsheets/d/10s13Sk5xrltsiR-Zkbmk5DwIaDIKO8Xl"&amp;"bJAfqyT7Gvg/edit?usp=sharing"",""น่าน!I503"")+IMPORTRANGE(""https://docs.google.com/spreadsheets/d/1uu4nAn4Dbi1XREnLKKotUANlKXa7yCgRcgq8HEzQYW8/edit?usp=sharing"",""พะเยา!I503"")+IMPORTRANGE(""https://docs.google.com/spreadsheets/d/1xfJKIQxVOaPDIICqsflNlL"&amp;"u3JacTDk1FP9RH4phX7mI/edit?usp=sharing"",""พิจิตร!I503"")+IMPORTRANGE(""https://docs.google.com/spreadsheets/d/1JtRfZkJMHtEhI5RdRHxYUG4FIZHqKDpNyIuN7A1Q0_k/edit?usp=sharing"",""พิษณุโลก!I503"")+IMPORTRANGE(""https://docs.google.com/spreadsheets/d/1xlcVZWU"&amp;"Nn6SuWm0c307h32SiGkd9BaeQWlAktfD3KO8/edit?usp=sharing"",""เพชรบูรณ์!I503"")+IMPORTRANGE(""https://docs.google.com/spreadsheets/d/1lOVebEIsI9qjGXl6EX66luk7wiuP2tBaryw-wKvv4e0/edit?usp=sharing"",""แพร่!I503"")+IMPORTRANGE(""https://docs.google.com/spreadshe"&amp;"ets/d/1dQrvX0vEcN7Gu0fnZ0B5S90AeR19zth4XlExFBeExMY/edit?usp=sharing"",""แม่ฮ่องสอน!I503"")+IMPORTRANGE(""https://docs.google.com/spreadsheets/d/1DY4XTNNwjluuxqdfdn6qvOSlMRrZqUtmYcZR0ttFiG4/edit?usp=sharing"",""ลำปาง!I503"")+IMPORTRANGE(""https://docs.goog"&amp;"le.com/spreadsheets/d/1ICwG78r0OFT8biBlxnBF8r7she7gNSzOvJ958PWT09c/edit?usp=sharing"",""ลำพูน!I503"")+IMPORTRANGE(""https://docs.google.com/spreadsheets/d/1B0f2xJpZUC6Z0xXnqKlZtEPzsf6L84eP1r1Q15seqRM/edit?usp=sharing"",""สุโขทัย!I503"")+IMPORTRANGE(""http"&amp;"s://docs.google.com/spreadsheets/d/1v0b9pFQCsKUVExMei7AgY2yQkdeNQvtOssygGsXbiKo/edit?usp=sharing"",""อุตรดิตถ์!I503"")+IMPORTRANGE(""https://docs.google.com/spreadsheets/d/1UsNK1e-WWiCo2PvGqdNfdme4m17_Ezd3J69EeeiQPD0/edit?usp=sharing"",""อุทัยธานี!I503"")"),60)</f>
        <v>60</v>
      </c>
      <c r="J503" s="167">
        <f ca="1">IFERROR(__xludf.DUMMYFUNCTION("IMPORTRANGE(""https://docs.google.com/spreadsheets/d/1jTcq05yEiRwXcBMLjiodW9e4biSGYWAHcDj22rKWQ3s/edit?usp=sharing"",""กำแพงเพชร!J503"")+IMPORTRANGE(""https://docs.google.com/spreadsheets/d/1KS0zmDSZPk8KnTAbGN-Xk6MtX1YRZD0ldgdt20K4CRk/edit?usp=sharing"","&amp;"""เชียงราย!J503"")+IMPORTRANGE(""https://docs.google.com/spreadsheets/d/1rEDxBtusbi64tE0zunoIbsTVV16HeL0oJ6trHQeQ7K8/edit?usp=sharing"",""เชียงใหม่!J503"")+IMPORTRANGE(""https://docs.google.com/spreadsheets/d/1W6MnUbDkMi6xHnHko_XkFDO9kkuL6Wqyc-6OCDFjW9I/e"&amp;"dit?usp=sharing"",""ตาก!J503"")+IMPORTRANGE(""https://docs.google.com/spreadsheets/d/1IQAWArduLkta9LpYo4a_ULsyqdta6-6aDDiwpUnQT6c/edit?usp=sharing"",""นครสวรรค์!J503"")+IMPORTRANGE(""https://docs.google.com/spreadsheets/d/10s13Sk5xrltsiR-Zkbmk5DwIaDIKO8Xl"&amp;"bJAfqyT7Gvg/edit?usp=sharing"",""น่าน!J503"")+IMPORTRANGE(""https://docs.google.com/spreadsheets/d/1uu4nAn4Dbi1XREnLKKotUANlKXa7yCgRcgq8HEzQYW8/edit?usp=sharing"",""พะเยา!J503"")+IMPORTRANGE(""https://docs.google.com/spreadsheets/d/1xfJKIQxVOaPDIICqsflNlL"&amp;"u3JacTDk1FP9RH4phX7mI/edit?usp=sharing"",""พิจิตร!J503"")+IMPORTRANGE(""https://docs.google.com/spreadsheets/d/1JtRfZkJMHtEhI5RdRHxYUG4FIZHqKDpNyIuN7A1Q0_k/edit?usp=sharing"",""พิษณุโลก!J503"")+IMPORTRANGE(""https://docs.google.com/spreadsheets/d/1xlcVZWU"&amp;"Nn6SuWm0c307h32SiGkd9BaeQWlAktfD3KO8/edit?usp=sharing"",""เพชรบูรณ์!J503"")+IMPORTRANGE(""https://docs.google.com/spreadsheets/d/1lOVebEIsI9qjGXl6EX66luk7wiuP2tBaryw-wKvv4e0/edit?usp=sharing"",""แพร่!J503"")+IMPORTRANGE(""https://docs.google.com/spreadshe"&amp;"ets/d/1dQrvX0vEcN7Gu0fnZ0B5S90AeR19zth4XlExFBeExMY/edit?usp=sharing"",""แม่ฮ่องสอน!J503"")+IMPORTRANGE(""https://docs.google.com/spreadsheets/d/1DY4XTNNwjluuxqdfdn6qvOSlMRrZqUtmYcZR0ttFiG4/edit?usp=sharing"",""ลำปาง!J503"")+IMPORTRANGE(""https://docs.goog"&amp;"le.com/spreadsheets/d/1ICwG78r0OFT8biBlxnBF8r7she7gNSzOvJ958PWT09c/edit?usp=sharing"",""ลำพูน!J503"")+IMPORTRANGE(""https://docs.google.com/spreadsheets/d/1B0f2xJpZUC6Z0xXnqKlZtEPzsf6L84eP1r1Q15seqRM/edit?usp=sharing"",""สุโขทัย!J503"")+IMPORTRANGE(""http"&amp;"s://docs.google.com/spreadsheets/d/1v0b9pFQCsKUVExMei7AgY2yQkdeNQvtOssygGsXbiKo/edit?usp=sharing"",""อุตรดิตถ์!J503"")+IMPORTRANGE(""https://docs.google.com/spreadsheets/d/1UsNK1e-WWiCo2PvGqdNfdme4m17_Ezd3J69EeeiQPD0/edit?usp=sharing"",""อุทัยธานี!J503"")"),0)</f>
        <v>0</v>
      </c>
      <c r="K503" s="132">
        <f t="shared" ref="K503:K509" ca="1" si="360">IF(I503&gt;0,J503*100/I503,0)</f>
        <v>0</v>
      </c>
      <c r="L503" s="45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66">
        <f ca="1">IFERROR(__xludf.DUMMYFUNCTION("IMPORTRANGE(""https://docs.google.com/spreadsheets/d/1jTcq05yEiRwXcBMLjiodW9e4biSGYWAHcDj22rKWQ3s/edit?usp=sharing"",""กำแพงเพชร!I504"")+IMPORTRANGE(""https://docs.google.com/spreadsheets/d/1KS0zmDSZPk8KnTAbGN-Xk6MtX1YRZD0ldgdt20K4CRk/edit?usp=sharing"","&amp;"""เชียงราย!I504"")+IMPORTRANGE(""https://docs.google.com/spreadsheets/d/1rEDxBtusbi64tE0zunoIbsTVV16HeL0oJ6trHQeQ7K8/edit?usp=sharing"",""เชียงใหม่!I504"")+IMPORTRANGE(""https://docs.google.com/spreadsheets/d/1W6MnUbDkMi6xHnHko_XkFDO9kkuL6Wqyc-6OCDFjW9I/e"&amp;"dit?usp=sharing"",""ตาก!I504"")+IMPORTRANGE(""https://docs.google.com/spreadsheets/d/1IQAWArduLkta9LpYo4a_ULsyqdta6-6aDDiwpUnQT6c/edit?usp=sharing"",""นครสวรรค์!I504"")+IMPORTRANGE(""https://docs.google.com/spreadsheets/d/10s13Sk5xrltsiR-Zkbmk5DwIaDIKO8Xl"&amp;"bJAfqyT7Gvg/edit?usp=sharing"",""น่าน!I504"")+IMPORTRANGE(""https://docs.google.com/spreadsheets/d/1uu4nAn4Dbi1XREnLKKotUANlKXa7yCgRcgq8HEzQYW8/edit?usp=sharing"",""พะเยา!I504"")+IMPORTRANGE(""https://docs.google.com/spreadsheets/d/1xfJKIQxVOaPDIICqsflNlL"&amp;"u3JacTDk1FP9RH4phX7mI/edit?usp=sharing"",""พิจิตร!I504"")+IMPORTRANGE(""https://docs.google.com/spreadsheets/d/1JtRfZkJMHtEhI5RdRHxYUG4FIZHqKDpNyIuN7A1Q0_k/edit?usp=sharing"",""พิษณุโลก!I504"")+IMPORTRANGE(""https://docs.google.com/spreadsheets/d/1xlcVZWU"&amp;"Nn6SuWm0c307h32SiGkd9BaeQWlAktfD3KO8/edit?usp=sharing"",""เพชรบูรณ์!I504"")+IMPORTRANGE(""https://docs.google.com/spreadsheets/d/1lOVebEIsI9qjGXl6EX66luk7wiuP2tBaryw-wKvv4e0/edit?usp=sharing"",""แพร่!I504"")+IMPORTRANGE(""https://docs.google.com/spreadshe"&amp;"ets/d/1dQrvX0vEcN7Gu0fnZ0B5S90AeR19zth4XlExFBeExMY/edit?usp=sharing"",""แม่ฮ่องสอน!I504"")+IMPORTRANGE(""https://docs.google.com/spreadsheets/d/1DY4XTNNwjluuxqdfdn6qvOSlMRrZqUtmYcZR0ttFiG4/edit?usp=sharing"",""ลำปาง!I504"")+IMPORTRANGE(""https://docs.goog"&amp;"le.com/spreadsheets/d/1ICwG78r0OFT8biBlxnBF8r7she7gNSzOvJ958PWT09c/edit?usp=sharing"",""ลำพูน!I504"")+IMPORTRANGE(""https://docs.google.com/spreadsheets/d/1B0f2xJpZUC6Z0xXnqKlZtEPzsf6L84eP1r1Q15seqRM/edit?usp=sharing"",""สุโขทัย!I504"")+IMPORTRANGE(""http"&amp;"s://docs.google.com/spreadsheets/d/1v0b9pFQCsKUVExMei7AgY2yQkdeNQvtOssygGsXbiKo/edit?usp=sharing"",""อุตรดิตถ์!I504"")+IMPORTRANGE(""https://docs.google.com/spreadsheets/d/1UsNK1e-WWiCo2PvGqdNfdme4m17_Ezd3J69EeeiQPD0/edit?usp=sharing"",""อุทัยธานี!I504"")"),0)</f>
        <v>0</v>
      </c>
      <c r="J504" s="167">
        <f ca="1">IFERROR(__xludf.DUMMYFUNCTION("IMPORTRANGE(""https://docs.google.com/spreadsheets/d/1jTcq05yEiRwXcBMLjiodW9e4biSGYWAHcDj22rKWQ3s/edit?usp=sharing"",""กำแพงเพชร!J504"")+IMPORTRANGE(""https://docs.google.com/spreadsheets/d/1KS0zmDSZPk8KnTAbGN-Xk6MtX1YRZD0ldgdt20K4CRk/edit?usp=sharing"","&amp;"""เชียงราย!J504"")+IMPORTRANGE(""https://docs.google.com/spreadsheets/d/1rEDxBtusbi64tE0zunoIbsTVV16HeL0oJ6trHQeQ7K8/edit?usp=sharing"",""เชียงใหม่!J504"")+IMPORTRANGE(""https://docs.google.com/spreadsheets/d/1W6MnUbDkMi6xHnHko_XkFDO9kkuL6Wqyc-6OCDFjW9I/e"&amp;"dit?usp=sharing"",""ตาก!J504"")+IMPORTRANGE(""https://docs.google.com/spreadsheets/d/1IQAWArduLkta9LpYo4a_ULsyqdta6-6aDDiwpUnQT6c/edit?usp=sharing"",""นครสวรรค์!J504"")+IMPORTRANGE(""https://docs.google.com/spreadsheets/d/10s13Sk5xrltsiR-Zkbmk5DwIaDIKO8Xl"&amp;"bJAfqyT7Gvg/edit?usp=sharing"",""น่าน!J504"")+IMPORTRANGE(""https://docs.google.com/spreadsheets/d/1uu4nAn4Dbi1XREnLKKotUANlKXa7yCgRcgq8HEzQYW8/edit?usp=sharing"",""พะเยา!J504"")+IMPORTRANGE(""https://docs.google.com/spreadsheets/d/1xfJKIQxVOaPDIICqsflNlL"&amp;"u3JacTDk1FP9RH4phX7mI/edit?usp=sharing"",""พิจิตร!J504"")+IMPORTRANGE(""https://docs.google.com/spreadsheets/d/1JtRfZkJMHtEhI5RdRHxYUG4FIZHqKDpNyIuN7A1Q0_k/edit?usp=sharing"",""พิษณุโลก!J504"")+IMPORTRANGE(""https://docs.google.com/spreadsheets/d/1xlcVZWU"&amp;"Nn6SuWm0c307h32SiGkd9BaeQWlAktfD3KO8/edit?usp=sharing"",""เพชรบูรณ์!J504"")+IMPORTRANGE(""https://docs.google.com/spreadsheets/d/1lOVebEIsI9qjGXl6EX66luk7wiuP2tBaryw-wKvv4e0/edit?usp=sharing"",""แพร่!J504"")+IMPORTRANGE(""https://docs.google.com/spreadshe"&amp;"ets/d/1dQrvX0vEcN7Gu0fnZ0B5S90AeR19zth4XlExFBeExMY/edit?usp=sharing"",""แม่ฮ่องสอน!J504"")+IMPORTRANGE(""https://docs.google.com/spreadsheets/d/1DY4XTNNwjluuxqdfdn6qvOSlMRrZqUtmYcZR0ttFiG4/edit?usp=sharing"",""ลำปาง!J504"")+IMPORTRANGE(""https://docs.goog"&amp;"le.com/spreadsheets/d/1ICwG78r0OFT8biBlxnBF8r7she7gNSzOvJ958PWT09c/edit?usp=sharing"",""ลำพูน!J504"")+IMPORTRANGE(""https://docs.google.com/spreadsheets/d/1B0f2xJpZUC6Z0xXnqKlZtEPzsf6L84eP1r1Q15seqRM/edit?usp=sharing"",""สุโขทัย!J504"")+IMPORTRANGE(""http"&amp;"s://docs.google.com/spreadsheets/d/1v0b9pFQCsKUVExMei7AgY2yQkdeNQvtOssygGsXbiKo/edit?usp=sharing"",""อุตรดิตถ์!J504"")+IMPORTRANGE(""https://docs.google.com/spreadsheets/d/1UsNK1e-WWiCo2PvGqdNfdme4m17_Ezd3J69EeeiQPD0/edit?usp=sharing"",""อุทัยธานี!J504"")"),40)</f>
        <v>40</v>
      </c>
      <c r="K504" s="46">
        <f t="shared" ca="1" si="360"/>
        <v>0</v>
      </c>
      <c r="L504" s="45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66">
        <f ca="1">IFERROR(__xludf.DUMMYFUNCTION("IMPORTRANGE(""https://docs.google.com/spreadsheets/d/1jTcq05yEiRwXcBMLjiodW9e4biSGYWAHcDj22rKWQ3s/edit?usp=sharing"",""กำแพงเพชร!I505"")+IMPORTRANGE(""https://docs.google.com/spreadsheets/d/1KS0zmDSZPk8KnTAbGN-Xk6MtX1YRZD0ldgdt20K4CRk/edit?usp=sharing"","&amp;"""เชียงราย!I505"")+IMPORTRANGE(""https://docs.google.com/spreadsheets/d/1rEDxBtusbi64tE0zunoIbsTVV16HeL0oJ6trHQeQ7K8/edit?usp=sharing"",""เชียงใหม่!I505"")+IMPORTRANGE(""https://docs.google.com/spreadsheets/d/1W6MnUbDkMi6xHnHko_XkFDO9kkuL6Wqyc-6OCDFjW9I/e"&amp;"dit?usp=sharing"",""ตาก!I505"")+IMPORTRANGE(""https://docs.google.com/spreadsheets/d/1IQAWArduLkta9LpYo4a_ULsyqdta6-6aDDiwpUnQT6c/edit?usp=sharing"",""นครสวรรค์!I505"")+IMPORTRANGE(""https://docs.google.com/spreadsheets/d/10s13Sk5xrltsiR-Zkbmk5DwIaDIKO8Xl"&amp;"bJAfqyT7Gvg/edit?usp=sharing"",""น่าน!I505"")+IMPORTRANGE(""https://docs.google.com/spreadsheets/d/1uu4nAn4Dbi1XREnLKKotUANlKXa7yCgRcgq8HEzQYW8/edit?usp=sharing"",""พะเยา!I505"")+IMPORTRANGE(""https://docs.google.com/spreadsheets/d/1xfJKIQxVOaPDIICqsflNlL"&amp;"u3JacTDk1FP9RH4phX7mI/edit?usp=sharing"",""พิจิตร!I505"")+IMPORTRANGE(""https://docs.google.com/spreadsheets/d/1JtRfZkJMHtEhI5RdRHxYUG4FIZHqKDpNyIuN7A1Q0_k/edit?usp=sharing"",""พิษณุโลก!I505"")+IMPORTRANGE(""https://docs.google.com/spreadsheets/d/1xlcVZWU"&amp;"Nn6SuWm0c307h32SiGkd9BaeQWlAktfD3KO8/edit?usp=sharing"",""เพชรบูรณ์!I505"")+IMPORTRANGE(""https://docs.google.com/spreadsheets/d/1lOVebEIsI9qjGXl6EX66luk7wiuP2tBaryw-wKvv4e0/edit?usp=sharing"",""แพร่!I505"")+IMPORTRANGE(""https://docs.google.com/spreadshe"&amp;"ets/d/1dQrvX0vEcN7Gu0fnZ0B5S90AeR19zth4XlExFBeExMY/edit?usp=sharing"",""แม่ฮ่องสอน!I505"")+IMPORTRANGE(""https://docs.google.com/spreadsheets/d/1DY4XTNNwjluuxqdfdn6qvOSlMRrZqUtmYcZR0ttFiG4/edit?usp=sharing"",""ลำปาง!I505"")+IMPORTRANGE(""https://docs.goog"&amp;"le.com/spreadsheets/d/1ICwG78r0OFT8biBlxnBF8r7she7gNSzOvJ958PWT09c/edit?usp=sharing"",""ลำพูน!I505"")+IMPORTRANGE(""https://docs.google.com/spreadsheets/d/1B0f2xJpZUC6Z0xXnqKlZtEPzsf6L84eP1r1Q15seqRM/edit?usp=sharing"",""สุโขทัย!I505"")+IMPORTRANGE(""http"&amp;"s://docs.google.com/spreadsheets/d/1v0b9pFQCsKUVExMei7AgY2yQkdeNQvtOssygGsXbiKo/edit?usp=sharing"",""อุตรดิตถ์!I505"")+IMPORTRANGE(""https://docs.google.com/spreadsheets/d/1UsNK1e-WWiCo2PvGqdNfdme4m17_Ezd3J69EeeiQPD0/edit?usp=sharing"",""อุทัยธานี!I505"")"),0)</f>
        <v>0</v>
      </c>
      <c r="J505" s="167">
        <f ca="1">IFERROR(__xludf.DUMMYFUNCTION("IMPORTRANGE(""https://docs.google.com/spreadsheets/d/1jTcq05yEiRwXcBMLjiodW9e4biSGYWAHcDj22rKWQ3s/edit?usp=sharing"",""กำแพงเพชร!J505"")+IMPORTRANGE(""https://docs.google.com/spreadsheets/d/1KS0zmDSZPk8KnTAbGN-Xk6MtX1YRZD0ldgdt20K4CRk/edit?usp=sharing"","&amp;"""เชียงราย!J505"")+IMPORTRANGE(""https://docs.google.com/spreadsheets/d/1rEDxBtusbi64tE0zunoIbsTVV16HeL0oJ6trHQeQ7K8/edit?usp=sharing"",""เชียงใหม่!J505"")+IMPORTRANGE(""https://docs.google.com/spreadsheets/d/1W6MnUbDkMi6xHnHko_XkFDO9kkuL6Wqyc-6OCDFjW9I/e"&amp;"dit?usp=sharing"",""ตาก!J505"")+IMPORTRANGE(""https://docs.google.com/spreadsheets/d/1IQAWArduLkta9LpYo4a_ULsyqdta6-6aDDiwpUnQT6c/edit?usp=sharing"",""นครสวรรค์!J505"")+IMPORTRANGE(""https://docs.google.com/spreadsheets/d/10s13Sk5xrltsiR-Zkbmk5DwIaDIKO8Xl"&amp;"bJAfqyT7Gvg/edit?usp=sharing"",""น่าน!J505"")+IMPORTRANGE(""https://docs.google.com/spreadsheets/d/1uu4nAn4Dbi1XREnLKKotUANlKXa7yCgRcgq8HEzQYW8/edit?usp=sharing"",""พะเยา!J505"")+IMPORTRANGE(""https://docs.google.com/spreadsheets/d/1xfJKIQxVOaPDIICqsflNlL"&amp;"u3JacTDk1FP9RH4phX7mI/edit?usp=sharing"",""พิจิตร!J505"")+IMPORTRANGE(""https://docs.google.com/spreadsheets/d/1JtRfZkJMHtEhI5RdRHxYUG4FIZHqKDpNyIuN7A1Q0_k/edit?usp=sharing"",""พิษณุโลก!J505"")+IMPORTRANGE(""https://docs.google.com/spreadsheets/d/1xlcVZWU"&amp;"Nn6SuWm0c307h32SiGkd9BaeQWlAktfD3KO8/edit?usp=sharing"",""เพชรบูรณ์!J505"")+IMPORTRANGE(""https://docs.google.com/spreadsheets/d/1lOVebEIsI9qjGXl6EX66luk7wiuP2tBaryw-wKvv4e0/edit?usp=sharing"",""แพร่!J505"")+IMPORTRANGE(""https://docs.google.com/spreadshe"&amp;"ets/d/1dQrvX0vEcN7Gu0fnZ0B5S90AeR19zth4XlExFBeExMY/edit?usp=sharing"",""แม่ฮ่องสอน!J505"")+IMPORTRANGE(""https://docs.google.com/spreadsheets/d/1DY4XTNNwjluuxqdfdn6qvOSlMRrZqUtmYcZR0ttFiG4/edit?usp=sharing"",""ลำปาง!J505"")+IMPORTRANGE(""https://docs.goog"&amp;"le.com/spreadsheets/d/1ICwG78r0OFT8biBlxnBF8r7she7gNSzOvJ958PWT09c/edit?usp=sharing"",""ลำพูน!J505"")+IMPORTRANGE(""https://docs.google.com/spreadsheets/d/1B0f2xJpZUC6Z0xXnqKlZtEPzsf6L84eP1r1Q15seqRM/edit?usp=sharing"",""สุโขทัย!J505"")+IMPORTRANGE(""http"&amp;"s://docs.google.com/spreadsheets/d/1v0b9pFQCsKUVExMei7AgY2yQkdeNQvtOssygGsXbiKo/edit?usp=sharing"",""อุตรดิตถ์!J505"")+IMPORTRANGE(""https://docs.google.com/spreadsheets/d/1UsNK1e-WWiCo2PvGqdNfdme4m17_Ezd3J69EeeiQPD0/edit?usp=sharing"",""อุทัยธานี!J505"")"),0)</f>
        <v>0</v>
      </c>
      <c r="K505" s="46">
        <f t="shared" ca="1" si="360"/>
        <v>0</v>
      </c>
      <c r="L505" s="45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66">
        <f ca="1">IFERROR(__xludf.DUMMYFUNCTION("IMPORTRANGE(""https://docs.google.com/spreadsheets/d/1jTcq05yEiRwXcBMLjiodW9e4biSGYWAHcDj22rKWQ3s/edit?usp=sharing"",""กำแพงเพชร!I506"")+IMPORTRANGE(""https://docs.google.com/spreadsheets/d/1KS0zmDSZPk8KnTAbGN-Xk6MtX1YRZD0ldgdt20K4CRk/edit?usp=sharing"","&amp;"""เชียงราย!I506"")+IMPORTRANGE(""https://docs.google.com/spreadsheets/d/1rEDxBtusbi64tE0zunoIbsTVV16HeL0oJ6trHQeQ7K8/edit?usp=sharing"",""เชียงใหม่!I506"")+IMPORTRANGE(""https://docs.google.com/spreadsheets/d/1W6MnUbDkMi6xHnHko_XkFDO9kkuL6Wqyc-6OCDFjW9I/e"&amp;"dit?usp=sharing"",""ตาก!I506"")+IMPORTRANGE(""https://docs.google.com/spreadsheets/d/1IQAWArduLkta9LpYo4a_ULsyqdta6-6aDDiwpUnQT6c/edit?usp=sharing"",""นครสวรรค์!I506"")+IMPORTRANGE(""https://docs.google.com/spreadsheets/d/10s13Sk5xrltsiR-Zkbmk5DwIaDIKO8Xl"&amp;"bJAfqyT7Gvg/edit?usp=sharing"",""น่าน!I506"")+IMPORTRANGE(""https://docs.google.com/spreadsheets/d/1uu4nAn4Dbi1XREnLKKotUANlKXa7yCgRcgq8HEzQYW8/edit?usp=sharing"",""พะเยา!I506"")+IMPORTRANGE(""https://docs.google.com/spreadsheets/d/1xfJKIQxVOaPDIICqsflNlL"&amp;"u3JacTDk1FP9RH4phX7mI/edit?usp=sharing"",""พิจิตร!I506"")+IMPORTRANGE(""https://docs.google.com/spreadsheets/d/1JtRfZkJMHtEhI5RdRHxYUG4FIZHqKDpNyIuN7A1Q0_k/edit?usp=sharing"",""พิษณุโลก!I506"")+IMPORTRANGE(""https://docs.google.com/spreadsheets/d/1xlcVZWU"&amp;"Nn6SuWm0c307h32SiGkd9BaeQWlAktfD3KO8/edit?usp=sharing"",""เพชรบูรณ์!I506"")+IMPORTRANGE(""https://docs.google.com/spreadsheets/d/1lOVebEIsI9qjGXl6EX66luk7wiuP2tBaryw-wKvv4e0/edit?usp=sharing"",""แพร่!I506"")+IMPORTRANGE(""https://docs.google.com/spreadshe"&amp;"ets/d/1dQrvX0vEcN7Gu0fnZ0B5S90AeR19zth4XlExFBeExMY/edit?usp=sharing"",""แม่ฮ่องสอน!I506"")+IMPORTRANGE(""https://docs.google.com/spreadsheets/d/1DY4XTNNwjluuxqdfdn6qvOSlMRrZqUtmYcZR0ttFiG4/edit?usp=sharing"",""ลำปาง!I506"")+IMPORTRANGE(""https://docs.goog"&amp;"le.com/spreadsheets/d/1ICwG78r0OFT8biBlxnBF8r7she7gNSzOvJ958PWT09c/edit?usp=sharing"",""ลำพูน!I506"")+IMPORTRANGE(""https://docs.google.com/spreadsheets/d/1B0f2xJpZUC6Z0xXnqKlZtEPzsf6L84eP1r1Q15seqRM/edit?usp=sharing"",""สุโขทัย!I506"")+IMPORTRANGE(""http"&amp;"s://docs.google.com/spreadsheets/d/1v0b9pFQCsKUVExMei7AgY2yQkdeNQvtOssygGsXbiKo/edit?usp=sharing"",""อุตรดิตถ์!I506"")+IMPORTRANGE(""https://docs.google.com/spreadsheets/d/1UsNK1e-WWiCo2PvGqdNfdme4m17_Ezd3J69EeeiQPD0/edit?usp=sharing"",""อุทัยธานี!I506"")"),0)</f>
        <v>0</v>
      </c>
      <c r="J506" s="167">
        <f ca="1">IFERROR(__xludf.DUMMYFUNCTION("IMPORTRANGE(""https://docs.google.com/spreadsheets/d/1jTcq05yEiRwXcBMLjiodW9e4biSGYWAHcDj22rKWQ3s/edit?usp=sharing"",""กำแพงเพชร!J506"")+IMPORTRANGE(""https://docs.google.com/spreadsheets/d/1KS0zmDSZPk8KnTAbGN-Xk6MtX1YRZD0ldgdt20K4CRk/edit?usp=sharing"","&amp;"""เชียงราย!J506"")+IMPORTRANGE(""https://docs.google.com/spreadsheets/d/1rEDxBtusbi64tE0zunoIbsTVV16HeL0oJ6trHQeQ7K8/edit?usp=sharing"",""เชียงใหม่!J506"")+IMPORTRANGE(""https://docs.google.com/spreadsheets/d/1W6MnUbDkMi6xHnHko_XkFDO9kkuL6Wqyc-6OCDFjW9I/e"&amp;"dit?usp=sharing"",""ตาก!J506"")+IMPORTRANGE(""https://docs.google.com/spreadsheets/d/1IQAWArduLkta9LpYo4a_ULsyqdta6-6aDDiwpUnQT6c/edit?usp=sharing"",""นครสวรรค์!J506"")+IMPORTRANGE(""https://docs.google.com/spreadsheets/d/10s13Sk5xrltsiR-Zkbmk5DwIaDIKO8Xl"&amp;"bJAfqyT7Gvg/edit?usp=sharing"",""น่าน!J506"")+IMPORTRANGE(""https://docs.google.com/spreadsheets/d/1uu4nAn4Dbi1XREnLKKotUANlKXa7yCgRcgq8HEzQYW8/edit?usp=sharing"",""พะเยา!J506"")+IMPORTRANGE(""https://docs.google.com/spreadsheets/d/1xfJKIQxVOaPDIICqsflNlL"&amp;"u3JacTDk1FP9RH4phX7mI/edit?usp=sharing"",""พิจิตร!J506"")+IMPORTRANGE(""https://docs.google.com/spreadsheets/d/1JtRfZkJMHtEhI5RdRHxYUG4FIZHqKDpNyIuN7A1Q0_k/edit?usp=sharing"",""พิษณุโลก!J506"")+IMPORTRANGE(""https://docs.google.com/spreadsheets/d/1xlcVZWU"&amp;"Nn6SuWm0c307h32SiGkd9BaeQWlAktfD3KO8/edit?usp=sharing"",""เพชรบูรณ์!J506"")+IMPORTRANGE(""https://docs.google.com/spreadsheets/d/1lOVebEIsI9qjGXl6EX66luk7wiuP2tBaryw-wKvv4e0/edit?usp=sharing"",""แพร่!J506"")+IMPORTRANGE(""https://docs.google.com/spreadshe"&amp;"ets/d/1dQrvX0vEcN7Gu0fnZ0B5S90AeR19zth4XlExFBeExMY/edit?usp=sharing"",""แม่ฮ่องสอน!J506"")+IMPORTRANGE(""https://docs.google.com/spreadsheets/d/1DY4XTNNwjluuxqdfdn6qvOSlMRrZqUtmYcZR0ttFiG4/edit?usp=sharing"",""ลำปาง!J506"")+IMPORTRANGE(""https://docs.goog"&amp;"le.com/spreadsheets/d/1ICwG78r0OFT8biBlxnBF8r7she7gNSzOvJ958PWT09c/edit?usp=sharing"",""ลำพูน!J506"")+IMPORTRANGE(""https://docs.google.com/spreadsheets/d/1B0f2xJpZUC6Z0xXnqKlZtEPzsf6L84eP1r1Q15seqRM/edit?usp=sharing"",""สุโขทัย!J506"")+IMPORTRANGE(""http"&amp;"s://docs.google.com/spreadsheets/d/1v0b9pFQCsKUVExMei7AgY2yQkdeNQvtOssygGsXbiKo/edit?usp=sharing"",""อุตรดิตถ์!J506"")+IMPORTRANGE(""https://docs.google.com/spreadsheets/d/1UsNK1e-WWiCo2PvGqdNfdme4m17_Ezd3J69EeeiQPD0/edit?usp=sharing"",""อุทัยธานี!J506"")"),0)</f>
        <v>0</v>
      </c>
      <c r="K506" s="46">
        <f t="shared" ca="1" si="360"/>
        <v>0</v>
      </c>
      <c r="L506" s="45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66">
        <f ca="1">IFERROR(__xludf.DUMMYFUNCTION("IMPORTRANGE(""https://docs.google.com/spreadsheets/d/1jTcq05yEiRwXcBMLjiodW9e4biSGYWAHcDj22rKWQ3s/edit?usp=sharing"",""กำแพงเพชร!I507"")+IMPORTRANGE(""https://docs.google.com/spreadsheets/d/1KS0zmDSZPk8KnTAbGN-Xk6MtX1YRZD0ldgdt20K4CRk/edit?usp=sharing"","&amp;"""เชียงราย!I507"")+IMPORTRANGE(""https://docs.google.com/spreadsheets/d/1rEDxBtusbi64tE0zunoIbsTVV16HeL0oJ6trHQeQ7K8/edit?usp=sharing"",""เชียงใหม่!I507"")+IMPORTRANGE(""https://docs.google.com/spreadsheets/d/1W6MnUbDkMi6xHnHko_XkFDO9kkuL6Wqyc-6OCDFjW9I/e"&amp;"dit?usp=sharing"",""ตาก!I507"")+IMPORTRANGE(""https://docs.google.com/spreadsheets/d/1IQAWArduLkta9LpYo4a_ULsyqdta6-6aDDiwpUnQT6c/edit?usp=sharing"",""นครสวรรค์!I507"")+IMPORTRANGE(""https://docs.google.com/spreadsheets/d/10s13Sk5xrltsiR-Zkbmk5DwIaDIKO8Xl"&amp;"bJAfqyT7Gvg/edit?usp=sharing"",""น่าน!I507"")+IMPORTRANGE(""https://docs.google.com/spreadsheets/d/1uu4nAn4Dbi1XREnLKKotUANlKXa7yCgRcgq8HEzQYW8/edit?usp=sharing"",""พะเยา!I507"")+IMPORTRANGE(""https://docs.google.com/spreadsheets/d/1xfJKIQxVOaPDIICqsflNlL"&amp;"u3JacTDk1FP9RH4phX7mI/edit?usp=sharing"",""พิจิตร!I507"")+IMPORTRANGE(""https://docs.google.com/spreadsheets/d/1JtRfZkJMHtEhI5RdRHxYUG4FIZHqKDpNyIuN7A1Q0_k/edit?usp=sharing"",""พิษณุโลก!I507"")+IMPORTRANGE(""https://docs.google.com/spreadsheets/d/1xlcVZWU"&amp;"Nn6SuWm0c307h32SiGkd9BaeQWlAktfD3KO8/edit?usp=sharing"",""เพชรบูรณ์!I507"")+IMPORTRANGE(""https://docs.google.com/spreadsheets/d/1lOVebEIsI9qjGXl6EX66luk7wiuP2tBaryw-wKvv4e0/edit?usp=sharing"",""แพร่!I507"")+IMPORTRANGE(""https://docs.google.com/spreadshe"&amp;"ets/d/1dQrvX0vEcN7Gu0fnZ0B5S90AeR19zth4XlExFBeExMY/edit?usp=sharing"",""แม่ฮ่องสอน!I507"")+IMPORTRANGE(""https://docs.google.com/spreadsheets/d/1DY4XTNNwjluuxqdfdn6qvOSlMRrZqUtmYcZR0ttFiG4/edit?usp=sharing"",""ลำปาง!I507"")+IMPORTRANGE(""https://docs.goog"&amp;"le.com/spreadsheets/d/1ICwG78r0OFT8biBlxnBF8r7she7gNSzOvJ958PWT09c/edit?usp=sharing"",""ลำพูน!I507"")+IMPORTRANGE(""https://docs.google.com/spreadsheets/d/1B0f2xJpZUC6Z0xXnqKlZtEPzsf6L84eP1r1Q15seqRM/edit?usp=sharing"",""สุโขทัย!I507"")+IMPORTRANGE(""http"&amp;"s://docs.google.com/spreadsheets/d/1v0b9pFQCsKUVExMei7AgY2yQkdeNQvtOssygGsXbiKo/edit?usp=sharing"",""อุตรดิตถ์!I507"")+IMPORTRANGE(""https://docs.google.com/spreadsheets/d/1UsNK1e-WWiCo2PvGqdNfdme4m17_Ezd3J69EeeiQPD0/edit?usp=sharing"",""อุทัยธานี!I507"")"),0)</f>
        <v>0</v>
      </c>
      <c r="J507" s="167">
        <f ca="1">IFERROR(__xludf.DUMMYFUNCTION("IMPORTRANGE(""https://docs.google.com/spreadsheets/d/1jTcq05yEiRwXcBMLjiodW9e4biSGYWAHcDj22rKWQ3s/edit?usp=sharing"",""กำแพงเพชร!J507"")+IMPORTRANGE(""https://docs.google.com/spreadsheets/d/1KS0zmDSZPk8KnTAbGN-Xk6MtX1YRZD0ldgdt20K4CRk/edit?usp=sharing"","&amp;"""เชียงราย!J507"")+IMPORTRANGE(""https://docs.google.com/spreadsheets/d/1rEDxBtusbi64tE0zunoIbsTVV16HeL0oJ6trHQeQ7K8/edit?usp=sharing"",""เชียงใหม่!J507"")+IMPORTRANGE(""https://docs.google.com/spreadsheets/d/1W6MnUbDkMi6xHnHko_XkFDO9kkuL6Wqyc-6OCDFjW9I/e"&amp;"dit?usp=sharing"",""ตาก!J507"")+IMPORTRANGE(""https://docs.google.com/spreadsheets/d/1IQAWArduLkta9LpYo4a_ULsyqdta6-6aDDiwpUnQT6c/edit?usp=sharing"",""นครสวรรค์!J507"")+IMPORTRANGE(""https://docs.google.com/spreadsheets/d/10s13Sk5xrltsiR-Zkbmk5DwIaDIKO8Xl"&amp;"bJAfqyT7Gvg/edit?usp=sharing"",""น่าน!J507"")+IMPORTRANGE(""https://docs.google.com/spreadsheets/d/1uu4nAn4Dbi1XREnLKKotUANlKXa7yCgRcgq8HEzQYW8/edit?usp=sharing"",""พะเยา!J507"")+IMPORTRANGE(""https://docs.google.com/spreadsheets/d/1xfJKIQxVOaPDIICqsflNlL"&amp;"u3JacTDk1FP9RH4phX7mI/edit?usp=sharing"",""พิจิตร!J507"")+IMPORTRANGE(""https://docs.google.com/spreadsheets/d/1JtRfZkJMHtEhI5RdRHxYUG4FIZHqKDpNyIuN7A1Q0_k/edit?usp=sharing"",""พิษณุโลก!J507"")+IMPORTRANGE(""https://docs.google.com/spreadsheets/d/1xlcVZWU"&amp;"Nn6SuWm0c307h32SiGkd9BaeQWlAktfD3KO8/edit?usp=sharing"",""เพชรบูรณ์!J507"")+IMPORTRANGE(""https://docs.google.com/spreadsheets/d/1lOVebEIsI9qjGXl6EX66luk7wiuP2tBaryw-wKvv4e0/edit?usp=sharing"",""แพร่!J507"")+IMPORTRANGE(""https://docs.google.com/spreadshe"&amp;"ets/d/1dQrvX0vEcN7Gu0fnZ0B5S90AeR19zth4XlExFBeExMY/edit?usp=sharing"",""แม่ฮ่องสอน!J507"")+IMPORTRANGE(""https://docs.google.com/spreadsheets/d/1DY4XTNNwjluuxqdfdn6qvOSlMRrZqUtmYcZR0ttFiG4/edit?usp=sharing"",""ลำปาง!J507"")+IMPORTRANGE(""https://docs.goog"&amp;"le.com/spreadsheets/d/1ICwG78r0OFT8biBlxnBF8r7she7gNSzOvJ958PWT09c/edit?usp=sharing"",""ลำพูน!J507"")+IMPORTRANGE(""https://docs.google.com/spreadsheets/d/1B0f2xJpZUC6Z0xXnqKlZtEPzsf6L84eP1r1Q15seqRM/edit?usp=sharing"",""สุโขทัย!J507"")+IMPORTRANGE(""http"&amp;"s://docs.google.com/spreadsheets/d/1v0b9pFQCsKUVExMei7AgY2yQkdeNQvtOssygGsXbiKo/edit?usp=sharing"",""อุตรดิตถ์!J507"")+IMPORTRANGE(""https://docs.google.com/spreadsheets/d/1UsNK1e-WWiCo2PvGqdNfdme4m17_Ezd3J69EeeiQPD0/edit?usp=sharing"",""อุทัยธานี!J507"")"),0)</f>
        <v>0</v>
      </c>
      <c r="K507" s="46">
        <f t="shared" ca="1" si="360"/>
        <v>0</v>
      </c>
      <c r="L507" s="45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46">
        <f t="shared" si="360"/>
        <v>0</v>
      </c>
      <c r="L508" s="45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7">
        <f ca="1">IFERROR(__xludf.DUMMYFUNCTION("IMPORTRANGE(""https://docs.google.com/spreadsheets/d/1jTcq05yEiRwXcBMLjiodW9e4biSGYWAHcDj22rKWQ3s/edit?usp=sharing"",""กำแพงเพชร!I509"")+IMPORTRANGE(""https://docs.google.com/spreadsheets/d/1KS0zmDSZPk8KnTAbGN-Xk6MtX1YRZD0ldgdt20K4CRk/edit?usp=sharing"","&amp;"""เชียงราย!I509"")+IMPORTRANGE(""https://docs.google.com/spreadsheets/d/1rEDxBtusbi64tE0zunoIbsTVV16HeL0oJ6trHQeQ7K8/edit?usp=sharing"",""เชียงใหม่!I509"")+IMPORTRANGE(""https://docs.google.com/spreadsheets/d/1W6MnUbDkMi6xHnHko_XkFDO9kkuL6Wqyc-6OCDFjW9I/e"&amp;"dit?usp=sharing"",""ตาก!I509"")+IMPORTRANGE(""https://docs.google.com/spreadsheets/d/1IQAWArduLkta9LpYo4a_ULsyqdta6-6aDDiwpUnQT6c/edit?usp=sharing"",""นครสวรรค์!I509"")+IMPORTRANGE(""https://docs.google.com/spreadsheets/d/10s13Sk5xrltsiR-Zkbmk5DwIaDIKO8Xl"&amp;"bJAfqyT7Gvg/edit?usp=sharing"",""น่าน!I509"")+IMPORTRANGE(""https://docs.google.com/spreadsheets/d/1uu4nAn4Dbi1XREnLKKotUANlKXa7yCgRcgq8HEzQYW8/edit?usp=sharing"",""พะเยา!I509"")+IMPORTRANGE(""https://docs.google.com/spreadsheets/d/1xfJKIQxVOaPDIICqsflNlL"&amp;"u3JacTDk1FP9RH4phX7mI/edit?usp=sharing"",""พิจิตร!I509"")+IMPORTRANGE(""https://docs.google.com/spreadsheets/d/1JtRfZkJMHtEhI5RdRHxYUG4FIZHqKDpNyIuN7A1Q0_k/edit?usp=sharing"",""พิษณุโลก!I509"")+IMPORTRANGE(""https://docs.google.com/spreadsheets/d/1xlcVZWU"&amp;"Nn6SuWm0c307h32SiGkd9BaeQWlAktfD3KO8/edit?usp=sharing"",""เพชรบูรณ์!I509"")+IMPORTRANGE(""https://docs.google.com/spreadsheets/d/1lOVebEIsI9qjGXl6EX66luk7wiuP2tBaryw-wKvv4e0/edit?usp=sharing"",""แพร่!I509"")+IMPORTRANGE(""https://docs.google.com/spreadshe"&amp;"ets/d/1dQrvX0vEcN7Gu0fnZ0B5S90AeR19zth4XlExFBeExMY/edit?usp=sharing"",""แม่ฮ่องสอน!I509"")+IMPORTRANGE(""https://docs.google.com/spreadsheets/d/1DY4XTNNwjluuxqdfdn6qvOSlMRrZqUtmYcZR0ttFiG4/edit?usp=sharing"",""ลำปาง!I509"")+IMPORTRANGE(""https://docs.goog"&amp;"le.com/spreadsheets/d/1ICwG78r0OFT8biBlxnBF8r7she7gNSzOvJ958PWT09c/edit?usp=sharing"",""ลำพูน!I509"")+IMPORTRANGE(""https://docs.google.com/spreadsheets/d/1B0f2xJpZUC6Z0xXnqKlZtEPzsf6L84eP1r1Q15seqRM/edit?usp=sharing"",""สุโขทัย!I509"")+IMPORTRANGE(""http"&amp;"s://docs.google.com/spreadsheets/d/1v0b9pFQCsKUVExMei7AgY2yQkdeNQvtOssygGsXbiKo/edit?usp=sharing"",""อุตรดิตถ์!I509"")+IMPORTRANGE(""https://docs.google.com/spreadsheets/d/1UsNK1e-WWiCo2PvGqdNfdme4m17_Ezd3J69EeeiQPD0/edit?usp=sharing"",""อุทัยธานี!I509"")"),0)</f>
        <v>0</v>
      </c>
      <c r="J509" s="334">
        <f ca="1">IFERROR(__xludf.DUMMYFUNCTION("IMPORTRANGE(""https://docs.google.com/spreadsheets/d/1jTcq05yEiRwXcBMLjiodW9e4biSGYWAHcDj22rKWQ3s/edit?usp=sharing"",""กำแพงเพชร!J509"")+IMPORTRANGE(""https://docs.google.com/spreadsheets/d/1KS0zmDSZPk8KnTAbGN-Xk6MtX1YRZD0ldgdt20K4CRk/edit?usp=sharing"","&amp;"""เชียงราย!J509"")+IMPORTRANGE(""https://docs.google.com/spreadsheets/d/1rEDxBtusbi64tE0zunoIbsTVV16HeL0oJ6trHQeQ7K8/edit?usp=sharing"",""เชียงใหม่!J509"")+IMPORTRANGE(""https://docs.google.com/spreadsheets/d/1W6MnUbDkMi6xHnHko_XkFDO9kkuL6Wqyc-6OCDFjW9I/e"&amp;"dit?usp=sharing"",""ตาก!J509"")+IMPORTRANGE(""https://docs.google.com/spreadsheets/d/1IQAWArduLkta9LpYo4a_ULsyqdta6-6aDDiwpUnQT6c/edit?usp=sharing"",""นครสวรรค์!J509"")+IMPORTRANGE(""https://docs.google.com/spreadsheets/d/10s13Sk5xrltsiR-Zkbmk5DwIaDIKO8Xl"&amp;"bJAfqyT7Gvg/edit?usp=sharing"",""น่าน!J509"")+IMPORTRANGE(""https://docs.google.com/spreadsheets/d/1uu4nAn4Dbi1XREnLKKotUANlKXa7yCgRcgq8HEzQYW8/edit?usp=sharing"",""พะเยา!J509"")+IMPORTRANGE(""https://docs.google.com/spreadsheets/d/1xfJKIQxVOaPDIICqsflNlL"&amp;"u3JacTDk1FP9RH4phX7mI/edit?usp=sharing"",""พิจิตร!J509"")+IMPORTRANGE(""https://docs.google.com/spreadsheets/d/1JtRfZkJMHtEhI5RdRHxYUG4FIZHqKDpNyIuN7A1Q0_k/edit?usp=sharing"",""พิษณุโลก!J509"")+IMPORTRANGE(""https://docs.google.com/spreadsheets/d/1xlcVZWU"&amp;"Nn6SuWm0c307h32SiGkd9BaeQWlAktfD3KO8/edit?usp=sharing"",""เพชรบูรณ์!J509"")+IMPORTRANGE(""https://docs.google.com/spreadsheets/d/1lOVebEIsI9qjGXl6EX66luk7wiuP2tBaryw-wKvv4e0/edit?usp=sharing"",""แพร่!J509"")+IMPORTRANGE(""https://docs.google.com/spreadshe"&amp;"ets/d/1dQrvX0vEcN7Gu0fnZ0B5S90AeR19zth4XlExFBeExMY/edit?usp=sharing"",""แม่ฮ่องสอน!J509"")+IMPORTRANGE(""https://docs.google.com/spreadsheets/d/1DY4XTNNwjluuxqdfdn6qvOSlMRrZqUtmYcZR0ttFiG4/edit?usp=sharing"",""ลำปาง!J509"")+IMPORTRANGE(""https://docs.goog"&amp;"le.com/spreadsheets/d/1ICwG78r0OFT8biBlxnBF8r7she7gNSzOvJ958PWT09c/edit?usp=sharing"",""ลำพูน!J509"")+IMPORTRANGE(""https://docs.google.com/spreadsheets/d/1B0f2xJpZUC6Z0xXnqKlZtEPzsf6L84eP1r1Q15seqRM/edit?usp=sharing"",""สุโขทัย!J509"")+IMPORTRANGE(""http"&amp;"s://docs.google.com/spreadsheets/d/1v0b9pFQCsKUVExMei7AgY2yQkdeNQvtOssygGsXbiKo/edit?usp=sharing"",""อุตรดิตถ์!J509"")+IMPORTRANGE(""https://docs.google.com/spreadsheets/d/1UsNK1e-WWiCo2PvGqdNfdme4m17_Ezd3J69EeeiQPD0/edit?usp=sharing"",""อุทัยธานี!J509"")"),0)</f>
        <v>0</v>
      </c>
      <c r="K509" s="111">
        <f t="shared" ca="1" si="360"/>
        <v>0</v>
      </c>
      <c r="L509" s="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335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339"/>
      <c r="M510" s="339"/>
      <c r="N510" s="339"/>
      <c r="O510" s="339"/>
      <c r="P510" s="340"/>
      <c r="Q510" s="341"/>
      <c r="R510" s="341"/>
      <c r="S510" s="341"/>
      <c r="T510" s="341"/>
      <c r="U510" s="341"/>
    </row>
    <row r="511" spans="1:21" ht="19.5" x14ac:dyDescent="0.3">
      <c r="A511" s="342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347"/>
      <c r="M511" s="347"/>
      <c r="N511" s="347"/>
      <c r="O511" s="347"/>
      <c r="P511" s="347"/>
      <c r="Q511" s="348"/>
      <c r="R511" s="348"/>
      <c r="S511" s="348"/>
      <c r="T511" s="348"/>
      <c r="U511" s="348"/>
    </row>
    <row r="512" spans="1:21" ht="19.5" x14ac:dyDescent="0.3">
      <c r="A512" s="349"/>
      <c r="B512" s="350" t="s">
        <v>207</v>
      </c>
      <c r="C512" s="351"/>
      <c r="D512" s="352"/>
      <c r="E512" s="352"/>
      <c r="F512" s="352"/>
      <c r="G512" s="353"/>
      <c r="H512" s="354" t="s">
        <v>61</v>
      </c>
      <c r="I512" s="355">
        <f t="shared" ref="I512:J512" si="361">I524</f>
        <v>0</v>
      </c>
      <c r="J512" s="355">
        <f t="shared" si="361"/>
        <v>0</v>
      </c>
      <c r="K512" s="356">
        <f>IF(I512&gt;0,J512*100/I512,0)</f>
        <v>0</v>
      </c>
      <c r="L512" s="357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x14ac:dyDescent="0.3">
      <c r="A513" s="128"/>
      <c r="B513" s="40"/>
      <c r="C513" s="129" t="s">
        <v>18</v>
      </c>
      <c r="D513" s="130" t="s">
        <v>19</v>
      </c>
      <c r="E513" s="40"/>
      <c r="F513" s="40"/>
      <c r="G513" s="42"/>
      <c r="H513" s="131" t="s">
        <v>14</v>
      </c>
      <c r="I513" s="44"/>
      <c r="J513" s="44"/>
      <c r="K513" s="45"/>
      <c r="L513" s="132">
        <f t="shared" ref="L513:N513" ca="1" si="362">L514+L515</f>
        <v>0</v>
      </c>
      <c r="M513" s="132">
        <f t="shared" ca="1" si="362"/>
        <v>0</v>
      </c>
      <c r="N513" s="132">
        <f t="shared" ca="1" si="362"/>
        <v>0</v>
      </c>
      <c r="O513" s="132">
        <f t="shared" ref="O513:O521" ca="1" si="363">IF(L513&gt;0,N513*100/L513,0)</f>
        <v>0</v>
      </c>
      <c r="P513" s="132">
        <f t="shared" ref="P513:P521" ca="1" si="364">IF(M513&gt;0,N513*100/M513,0)</f>
        <v>0</v>
      </c>
      <c r="Q513" s="132">
        <f t="shared" ref="Q513:S513" ca="1" si="365">Q514+Q515</f>
        <v>0</v>
      </c>
      <c r="R513" s="132">
        <f t="shared" ca="1" si="365"/>
        <v>0</v>
      </c>
      <c r="S513" s="132">
        <f t="shared" ca="1" si="365"/>
        <v>0</v>
      </c>
      <c r="T513" s="132">
        <f t="shared" ref="T513:T521" ca="1" si="366">IF(Q513&gt;0,S513*100/Q513,0)</f>
        <v>0</v>
      </c>
      <c r="U513" s="132">
        <f t="shared" ref="U513:U521" ca="1" si="367">IF(R513&gt;0,S513*100/R513,0)</f>
        <v>0</v>
      </c>
    </row>
    <row r="514" spans="1:21" ht="18.75" x14ac:dyDescent="0.25">
      <c r="A514" s="128"/>
      <c r="B514" s="40"/>
      <c r="C514" s="40"/>
      <c r="D514" s="40"/>
      <c r="E514" s="47" t="s">
        <v>20</v>
      </c>
      <c r="F514" s="40"/>
      <c r="G514" s="42"/>
      <c r="H514" s="133" t="s">
        <v>14</v>
      </c>
      <c r="I514" s="44"/>
      <c r="J514" s="44"/>
      <c r="K514" s="45"/>
      <c r="L514" s="46">
        <f t="shared" ref="L514:N514" ca="1" si="368">L517+L520</f>
        <v>0</v>
      </c>
      <c r="M514" s="46">
        <f t="shared" ca="1" si="368"/>
        <v>0</v>
      </c>
      <c r="N514" s="46">
        <f t="shared" ca="1" si="368"/>
        <v>0</v>
      </c>
      <c r="O514" s="46">
        <f t="shared" ca="1" si="363"/>
        <v>0</v>
      </c>
      <c r="P514" s="46">
        <f t="shared" ca="1" si="364"/>
        <v>0</v>
      </c>
      <c r="Q514" s="48">
        <f t="shared" ref="Q514:S514" ca="1" si="369">Q517+Q520</f>
        <v>0</v>
      </c>
      <c r="R514" s="48">
        <f t="shared" ca="1" si="369"/>
        <v>0</v>
      </c>
      <c r="S514" s="48">
        <f t="shared" ca="1" si="369"/>
        <v>0</v>
      </c>
      <c r="T514" s="48">
        <f t="shared" ca="1" si="366"/>
        <v>0</v>
      </c>
      <c r="U514" s="48">
        <f t="shared" ca="1" si="367"/>
        <v>0</v>
      </c>
    </row>
    <row r="515" spans="1:21" ht="18.75" x14ac:dyDescent="0.25">
      <c r="A515" s="128"/>
      <c r="B515" s="40"/>
      <c r="C515" s="40"/>
      <c r="D515" s="40"/>
      <c r="E515" s="47" t="s">
        <v>21</v>
      </c>
      <c r="F515" s="40"/>
      <c r="G515" s="42"/>
      <c r="H515" s="133" t="s">
        <v>14</v>
      </c>
      <c r="I515" s="44"/>
      <c r="J515" s="44"/>
      <c r="K515" s="45"/>
      <c r="L515" s="46">
        <f t="shared" ref="L515:N515" ca="1" si="370">L518+L521</f>
        <v>0</v>
      </c>
      <c r="M515" s="46">
        <f t="shared" ca="1" si="370"/>
        <v>0</v>
      </c>
      <c r="N515" s="46">
        <f t="shared" ca="1" si="370"/>
        <v>0</v>
      </c>
      <c r="O515" s="46">
        <f t="shared" ca="1" si="363"/>
        <v>0</v>
      </c>
      <c r="P515" s="46">
        <f t="shared" ca="1" si="364"/>
        <v>0</v>
      </c>
      <c r="Q515" s="46">
        <f t="shared" ref="Q515:S515" ca="1" si="371">Q518+Q521</f>
        <v>0</v>
      </c>
      <c r="R515" s="46">
        <f t="shared" ca="1" si="371"/>
        <v>0</v>
      </c>
      <c r="S515" s="46">
        <f t="shared" ca="1" si="371"/>
        <v>0</v>
      </c>
      <c r="T515" s="46">
        <f t="shared" ca="1" si="366"/>
        <v>0</v>
      </c>
      <c r="U515" s="46">
        <f t="shared" ca="1" si="367"/>
        <v>0</v>
      </c>
    </row>
    <row r="516" spans="1:21" ht="18.75" x14ac:dyDescent="0.25">
      <c r="A516" s="128"/>
      <c r="B516" s="40"/>
      <c r="C516" s="40"/>
      <c r="D516" s="41" t="s">
        <v>22</v>
      </c>
      <c r="E516" s="40"/>
      <c r="F516" s="40"/>
      <c r="G516" s="42"/>
      <c r="H516" s="134" t="s">
        <v>14</v>
      </c>
      <c r="I516" s="135"/>
      <c r="J516" s="135"/>
      <c r="K516" s="136"/>
      <c r="L516" s="46">
        <f t="shared" ref="L516:N516" ca="1" si="372">L517+L518</f>
        <v>0</v>
      </c>
      <c r="M516" s="46">
        <f t="shared" ca="1" si="372"/>
        <v>0</v>
      </c>
      <c r="N516" s="46">
        <f t="shared" ca="1" si="372"/>
        <v>0</v>
      </c>
      <c r="O516" s="46">
        <f t="shared" ca="1" si="363"/>
        <v>0</v>
      </c>
      <c r="P516" s="46">
        <f t="shared" ca="1" si="364"/>
        <v>0</v>
      </c>
      <c r="Q516" s="46">
        <f t="shared" ref="Q516:S516" ca="1" si="373">Q517+Q518</f>
        <v>0</v>
      </c>
      <c r="R516" s="46">
        <f t="shared" ca="1" si="373"/>
        <v>0</v>
      </c>
      <c r="S516" s="46">
        <f t="shared" ca="1" si="373"/>
        <v>0</v>
      </c>
      <c r="T516" s="46">
        <f t="shared" ca="1" si="366"/>
        <v>0</v>
      </c>
      <c r="U516" s="46">
        <f t="shared" ca="1" si="367"/>
        <v>0</v>
      </c>
    </row>
    <row r="517" spans="1:21" ht="18.75" x14ac:dyDescent="0.25">
      <c r="A517" s="128"/>
      <c r="B517" s="40"/>
      <c r="C517" s="40"/>
      <c r="D517" s="40"/>
      <c r="E517" s="47" t="s">
        <v>36</v>
      </c>
      <c r="F517" s="40"/>
      <c r="G517" s="42"/>
      <c r="H517" s="134" t="s">
        <v>14</v>
      </c>
      <c r="I517" s="135"/>
      <c r="J517" s="135"/>
      <c r="K517" s="136"/>
      <c r="L517" s="46">
        <f ca="1">IFERROR(__xludf.DUMMYFUNCTION("IMPORTRANGE(""https://docs.google.com/spreadsheets/d/1jTcq05yEiRwXcBMLjiodW9e4biSGYWAHcDj22rKWQ3s/edit?usp=sharing"",""กำแพงเพชร!L517"")+IMPORTRANGE(""https://docs.google.com/spreadsheets/d/1KS0zmDSZPk8KnTAbGN-Xk6MtX1YRZD0ldgdt20K4CRk/edit?usp=sharing"","&amp;"""เชียงราย!L517"")+IMPORTRANGE(""https://docs.google.com/spreadsheets/d/1rEDxBtusbi64tE0zunoIbsTVV16HeL0oJ6trHQeQ7K8/edit?usp=sharing"",""เชียงใหม่!L517"")+IMPORTRANGE(""https://docs.google.com/spreadsheets/d/1W6MnUbDkMi6xHnHko_XkFDO9kkuL6Wqyc-6OCDFjW9I/e"&amp;"dit?usp=sharing"",""ตาก!L517"")+IMPORTRANGE(""https://docs.google.com/spreadsheets/d/1IQAWArduLkta9LpYo4a_ULsyqdta6-6aDDiwpUnQT6c/edit?usp=sharing"",""นครสวรรค์!L517"")+IMPORTRANGE(""https://docs.google.com/spreadsheets/d/10s13Sk5xrltsiR-Zkbmk5DwIaDIKO8Xl"&amp;"bJAfqyT7Gvg/edit?usp=sharing"",""น่าน!L517"")+IMPORTRANGE(""https://docs.google.com/spreadsheets/d/1uu4nAn4Dbi1XREnLKKotUANlKXa7yCgRcgq8HEzQYW8/edit?usp=sharing"",""พะเยา!L517"")+IMPORTRANGE(""https://docs.google.com/spreadsheets/d/1xfJKIQxVOaPDIICqsflNlL"&amp;"u3JacTDk1FP9RH4phX7mI/edit?usp=sharing"",""พิจิตร!L517"")+IMPORTRANGE(""https://docs.google.com/spreadsheets/d/1JtRfZkJMHtEhI5RdRHxYUG4FIZHqKDpNyIuN7A1Q0_k/edit?usp=sharing"",""พิษณุโลก!L517"")+IMPORTRANGE(""https://docs.google.com/spreadsheets/d/1xlcVZWU"&amp;"Nn6SuWm0c307h32SiGkd9BaeQWlAktfD3KO8/edit?usp=sharing"",""เพชรบูรณ์!L517"")+IMPORTRANGE(""https://docs.google.com/spreadsheets/d/1lOVebEIsI9qjGXl6EX66luk7wiuP2tBaryw-wKvv4e0/edit?usp=sharing"",""แพร่!L517"")+IMPORTRANGE(""https://docs.google.com/spreadshe"&amp;"ets/d/1dQrvX0vEcN7Gu0fnZ0B5S90AeR19zth4XlExFBeExMY/edit?usp=sharing"",""แม่ฮ่องสอน!L517"")+IMPORTRANGE(""https://docs.google.com/spreadsheets/d/1DY4XTNNwjluuxqdfdn6qvOSlMRrZqUtmYcZR0ttFiG4/edit?usp=sharing"",""ลำปาง!L517"")+IMPORTRANGE(""https://docs.goog"&amp;"le.com/spreadsheets/d/1ICwG78r0OFT8biBlxnBF8r7she7gNSzOvJ958PWT09c/edit?usp=sharing"",""ลำพูน!L517"")+IMPORTRANGE(""https://docs.google.com/spreadsheets/d/1B0f2xJpZUC6Z0xXnqKlZtEPzsf6L84eP1r1Q15seqRM/edit?usp=sharing"",""สุโขทัย!L517"")+IMPORTRANGE(""http"&amp;"s://docs.google.com/spreadsheets/d/1v0b9pFQCsKUVExMei7AgY2yQkdeNQvtOssygGsXbiKo/edit?usp=sharing"",""อุตรดิตถ์!L517"")+IMPORTRANGE(""https://docs.google.com/spreadsheets/d/1UsNK1e-WWiCo2PvGqdNfdme4m17_Ezd3J69EeeiQPD0/edit?usp=sharing"",""อุทัยธานี!L517"")"),0)</f>
        <v>0</v>
      </c>
      <c r="M517" s="46">
        <f ca="1">IFERROR(__xludf.DUMMYFUNCTION("IMPORTRANGE(""https://docs.google.com/spreadsheets/d/1jTcq05yEiRwXcBMLjiodW9e4biSGYWAHcDj22rKWQ3s/edit?usp=sharing"",""กำแพงเพชร!M517"")+IMPORTRANGE(""https://docs.google.com/spreadsheets/d/1KS0zmDSZPk8KnTAbGN-Xk6MtX1YRZD0ldgdt20K4CRk/edit?usp=sharing"","&amp;"""เชียงราย!M517"")+IMPORTRANGE(""https://docs.google.com/spreadsheets/d/1rEDxBtusbi64tE0zunoIbsTVV16HeL0oJ6trHQeQ7K8/edit?usp=sharing"",""เชียงใหม่!M517"")+IMPORTRANGE(""https://docs.google.com/spreadsheets/d/1W6MnUbDkMi6xHnHko_XkFDO9kkuL6Wqyc-6OCDFjW9I/e"&amp;"dit?usp=sharing"",""ตาก!M517"")+IMPORTRANGE(""https://docs.google.com/spreadsheets/d/1IQAWArduLkta9LpYo4a_ULsyqdta6-6aDDiwpUnQT6c/edit?usp=sharing"",""นครสวรรค์!M517"")+IMPORTRANGE(""https://docs.google.com/spreadsheets/d/10s13Sk5xrltsiR-Zkbmk5DwIaDIKO8Xl"&amp;"bJAfqyT7Gvg/edit?usp=sharing"",""น่าน!M517"")+IMPORTRANGE(""https://docs.google.com/spreadsheets/d/1uu4nAn4Dbi1XREnLKKotUANlKXa7yCgRcgq8HEzQYW8/edit?usp=sharing"",""พะเยา!M517"")+IMPORTRANGE(""https://docs.google.com/spreadsheets/d/1xfJKIQxVOaPDIICqsflNlL"&amp;"u3JacTDk1FP9RH4phX7mI/edit?usp=sharing"",""พิจิตร!M517"")+IMPORTRANGE(""https://docs.google.com/spreadsheets/d/1JtRfZkJMHtEhI5RdRHxYUG4FIZHqKDpNyIuN7A1Q0_k/edit?usp=sharing"",""พิษณุโลก!M517"")+IMPORTRANGE(""https://docs.google.com/spreadsheets/d/1xlcVZWU"&amp;"Nn6SuWm0c307h32SiGkd9BaeQWlAktfD3KO8/edit?usp=sharing"",""เพชรบูรณ์!M517"")+IMPORTRANGE(""https://docs.google.com/spreadsheets/d/1lOVebEIsI9qjGXl6EX66luk7wiuP2tBaryw-wKvv4e0/edit?usp=sharing"",""แพร่!M517"")+IMPORTRANGE(""https://docs.google.com/spreadshe"&amp;"ets/d/1dQrvX0vEcN7Gu0fnZ0B5S90AeR19zth4XlExFBeExMY/edit?usp=sharing"",""แม่ฮ่องสอน!M517"")+IMPORTRANGE(""https://docs.google.com/spreadsheets/d/1DY4XTNNwjluuxqdfdn6qvOSlMRrZqUtmYcZR0ttFiG4/edit?usp=sharing"",""ลำปาง!M517"")+IMPORTRANGE(""https://docs.goog"&amp;"le.com/spreadsheets/d/1ICwG78r0OFT8biBlxnBF8r7she7gNSzOvJ958PWT09c/edit?usp=sharing"",""ลำพูน!M517"")+IMPORTRANGE(""https://docs.google.com/spreadsheets/d/1B0f2xJpZUC6Z0xXnqKlZtEPzsf6L84eP1r1Q15seqRM/edit?usp=sharing"",""สุโขทัย!M517"")+IMPORTRANGE(""http"&amp;"s://docs.google.com/spreadsheets/d/1v0b9pFQCsKUVExMei7AgY2yQkdeNQvtOssygGsXbiKo/edit?usp=sharing"",""อุตรดิตถ์!M517"")+IMPORTRANGE(""https://docs.google.com/spreadsheets/d/1UsNK1e-WWiCo2PvGqdNfdme4m17_Ezd3J69EeeiQPD0/edit?usp=sharing"",""อุทัยธานี!M517"")"),0)</f>
        <v>0</v>
      </c>
      <c r="N517" s="46">
        <f ca="1">IFERROR(__xludf.DUMMYFUNCTION("IMPORTRANGE(""https://docs.google.com/spreadsheets/d/1jTcq05yEiRwXcBMLjiodW9e4biSGYWAHcDj22rKWQ3s/edit?usp=sharing"",""กำแพงเพชร!N517"")+IMPORTRANGE(""https://docs.google.com/spreadsheets/d/1KS0zmDSZPk8KnTAbGN-Xk6MtX1YRZD0ldgdt20K4CRk/edit?usp=sharing"","&amp;"""เชียงราย!N517"")+IMPORTRANGE(""https://docs.google.com/spreadsheets/d/1rEDxBtusbi64tE0zunoIbsTVV16HeL0oJ6trHQeQ7K8/edit?usp=sharing"",""เชียงใหม่!N517"")+IMPORTRANGE(""https://docs.google.com/spreadsheets/d/1W6MnUbDkMi6xHnHko_XkFDO9kkuL6Wqyc-6OCDFjW9I/e"&amp;"dit?usp=sharing"",""ตาก!N517"")+IMPORTRANGE(""https://docs.google.com/spreadsheets/d/1IQAWArduLkta9LpYo4a_ULsyqdta6-6aDDiwpUnQT6c/edit?usp=sharing"",""นครสวรรค์!N517"")+IMPORTRANGE(""https://docs.google.com/spreadsheets/d/10s13Sk5xrltsiR-Zkbmk5DwIaDIKO8Xl"&amp;"bJAfqyT7Gvg/edit?usp=sharing"",""น่าน!N517"")+IMPORTRANGE(""https://docs.google.com/spreadsheets/d/1uu4nAn4Dbi1XREnLKKotUANlKXa7yCgRcgq8HEzQYW8/edit?usp=sharing"",""พะเยา!N517"")+IMPORTRANGE(""https://docs.google.com/spreadsheets/d/1xfJKIQxVOaPDIICqsflNlL"&amp;"u3JacTDk1FP9RH4phX7mI/edit?usp=sharing"",""พิจิตร!N517"")+IMPORTRANGE(""https://docs.google.com/spreadsheets/d/1JtRfZkJMHtEhI5RdRHxYUG4FIZHqKDpNyIuN7A1Q0_k/edit?usp=sharing"",""พิษณุโลก!N517"")+IMPORTRANGE(""https://docs.google.com/spreadsheets/d/1xlcVZWU"&amp;"Nn6SuWm0c307h32SiGkd9BaeQWlAktfD3KO8/edit?usp=sharing"",""เพชรบูรณ์!N517"")+IMPORTRANGE(""https://docs.google.com/spreadsheets/d/1lOVebEIsI9qjGXl6EX66luk7wiuP2tBaryw-wKvv4e0/edit?usp=sharing"",""แพร่!N517"")+IMPORTRANGE(""https://docs.google.com/spreadshe"&amp;"ets/d/1dQrvX0vEcN7Gu0fnZ0B5S90AeR19zth4XlExFBeExMY/edit?usp=sharing"",""แม่ฮ่องสอน!N517"")+IMPORTRANGE(""https://docs.google.com/spreadsheets/d/1DY4XTNNwjluuxqdfdn6qvOSlMRrZqUtmYcZR0ttFiG4/edit?usp=sharing"",""ลำปาง!N517"")+IMPORTRANGE(""https://docs.goog"&amp;"le.com/spreadsheets/d/1ICwG78r0OFT8biBlxnBF8r7she7gNSzOvJ958PWT09c/edit?usp=sharing"",""ลำพูน!N517"")+IMPORTRANGE(""https://docs.google.com/spreadsheets/d/1B0f2xJpZUC6Z0xXnqKlZtEPzsf6L84eP1r1Q15seqRM/edit?usp=sharing"",""สุโขทัย!N517"")+IMPORTRANGE(""http"&amp;"s://docs.google.com/spreadsheets/d/1v0b9pFQCsKUVExMei7AgY2yQkdeNQvtOssygGsXbiKo/edit?usp=sharing"",""อุตรดิตถ์!N517"")+IMPORTRANGE(""https://docs.google.com/spreadsheets/d/1UsNK1e-WWiCo2PvGqdNfdme4m17_Ezd3J69EeeiQPD0/edit?usp=sharing"",""อุทัยธานี!N517"")"),0)</f>
        <v>0</v>
      </c>
      <c r="O517" s="46">
        <f t="shared" ca="1" si="363"/>
        <v>0</v>
      </c>
      <c r="P517" s="46">
        <f t="shared" ca="1" si="364"/>
        <v>0</v>
      </c>
      <c r="Q517" s="48">
        <f ca="1">IFERROR(__xludf.DUMMYFUNCTION("IMPORTRANGE(""https://docs.google.com/spreadsheets/d/1jTcq05yEiRwXcBMLjiodW9e4biSGYWAHcDj22rKWQ3s/edit?usp=sharing"",""กำแพงเพชร!Q517"")+IMPORTRANGE(""https://docs.google.com/spreadsheets/d/1KS0zmDSZPk8KnTAbGN-Xk6MtX1YRZD0ldgdt20K4CRk/edit?usp=sharing"","&amp;"""เชียงราย!Q517"")+IMPORTRANGE(""https://docs.google.com/spreadsheets/d/1rEDxBtusbi64tE0zunoIbsTVV16HeL0oJ6trHQeQ7K8/edit?usp=sharing"",""เชียงใหม่!Q517"")+IMPORTRANGE(""https://docs.google.com/spreadsheets/d/1W6MnUbDkMi6xHnHko_XkFDO9kkuL6Wqyc-6OCDFjW9I/e"&amp;"dit?usp=sharing"",""ตาก!Q517"")+IMPORTRANGE(""https://docs.google.com/spreadsheets/d/1IQAWArduLkta9LpYo4a_ULsyqdta6-6aDDiwpUnQT6c/edit?usp=sharing"",""นครสวรรค์!Q517"")+IMPORTRANGE(""https://docs.google.com/spreadsheets/d/10s13Sk5xrltsiR-Zkbmk5DwIaDIKO8Xl"&amp;"bJAfqyT7Gvg/edit?usp=sharing"",""น่าน!Q517"")+IMPORTRANGE(""https://docs.google.com/spreadsheets/d/1uu4nAn4Dbi1XREnLKKotUANlKXa7yCgRcgq8HEzQYW8/edit?usp=sharing"",""พะเยา!Q517"")+IMPORTRANGE(""https://docs.google.com/spreadsheets/d/1xfJKIQxVOaPDIICqsflNlL"&amp;"u3JacTDk1FP9RH4phX7mI/edit?usp=sharing"",""พิจิตร!Q517"")+IMPORTRANGE(""https://docs.google.com/spreadsheets/d/1JtRfZkJMHtEhI5RdRHxYUG4FIZHqKDpNyIuN7A1Q0_k/edit?usp=sharing"",""พิษณุโลก!Q517"")+IMPORTRANGE(""https://docs.google.com/spreadsheets/d/1xlcVZWU"&amp;"Nn6SuWm0c307h32SiGkd9BaeQWlAktfD3KO8/edit?usp=sharing"",""เพชรบูรณ์!Q517"")+IMPORTRANGE(""https://docs.google.com/spreadsheets/d/1lOVebEIsI9qjGXl6EX66luk7wiuP2tBaryw-wKvv4e0/edit?usp=sharing"",""แพร่!Q517"")+IMPORTRANGE(""https://docs.google.com/spreadshe"&amp;"ets/d/1dQrvX0vEcN7Gu0fnZ0B5S90AeR19zth4XlExFBeExMY/edit?usp=sharing"",""แม่ฮ่องสอน!Q517"")+IMPORTRANGE(""https://docs.google.com/spreadsheets/d/1DY4XTNNwjluuxqdfdn6qvOSlMRrZqUtmYcZR0ttFiG4/edit?usp=sharing"",""ลำปาง!Q517"")+IMPORTRANGE(""https://docs.goog"&amp;"le.com/spreadsheets/d/1ICwG78r0OFT8biBlxnBF8r7she7gNSzOvJ958PWT09c/edit?usp=sharing"",""ลำพูน!Q517"")+IMPORTRANGE(""https://docs.google.com/spreadsheets/d/1B0f2xJpZUC6Z0xXnqKlZtEPzsf6L84eP1r1Q15seqRM/edit?usp=sharing"",""สุโขทัย!Q517"")+IMPORTRANGE(""http"&amp;"s://docs.google.com/spreadsheets/d/1v0b9pFQCsKUVExMei7AgY2yQkdeNQvtOssygGsXbiKo/edit?usp=sharing"",""อุตรดิตถ์!Q517"")+IMPORTRANGE(""https://docs.google.com/spreadsheets/d/1UsNK1e-WWiCo2PvGqdNfdme4m17_Ezd3J69EeeiQPD0/edit?usp=sharing"",""อุทัยธานี!Q517"")"),0)</f>
        <v>0</v>
      </c>
      <c r="R517" s="48">
        <f ca="1">IFERROR(__xludf.DUMMYFUNCTION("IMPORTRANGE(""https://docs.google.com/spreadsheets/d/1jTcq05yEiRwXcBMLjiodW9e4biSGYWAHcDj22rKWQ3s/edit?usp=sharing"",""กำแพงเพชร!R517"")+IMPORTRANGE(""https://docs.google.com/spreadsheets/d/1KS0zmDSZPk8KnTAbGN-Xk6MtX1YRZD0ldgdt20K4CRk/edit?usp=sharing"","&amp;"""เชียงราย!R517"")+IMPORTRANGE(""https://docs.google.com/spreadsheets/d/1rEDxBtusbi64tE0zunoIbsTVV16HeL0oJ6trHQeQ7K8/edit?usp=sharing"",""เชียงใหม่!R517"")+IMPORTRANGE(""https://docs.google.com/spreadsheets/d/1W6MnUbDkMi6xHnHko_XkFDO9kkuL6Wqyc-6OCDFjW9I/e"&amp;"dit?usp=sharing"",""ตาก!R517"")+IMPORTRANGE(""https://docs.google.com/spreadsheets/d/1IQAWArduLkta9LpYo4a_ULsyqdta6-6aDDiwpUnQT6c/edit?usp=sharing"",""นครสวรรค์!R517"")+IMPORTRANGE(""https://docs.google.com/spreadsheets/d/10s13Sk5xrltsiR-Zkbmk5DwIaDIKO8Xl"&amp;"bJAfqyT7Gvg/edit?usp=sharing"",""น่าน!R517"")+IMPORTRANGE(""https://docs.google.com/spreadsheets/d/1uu4nAn4Dbi1XREnLKKotUANlKXa7yCgRcgq8HEzQYW8/edit?usp=sharing"",""พะเยา!R517"")+IMPORTRANGE(""https://docs.google.com/spreadsheets/d/1xfJKIQxVOaPDIICqsflNlL"&amp;"u3JacTDk1FP9RH4phX7mI/edit?usp=sharing"",""พิจิตร!R517"")+IMPORTRANGE(""https://docs.google.com/spreadsheets/d/1JtRfZkJMHtEhI5RdRHxYUG4FIZHqKDpNyIuN7A1Q0_k/edit?usp=sharing"",""พิษณุโลก!R517"")+IMPORTRANGE(""https://docs.google.com/spreadsheets/d/1xlcVZWU"&amp;"Nn6SuWm0c307h32SiGkd9BaeQWlAktfD3KO8/edit?usp=sharing"",""เพชรบูรณ์!R517"")+IMPORTRANGE(""https://docs.google.com/spreadsheets/d/1lOVebEIsI9qjGXl6EX66luk7wiuP2tBaryw-wKvv4e0/edit?usp=sharing"",""แพร่!R517"")+IMPORTRANGE(""https://docs.google.com/spreadshe"&amp;"ets/d/1dQrvX0vEcN7Gu0fnZ0B5S90AeR19zth4XlExFBeExMY/edit?usp=sharing"",""แม่ฮ่องสอน!R517"")+IMPORTRANGE(""https://docs.google.com/spreadsheets/d/1DY4XTNNwjluuxqdfdn6qvOSlMRrZqUtmYcZR0ttFiG4/edit?usp=sharing"",""ลำปาง!R517"")+IMPORTRANGE(""https://docs.goog"&amp;"le.com/spreadsheets/d/1ICwG78r0OFT8biBlxnBF8r7she7gNSzOvJ958PWT09c/edit?usp=sharing"",""ลำพูน!R517"")+IMPORTRANGE(""https://docs.google.com/spreadsheets/d/1B0f2xJpZUC6Z0xXnqKlZtEPzsf6L84eP1r1Q15seqRM/edit?usp=sharing"",""สุโขทัย!R517"")+IMPORTRANGE(""http"&amp;"s://docs.google.com/spreadsheets/d/1v0b9pFQCsKUVExMei7AgY2yQkdeNQvtOssygGsXbiKo/edit?usp=sharing"",""อุตรดิตถ์!R517"")+IMPORTRANGE(""https://docs.google.com/spreadsheets/d/1UsNK1e-WWiCo2PvGqdNfdme4m17_Ezd3J69EeeiQPD0/edit?usp=sharing"",""อุทัยธานี!R517"")"),0)</f>
        <v>0</v>
      </c>
      <c r="S517" s="48">
        <f ca="1">IFERROR(__xludf.DUMMYFUNCTION("IMPORTRANGE(""https://docs.google.com/spreadsheets/d/1jTcq05yEiRwXcBMLjiodW9e4biSGYWAHcDj22rKWQ3s/edit?usp=sharing"",""กำแพงเพชร!S517"")+IMPORTRANGE(""https://docs.google.com/spreadsheets/d/1KS0zmDSZPk8KnTAbGN-Xk6MtX1YRZD0ldgdt20K4CRk/edit?usp=sharing"","&amp;"""เชียงราย!S517"")+IMPORTRANGE(""https://docs.google.com/spreadsheets/d/1rEDxBtusbi64tE0zunoIbsTVV16HeL0oJ6trHQeQ7K8/edit?usp=sharing"",""เชียงใหม่!S517"")+IMPORTRANGE(""https://docs.google.com/spreadsheets/d/1W6MnUbDkMi6xHnHko_XkFDO9kkuL6Wqyc-6OCDFjW9I/e"&amp;"dit?usp=sharing"",""ตาก!S517"")+IMPORTRANGE(""https://docs.google.com/spreadsheets/d/1IQAWArduLkta9LpYo4a_ULsyqdta6-6aDDiwpUnQT6c/edit?usp=sharing"",""นครสวรรค์!S517"")+IMPORTRANGE(""https://docs.google.com/spreadsheets/d/10s13Sk5xrltsiR-Zkbmk5DwIaDIKO8Xl"&amp;"bJAfqyT7Gvg/edit?usp=sharing"",""น่าน!S517"")+IMPORTRANGE(""https://docs.google.com/spreadsheets/d/1uu4nAn4Dbi1XREnLKKotUANlKXa7yCgRcgq8HEzQYW8/edit?usp=sharing"",""พะเยา!S517"")+IMPORTRANGE(""https://docs.google.com/spreadsheets/d/1xfJKIQxVOaPDIICqsflNlL"&amp;"u3JacTDk1FP9RH4phX7mI/edit?usp=sharing"",""พิจิตร!S517"")+IMPORTRANGE(""https://docs.google.com/spreadsheets/d/1JtRfZkJMHtEhI5RdRHxYUG4FIZHqKDpNyIuN7A1Q0_k/edit?usp=sharing"",""พิษณุโลก!S517"")+IMPORTRANGE(""https://docs.google.com/spreadsheets/d/1xlcVZWU"&amp;"Nn6SuWm0c307h32SiGkd9BaeQWlAktfD3KO8/edit?usp=sharing"",""เพชรบูรณ์!S517"")+IMPORTRANGE(""https://docs.google.com/spreadsheets/d/1lOVebEIsI9qjGXl6EX66luk7wiuP2tBaryw-wKvv4e0/edit?usp=sharing"",""แพร่!S517"")+IMPORTRANGE(""https://docs.google.com/spreadshe"&amp;"ets/d/1dQrvX0vEcN7Gu0fnZ0B5S90AeR19zth4XlExFBeExMY/edit?usp=sharing"",""แม่ฮ่องสอน!S517"")+IMPORTRANGE(""https://docs.google.com/spreadsheets/d/1DY4XTNNwjluuxqdfdn6qvOSlMRrZqUtmYcZR0ttFiG4/edit?usp=sharing"",""ลำปาง!S517"")+IMPORTRANGE(""https://docs.goog"&amp;"le.com/spreadsheets/d/1ICwG78r0OFT8biBlxnBF8r7she7gNSzOvJ958PWT09c/edit?usp=sharing"",""ลำพูน!S517"")+IMPORTRANGE(""https://docs.google.com/spreadsheets/d/1B0f2xJpZUC6Z0xXnqKlZtEPzsf6L84eP1r1Q15seqRM/edit?usp=sharing"",""สุโขทัย!S517"")+IMPORTRANGE(""http"&amp;"s://docs.google.com/spreadsheets/d/1v0b9pFQCsKUVExMei7AgY2yQkdeNQvtOssygGsXbiKo/edit?usp=sharing"",""อุตรดิตถ์!S517"")+IMPORTRANGE(""https://docs.google.com/spreadsheets/d/1UsNK1e-WWiCo2PvGqdNfdme4m17_Ezd3J69EeeiQPD0/edit?usp=sharing"",""อุทัยธานี!S517"")"),0)</f>
        <v>0</v>
      </c>
      <c r="T517" s="48">
        <f t="shared" ca="1" si="366"/>
        <v>0</v>
      </c>
      <c r="U517" s="48">
        <f t="shared" ca="1" si="367"/>
        <v>0</v>
      </c>
    </row>
    <row r="518" spans="1:21" ht="18.75" x14ac:dyDescent="0.25">
      <c r="A518" s="128"/>
      <c r="B518" s="40"/>
      <c r="C518" s="40"/>
      <c r="D518" s="40"/>
      <c r="E518" s="47" t="s">
        <v>37</v>
      </c>
      <c r="F518" s="40"/>
      <c r="G518" s="42"/>
      <c r="H518" s="134" t="s">
        <v>14</v>
      </c>
      <c r="I518" s="135"/>
      <c r="J518" s="135"/>
      <c r="K518" s="136"/>
      <c r="L518" s="46">
        <f ca="1">IFERROR(__xludf.DUMMYFUNCTION("IMPORTRANGE(""https://docs.google.com/spreadsheets/d/1jTcq05yEiRwXcBMLjiodW9e4biSGYWAHcDj22rKWQ3s/edit?usp=sharing"",""กำแพงเพชร!L518"")+IMPORTRANGE(""https://docs.google.com/spreadsheets/d/1KS0zmDSZPk8KnTAbGN-Xk6MtX1YRZD0ldgdt20K4CRk/edit?usp=sharing"","&amp;"""เชียงราย!L518"")+IMPORTRANGE(""https://docs.google.com/spreadsheets/d/1rEDxBtusbi64tE0zunoIbsTVV16HeL0oJ6trHQeQ7K8/edit?usp=sharing"",""เชียงใหม่!L518"")+IMPORTRANGE(""https://docs.google.com/spreadsheets/d/1W6MnUbDkMi6xHnHko_XkFDO9kkuL6Wqyc-6OCDFjW9I/e"&amp;"dit?usp=sharing"",""ตาก!L518"")+IMPORTRANGE(""https://docs.google.com/spreadsheets/d/1IQAWArduLkta9LpYo4a_ULsyqdta6-6aDDiwpUnQT6c/edit?usp=sharing"",""นครสวรรค์!L518"")+IMPORTRANGE(""https://docs.google.com/spreadsheets/d/10s13Sk5xrltsiR-Zkbmk5DwIaDIKO8Xl"&amp;"bJAfqyT7Gvg/edit?usp=sharing"",""น่าน!L518"")+IMPORTRANGE(""https://docs.google.com/spreadsheets/d/1uu4nAn4Dbi1XREnLKKotUANlKXa7yCgRcgq8HEzQYW8/edit?usp=sharing"",""พะเยา!L518"")+IMPORTRANGE(""https://docs.google.com/spreadsheets/d/1xfJKIQxVOaPDIICqsflNlL"&amp;"u3JacTDk1FP9RH4phX7mI/edit?usp=sharing"",""พิจิตร!L518"")+IMPORTRANGE(""https://docs.google.com/spreadsheets/d/1JtRfZkJMHtEhI5RdRHxYUG4FIZHqKDpNyIuN7A1Q0_k/edit?usp=sharing"",""พิษณุโลก!L518"")+IMPORTRANGE(""https://docs.google.com/spreadsheets/d/1xlcVZWU"&amp;"Nn6SuWm0c307h32SiGkd9BaeQWlAktfD3KO8/edit?usp=sharing"",""เพชรบูรณ์!L518"")+IMPORTRANGE(""https://docs.google.com/spreadsheets/d/1lOVebEIsI9qjGXl6EX66luk7wiuP2tBaryw-wKvv4e0/edit?usp=sharing"",""แพร่!L518"")+IMPORTRANGE(""https://docs.google.com/spreadshe"&amp;"ets/d/1dQrvX0vEcN7Gu0fnZ0B5S90AeR19zth4XlExFBeExMY/edit?usp=sharing"",""แม่ฮ่องสอน!L518"")+IMPORTRANGE(""https://docs.google.com/spreadsheets/d/1DY4XTNNwjluuxqdfdn6qvOSlMRrZqUtmYcZR0ttFiG4/edit?usp=sharing"",""ลำปาง!L518"")+IMPORTRANGE(""https://docs.goog"&amp;"le.com/spreadsheets/d/1ICwG78r0OFT8biBlxnBF8r7she7gNSzOvJ958PWT09c/edit?usp=sharing"",""ลำพูน!L518"")+IMPORTRANGE(""https://docs.google.com/spreadsheets/d/1B0f2xJpZUC6Z0xXnqKlZtEPzsf6L84eP1r1Q15seqRM/edit?usp=sharing"",""สุโขทัย!L518"")+IMPORTRANGE(""http"&amp;"s://docs.google.com/spreadsheets/d/1v0b9pFQCsKUVExMei7AgY2yQkdeNQvtOssygGsXbiKo/edit?usp=sharing"",""อุตรดิตถ์!L518"")+IMPORTRANGE(""https://docs.google.com/spreadsheets/d/1UsNK1e-WWiCo2PvGqdNfdme4m17_Ezd3J69EeeiQPD0/edit?usp=sharing"",""อุทัยธานี!L518"")"),0)</f>
        <v>0</v>
      </c>
      <c r="M518" s="46">
        <f ca="1">IFERROR(__xludf.DUMMYFUNCTION("IMPORTRANGE(""https://docs.google.com/spreadsheets/d/1jTcq05yEiRwXcBMLjiodW9e4biSGYWAHcDj22rKWQ3s/edit?usp=sharing"",""กำแพงเพชร!M518"")+IMPORTRANGE(""https://docs.google.com/spreadsheets/d/1KS0zmDSZPk8KnTAbGN-Xk6MtX1YRZD0ldgdt20K4CRk/edit?usp=sharing"","&amp;"""เชียงราย!M518"")+IMPORTRANGE(""https://docs.google.com/spreadsheets/d/1rEDxBtusbi64tE0zunoIbsTVV16HeL0oJ6trHQeQ7K8/edit?usp=sharing"",""เชียงใหม่!M518"")+IMPORTRANGE(""https://docs.google.com/spreadsheets/d/1W6MnUbDkMi6xHnHko_XkFDO9kkuL6Wqyc-6OCDFjW9I/e"&amp;"dit?usp=sharing"",""ตาก!M518"")+IMPORTRANGE(""https://docs.google.com/spreadsheets/d/1IQAWArduLkta9LpYo4a_ULsyqdta6-6aDDiwpUnQT6c/edit?usp=sharing"",""นครสวรรค์!M518"")+IMPORTRANGE(""https://docs.google.com/spreadsheets/d/10s13Sk5xrltsiR-Zkbmk5DwIaDIKO8Xl"&amp;"bJAfqyT7Gvg/edit?usp=sharing"",""น่าน!M518"")+IMPORTRANGE(""https://docs.google.com/spreadsheets/d/1uu4nAn4Dbi1XREnLKKotUANlKXa7yCgRcgq8HEzQYW8/edit?usp=sharing"",""พะเยา!M518"")+IMPORTRANGE(""https://docs.google.com/spreadsheets/d/1xfJKIQxVOaPDIICqsflNlL"&amp;"u3JacTDk1FP9RH4phX7mI/edit?usp=sharing"",""พิจิตร!M518"")+IMPORTRANGE(""https://docs.google.com/spreadsheets/d/1JtRfZkJMHtEhI5RdRHxYUG4FIZHqKDpNyIuN7A1Q0_k/edit?usp=sharing"",""พิษณุโลก!M518"")+IMPORTRANGE(""https://docs.google.com/spreadsheets/d/1xlcVZWU"&amp;"Nn6SuWm0c307h32SiGkd9BaeQWlAktfD3KO8/edit?usp=sharing"",""เพชรบูรณ์!M518"")+IMPORTRANGE(""https://docs.google.com/spreadsheets/d/1lOVebEIsI9qjGXl6EX66luk7wiuP2tBaryw-wKvv4e0/edit?usp=sharing"",""แพร่!M518"")+IMPORTRANGE(""https://docs.google.com/spreadshe"&amp;"ets/d/1dQrvX0vEcN7Gu0fnZ0B5S90AeR19zth4XlExFBeExMY/edit?usp=sharing"",""แม่ฮ่องสอน!M518"")+IMPORTRANGE(""https://docs.google.com/spreadsheets/d/1DY4XTNNwjluuxqdfdn6qvOSlMRrZqUtmYcZR0ttFiG4/edit?usp=sharing"",""ลำปาง!M518"")+IMPORTRANGE(""https://docs.goog"&amp;"le.com/spreadsheets/d/1ICwG78r0OFT8biBlxnBF8r7she7gNSzOvJ958PWT09c/edit?usp=sharing"",""ลำพูน!M518"")+IMPORTRANGE(""https://docs.google.com/spreadsheets/d/1B0f2xJpZUC6Z0xXnqKlZtEPzsf6L84eP1r1Q15seqRM/edit?usp=sharing"",""สุโขทัย!M518"")+IMPORTRANGE(""http"&amp;"s://docs.google.com/spreadsheets/d/1v0b9pFQCsKUVExMei7AgY2yQkdeNQvtOssygGsXbiKo/edit?usp=sharing"",""อุตรดิตถ์!M518"")+IMPORTRANGE(""https://docs.google.com/spreadsheets/d/1UsNK1e-WWiCo2PvGqdNfdme4m17_Ezd3J69EeeiQPD0/edit?usp=sharing"",""อุทัยธานี!M518"")"),0)</f>
        <v>0</v>
      </c>
      <c r="N518" s="46">
        <f ca="1">IFERROR(__xludf.DUMMYFUNCTION("IMPORTRANGE(""https://docs.google.com/spreadsheets/d/1jTcq05yEiRwXcBMLjiodW9e4biSGYWAHcDj22rKWQ3s/edit?usp=sharing"",""กำแพงเพชร!N518"")+IMPORTRANGE(""https://docs.google.com/spreadsheets/d/1KS0zmDSZPk8KnTAbGN-Xk6MtX1YRZD0ldgdt20K4CRk/edit?usp=sharing"","&amp;"""เชียงราย!N518"")+IMPORTRANGE(""https://docs.google.com/spreadsheets/d/1rEDxBtusbi64tE0zunoIbsTVV16HeL0oJ6trHQeQ7K8/edit?usp=sharing"",""เชียงใหม่!N518"")+IMPORTRANGE(""https://docs.google.com/spreadsheets/d/1W6MnUbDkMi6xHnHko_XkFDO9kkuL6Wqyc-6OCDFjW9I/e"&amp;"dit?usp=sharing"",""ตาก!N518"")+IMPORTRANGE(""https://docs.google.com/spreadsheets/d/1IQAWArduLkta9LpYo4a_ULsyqdta6-6aDDiwpUnQT6c/edit?usp=sharing"",""นครสวรรค์!N518"")+IMPORTRANGE(""https://docs.google.com/spreadsheets/d/10s13Sk5xrltsiR-Zkbmk5DwIaDIKO8Xl"&amp;"bJAfqyT7Gvg/edit?usp=sharing"",""น่าน!N518"")+IMPORTRANGE(""https://docs.google.com/spreadsheets/d/1uu4nAn4Dbi1XREnLKKotUANlKXa7yCgRcgq8HEzQYW8/edit?usp=sharing"",""พะเยา!N518"")+IMPORTRANGE(""https://docs.google.com/spreadsheets/d/1xfJKIQxVOaPDIICqsflNlL"&amp;"u3JacTDk1FP9RH4phX7mI/edit?usp=sharing"",""พิจิตร!N518"")+IMPORTRANGE(""https://docs.google.com/spreadsheets/d/1JtRfZkJMHtEhI5RdRHxYUG4FIZHqKDpNyIuN7A1Q0_k/edit?usp=sharing"",""พิษณุโลก!N518"")+IMPORTRANGE(""https://docs.google.com/spreadsheets/d/1xlcVZWU"&amp;"Nn6SuWm0c307h32SiGkd9BaeQWlAktfD3KO8/edit?usp=sharing"",""เพชรบูรณ์!N518"")+IMPORTRANGE(""https://docs.google.com/spreadsheets/d/1lOVebEIsI9qjGXl6EX66luk7wiuP2tBaryw-wKvv4e0/edit?usp=sharing"",""แพร่!N518"")+IMPORTRANGE(""https://docs.google.com/spreadshe"&amp;"ets/d/1dQrvX0vEcN7Gu0fnZ0B5S90AeR19zth4XlExFBeExMY/edit?usp=sharing"",""แม่ฮ่องสอน!N518"")+IMPORTRANGE(""https://docs.google.com/spreadsheets/d/1DY4XTNNwjluuxqdfdn6qvOSlMRrZqUtmYcZR0ttFiG4/edit?usp=sharing"",""ลำปาง!N518"")+IMPORTRANGE(""https://docs.goog"&amp;"le.com/spreadsheets/d/1ICwG78r0OFT8biBlxnBF8r7she7gNSzOvJ958PWT09c/edit?usp=sharing"",""ลำพูน!N518"")+IMPORTRANGE(""https://docs.google.com/spreadsheets/d/1B0f2xJpZUC6Z0xXnqKlZtEPzsf6L84eP1r1Q15seqRM/edit?usp=sharing"",""สุโขทัย!N518"")+IMPORTRANGE(""http"&amp;"s://docs.google.com/spreadsheets/d/1v0b9pFQCsKUVExMei7AgY2yQkdeNQvtOssygGsXbiKo/edit?usp=sharing"",""อุตรดิตถ์!N518"")+IMPORTRANGE(""https://docs.google.com/spreadsheets/d/1UsNK1e-WWiCo2PvGqdNfdme4m17_Ezd3J69EeeiQPD0/edit?usp=sharing"",""อุทัยธานี!N518"")"),0)</f>
        <v>0</v>
      </c>
      <c r="O518" s="46">
        <f t="shared" ca="1" si="363"/>
        <v>0</v>
      </c>
      <c r="P518" s="46">
        <f t="shared" ca="1" si="364"/>
        <v>0</v>
      </c>
      <c r="Q518" s="46">
        <f ca="1">IFERROR(__xludf.DUMMYFUNCTION("IMPORTRANGE(""https://docs.google.com/spreadsheets/d/1jTcq05yEiRwXcBMLjiodW9e4biSGYWAHcDj22rKWQ3s/edit?usp=sharing"",""กำแพงเพชร!Q518"")+IMPORTRANGE(""https://docs.google.com/spreadsheets/d/1KS0zmDSZPk8KnTAbGN-Xk6MtX1YRZD0ldgdt20K4CRk/edit?usp=sharing"","&amp;"""เชียงราย!Q518"")+IMPORTRANGE(""https://docs.google.com/spreadsheets/d/1rEDxBtusbi64tE0zunoIbsTVV16HeL0oJ6trHQeQ7K8/edit?usp=sharing"",""เชียงใหม่!Q518"")+IMPORTRANGE(""https://docs.google.com/spreadsheets/d/1W6MnUbDkMi6xHnHko_XkFDO9kkuL6Wqyc-6OCDFjW9I/e"&amp;"dit?usp=sharing"",""ตาก!Q518"")+IMPORTRANGE(""https://docs.google.com/spreadsheets/d/1IQAWArduLkta9LpYo4a_ULsyqdta6-6aDDiwpUnQT6c/edit?usp=sharing"",""นครสวรรค์!Q518"")+IMPORTRANGE(""https://docs.google.com/spreadsheets/d/10s13Sk5xrltsiR-Zkbmk5DwIaDIKO8Xl"&amp;"bJAfqyT7Gvg/edit?usp=sharing"",""น่าน!Q518"")+IMPORTRANGE(""https://docs.google.com/spreadsheets/d/1uu4nAn4Dbi1XREnLKKotUANlKXa7yCgRcgq8HEzQYW8/edit?usp=sharing"",""พะเยา!Q518"")+IMPORTRANGE(""https://docs.google.com/spreadsheets/d/1xfJKIQxVOaPDIICqsflNlL"&amp;"u3JacTDk1FP9RH4phX7mI/edit?usp=sharing"",""พิจิตร!Q518"")+IMPORTRANGE(""https://docs.google.com/spreadsheets/d/1JtRfZkJMHtEhI5RdRHxYUG4FIZHqKDpNyIuN7A1Q0_k/edit?usp=sharing"",""พิษณุโลก!Q518"")+IMPORTRANGE(""https://docs.google.com/spreadsheets/d/1xlcVZWU"&amp;"Nn6SuWm0c307h32SiGkd9BaeQWlAktfD3KO8/edit?usp=sharing"",""เพชรบูรณ์!Q518"")+IMPORTRANGE(""https://docs.google.com/spreadsheets/d/1lOVebEIsI9qjGXl6EX66luk7wiuP2tBaryw-wKvv4e0/edit?usp=sharing"",""แพร่!Q518"")+IMPORTRANGE(""https://docs.google.com/spreadshe"&amp;"ets/d/1dQrvX0vEcN7Gu0fnZ0B5S90AeR19zth4XlExFBeExMY/edit?usp=sharing"",""แม่ฮ่องสอน!Q518"")+IMPORTRANGE(""https://docs.google.com/spreadsheets/d/1DY4XTNNwjluuxqdfdn6qvOSlMRrZqUtmYcZR0ttFiG4/edit?usp=sharing"",""ลำปาง!Q518"")+IMPORTRANGE(""https://docs.goog"&amp;"le.com/spreadsheets/d/1ICwG78r0OFT8biBlxnBF8r7she7gNSzOvJ958PWT09c/edit?usp=sharing"",""ลำพูน!Q518"")+IMPORTRANGE(""https://docs.google.com/spreadsheets/d/1B0f2xJpZUC6Z0xXnqKlZtEPzsf6L84eP1r1Q15seqRM/edit?usp=sharing"",""สุโขทัย!Q518"")+IMPORTRANGE(""http"&amp;"s://docs.google.com/spreadsheets/d/1v0b9pFQCsKUVExMei7AgY2yQkdeNQvtOssygGsXbiKo/edit?usp=sharing"",""อุตรดิตถ์!Q518"")+IMPORTRANGE(""https://docs.google.com/spreadsheets/d/1UsNK1e-WWiCo2PvGqdNfdme4m17_Ezd3J69EeeiQPD0/edit?usp=sharing"",""อุทัยธานี!Q518"")"),0)</f>
        <v>0</v>
      </c>
      <c r="R518" s="46">
        <f ca="1">IFERROR(__xludf.DUMMYFUNCTION("IMPORTRANGE(""https://docs.google.com/spreadsheets/d/1jTcq05yEiRwXcBMLjiodW9e4biSGYWAHcDj22rKWQ3s/edit?usp=sharing"",""กำแพงเพชร!R518"")+IMPORTRANGE(""https://docs.google.com/spreadsheets/d/1KS0zmDSZPk8KnTAbGN-Xk6MtX1YRZD0ldgdt20K4CRk/edit?usp=sharing"","&amp;"""เชียงราย!R518"")+IMPORTRANGE(""https://docs.google.com/spreadsheets/d/1rEDxBtusbi64tE0zunoIbsTVV16HeL0oJ6trHQeQ7K8/edit?usp=sharing"",""เชียงใหม่!R518"")+IMPORTRANGE(""https://docs.google.com/spreadsheets/d/1W6MnUbDkMi6xHnHko_XkFDO9kkuL6Wqyc-6OCDFjW9I/e"&amp;"dit?usp=sharing"",""ตาก!R518"")+IMPORTRANGE(""https://docs.google.com/spreadsheets/d/1IQAWArduLkta9LpYo4a_ULsyqdta6-6aDDiwpUnQT6c/edit?usp=sharing"",""นครสวรรค์!R518"")+IMPORTRANGE(""https://docs.google.com/spreadsheets/d/10s13Sk5xrltsiR-Zkbmk5DwIaDIKO8Xl"&amp;"bJAfqyT7Gvg/edit?usp=sharing"",""น่าน!R518"")+IMPORTRANGE(""https://docs.google.com/spreadsheets/d/1uu4nAn4Dbi1XREnLKKotUANlKXa7yCgRcgq8HEzQYW8/edit?usp=sharing"",""พะเยา!R518"")+IMPORTRANGE(""https://docs.google.com/spreadsheets/d/1xfJKIQxVOaPDIICqsflNlL"&amp;"u3JacTDk1FP9RH4phX7mI/edit?usp=sharing"",""พิจิตร!R518"")+IMPORTRANGE(""https://docs.google.com/spreadsheets/d/1JtRfZkJMHtEhI5RdRHxYUG4FIZHqKDpNyIuN7A1Q0_k/edit?usp=sharing"",""พิษณุโลก!R518"")+IMPORTRANGE(""https://docs.google.com/spreadsheets/d/1xlcVZWU"&amp;"Nn6SuWm0c307h32SiGkd9BaeQWlAktfD3KO8/edit?usp=sharing"",""เพชรบูรณ์!R518"")+IMPORTRANGE(""https://docs.google.com/spreadsheets/d/1lOVebEIsI9qjGXl6EX66luk7wiuP2tBaryw-wKvv4e0/edit?usp=sharing"",""แพร่!R518"")+IMPORTRANGE(""https://docs.google.com/spreadshe"&amp;"ets/d/1dQrvX0vEcN7Gu0fnZ0B5S90AeR19zth4XlExFBeExMY/edit?usp=sharing"",""แม่ฮ่องสอน!R518"")+IMPORTRANGE(""https://docs.google.com/spreadsheets/d/1DY4XTNNwjluuxqdfdn6qvOSlMRrZqUtmYcZR0ttFiG4/edit?usp=sharing"",""ลำปาง!R518"")+IMPORTRANGE(""https://docs.goog"&amp;"le.com/spreadsheets/d/1ICwG78r0OFT8biBlxnBF8r7she7gNSzOvJ958PWT09c/edit?usp=sharing"",""ลำพูน!R518"")+IMPORTRANGE(""https://docs.google.com/spreadsheets/d/1B0f2xJpZUC6Z0xXnqKlZtEPzsf6L84eP1r1Q15seqRM/edit?usp=sharing"",""สุโขทัย!R518"")+IMPORTRANGE(""http"&amp;"s://docs.google.com/spreadsheets/d/1v0b9pFQCsKUVExMei7AgY2yQkdeNQvtOssygGsXbiKo/edit?usp=sharing"",""อุตรดิตถ์!R518"")+IMPORTRANGE(""https://docs.google.com/spreadsheets/d/1UsNK1e-WWiCo2PvGqdNfdme4m17_Ezd3J69EeeiQPD0/edit?usp=sharing"",""อุทัยธานี!R518"")"),0)</f>
        <v>0</v>
      </c>
      <c r="S518" s="46">
        <f ca="1">IFERROR(__xludf.DUMMYFUNCTION("IMPORTRANGE(""https://docs.google.com/spreadsheets/d/1jTcq05yEiRwXcBMLjiodW9e4biSGYWAHcDj22rKWQ3s/edit?usp=sharing"",""กำแพงเพชร!S518"")+IMPORTRANGE(""https://docs.google.com/spreadsheets/d/1KS0zmDSZPk8KnTAbGN-Xk6MtX1YRZD0ldgdt20K4CRk/edit?usp=sharing"","&amp;"""เชียงราย!S518"")+IMPORTRANGE(""https://docs.google.com/spreadsheets/d/1rEDxBtusbi64tE0zunoIbsTVV16HeL0oJ6trHQeQ7K8/edit?usp=sharing"",""เชียงใหม่!S518"")+IMPORTRANGE(""https://docs.google.com/spreadsheets/d/1W6MnUbDkMi6xHnHko_XkFDO9kkuL6Wqyc-6OCDFjW9I/e"&amp;"dit?usp=sharing"",""ตาก!S518"")+IMPORTRANGE(""https://docs.google.com/spreadsheets/d/1IQAWArduLkta9LpYo4a_ULsyqdta6-6aDDiwpUnQT6c/edit?usp=sharing"",""นครสวรรค์!S518"")+IMPORTRANGE(""https://docs.google.com/spreadsheets/d/10s13Sk5xrltsiR-Zkbmk5DwIaDIKO8Xl"&amp;"bJAfqyT7Gvg/edit?usp=sharing"",""น่าน!S518"")+IMPORTRANGE(""https://docs.google.com/spreadsheets/d/1uu4nAn4Dbi1XREnLKKotUANlKXa7yCgRcgq8HEzQYW8/edit?usp=sharing"",""พะเยา!S518"")+IMPORTRANGE(""https://docs.google.com/spreadsheets/d/1xfJKIQxVOaPDIICqsflNlL"&amp;"u3JacTDk1FP9RH4phX7mI/edit?usp=sharing"",""พิจิตร!S518"")+IMPORTRANGE(""https://docs.google.com/spreadsheets/d/1JtRfZkJMHtEhI5RdRHxYUG4FIZHqKDpNyIuN7A1Q0_k/edit?usp=sharing"",""พิษณุโลก!S518"")+IMPORTRANGE(""https://docs.google.com/spreadsheets/d/1xlcVZWU"&amp;"Nn6SuWm0c307h32SiGkd9BaeQWlAktfD3KO8/edit?usp=sharing"",""เพชรบูรณ์!S518"")+IMPORTRANGE(""https://docs.google.com/spreadsheets/d/1lOVebEIsI9qjGXl6EX66luk7wiuP2tBaryw-wKvv4e0/edit?usp=sharing"",""แพร่!S518"")+IMPORTRANGE(""https://docs.google.com/spreadshe"&amp;"ets/d/1dQrvX0vEcN7Gu0fnZ0B5S90AeR19zth4XlExFBeExMY/edit?usp=sharing"",""แม่ฮ่องสอน!S518"")+IMPORTRANGE(""https://docs.google.com/spreadsheets/d/1DY4XTNNwjluuxqdfdn6qvOSlMRrZqUtmYcZR0ttFiG4/edit?usp=sharing"",""ลำปาง!S518"")+IMPORTRANGE(""https://docs.goog"&amp;"le.com/spreadsheets/d/1ICwG78r0OFT8biBlxnBF8r7she7gNSzOvJ958PWT09c/edit?usp=sharing"",""ลำพูน!S518"")+IMPORTRANGE(""https://docs.google.com/spreadsheets/d/1B0f2xJpZUC6Z0xXnqKlZtEPzsf6L84eP1r1Q15seqRM/edit?usp=sharing"",""สุโขทัย!S518"")+IMPORTRANGE(""http"&amp;"s://docs.google.com/spreadsheets/d/1v0b9pFQCsKUVExMei7AgY2yQkdeNQvtOssygGsXbiKo/edit?usp=sharing"",""อุตรดิตถ์!S518"")+IMPORTRANGE(""https://docs.google.com/spreadsheets/d/1UsNK1e-WWiCo2PvGqdNfdme4m17_Ezd3J69EeeiQPD0/edit?usp=sharing"",""อุทัยธานี!S518"")"),0)</f>
        <v>0</v>
      </c>
      <c r="T518" s="46">
        <f t="shared" ca="1" si="366"/>
        <v>0</v>
      </c>
      <c r="U518" s="46">
        <f t="shared" ca="1" si="367"/>
        <v>0</v>
      </c>
    </row>
    <row r="519" spans="1:21" ht="18.75" x14ac:dyDescent="0.25">
      <c r="A519" s="128"/>
      <c r="B519" s="40"/>
      <c r="C519" s="40"/>
      <c r="D519" s="41" t="s">
        <v>23</v>
      </c>
      <c r="E519" s="40"/>
      <c r="F519" s="40"/>
      <c r="G519" s="42"/>
      <c r="H519" s="137" t="s">
        <v>14</v>
      </c>
      <c r="I519" s="135"/>
      <c r="J519" s="135"/>
      <c r="K519" s="136"/>
      <c r="L519" s="46">
        <f t="shared" ref="L519:N519" ca="1" si="374">L520+L521</f>
        <v>0</v>
      </c>
      <c r="M519" s="46">
        <f t="shared" ca="1" si="374"/>
        <v>0</v>
      </c>
      <c r="N519" s="46">
        <f t="shared" ca="1" si="374"/>
        <v>0</v>
      </c>
      <c r="O519" s="46">
        <f t="shared" ca="1" si="363"/>
        <v>0</v>
      </c>
      <c r="P519" s="46">
        <f t="shared" ca="1" si="364"/>
        <v>0</v>
      </c>
      <c r="Q519" s="46">
        <f t="shared" ref="Q519:S519" ca="1" si="375">Q520+Q521</f>
        <v>0</v>
      </c>
      <c r="R519" s="46">
        <f t="shared" ca="1" si="375"/>
        <v>0</v>
      </c>
      <c r="S519" s="46">
        <f t="shared" ca="1" si="375"/>
        <v>0</v>
      </c>
      <c r="T519" s="46">
        <f t="shared" ca="1" si="366"/>
        <v>0</v>
      </c>
      <c r="U519" s="46">
        <f t="shared" ca="1" si="367"/>
        <v>0</v>
      </c>
    </row>
    <row r="520" spans="1:21" ht="18.75" x14ac:dyDescent="0.25">
      <c r="A520" s="128"/>
      <c r="B520" s="40"/>
      <c r="C520" s="40"/>
      <c r="D520" s="40"/>
      <c r="E520" s="47" t="s">
        <v>20</v>
      </c>
      <c r="F520" s="40"/>
      <c r="G520" s="42"/>
      <c r="H520" s="134" t="s">
        <v>14</v>
      </c>
      <c r="I520" s="135"/>
      <c r="J520" s="135"/>
      <c r="K520" s="136"/>
      <c r="L520" s="46">
        <f ca="1">IFERROR(__xludf.DUMMYFUNCTION("IMPORTRANGE(""https://docs.google.com/spreadsheets/d/1jTcq05yEiRwXcBMLjiodW9e4biSGYWAHcDj22rKWQ3s/edit?usp=sharing"",""กำแพงเพชร!L520"")+IMPORTRANGE(""https://docs.google.com/spreadsheets/d/1KS0zmDSZPk8KnTAbGN-Xk6MtX1YRZD0ldgdt20K4CRk/edit?usp=sharing"","&amp;"""เชียงราย!L520"")+IMPORTRANGE(""https://docs.google.com/spreadsheets/d/1rEDxBtusbi64tE0zunoIbsTVV16HeL0oJ6trHQeQ7K8/edit?usp=sharing"",""เชียงใหม่!L520"")+IMPORTRANGE(""https://docs.google.com/spreadsheets/d/1W6MnUbDkMi6xHnHko_XkFDO9kkuL6Wqyc-6OCDFjW9I/e"&amp;"dit?usp=sharing"",""ตาก!L520"")+IMPORTRANGE(""https://docs.google.com/spreadsheets/d/1IQAWArduLkta9LpYo4a_ULsyqdta6-6aDDiwpUnQT6c/edit?usp=sharing"",""นครสวรรค์!L520"")+IMPORTRANGE(""https://docs.google.com/spreadsheets/d/10s13Sk5xrltsiR-Zkbmk5DwIaDIKO8Xl"&amp;"bJAfqyT7Gvg/edit?usp=sharing"",""น่าน!L520"")+IMPORTRANGE(""https://docs.google.com/spreadsheets/d/1uu4nAn4Dbi1XREnLKKotUANlKXa7yCgRcgq8HEzQYW8/edit?usp=sharing"",""พะเยา!L520"")+IMPORTRANGE(""https://docs.google.com/spreadsheets/d/1xfJKIQxVOaPDIICqsflNlL"&amp;"u3JacTDk1FP9RH4phX7mI/edit?usp=sharing"",""พิจิตร!L520"")+IMPORTRANGE(""https://docs.google.com/spreadsheets/d/1JtRfZkJMHtEhI5RdRHxYUG4FIZHqKDpNyIuN7A1Q0_k/edit?usp=sharing"",""พิษณุโลก!L520"")+IMPORTRANGE(""https://docs.google.com/spreadsheets/d/1xlcVZWU"&amp;"Nn6SuWm0c307h32SiGkd9BaeQWlAktfD3KO8/edit?usp=sharing"",""เพชรบูรณ์!L520"")+IMPORTRANGE(""https://docs.google.com/spreadsheets/d/1lOVebEIsI9qjGXl6EX66luk7wiuP2tBaryw-wKvv4e0/edit?usp=sharing"",""แพร่!L520"")+IMPORTRANGE(""https://docs.google.com/spreadshe"&amp;"ets/d/1dQrvX0vEcN7Gu0fnZ0B5S90AeR19zth4XlExFBeExMY/edit?usp=sharing"",""แม่ฮ่องสอน!L520"")+IMPORTRANGE(""https://docs.google.com/spreadsheets/d/1DY4XTNNwjluuxqdfdn6qvOSlMRrZqUtmYcZR0ttFiG4/edit?usp=sharing"",""ลำปาง!L520"")+IMPORTRANGE(""https://docs.goog"&amp;"le.com/spreadsheets/d/1ICwG78r0OFT8biBlxnBF8r7she7gNSzOvJ958PWT09c/edit?usp=sharing"",""ลำพูน!L520"")+IMPORTRANGE(""https://docs.google.com/spreadsheets/d/1B0f2xJpZUC6Z0xXnqKlZtEPzsf6L84eP1r1Q15seqRM/edit?usp=sharing"",""สุโขทัย!L520"")+IMPORTRANGE(""http"&amp;"s://docs.google.com/spreadsheets/d/1v0b9pFQCsKUVExMei7AgY2yQkdeNQvtOssygGsXbiKo/edit?usp=sharing"",""อุตรดิตถ์!L520"")+IMPORTRANGE(""https://docs.google.com/spreadsheets/d/1UsNK1e-WWiCo2PvGqdNfdme4m17_Ezd3J69EeeiQPD0/edit?usp=sharing"",""อุทัยธานี!L520"")"),0)</f>
        <v>0</v>
      </c>
      <c r="M520" s="46">
        <f ca="1">IFERROR(__xludf.DUMMYFUNCTION("IMPORTRANGE(""https://docs.google.com/spreadsheets/d/1jTcq05yEiRwXcBMLjiodW9e4biSGYWAHcDj22rKWQ3s/edit?usp=sharing"",""กำแพงเพชร!M520"")+IMPORTRANGE(""https://docs.google.com/spreadsheets/d/1KS0zmDSZPk8KnTAbGN-Xk6MtX1YRZD0ldgdt20K4CRk/edit?usp=sharing"","&amp;"""เชียงราย!M520"")+IMPORTRANGE(""https://docs.google.com/spreadsheets/d/1rEDxBtusbi64tE0zunoIbsTVV16HeL0oJ6trHQeQ7K8/edit?usp=sharing"",""เชียงใหม่!M520"")+IMPORTRANGE(""https://docs.google.com/spreadsheets/d/1W6MnUbDkMi6xHnHko_XkFDO9kkuL6Wqyc-6OCDFjW9I/e"&amp;"dit?usp=sharing"",""ตาก!M520"")+IMPORTRANGE(""https://docs.google.com/spreadsheets/d/1IQAWArduLkta9LpYo4a_ULsyqdta6-6aDDiwpUnQT6c/edit?usp=sharing"",""นครสวรรค์!M520"")+IMPORTRANGE(""https://docs.google.com/spreadsheets/d/10s13Sk5xrltsiR-Zkbmk5DwIaDIKO8Xl"&amp;"bJAfqyT7Gvg/edit?usp=sharing"",""น่าน!M520"")+IMPORTRANGE(""https://docs.google.com/spreadsheets/d/1uu4nAn4Dbi1XREnLKKotUANlKXa7yCgRcgq8HEzQYW8/edit?usp=sharing"",""พะเยา!M520"")+IMPORTRANGE(""https://docs.google.com/spreadsheets/d/1xfJKIQxVOaPDIICqsflNlL"&amp;"u3JacTDk1FP9RH4phX7mI/edit?usp=sharing"",""พิจิตร!M520"")+IMPORTRANGE(""https://docs.google.com/spreadsheets/d/1JtRfZkJMHtEhI5RdRHxYUG4FIZHqKDpNyIuN7A1Q0_k/edit?usp=sharing"",""พิษณุโลก!M520"")+IMPORTRANGE(""https://docs.google.com/spreadsheets/d/1xlcVZWU"&amp;"Nn6SuWm0c307h32SiGkd9BaeQWlAktfD3KO8/edit?usp=sharing"",""เพชรบูรณ์!M520"")+IMPORTRANGE(""https://docs.google.com/spreadsheets/d/1lOVebEIsI9qjGXl6EX66luk7wiuP2tBaryw-wKvv4e0/edit?usp=sharing"",""แพร่!M520"")+IMPORTRANGE(""https://docs.google.com/spreadshe"&amp;"ets/d/1dQrvX0vEcN7Gu0fnZ0B5S90AeR19zth4XlExFBeExMY/edit?usp=sharing"",""แม่ฮ่องสอน!M520"")+IMPORTRANGE(""https://docs.google.com/spreadsheets/d/1DY4XTNNwjluuxqdfdn6qvOSlMRrZqUtmYcZR0ttFiG4/edit?usp=sharing"",""ลำปาง!M520"")+IMPORTRANGE(""https://docs.goog"&amp;"le.com/spreadsheets/d/1ICwG78r0OFT8biBlxnBF8r7she7gNSzOvJ958PWT09c/edit?usp=sharing"",""ลำพูน!M520"")+IMPORTRANGE(""https://docs.google.com/spreadsheets/d/1B0f2xJpZUC6Z0xXnqKlZtEPzsf6L84eP1r1Q15seqRM/edit?usp=sharing"",""สุโขทัย!M520"")+IMPORTRANGE(""http"&amp;"s://docs.google.com/spreadsheets/d/1v0b9pFQCsKUVExMei7AgY2yQkdeNQvtOssygGsXbiKo/edit?usp=sharing"",""อุตรดิตถ์!M520"")+IMPORTRANGE(""https://docs.google.com/spreadsheets/d/1UsNK1e-WWiCo2PvGqdNfdme4m17_Ezd3J69EeeiQPD0/edit?usp=sharing"",""อุทัยธานี!M520"")"),0)</f>
        <v>0</v>
      </c>
      <c r="N520" s="46">
        <f ca="1">IFERROR(__xludf.DUMMYFUNCTION("IMPORTRANGE(""https://docs.google.com/spreadsheets/d/1jTcq05yEiRwXcBMLjiodW9e4biSGYWAHcDj22rKWQ3s/edit?usp=sharing"",""กำแพงเพชร!N520"")+IMPORTRANGE(""https://docs.google.com/spreadsheets/d/1KS0zmDSZPk8KnTAbGN-Xk6MtX1YRZD0ldgdt20K4CRk/edit?usp=sharing"","&amp;"""เชียงราย!N520"")+IMPORTRANGE(""https://docs.google.com/spreadsheets/d/1rEDxBtusbi64tE0zunoIbsTVV16HeL0oJ6trHQeQ7K8/edit?usp=sharing"",""เชียงใหม่!N520"")+IMPORTRANGE(""https://docs.google.com/spreadsheets/d/1W6MnUbDkMi6xHnHko_XkFDO9kkuL6Wqyc-6OCDFjW9I/e"&amp;"dit?usp=sharing"",""ตาก!N520"")+IMPORTRANGE(""https://docs.google.com/spreadsheets/d/1IQAWArduLkta9LpYo4a_ULsyqdta6-6aDDiwpUnQT6c/edit?usp=sharing"",""นครสวรรค์!N520"")+IMPORTRANGE(""https://docs.google.com/spreadsheets/d/10s13Sk5xrltsiR-Zkbmk5DwIaDIKO8Xl"&amp;"bJAfqyT7Gvg/edit?usp=sharing"",""น่าน!N520"")+IMPORTRANGE(""https://docs.google.com/spreadsheets/d/1uu4nAn4Dbi1XREnLKKotUANlKXa7yCgRcgq8HEzQYW8/edit?usp=sharing"",""พะเยา!N520"")+IMPORTRANGE(""https://docs.google.com/spreadsheets/d/1xfJKIQxVOaPDIICqsflNlL"&amp;"u3JacTDk1FP9RH4phX7mI/edit?usp=sharing"",""พิจิตร!N520"")+IMPORTRANGE(""https://docs.google.com/spreadsheets/d/1JtRfZkJMHtEhI5RdRHxYUG4FIZHqKDpNyIuN7A1Q0_k/edit?usp=sharing"",""พิษณุโลก!N520"")+IMPORTRANGE(""https://docs.google.com/spreadsheets/d/1xlcVZWU"&amp;"Nn6SuWm0c307h32SiGkd9BaeQWlAktfD3KO8/edit?usp=sharing"",""เพชรบูรณ์!N520"")+IMPORTRANGE(""https://docs.google.com/spreadsheets/d/1lOVebEIsI9qjGXl6EX66luk7wiuP2tBaryw-wKvv4e0/edit?usp=sharing"",""แพร่!N520"")+IMPORTRANGE(""https://docs.google.com/spreadshe"&amp;"ets/d/1dQrvX0vEcN7Gu0fnZ0B5S90AeR19zth4XlExFBeExMY/edit?usp=sharing"",""แม่ฮ่องสอน!N520"")+IMPORTRANGE(""https://docs.google.com/spreadsheets/d/1DY4XTNNwjluuxqdfdn6qvOSlMRrZqUtmYcZR0ttFiG4/edit?usp=sharing"",""ลำปาง!N520"")+IMPORTRANGE(""https://docs.goog"&amp;"le.com/spreadsheets/d/1ICwG78r0OFT8biBlxnBF8r7she7gNSzOvJ958PWT09c/edit?usp=sharing"",""ลำพูน!N520"")+IMPORTRANGE(""https://docs.google.com/spreadsheets/d/1B0f2xJpZUC6Z0xXnqKlZtEPzsf6L84eP1r1Q15seqRM/edit?usp=sharing"",""สุโขทัย!N520"")+IMPORTRANGE(""http"&amp;"s://docs.google.com/spreadsheets/d/1v0b9pFQCsKUVExMei7AgY2yQkdeNQvtOssygGsXbiKo/edit?usp=sharing"",""อุตรดิตถ์!N520"")+IMPORTRANGE(""https://docs.google.com/spreadsheets/d/1UsNK1e-WWiCo2PvGqdNfdme4m17_Ezd3J69EeeiQPD0/edit?usp=sharing"",""อุทัยธานี!N520"")"),0)</f>
        <v>0</v>
      </c>
      <c r="O520" s="46">
        <f t="shared" ca="1" si="363"/>
        <v>0</v>
      </c>
      <c r="P520" s="46">
        <f t="shared" ca="1" si="364"/>
        <v>0</v>
      </c>
      <c r="Q520" s="48">
        <f ca="1">IFERROR(__xludf.DUMMYFUNCTION("IMPORTRANGE(""https://docs.google.com/spreadsheets/d/1jTcq05yEiRwXcBMLjiodW9e4biSGYWAHcDj22rKWQ3s/edit?usp=sharing"",""กำแพงเพชร!Q520"")+IMPORTRANGE(""https://docs.google.com/spreadsheets/d/1KS0zmDSZPk8KnTAbGN-Xk6MtX1YRZD0ldgdt20K4CRk/edit?usp=sharing"","&amp;"""เชียงราย!Q520"")+IMPORTRANGE(""https://docs.google.com/spreadsheets/d/1rEDxBtusbi64tE0zunoIbsTVV16HeL0oJ6trHQeQ7K8/edit?usp=sharing"",""เชียงใหม่!Q520"")+IMPORTRANGE(""https://docs.google.com/spreadsheets/d/1W6MnUbDkMi6xHnHko_XkFDO9kkuL6Wqyc-6OCDFjW9I/e"&amp;"dit?usp=sharing"",""ตาก!Q520"")+IMPORTRANGE(""https://docs.google.com/spreadsheets/d/1IQAWArduLkta9LpYo4a_ULsyqdta6-6aDDiwpUnQT6c/edit?usp=sharing"",""นครสวรรค์!Q520"")+IMPORTRANGE(""https://docs.google.com/spreadsheets/d/10s13Sk5xrltsiR-Zkbmk5DwIaDIKO8Xl"&amp;"bJAfqyT7Gvg/edit?usp=sharing"",""น่าน!Q520"")+IMPORTRANGE(""https://docs.google.com/spreadsheets/d/1uu4nAn4Dbi1XREnLKKotUANlKXa7yCgRcgq8HEzQYW8/edit?usp=sharing"",""พะเยา!Q520"")+IMPORTRANGE(""https://docs.google.com/spreadsheets/d/1xfJKIQxVOaPDIICqsflNlL"&amp;"u3JacTDk1FP9RH4phX7mI/edit?usp=sharing"",""พิจิตร!Q520"")+IMPORTRANGE(""https://docs.google.com/spreadsheets/d/1JtRfZkJMHtEhI5RdRHxYUG4FIZHqKDpNyIuN7A1Q0_k/edit?usp=sharing"",""พิษณุโลก!Q520"")+IMPORTRANGE(""https://docs.google.com/spreadsheets/d/1xlcVZWU"&amp;"Nn6SuWm0c307h32SiGkd9BaeQWlAktfD3KO8/edit?usp=sharing"",""เพชรบูรณ์!Q520"")+IMPORTRANGE(""https://docs.google.com/spreadsheets/d/1lOVebEIsI9qjGXl6EX66luk7wiuP2tBaryw-wKvv4e0/edit?usp=sharing"",""แพร่!Q520"")+IMPORTRANGE(""https://docs.google.com/spreadshe"&amp;"ets/d/1dQrvX0vEcN7Gu0fnZ0B5S90AeR19zth4XlExFBeExMY/edit?usp=sharing"",""แม่ฮ่องสอน!Q520"")+IMPORTRANGE(""https://docs.google.com/spreadsheets/d/1DY4XTNNwjluuxqdfdn6qvOSlMRrZqUtmYcZR0ttFiG4/edit?usp=sharing"",""ลำปาง!Q520"")+IMPORTRANGE(""https://docs.goog"&amp;"le.com/spreadsheets/d/1ICwG78r0OFT8biBlxnBF8r7she7gNSzOvJ958PWT09c/edit?usp=sharing"",""ลำพูน!Q520"")+IMPORTRANGE(""https://docs.google.com/spreadsheets/d/1B0f2xJpZUC6Z0xXnqKlZtEPzsf6L84eP1r1Q15seqRM/edit?usp=sharing"",""สุโขทัย!Q520"")+IMPORTRANGE(""http"&amp;"s://docs.google.com/spreadsheets/d/1v0b9pFQCsKUVExMei7AgY2yQkdeNQvtOssygGsXbiKo/edit?usp=sharing"",""อุตรดิตถ์!Q520"")+IMPORTRANGE(""https://docs.google.com/spreadsheets/d/1UsNK1e-WWiCo2PvGqdNfdme4m17_Ezd3J69EeeiQPD0/edit?usp=sharing"",""อุทัยธานี!Q520"")"),0)</f>
        <v>0</v>
      </c>
      <c r="R520" s="48">
        <f ca="1">IFERROR(__xludf.DUMMYFUNCTION("IMPORTRANGE(""https://docs.google.com/spreadsheets/d/1jTcq05yEiRwXcBMLjiodW9e4biSGYWAHcDj22rKWQ3s/edit?usp=sharing"",""กำแพงเพชร!R520"")+IMPORTRANGE(""https://docs.google.com/spreadsheets/d/1KS0zmDSZPk8KnTAbGN-Xk6MtX1YRZD0ldgdt20K4CRk/edit?usp=sharing"","&amp;"""เชียงราย!R520"")+IMPORTRANGE(""https://docs.google.com/spreadsheets/d/1rEDxBtusbi64tE0zunoIbsTVV16HeL0oJ6trHQeQ7K8/edit?usp=sharing"",""เชียงใหม่!R520"")+IMPORTRANGE(""https://docs.google.com/spreadsheets/d/1W6MnUbDkMi6xHnHko_XkFDO9kkuL6Wqyc-6OCDFjW9I/e"&amp;"dit?usp=sharing"",""ตาก!R520"")+IMPORTRANGE(""https://docs.google.com/spreadsheets/d/1IQAWArduLkta9LpYo4a_ULsyqdta6-6aDDiwpUnQT6c/edit?usp=sharing"",""นครสวรรค์!R520"")+IMPORTRANGE(""https://docs.google.com/spreadsheets/d/10s13Sk5xrltsiR-Zkbmk5DwIaDIKO8Xl"&amp;"bJAfqyT7Gvg/edit?usp=sharing"",""น่าน!R520"")+IMPORTRANGE(""https://docs.google.com/spreadsheets/d/1uu4nAn4Dbi1XREnLKKotUANlKXa7yCgRcgq8HEzQYW8/edit?usp=sharing"",""พะเยา!R520"")+IMPORTRANGE(""https://docs.google.com/spreadsheets/d/1xfJKIQxVOaPDIICqsflNlL"&amp;"u3JacTDk1FP9RH4phX7mI/edit?usp=sharing"",""พิจิตร!R520"")+IMPORTRANGE(""https://docs.google.com/spreadsheets/d/1JtRfZkJMHtEhI5RdRHxYUG4FIZHqKDpNyIuN7A1Q0_k/edit?usp=sharing"",""พิษณุโลก!R520"")+IMPORTRANGE(""https://docs.google.com/spreadsheets/d/1xlcVZWU"&amp;"Nn6SuWm0c307h32SiGkd9BaeQWlAktfD3KO8/edit?usp=sharing"",""เพชรบูรณ์!R520"")+IMPORTRANGE(""https://docs.google.com/spreadsheets/d/1lOVebEIsI9qjGXl6EX66luk7wiuP2tBaryw-wKvv4e0/edit?usp=sharing"",""แพร่!R520"")+IMPORTRANGE(""https://docs.google.com/spreadshe"&amp;"ets/d/1dQrvX0vEcN7Gu0fnZ0B5S90AeR19zth4XlExFBeExMY/edit?usp=sharing"",""แม่ฮ่องสอน!R520"")+IMPORTRANGE(""https://docs.google.com/spreadsheets/d/1DY4XTNNwjluuxqdfdn6qvOSlMRrZqUtmYcZR0ttFiG4/edit?usp=sharing"",""ลำปาง!R520"")+IMPORTRANGE(""https://docs.goog"&amp;"le.com/spreadsheets/d/1ICwG78r0OFT8biBlxnBF8r7she7gNSzOvJ958PWT09c/edit?usp=sharing"",""ลำพูน!R520"")+IMPORTRANGE(""https://docs.google.com/spreadsheets/d/1B0f2xJpZUC6Z0xXnqKlZtEPzsf6L84eP1r1Q15seqRM/edit?usp=sharing"",""สุโขทัย!R520"")+IMPORTRANGE(""http"&amp;"s://docs.google.com/spreadsheets/d/1v0b9pFQCsKUVExMei7AgY2yQkdeNQvtOssygGsXbiKo/edit?usp=sharing"",""อุตรดิตถ์!R520"")+IMPORTRANGE(""https://docs.google.com/spreadsheets/d/1UsNK1e-WWiCo2PvGqdNfdme4m17_Ezd3J69EeeiQPD0/edit?usp=sharing"",""อุทัยธานี!R520"")"),0)</f>
        <v>0</v>
      </c>
      <c r="S520" s="48">
        <f ca="1">IFERROR(__xludf.DUMMYFUNCTION("IMPORTRANGE(""https://docs.google.com/spreadsheets/d/1jTcq05yEiRwXcBMLjiodW9e4biSGYWAHcDj22rKWQ3s/edit?usp=sharing"",""กำแพงเพชร!S520"")+IMPORTRANGE(""https://docs.google.com/spreadsheets/d/1KS0zmDSZPk8KnTAbGN-Xk6MtX1YRZD0ldgdt20K4CRk/edit?usp=sharing"","&amp;"""เชียงราย!S520"")+IMPORTRANGE(""https://docs.google.com/spreadsheets/d/1rEDxBtusbi64tE0zunoIbsTVV16HeL0oJ6trHQeQ7K8/edit?usp=sharing"",""เชียงใหม่!S520"")+IMPORTRANGE(""https://docs.google.com/spreadsheets/d/1W6MnUbDkMi6xHnHko_XkFDO9kkuL6Wqyc-6OCDFjW9I/e"&amp;"dit?usp=sharing"",""ตาก!S520"")+IMPORTRANGE(""https://docs.google.com/spreadsheets/d/1IQAWArduLkta9LpYo4a_ULsyqdta6-6aDDiwpUnQT6c/edit?usp=sharing"",""นครสวรรค์!S520"")+IMPORTRANGE(""https://docs.google.com/spreadsheets/d/10s13Sk5xrltsiR-Zkbmk5DwIaDIKO8Xl"&amp;"bJAfqyT7Gvg/edit?usp=sharing"",""น่าน!S520"")+IMPORTRANGE(""https://docs.google.com/spreadsheets/d/1uu4nAn4Dbi1XREnLKKotUANlKXa7yCgRcgq8HEzQYW8/edit?usp=sharing"",""พะเยา!S520"")+IMPORTRANGE(""https://docs.google.com/spreadsheets/d/1xfJKIQxVOaPDIICqsflNlL"&amp;"u3JacTDk1FP9RH4phX7mI/edit?usp=sharing"",""พิจิตร!S520"")+IMPORTRANGE(""https://docs.google.com/spreadsheets/d/1JtRfZkJMHtEhI5RdRHxYUG4FIZHqKDpNyIuN7A1Q0_k/edit?usp=sharing"",""พิษณุโลก!S520"")+IMPORTRANGE(""https://docs.google.com/spreadsheets/d/1xlcVZWU"&amp;"Nn6SuWm0c307h32SiGkd9BaeQWlAktfD3KO8/edit?usp=sharing"",""เพชรบูรณ์!S520"")+IMPORTRANGE(""https://docs.google.com/spreadsheets/d/1lOVebEIsI9qjGXl6EX66luk7wiuP2tBaryw-wKvv4e0/edit?usp=sharing"",""แพร่!S520"")+IMPORTRANGE(""https://docs.google.com/spreadshe"&amp;"ets/d/1dQrvX0vEcN7Gu0fnZ0B5S90AeR19zth4XlExFBeExMY/edit?usp=sharing"",""แม่ฮ่องสอน!S520"")+IMPORTRANGE(""https://docs.google.com/spreadsheets/d/1DY4XTNNwjluuxqdfdn6qvOSlMRrZqUtmYcZR0ttFiG4/edit?usp=sharing"",""ลำปาง!S520"")+IMPORTRANGE(""https://docs.goog"&amp;"le.com/spreadsheets/d/1ICwG78r0OFT8biBlxnBF8r7she7gNSzOvJ958PWT09c/edit?usp=sharing"",""ลำพูน!S520"")+IMPORTRANGE(""https://docs.google.com/spreadsheets/d/1B0f2xJpZUC6Z0xXnqKlZtEPzsf6L84eP1r1Q15seqRM/edit?usp=sharing"",""สุโขทัย!S520"")+IMPORTRANGE(""http"&amp;"s://docs.google.com/spreadsheets/d/1v0b9pFQCsKUVExMei7AgY2yQkdeNQvtOssygGsXbiKo/edit?usp=sharing"",""อุตรดิตถ์!S520"")+IMPORTRANGE(""https://docs.google.com/spreadsheets/d/1UsNK1e-WWiCo2PvGqdNfdme4m17_Ezd3J69EeeiQPD0/edit?usp=sharing"",""อุทัยธานี!S520"")"),0)</f>
        <v>0</v>
      </c>
      <c r="T520" s="48">
        <f t="shared" ca="1" si="366"/>
        <v>0</v>
      </c>
      <c r="U520" s="48">
        <f t="shared" ca="1" si="367"/>
        <v>0</v>
      </c>
    </row>
    <row r="521" spans="1:21" ht="18.75" x14ac:dyDescent="0.25">
      <c r="A521" s="128"/>
      <c r="B521" s="40"/>
      <c r="C521" s="40"/>
      <c r="D521" s="40"/>
      <c r="E521" s="47" t="s">
        <v>21</v>
      </c>
      <c r="F521" s="40"/>
      <c r="G521" s="42"/>
      <c r="H521" s="137" t="s">
        <v>14</v>
      </c>
      <c r="I521" s="135"/>
      <c r="J521" s="135"/>
      <c r="K521" s="136"/>
      <c r="L521" s="46">
        <f ca="1">IFERROR(__xludf.DUMMYFUNCTION("IMPORTRANGE(""https://docs.google.com/spreadsheets/d/1jTcq05yEiRwXcBMLjiodW9e4biSGYWAHcDj22rKWQ3s/edit?usp=sharing"",""กำแพงเพชร!L521"")+IMPORTRANGE(""https://docs.google.com/spreadsheets/d/1KS0zmDSZPk8KnTAbGN-Xk6MtX1YRZD0ldgdt20K4CRk/edit?usp=sharing"","&amp;"""เชียงราย!L521"")+IMPORTRANGE(""https://docs.google.com/spreadsheets/d/1rEDxBtusbi64tE0zunoIbsTVV16HeL0oJ6trHQeQ7K8/edit?usp=sharing"",""เชียงใหม่!L521"")+IMPORTRANGE(""https://docs.google.com/spreadsheets/d/1W6MnUbDkMi6xHnHko_XkFDO9kkuL6Wqyc-6OCDFjW9I/e"&amp;"dit?usp=sharing"",""ตาก!L521"")+IMPORTRANGE(""https://docs.google.com/spreadsheets/d/1IQAWArduLkta9LpYo4a_ULsyqdta6-6aDDiwpUnQT6c/edit?usp=sharing"",""นครสวรรค์!L521"")+IMPORTRANGE(""https://docs.google.com/spreadsheets/d/10s13Sk5xrltsiR-Zkbmk5DwIaDIKO8Xl"&amp;"bJAfqyT7Gvg/edit?usp=sharing"",""น่าน!L521"")+IMPORTRANGE(""https://docs.google.com/spreadsheets/d/1uu4nAn4Dbi1XREnLKKotUANlKXa7yCgRcgq8HEzQYW8/edit?usp=sharing"",""พะเยา!L521"")+IMPORTRANGE(""https://docs.google.com/spreadsheets/d/1xfJKIQxVOaPDIICqsflNlL"&amp;"u3JacTDk1FP9RH4phX7mI/edit?usp=sharing"",""พิจิตร!L521"")+IMPORTRANGE(""https://docs.google.com/spreadsheets/d/1JtRfZkJMHtEhI5RdRHxYUG4FIZHqKDpNyIuN7A1Q0_k/edit?usp=sharing"",""พิษณุโลก!L521"")+IMPORTRANGE(""https://docs.google.com/spreadsheets/d/1xlcVZWU"&amp;"Nn6SuWm0c307h32SiGkd9BaeQWlAktfD3KO8/edit?usp=sharing"",""เพชรบูรณ์!L521"")+IMPORTRANGE(""https://docs.google.com/spreadsheets/d/1lOVebEIsI9qjGXl6EX66luk7wiuP2tBaryw-wKvv4e0/edit?usp=sharing"",""แพร่!L521"")+IMPORTRANGE(""https://docs.google.com/spreadshe"&amp;"ets/d/1dQrvX0vEcN7Gu0fnZ0B5S90AeR19zth4XlExFBeExMY/edit?usp=sharing"",""แม่ฮ่องสอน!L521"")+IMPORTRANGE(""https://docs.google.com/spreadsheets/d/1DY4XTNNwjluuxqdfdn6qvOSlMRrZqUtmYcZR0ttFiG4/edit?usp=sharing"",""ลำปาง!L521"")+IMPORTRANGE(""https://docs.goog"&amp;"le.com/spreadsheets/d/1ICwG78r0OFT8biBlxnBF8r7she7gNSzOvJ958PWT09c/edit?usp=sharing"",""ลำพูน!L521"")+IMPORTRANGE(""https://docs.google.com/spreadsheets/d/1B0f2xJpZUC6Z0xXnqKlZtEPzsf6L84eP1r1Q15seqRM/edit?usp=sharing"",""สุโขทัย!L521"")+IMPORTRANGE(""http"&amp;"s://docs.google.com/spreadsheets/d/1v0b9pFQCsKUVExMei7AgY2yQkdeNQvtOssygGsXbiKo/edit?usp=sharing"",""อุตรดิตถ์!L521"")+IMPORTRANGE(""https://docs.google.com/spreadsheets/d/1UsNK1e-WWiCo2PvGqdNfdme4m17_Ezd3J69EeeiQPD0/edit?usp=sharing"",""อุทัยธานี!L521"")"),0)</f>
        <v>0</v>
      </c>
      <c r="M521" s="46">
        <f ca="1">IFERROR(__xludf.DUMMYFUNCTION("IMPORTRANGE(""https://docs.google.com/spreadsheets/d/1jTcq05yEiRwXcBMLjiodW9e4biSGYWAHcDj22rKWQ3s/edit?usp=sharing"",""กำแพงเพชร!M521"")+IMPORTRANGE(""https://docs.google.com/spreadsheets/d/1KS0zmDSZPk8KnTAbGN-Xk6MtX1YRZD0ldgdt20K4CRk/edit?usp=sharing"","&amp;"""เชียงราย!M521"")+IMPORTRANGE(""https://docs.google.com/spreadsheets/d/1rEDxBtusbi64tE0zunoIbsTVV16HeL0oJ6trHQeQ7K8/edit?usp=sharing"",""เชียงใหม่!M521"")+IMPORTRANGE(""https://docs.google.com/spreadsheets/d/1W6MnUbDkMi6xHnHko_XkFDO9kkuL6Wqyc-6OCDFjW9I/e"&amp;"dit?usp=sharing"",""ตาก!M521"")+IMPORTRANGE(""https://docs.google.com/spreadsheets/d/1IQAWArduLkta9LpYo4a_ULsyqdta6-6aDDiwpUnQT6c/edit?usp=sharing"",""นครสวรรค์!M521"")+IMPORTRANGE(""https://docs.google.com/spreadsheets/d/10s13Sk5xrltsiR-Zkbmk5DwIaDIKO8Xl"&amp;"bJAfqyT7Gvg/edit?usp=sharing"",""น่าน!M521"")+IMPORTRANGE(""https://docs.google.com/spreadsheets/d/1uu4nAn4Dbi1XREnLKKotUANlKXa7yCgRcgq8HEzQYW8/edit?usp=sharing"",""พะเยา!M521"")+IMPORTRANGE(""https://docs.google.com/spreadsheets/d/1xfJKIQxVOaPDIICqsflNlL"&amp;"u3JacTDk1FP9RH4phX7mI/edit?usp=sharing"",""พิจิตร!M521"")+IMPORTRANGE(""https://docs.google.com/spreadsheets/d/1JtRfZkJMHtEhI5RdRHxYUG4FIZHqKDpNyIuN7A1Q0_k/edit?usp=sharing"",""พิษณุโลก!M521"")+IMPORTRANGE(""https://docs.google.com/spreadsheets/d/1xlcVZWU"&amp;"Nn6SuWm0c307h32SiGkd9BaeQWlAktfD3KO8/edit?usp=sharing"",""เพชรบูรณ์!M521"")+IMPORTRANGE(""https://docs.google.com/spreadsheets/d/1lOVebEIsI9qjGXl6EX66luk7wiuP2tBaryw-wKvv4e0/edit?usp=sharing"",""แพร่!M521"")+IMPORTRANGE(""https://docs.google.com/spreadshe"&amp;"ets/d/1dQrvX0vEcN7Gu0fnZ0B5S90AeR19zth4XlExFBeExMY/edit?usp=sharing"",""แม่ฮ่องสอน!M521"")+IMPORTRANGE(""https://docs.google.com/spreadsheets/d/1DY4XTNNwjluuxqdfdn6qvOSlMRrZqUtmYcZR0ttFiG4/edit?usp=sharing"",""ลำปาง!M521"")+IMPORTRANGE(""https://docs.goog"&amp;"le.com/spreadsheets/d/1ICwG78r0OFT8biBlxnBF8r7she7gNSzOvJ958PWT09c/edit?usp=sharing"",""ลำพูน!M521"")+IMPORTRANGE(""https://docs.google.com/spreadsheets/d/1B0f2xJpZUC6Z0xXnqKlZtEPzsf6L84eP1r1Q15seqRM/edit?usp=sharing"",""สุโขทัย!M521"")+IMPORTRANGE(""http"&amp;"s://docs.google.com/spreadsheets/d/1v0b9pFQCsKUVExMei7AgY2yQkdeNQvtOssygGsXbiKo/edit?usp=sharing"",""อุตรดิตถ์!M521"")+IMPORTRANGE(""https://docs.google.com/spreadsheets/d/1UsNK1e-WWiCo2PvGqdNfdme4m17_Ezd3J69EeeiQPD0/edit?usp=sharing"",""อุทัยธานี!M521"")"),0)</f>
        <v>0</v>
      </c>
      <c r="N521" s="46">
        <f ca="1">IFERROR(__xludf.DUMMYFUNCTION("IMPORTRANGE(""https://docs.google.com/spreadsheets/d/1jTcq05yEiRwXcBMLjiodW9e4biSGYWAHcDj22rKWQ3s/edit?usp=sharing"",""กำแพงเพชร!N521"")+IMPORTRANGE(""https://docs.google.com/spreadsheets/d/1KS0zmDSZPk8KnTAbGN-Xk6MtX1YRZD0ldgdt20K4CRk/edit?usp=sharing"","&amp;"""เชียงราย!N521"")+IMPORTRANGE(""https://docs.google.com/spreadsheets/d/1rEDxBtusbi64tE0zunoIbsTVV16HeL0oJ6trHQeQ7K8/edit?usp=sharing"",""เชียงใหม่!N521"")+IMPORTRANGE(""https://docs.google.com/spreadsheets/d/1W6MnUbDkMi6xHnHko_XkFDO9kkuL6Wqyc-6OCDFjW9I/e"&amp;"dit?usp=sharing"",""ตาก!N521"")+IMPORTRANGE(""https://docs.google.com/spreadsheets/d/1IQAWArduLkta9LpYo4a_ULsyqdta6-6aDDiwpUnQT6c/edit?usp=sharing"",""นครสวรรค์!N521"")+IMPORTRANGE(""https://docs.google.com/spreadsheets/d/10s13Sk5xrltsiR-Zkbmk5DwIaDIKO8Xl"&amp;"bJAfqyT7Gvg/edit?usp=sharing"",""น่าน!N521"")+IMPORTRANGE(""https://docs.google.com/spreadsheets/d/1uu4nAn4Dbi1XREnLKKotUANlKXa7yCgRcgq8HEzQYW8/edit?usp=sharing"",""พะเยา!N521"")+IMPORTRANGE(""https://docs.google.com/spreadsheets/d/1xfJKIQxVOaPDIICqsflNlL"&amp;"u3JacTDk1FP9RH4phX7mI/edit?usp=sharing"",""พิจิตร!N521"")+IMPORTRANGE(""https://docs.google.com/spreadsheets/d/1JtRfZkJMHtEhI5RdRHxYUG4FIZHqKDpNyIuN7A1Q0_k/edit?usp=sharing"",""พิษณุโลก!N521"")+IMPORTRANGE(""https://docs.google.com/spreadsheets/d/1xlcVZWU"&amp;"Nn6SuWm0c307h32SiGkd9BaeQWlAktfD3KO8/edit?usp=sharing"",""เพชรบูรณ์!N521"")+IMPORTRANGE(""https://docs.google.com/spreadsheets/d/1lOVebEIsI9qjGXl6EX66luk7wiuP2tBaryw-wKvv4e0/edit?usp=sharing"",""แพร่!N521"")+IMPORTRANGE(""https://docs.google.com/spreadshe"&amp;"ets/d/1dQrvX0vEcN7Gu0fnZ0B5S90AeR19zth4XlExFBeExMY/edit?usp=sharing"",""แม่ฮ่องสอน!N521"")+IMPORTRANGE(""https://docs.google.com/spreadsheets/d/1DY4XTNNwjluuxqdfdn6qvOSlMRrZqUtmYcZR0ttFiG4/edit?usp=sharing"",""ลำปาง!N521"")+IMPORTRANGE(""https://docs.goog"&amp;"le.com/spreadsheets/d/1ICwG78r0OFT8biBlxnBF8r7she7gNSzOvJ958PWT09c/edit?usp=sharing"",""ลำพูน!N521"")+IMPORTRANGE(""https://docs.google.com/spreadsheets/d/1B0f2xJpZUC6Z0xXnqKlZtEPzsf6L84eP1r1Q15seqRM/edit?usp=sharing"",""สุโขทัย!N521"")+IMPORTRANGE(""http"&amp;"s://docs.google.com/spreadsheets/d/1v0b9pFQCsKUVExMei7AgY2yQkdeNQvtOssygGsXbiKo/edit?usp=sharing"",""อุตรดิตถ์!N521"")+IMPORTRANGE(""https://docs.google.com/spreadsheets/d/1UsNK1e-WWiCo2PvGqdNfdme4m17_Ezd3J69EeeiQPD0/edit?usp=sharing"",""อุทัยธานี!N521"")"),0)</f>
        <v>0</v>
      </c>
      <c r="O521" s="46">
        <f t="shared" ca="1" si="363"/>
        <v>0</v>
      </c>
      <c r="P521" s="46">
        <f t="shared" ca="1" si="364"/>
        <v>0</v>
      </c>
      <c r="Q521" s="46">
        <f ca="1">IFERROR(__xludf.DUMMYFUNCTION("IMPORTRANGE(""https://docs.google.com/spreadsheets/d/1jTcq05yEiRwXcBMLjiodW9e4biSGYWAHcDj22rKWQ3s/edit?usp=sharing"",""กำแพงเพชร!Q521"")+IMPORTRANGE(""https://docs.google.com/spreadsheets/d/1KS0zmDSZPk8KnTAbGN-Xk6MtX1YRZD0ldgdt20K4CRk/edit?usp=sharing"","&amp;"""เชียงราย!Q521"")+IMPORTRANGE(""https://docs.google.com/spreadsheets/d/1rEDxBtusbi64tE0zunoIbsTVV16HeL0oJ6trHQeQ7K8/edit?usp=sharing"",""เชียงใหม่!Q521"")+IMPORTRANGE(""https://docs.google.com/spreadsheets/d/1W6MnUbDkMi6xHnHko_XkFDO9kkuL6Wqyc-6OCDFjW9I/e"&amp;"dit?usp=sharing"",""ตาก!Q521"")+IMPORTRANGE(""https://docs.google.com/spreadsheets/d/1IQAWArduLkta9LpYo4a_ULsyqdta6-6aDDiwpUnQT6c/edit?usp=sharing"",""นครสวรรค์!Q521"")+IMPORTRANGE(""https://docs.google.com/spreadsheets/d/10s13Sk5xrltsiR-Zkbmk5DwIaDIKO8Xl"&amp;"bJAfqyT7Gvg/edit?usp=sharing"",""น่าน!Q521"")+IMPORTRANGE(""https://docs.google.com/spreadsheets/d/1uu4nAn4Dbi1XREnLKKotUANlKXa7yCgRcgq8HEzQYW8/edit?usp=sharing"",""พะเยา!Q521"")+IMPORTRANGE(""https://docs.google.com/spreadsheets/d/1xfJKIQxVOaPDIICqsflNlL"&amp;"u3JacTDk1FP9RH4phX7mI/edit?usp=sharing"",""พิจิตร!Q521"")+IMPORTRANGE(""https://docs.google.com/spreadsheets/d/1JtRfZkJMHtEhI5RdRHxYUG4FIZHqKDpNyIuN7A1Q0_k/edit?usp=sharing"",""พิษณุโลก!Q521"")+IMPORTRANGE(""https://docs.google.com/spreadsheets/d/1xlcVZWU"&amp;"Nn6SuWm0c307h32SiGkd9BaeQWlAktfD3KO8/edit?usp=sharing"",""เพชรบูรณ์!Q521"")+IMPORTRANGE(""https://docs.google.com/spreadsheets/d/1lOVebEIsI9qjGXl6EX66luk7wiuP2tBaryw-wKvv4e0/edit?usp=sharing"",""แพร่!Q521"")+IMPORTRANGE(""https://docs.google.com/spreadshe"&amp;"ets/d/1dQrvX0vEcN7Gu0fnZ0B5S90AeR19zth4XlExFBeExMY/edit?usp=sharing"",""แม่ฮ่องสอน!Q521"")+IMPORTRANGE(""https://docs.google.com/spreadsheets/d/1DY4XTNNwjluuxqdfdn6qvOSlMRrZqUtmYcZR0ttFiG4/edit?usp=sharing"",""ลำปาง!Q521"")+IMPORTRANGE(""https://docs.goog"&amp;"le.com/spreadsheets/d/1ICwG78r0OFT8biBlxnBF8r7she7gNSzOvJ958PWT09c/edit?usp=sharing"",""ลำพูน!Q521"")+IMPORTRANGE(""https://docs.google.com/spreadsheets/d/1B0f2xJpZUC6Z0xXnqKlZtEPzsf6L84eP1r1Q15seqRM/edit?usp=sharing"",""สุโขทัย!Q521"")+IMPORTRANGE(""http"&amp;"s://docs.google.com/spreadsheets/d/1v0b9pFQCsKUVExMei7AgY2yQkdeNQvtOssygGsXbiKo/edit?usp=sharing"",""อุตรดิตถ์!Q521"")+IMPORTRANGE(""https://docs.google.com/spreadsheets/d/1UsNK1e-WWiCo2PvGqdNfdme4m17_Ezd3J69EeeiQPD0/edit?usp=sharing"",""อุทัยธานี!Q521"")"),0)</f>
        <v>0</v>
      </c>
      <c r="R521" s="46">
        <f ca="1">IFERROR(__xludf.DUMMYFUNCTION("IMPORTRANGE(""https://docs.google.com/spreadsheets/d/1jTcq05yEiRwXcBMLjiodW9e4biSGYWAHcDj22rKWQ3s/edit?usp=sharing"",""กำแพงเพชร!R521"")+IMPORTRANGE(""https://docs.google.com/spreadsheets/d/1KS0zmDSZPk8KnTAbGN-Xk6MtX1YRZD0ldgdt20K4CRk/edit?usp=sharing"","&amp;"""เชียงราย!R521"")+IMPORTRANGE(""https://docs.google.com/spreadsheets/d/1rEDxBtusbi64tE0zunoIbsTVV16HeL0oJ6trHQeQ7K8/edit?usp=sharing"",""เชียงใหม่!R521"")+IMPORTRANGE(""https://docs.google.com/spreadsheets/d/1W6MnUbDkMi6xHnHko_XkFDO9kkuL6Wqyc-6OCDFjW9I/e"&amp;"dit?usp=sharing"",""ตาก!R521"")+IMPORTRANGE(""https://docs.google.com/spreadsheets/d/1IQAWArduLkta9LpYo4a_ULsyqdta6-6aDDiwpUnQT6c/edit?usp=sharing"",""นครสวรรค์!R521"")+IMPORTRANGE(""https://docs.google.com/spreadsheets/d/10s13Sk5xrltsiR-Zkbmk5DwIaDIKO8Xl"&amp;"bJAfqyT7Gvg/edit?usp=sharing"",""น่าน!R521"")+IMPORTRANGE(""https://docs.google.com/spreadsheets/d/1uu4nAn4Dbi1XREnLKKotUANlKXa7yCgRcgq8HEzQYW8/edit?usp=sharing"",""พะเยา!R521"")+IMPORTRANGE(""https://docs.google.com/spreadsheets/d/1xfJKIQxVOaPDIICqsflNlL"&amp;"u3JacTDk1FP9RH4phX7mI/edit?usp=sharing"",""พิจิตร!R521"")+IMPORTRANGE(""https://docs.google.com/spreadsheets/d/1JtRfZkJMHtEhI5RdRHxYUG4FIZHqKDpNyIuN7A1Q0_k/edit?usp=sharing"",""พิษณุโลก!R521"")+IMPORTRANGE(""https://docs.google.com/spreadsheets/d/1xlcVZWU"&amp;"Nn6SuWm0c307h32SiGkd9BaeQWlAktfD3KO8/edit?usp=sharing"",""เพชรบูรณ์!R521"")+IMPORTRANGE(""https://docs.google.com/spreadsheets/d/1lOVebEIsI9qjGXl6EX66luk7wiuP2tBaryw-wKvv4e0/edit?usp=sharing"",""แพร่!R521"")+IMPORTRANGE(""https://docs.google.com/spreadshe"&amp;"ets/d/1dQrvX0vEcN7Gu0fnZ0B5S90AeR19zth4XlExFBeExMY/edit?usp=sharing"",""แม่ฮ่องสอน!R521"")+IMPORTRANGE(""https://docs.google.com/spreadsheets/d/1DY4XTNNwjluuxqdfdn6qvOSlMRrZqUtmYcZR0ttFiG4/edit?usp=sharing"",""ลำปาง!R521"")+IMPORTRANGE(""https://docs.goog"&amp;"le.com/spreadsheets/d/1ICwG78r0OFT8biBlxnBF8r7she7gNSzOvJ958PWT09c/edit?usp=sharing"",""ลำพูน!R521"")+IMPORTRANGE(""https://docs.google.com/spreadsheets/d/1B0f2xJpZUC6Z0xXnqKlZtEPzsf6L84eP1r1Q15seqRM/edit?usp=sharing"",""สุโขทัย!R521"")+IMPORTRANGE(""http"&amp;"s://docs.google.com/spreadsheets/d/1v0b9pFQCsKUVExMei7AgY2yQkdeNQvtOssygGsXbiKo/edit?usp=sharing"",""อุตรดิตถ์!R521"")+IMPORTRANGE(""https://docs.google.com/spreadsheets/d/1UsNK1e-WWiCo2PvGqdNfdme4m17_Ezd3J69EeeiQPD0/edit?usp=sharing"",""อุทัยธานี!R521"")"),0)</f>
        <v>0</v>
      </c>
      <c r="S521" s="46">
        <f ca="1">IFERROR(__xludf.DUMMYFUNCTION("IMPORTRANGE(""https://docs.google.com/spreadsheets/d/1jTcq05yEiRwXcBMLjiodW9e4biSGYWAHcDj22rKWQ3s/edit?usp=sharing"",""กำแพงเพชร!S521"")+IMPORTRANGE(""https://docs.google.com/spreadsheets/d/1KS0zmDSZPk8KnTAbGN-Xk6MtX1YRZD0ldgdt20K4CRk/edit?usp=sharing"","&amp;"""เชียงราย!S521"")+IMPORTRANGE(""https://docs.google.com/spreadsheets/d/1rEDxBtusbi64tE0zunoIbsTVV16HeL0oJ6trHQeQ7K8/edit?usp=sharing"",""เชียงใหม่!S521"")+IMPORTRANGE(""https://docs.google.com/spreadsheets/d/1W6MnUbDkMi6xHnHko_XkFDO9kkuL6Wqyc-6OCDFjW9I/e"&amp;"dit?usp=sharing"",""ตาก!S521"")+IMPORTRANGE(""https://docs.google.com/spreadsheets/d/1IQAWArduLkta9LpYo4a_ULsyqdta6-6aDDiwpUnQT6c/edit?usp=sharing"",""นครสวรรค์!S521"")+IMPORTRANGE(""https://docs.google.com/spreadsheets/d/10s13Sk5xrltsiR-Zkbmk5DwIaDIKO8Xl"&amp;"bJAfqyT7Gvg/edit?usp=sharing"",""น่าน!S521"")+IMPORTRANGE(""https://docs.google.com/spreadsheets/d/1uu4nAn4Dbi1XREnLKKotUANlKXa7yCgRcgq8HEzQYW8/edit?usp=sharing"",""พะเยา!S521"")+IMPORTRANGE(""https://docs.google.com/spreadsheets/d/1xfJKIQxVOaPDIICqsflNlL"&amp;"u3JacTDk1FP9RH4phX7mI/edit?usp=sharing"",""พิจิตร!S521"")+IMPORTRANGE(""https://docs.google.com/spreadsheets/d/1JtRfZkJMHtEhI5RdRHxYUG4FIZHqKDpNyIuN7A1Q0_k/edit?usp=sharing"",""พิษณุโลก!S521"")+IMPORTRANGE(""https://docs.google.com/spreadsheets/d/1xlcVZWU"&amp;"Nn6SuWm0c307h32SiGkd9BaeQWlAktfD3KO8/edit?usp=sharing"",""เพชรบูรณ์!S521"")+IMPORTRANGE(""https://docs.google.com/spreadsheets/d/1lOVebEIsI9qjGXl6EX66luk7wiuP2tBaryw-wKvv4e0/edit?usp=sharing"",""แพร่!S521"")+IMPORTRANGE(""https://docs.google.com/spreadshe"&amp;"ets/d/1dQrvX0vEcN7Gu0fnZ0B5S90AeR19zth4XlExFBeExMY/edit?usp=sharing"",""แม่ฮ่องสอน!S521"")+IMPORTRANGE(""https://docs.google.com/spreadsheets/d/1DY4XTNNwjluuxqdfdn6qvOSlMRrZqUtmYcZR0ttFiG4/edit?usp=sharing"",""ลำปาง!S521"")+IMPORTRANGE(""https://docs.goog"&amp;"le.com/spreadsheets/d/1ICwG78r0OFT8biBlxnBF8r7she7gNSzOvJ958PWT09c/edit?usp=sharing"",""ลำพูน!S521"")+IMPORTRANGE(""https://docs.google.com/spreadsheets/d/1B0f2xJpZUC6Z0xXnqKlZtEPzsf6L84eP1r1Q15seqRM/edit?usp=sharing"",""สุโขทัย!S521"")+IMPORTRANGE(""http"&amp;"s://docs.google.com/spreadsheets/d/1v0b9pFQCsKUVExMei7AgY2yQkdeNQvtOssygGsXbiKo/edit?usp=sharing"",""อุตรดิตถ์!S521"")+IMPORTRANGE(""https://docs.google.com/spreadsheets/d/1UsNK1e-WWiCo2PvGqdNfdme4m17_Ezd3J69EeeiQPD0/edit?usp=sharing"",""อุทัยธานี!S521"")"),0)</f>
        <v>0</v>
      </c>
      <c r="T521" s="46">
        <f t="shared" ca="1" si="366"/>
        <v>0</v>
      </c>
      <c r="U521" s="46">
        <f t="shared" ca="1" si="367"/>
        <v>0</v>
      </c>
    </row>
    <row r="522" spans="1:21" ht="19.5" x14ac:dyDescent="0.3">
      <c r="A522" s="138"/>
      <c r="B522" s="139"/>
      <c r="C522" s="129" t="s">
        <v>18</v>
      </c>
      <c r="D522" s="140" t="s">
        <v>38</v>
      </c>
      <c r="E522" s="141"/>
      <c r="F522" s="141"/>
      <c r="G522" s="142"/>
      <c r="H522" s="143"/>
      <c r="I522" s="135"/>
      <c r="J522" s="44"/>
      <c r="K522" s="45"/>
      <c r="L522" s="45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x14ac:dyDescent="0.25">
      <c r="A523" s="208"/>
      <c r="B523" s="40"/>
      <c r="C523" s="158"/>
      <c r="D523" s="149" t="s">
        <v>208</v>
      </c>
      <c r="E523" s="139"/>
      <c r="F523" s="40"/>
      <c r="G523" s="42"/>
      <c r="H523" s="210" t="s">
        <v>11</v>
      </c>
      <c r="I523" s="184">
        <v>0</v>
      </c>
      <c r="J523" s="184">
        <v>0</v>
      </c>
      <c r="K523" s="46">
        <f t="shared" ref="K523:K524" si="376">IF(I523&gt;0,J523*100/I523,0)</f>
        <v>0</v>
      </c>
      <c r="L523" s="45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x14ac:dyDescent="0.25">
      <c r="A524" s="329"/>
      <c r="B524" s="1"/>
      <c r="C524" s="2"/>
      <c r="D524" s="358" t="s">
        <v>209</v>
      </c>
      <c r="E524" s="250"/>
      <c r="F524" s="1"/>
      <c r="G524" s="52"/>
      <c r="H524" s="359" t="s">
        <v>61</v>
      </c>
      <c r="I524" s="188">
        <v>0</v>
      </c>
      <c r="J524" s="188">
        <v>0</v>
      </c>
      <c r="K524" s="111">
        <f t="shared" si="376"/>
        <v>0</v>
      </c>
      <c r="L524" s="3"/>
      <c r="M524" s="3"/>
      <c r="N524" s="3"/>
      <c r="O524" s="3"/>
      <c r="P524" s="3"/>
      <c r="Q524" s="45"/>
      <c r="R524" s="45"/>
      <c r="S524" s="45"/>
      <c r="T524" s="45"/>
      <c r="U524" s="45"/>
    </row>
    <row r="525" spans="1:21" ht="12.75" x14ac:dyDescent="0.2">
      <c r="A525" s="227"/>
      <c r="B525" s="228"/>
      <c r="C525" s="228"/>
      <c r="D525" s="229"/>
      <c r="E525" s="229"/>
      <c r="F525" s="229"/>
      <c r="G525" s="230"/>
      <c r="H525" s="231"/>
      <c r="I525" s="232"/>
      <c r="J525" s="232"/>
      <c r="K525" s="233"/>
      <c r="L525" s="233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233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233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233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233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233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233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319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64">
        <f t="shared" ref="I533:J533" si="377">I545</f>
        <v>0</v>
      </c>
      <c r="J533" s="364">
        <f t="shared" si="377"/>
        <v>0</v>
      </c>
      <c r="K533" s="356">
        <f>IF(I533&gt;0,J533*100/I533,0)</f>
        <v>0</v>
      </c>
      <c r="L533" s="357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x14ac:dyDescent="0.3">
      <c r="A534" s="128"/>
      <c r="B534" s="40"/>
      <c r="C534" s="129" t="s">
        <v>18</v>
      </c>
      <c r="D534" s="13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132">
        <f t="shared" ref="L534:N534" ca="1" si="378">L535+L536</f>
        <v>0</v>
      </c>
      <c r="M534" s="132">
        <f t="shared" ca="1" si="378"/>
        <v>0</v>
      </c>
      <c r="N534" s="132">
        <f t="shared" ca="1" si="378"/>
        <v>0</v>
      </c>
      <c r="O534" s="132">
        <f t="shared" ref="O534:O542" ca="1" si="379">IF(L534&gt;0,N534*100/L534,0)</f>
        <v>0</v>
      </c>
      <c r="P534" s="132">
        <f t="shared" ref="P534:P542" ca="1" si="380">IF(M534&gt;0,N534*100/M534,0)</f>
        <v>0</v>
      </c>
      <c r="Q534" s="132">
        <f t="shared" ref="Q534:S534" ca="1" si="381">Q535+Q536</f>
        <v>0</v>
      </c>
      <c r="R534" s="132">
        <f t="shared" ca="1" si="381"/>
        <v>0</v>
      </c>
      <c r="S534" s="132">
        <f t="shared" ca="1" si="381"/>
        <v>0</v>
      </c>
      <c r="T534" s="132">
        <f t="shared" ref="T534:T542" ca="1" si="382">IF(Q534&gt;0,S534*100/Q534,0)</f>
        <v>0</v>
      </c>
      <c r="U534" s="132">
        <f t="shared" ref="U534:U542" ca="1" si="383">IF(R534&gt;0,S534*100/R534,0)</f>
        <v>0</v>
      </c>
    </row>
    <row r="535" spans="1:21" ht="18.75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48">
        <f t="shared" ref="L535:N535" ca="1" si="384">L538+L541</f>
        <v>0</v>
      </c>
      <c r="M535" s="48">
        <f t="shared" ca="1" si="384"/>
        <v>0</v>
      </c>
      <c r="N535" s="48">
        <f t="shared" ca="1" si="384"/>
        <v>0</v>
      </c>
      <c r="O535" s="48">
        <f t="shared" ca="1" si="379"/>
        <v>0</v>
      </c>
      <c r="P535" s="48">
        <f t="shared" ca="1" si="380"/>
        <v>0</v>
      </c>
      <c r="Q535" s="48">
        <f t="shared" ref="Q535:S535" ca="1" si="385">Q538+Q541</f>
        <v>0</v>
      </c>
      <c r="R535" s="48">
        <f t="shared" ca="1" si="385"/>
        <v>0</v>
      </c>
      <c r="S535" s="48">
        <f t="shared" ca="1" si="385"/>
        <v>0</v>
      </c>
      <c r="T535" s="48">
        <f t="shared" ca="1" si="382"/>
        <v>0</v>
      </c>
      <c r="U535" s="48">
        <f t="shared" ca="1" si="383"/>
        <v>0</v>
      </c>
    </row>
    <row r="536" spans="1:21" ht="18.75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46">
        <f t="shared" ref="L536:N536" ca="1" si="386">L539+L542</f>
        <v>0</v>
      </c>
      <c r="M536" s="46">
        <f t="shared" ca="1" si="386"/>
        <v>0</v>
      </c>
      <c r="N536" s="46">
        <f t="shared" ca="1" si="386"/>
        <v>0</v>
      </c>
      <c r="O536" s="46">
        <f t="shared" ca="1" si="379"/>
        <v>0</v>
      </c>
      <c r="P536" s="46">
        <f t="shared" ca="1" si="380"/>
        <v>0</v>
      </c>
      <c r="Q536" s="46">
        <f t="shared" ref="Q536:S536" ca="1" si="387">Q539+Q542</f>
        <v>0</v>
      </c>
      <c r="R536" s="46">
        <f t="shared" ca="1" si="387"/>
        <v>0</v>
      </c>
      <c r="S536" s="46">
        <f t="shared" ca="1" si="387"/>
        <v>0</v>
      </c>
      <c r="T536" s="46">
        <f t="shared" ca="1" si="382"/>
        <v>0</v>
      </c>
      <c r="U536" s="46">
        <f t="shared" ca="1" si="383"/>
        <v>0</v>
      </c>
    </row>
    <row r="537" spans="1:21" ht="18.75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46">
        <f t="shared" ref="L537:N537" ca="1" si="388">L538+L539</f>
        <v>0</v>
      </c>
      <c r="M537" s="46">
        <f t="shared" ca="1" si="388"/>
        <v>0</v>
      </c>
      <c r="N537" s="46">
        <f t="shared" ca="1" si="388"/>
        <v>0</v>
      </c>
      <c r="O537" s="46">
        <f t="shared" ca="1" si="379"/>
        <v>0</v>
      </c>
      <c r="P537" s="46">
        <f t="shared" ca="1" si="380"/>
        <v>0</v>
      </c>
      <c r="Q537" s="46">
        <f t="shared" ref="Q537:S537" ca="1" si="389">Q538+Q539</f>
        <v>0</v>
      </c>
      <c r="R537" s="46">
        <f t="shared" ca="1" si="389"/>
        <v>0</v>
      </c>
      <c r="S537" s="46">
        <f t="shared" ca="1" si="389"/>
        <v>0</v>
      </c>
      <c r="T537" s="46">
        <f t="shared" ca="1" si="382"/>
        <v>0</v>
      </c>
      <c r="U537" s="46">
        <f t="shared" ca="1" si="383"/>
        <v>0</v>
      </c>
    </row>
    <row r="538" spans="1:21" ht="18.75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48">
        <f ca="1">IFERROR(__xludf.DUMMYFUNCTION("IMPORTRANGE(""https://docs.google.com/spreadsheets/d/1jTcq05yEiRwXcBMLjiodW9e4biSGYWAHcDj22rKWQ3s/edit?usp=sharing"",""กำแพงเพชร!L538"")+IMPORTRANGE(""https://docs.google.com/spreadsheets/d/1KS0zmDSZPk8KnTAbGN-Xk6MtX1YRZD0ldgdt20K4CRk/edit?usp=sharing"","&amp;"""เชียงราย!L538"")+IMPORTRANGE(""https://docs.google.com/spreadsheets/d/1rEDxBtusbi64tE0zunoIbsTVV16HeL0oJ6trHQeQ7K8/edit?usp=sharing"",""เชียงใหม่!L538"")+IMPORTRANGE(""https://docs.google.com/spreadsheets/d/1W6MnUbDkMi6xHnHko_XkFDO9kkuL6Wqyc-6OCDFjW9I/e"&amp;"dit?usp=sharing"",""ตาก!L538"")+IMPORTRANGE(""https://docs.google.com/spreadsheets/d/1IQAWArduLkta9LpYo4a_ULsyqdta6-6aDDiwpUnQT6c/edit?usp=sharing"",""นครสวรรค์!L538"")+IMPORTRANGE(""https://docs.google.com/spreadsheets/d/10s13Sk5xrltsiR-Zkbmk5DwIaDIKO8Xl"&amp;"bJAfqyT7Gvg/edit?usp=sharing"",""น่าน!L538"")+IMPORTRANGE(""https://docs.google.com/spreadsheets/d/1uu4nAn4Dbi1XREnLKKotUANlKXa7yCgRcgq8HEzQYW8/edit?usp=sharing"",""พะเยา!L538"")+IMPORTRANGE(""https://docs.google.com/spreadsheets/d/1xfJKIQxVOaPDIICqsflNlL"&amp;"u3JacTDk1FP9RH4phX7mI/edit?usp=sharing"",""พิจิตร!L538"")+IMPORTRANGE(""https://docs.google.com/spreadsheets/d/1JtRfZkJMHtEhI5RdRHxYUG4FIZHqKDpNyIuN7A1Q0_k/edit?usp=sharing"",""พิษณุโลก!L538"")+IMPORTRANGE(""https://docs.google.com/spreadsheets/d/1xlcVZWU"&amp;"Nn6SuWm0c307h32SiGkd9BaeQWlAktfD3KO8/edit?usp=sharing"",""เพชรบูรณ์!L538"")+IMPORTRANGE(""https://docs.google.com/spreadsheets/d/1lOVebEIsI9qjGXl6EX66luk7wiuP2tBaryw-wKvv4e0/edit?usp=sharing"",""แพร่!L538"")+IMPORTRANGE(""https://docs.google.com/spreadshe"&amp;"ets/d/1dQrvX0vEcN7Gu0fnZ0B5S90AeR19zth4XlExFBeExMY/edit?usp=sharing"",""แม่ฮ่องสอน!L538"")+IMPORTRANGE(""https://docs.google.com/spreadsheets/d/1DY4XTNNwjluuxqdfdn6qvOSlMRrZqUtmYcZR0ttFiG4/edit?usp=sharing"",""ลำปาง!L538"")+IMPORTRANGE(""https://docs.goog"&amp;"le.com/spreadsheets/d/1ICwG78r0OFT8biBlxnBF8r7she7gNSzOvJ958PWT09c/edit?usp=sharing"",""ลำพูน!L538"")+IMPORTRANGE(""https://docs.google.com/spreadsheets/d/1B0f2xJpZUC6Z0xXnqKlZtEPzsf6L84eP1r1Q15seqRM/edit?usp=sharing"",""สุโขทัย!L538"")+IMPORTRANGE(""http"&amp;"s://docs.google.com/spreadsheets/d/1v0b9pFQCsKUVExMei7AgY2yQkdeNQvtOssygGsXbiKo/edit?usp=sharing"",""อุตรดิตถ์!L538"")+IMPORTRANGE(""https://docs.google.com/spreadsheets/d/1UsNK1e-WWiCo2PvGqdNfdme4m17_Ezd3J69EeeiQPD0/edit?usp=sharing"",""อุทัยธานี!L538"")"),0)</f>
        <v>0</v>
      </c>
      <c r="M538" s="48">
        <f ca="1">IFERROR(__xludf.DUMMYFUNCTION("IMPORTRANGE(""https://docs.google.com/spreadsheets/d/1jTcq05yEiRwXcBMLjiodW9e4biSGYWAHcDj22rKWQ3s/edit?usp=sharing"",""กำแพงเพชร!M538"")+IMPORTRANGE(""https://docs.google.com/spreadsheets/d/1KS0zmDSZPk8KnTAbGN-Xk6MtX1YRZD0ldgdt20K4CRk/edit?usp=sharing"","&amp;"""เชียงราย!M538"")+IMPORTRANGE(""https://docs.google.com/spreadsheets/d/1rEDxBtusbi64tE0zunoIbsTVV16HeL0oJ6trHQeQ7K8/edit?usp=sharing"",""เชียงใหม่!M538"")+IMPORTRANGE(""https://docs.google.com/spreadsheets/d/1W6MnUbDkMi6xHnHko_XkFDO9kkuL6Wqyc-6OCDFjW9I/e"&amp;"dit?usp=sharing"",""ตาก!M538"")+IMPORTRANGE(""https://docs.google.com/spreadsheets/d/1IQAWArduLkta9LpYo4a_ULsyqdta6-6aDDiwpUnQT6c/edit?usp=sharing"",""นครสวรรค์!M538"")+IMPORTRANGE(""https://docs.google.com/spreadsheets/d/10s13Sk5xrltsiR-Zkbmk5DwIaDIKO8Xl"&amp;"bJAfqyT7Gvg/edit?usp=sharing"",""น่าน!M538"")+IMPORTRANGE(""https://docs.google.com/spreadsheets/d/1uu4nAn4Dbi1XREnLKKotUANlKXa7yCgRcgq8HEzQYW8/edit?usp=sharing"",""พะเยา!M538"")+IMPORTRANGE(""https://docs.google.com/spreadsheets/d/1xfJKIQxVOaPDIICqsflNlL"&amp;"u3JacTDk1FP9RH4phX7mI/edit?usp=sharing"",""พิจิตร!M538"")+IMPORTRANGE(""https://docs.google.com/spreadsheets/d/1JtRfZkJMHtEhI5RdRHxYUG4FIZHqKDpNyIuN7A1Q0_k/edit?usp=sharing"",""พิษณุโลก!M538"")+IMPORTRANGE(""https://docs.google.com/spreadsheets/d/1xlcVZWU"&amp;"Nn6SuWm0c307h32SiGkd9BaeQWlAktfD3KO8/edit?usp=sharing"",""เพชรบูรณ์!M538"")+IMPORTRANGE(""https://docs.google.com/spreadsheets/d/1lOVebEIsI9qjGXl6EX66luk7wiuP2tBaryw-wKvv4e0/edit?usp=sharing"",""แพร่!M538"")+IMPORTRANGE(""https://docs.google.com/spreadshe"&amp;"ets/d/1dQrvX0vEcN7Gu0fnZ0B5S90AeR19zth4XlExFBeExMY/edit?usp=sharing"",""แม่ฮ่องสอน!M538"")+IMPORTRANGE(""https://docs.google.com/spreadsheets/d/1DY4XTNNwjluuxqdfdn6qvOSlMRrZqUtmYcZR0ttFiG4/edit?usp=sharing"",""ลำปาง!M538"")+IMPORTRANGE(""https://docs.goog"&amp;"le.com/spreadsheets/d/1ICwG78r0OFT8biBlxnBF8r7she7gNSzOvJ958PWT09c/edit?usp=sharing"",""ลำพูน!M538"")+IMPORTRANGE(""https://docs.google.com/spreadsheets/d/1B0f2xJpZUC6Z0xXnqKlZtEPzsf6L84eP1r1Q15seqRM/edit?usp=sharing"",""สุโขทัย!M538"")+IMPORTRANGE(""http"&amp;"s://docs.google.com/spreadsheets/d/1v0b9pFQCsKUVExMei7AgY2yQkdeNQvtOssygGsXbiKo/edit?usp=sharing"",""อุตรดิตถ์!M538"")+IMPORTRANGE(""https://docs.google.com/spreadsheets/d/1UsNK1e-WWiCo2PvGqdNfdme4m17_Ezd3J69EeeiQPD0/edit?usp=sharing"",""อุทัยธานี!M538"")"),0)</f>
        <v>0</v>
      </c>
      <c r="N538" s="48">
        <f ca="1">IFERROR(__xludf.DUMMYFUNCTION("IMPORTRANGE(""https://docs.google.com/spreadsheets/d/1jTcq05yEiRwXcBMLjiodW9e4biSGYWAHcDj22rKWQ3s/edit?usp=sharing"",""กำแพงเพชร!N538"")+IMPORTRANGE(""https://docs.google.com/spreadsheets/d/1KS0zmDSZPk8KnTAbGN-Xk6MtX1YRZD0ldgdt20K4CRk/edit?usp=sharing"","&amp;"""เชียงราย!N538"")+IMPORTRANGE(""https://docs.google.com/spreadsheets/d/1rEDxBtusbi64tE0zunoIbsTVV16HeL0oJ6trHQeQ7K8/edit?usp=sharing"",""เชียงใหม่!N538"")+IMPORTRANGE(""https://docs.google.com/spreadsheets/d/1W6MnUbDkMi6xHnHko_XkFDO9kkuL6Wqyc-6OCDFjW9I/e"&amp;"dit?usp=sharing"",""ตาก!N538"")+IMPORTRANGE(""https://docs.google.com/spreadsheets/d/1IQAWArduLkta9LpYo4a_ULsyqdta6-6aDDiwpUnQT6c/edit?usp=sharing"",""นครสวรรค์!N538"")+IMPORTRANGE(""https://docs.google.com/spreadsheets/d/10s13Sk5xrltsiR-Zkbmk5DwIaDIKO8Xl"&amp;"bJAfqyT7Gvg/edit?usp=sharing"",""น่าน!N538"")+IMPORTRANGE(""https://docs.google.com/spreadsheets/d/1uu4nAn4Dbi1XREnLKKotUANlKXa7yCgRcgq8HEzQYW8/edit?usp=sharing"",""พะเยา!N538"")+IMPORTRANGE(""https://docs.google.com/spreadsheets/d/1xfJKIQxVOaPDIICqsflNlL"&amp;"u3JacTDk1FP9RH4phX7mI/edit?usp=sharing"",""พิจิตร!N538"")+IMPORTRANGE(""https://docs.google.com/spreadsheets/d/1JtRfZkJMHtEhI5RdRHxYUG4FIZHqKDpNyIuN7A1Q0_k/edit?usp=sharing"",""พิษณุโลก!N538"")+IMPORTRANGE(""https://docs.google.com/spreadsheets/d/1xlcVZWU"&amp;"Nn6SuWm0c307h32SiGkd9BaeQWlAktfD3KO8/edit?usp=sharing"",""เพชรบูรณ์!N538"")+IMPORTRANGE(""https://docs.google.com/spreadsheets/d/1lOVebEIsI9qjGXl6EX66luk7wiuP2tBaryw-wKvv4e0/edit?usp=sharing"",""แพร่!N538"")+IMPORTRANGE(""https://docs.google.com/spreadshe"&amp;"ets/d/1dQrvX0vEcN7Gu0fnZ0B5S90AeR19zth4XlExFBeExMY/edit?usp=sharing"",""แม่ฮ่องสอน!N538"")+IMPORTRANGE(""https://docs.google.com/spreadsheets/d/1DY4XTNNwjluuxqdfdn6qvOSlMRrZqUtmYcZR0ttFiG4/edit?usp=sharing"",""ลำปาง!N538"")+IMPORTRANGE(""https://docs.goog"&amp;"le.com/spreadsheets/d/1ICwG78r0OFT8biBlxnBF8r7she7gNSzOvJ958PWT09c/edit?usp=sharing"",""ลำพูน!N538"")+IMPORTRANGE(""https://docs.google.com/spreadsheets/d/1B0f2xJpZUC6Z0xXnqKlZtEPzsf6L84eP1r1Q15seqRM/edit?usp=sharing"",""สุโขทัย!N538"")+IMPORTRANGE(""http"&amp;"s://docs.google.com/spreadsheets/d/1v0b9pFQCsKUVExMei7AgY2yQkdeNQvtOssygGsXbiKo/edit?usp=sharing"",""อุตรดิตถ์!N538"")+IMPORTRANGE(""https://docs.google.com/spreadsheets/d/1UsNK1e-WWiCo2PvGqdNfdme4m17_Ezd3J69EeeiQPD0/edit?usp=sharing"",""อุทัยธานี!N538"")"),0)</f>
        <v>0</v>
      </c>
      <c r="O538" s="48">
        <f t="shared" ca="1" si="379"/>
        <v>0</v>
      </c>
      <c r="P538" s="48">
        <f t="shared" ca="1" si="380"/>
        <v>0</v>
      </c>
      <c r="Q538" s="48">
        <f ca="1">IFERROR(__xludf.DUMMYFUNCTION("IMPORTRANGE(""https://docs.google.com/spreadsheets/d/1jTcq05yEiRwXcBMLjiodW9e4biSGYWAHcDj22rKWQ3s/edit?usp=sharing"",""กำแพงเพชร!Q538"")+IMPORTRANGE(""https://docs.google.com/spreadsheets/d/1KS0zmDSZPk8KnTAbGN-Xk6MtX1YRZD0ldgdt20K4CRk/edit?usp=sharing"","&amp;"""เชียงราย!Q538"")+IMPORTRANGE(""https://docs.google.com/spreadsheets/d/1rEDxBtusbi64tE0zunoIbsTVV16HeL0oJ6trHQeQ7K8/edit?usp=sharing"",""เชียงใหม่!Q538"")+IMPORTRANGE(""https://docs.google.com/spreadsheets/d/1W6MnUbDkMi6xHnHko_XkFDO9kkuL6Wqyc-6OCDFjW9I/e"&amp;"dit?usp=sharing"",""ตาก!Q538"")+IMPORTRANGE(""https://docs.google.com/spreadsheets/d/1IQAWArduLkta9LpYo4a_ULsyqdta6-6aDDiwpUnQT6c/edit?usp=sharing"",""นครสวรรค์!Q538"")+IMPORTRANGE(""https://docs.google.com/spreadsheets/d/10s13Sk5xrltsiR-Zkbmk5DwIaDIKO8Xl"&amp;"bJAfqyT7Gvg/edit?usp=sharing"",""น่าน!Q538"")+IMPORTRANGE(""https://docs.google.com/spreadsheets/d/1uu4nAn4Dbi1XREnLKKotUANlKXa7yCgRcgq8HEzQYW8/edit?usp=sharing"",""พะเยา!Q538"")+IMPORTRANGE(""https://docs.google.com/spreadsheets/d/1xfJKIQxVOaPDIICqsflNlL"&amp;"u3JacTDk1FP9RH4phX7mI/edit?usp=sharing"",""พิจิตร!Q538"")+IMPORTRANGE(""https://docs.google.com/spreadsheets/d/1JtRfZkJMHtEhI5RdRHxYUG4FIZHqKDpNyIuN7A1Q0_k/edit?usp=sharing"",""พิษณุโลก!Q538"")+IMPORTRANGE(""https://docs.google.com/spreadsheets/d/1xlcVZWU"&amp;"Nn6SuWm0c307h32SiGkd9BaeQWlAktfD3KO8/edit?usp=sharing"",""เพชรบูรณ์!Q538"")+IMPORTRANGE(""https://docs.google.com/spreadsheets/d/1lOVebEIsI9qjGXl6EX66luk7wiuP2tBaryw-wKvv4e0/edit?usp=sharing"",""แพร่!Q538"")+IMPORTRANGE(""https://docs.google.com/spreadshe"&amp;"ets/d/1dQrvX0vEcN7Gu0fnZ0B5S90AeR19zth4XlExFBeExMY/edit?usp=sharing"",""แม่ฮ่องสอน!Q538"")+IMPORTRANGE(""https://docs.google.com/spreadsheets/d/1DY4XTNNwjluuxqdfdn6qvOSlMRrZqUtmYcZR0ttFiG4/edit?usp=sharing"",""ลำปาง!Q538"")+IMPORTRANGE(""https://docs.goog"&amp;"le.com/spreadsheets/d/1ICwG78r0OFT8biBlxnBF8r7she7gNSzOvJ958PWT09c/edit?usp=sharing"",""ลำพูน!Q538"")+IMPORTRANGE(""https://docs.google.com/spreadsheets/d/1B0f2xJpZUC6Z0xXnqKlZtEPzsf6L84eP1r1Q15seqRM/edit?usp=sharing"",""สุโขทัย!Q538"")+IMPORTRANGE(""http"&amp;"s://docs.google.com/spreadsheets/d/1v0b9pFQCsKUVExMei7AgY2yQkdeNQvtOssygGsXbiKo/edit?usp=sharing"",""อุตรดิตถ์!Q538"")+IMPORTRANGE(""https://docs.google.com/spreadsheets/d/1UsNK1e-WWiCo2PvGqdNfdme4m17_Ezd3J69EeeiQPD0/edit?usp=sharing"",""อุทัยธานี!Q538"")"),0)</f>
        <v>0</v>
      </c>
      <c r="R538" s="48">
        <f ca="1">IFERROR(__xludf.DUMMYFUNCTION("IMPORTRANGE(""https://docs.google.com/spreadsheets/d/1jTcq05yEiRwXcBMLjiodW9e4biSGYWAHcDj22rKWQ3s/edit?usp=sharing"",""กำแพงเพชร!R538"")+IMPORTRANGE(""https://docs.google.com/spreadsheets/d/1KS0zmDSZPk8KnTAbGN-Xk6MtX1YRZD0ldgdt20K4CRk/edit?usp=sharing"","&amp;"""เชียงราย!R538"")+IMPORTRANGE(""https://docs.google.com/spreadsheets/d/1rEDxBtusbi64tE0zunoIbsTVV16HeL0oJ6trHQeQ7K8/edit?usp=sharing"",""เชียงใหม่!R538"")+IMPORTRANGE(""https://docs.google.com/spreadsheets/d/1W6MnUbDkMi6xHnHko_XkFDO9kkuL6Wqyc-6OCDFjW9I/e"&amp;"dit?usp=sharing"",""ตาก!R538"")+IMPORTRANGE(""https://docs.google.com/spreadsheets/d/1IQAWArduLkta9LpYo4a_ULsyqdta6-6aDDiwpUnQT6c/edit?usp=sharing"",""นครสวรรค์!R538"")+IMPORTRANGE(""https://docs.google.com/spreadsheets/d/10s13Sk5xrltsiR-Zkbmk5DwIaDIKO8Xl"&amp;"bJAfqyT7Gvg/edit?usp=sharing"",""น่าน!R538"")+IMPORTRANGE(""https://docs.google.com/spreadsheets/d/1uu4nAn4Dbi1XREnLKKotUANlKXa7yCgRcgq8HEzQYW8/edit?usp=sharing"",""พะเยา!R538"")+IMPORTRANGE(""https://docs.google.com/spreadsheets/d/1xfJKIQxVOaPDIICqsflNlL"&amp;"u3JacTDk1FP9RH4phX7mI/edit?usp=sharing"",""พิจิตร!R538"")+IMPORTRANGE(""https://docs.google.com/spreadsheets/d/1JtRfZkJMHtEhI5RdRHxYUG4FIZHqKDpNyIuN7A1Q0_k/edit?usp=sharing"",""พิษณุโลก!R538"")+IMPORTRANGE(""https://docs.google.com/spreadsheets/d/1xlcVZWU"&amp;"Nn6SuWm0c307h32SiGkd9BaeQWlAktfD3KO8/edit?usp=sharing"",""เพชรบูรณ์!R538"")+IMPORTRANGE(""https://docs.google.com/spreadsheets/d/1lOVebEIsI9qjGXl6EX66luk7wiuP2tBaryw-wKvv4e0/edit?usp=sharing"",""แพร่!R538"")+IMPORTRANGE(""https://docs.google.com/spreadshe"&amp;"ets/d/1dQrvX0vEcN7Gu0fnZ0B5S90AeR19zth4XlExFBeExMY/edit?usp=sharing"",""แม่ฮ่องสอน!R538"")+IMPORTRANGE(""https://docs.google.com/spreadsheets/d/1DY4XTNNwjluuxqdfdn6qvOSlMRrZqUtmYcZR0ttFiG4/edit?usp=sharing"",""ลำปาง!R538"")+IMPORTRANGE(""https://docs.goog"&amp;"le.com/spreadsheets/d/1ICwG78r0OFT8biBlxnBF8r7she7gNSzOvJ958PWT09c/edit?usp=sharing"",""ลำพูน!R538"")+IMPORTRANGE(""https://docs.google.com/spreadsheets/d/1B0f2xJpZUC6Z0xXnqKlZtEPzsf6L84eP1r1Q15seqRM/edit?usp=sharing"",""สุโขทัย!R538"")+IMPORTRANGE(""http"&amp;"s://docs.google.com/spreadsheets/d/1v0b9pFQCsKUVExMei7AgY2yQkdeNQvtOssygGsXbiKo/edit?usp=sharing"",""อุตรดิตถ์!R538"")+IMPORTRANGE(""https://docs.google.com/spreadsheets/d/1UsNK1e-WWiCo2PvGqdNfdme4m17_Ezd3J69EeeiQPD0/edit?usp=sharing"",""อุทัยธานี!R538"")"),0)</f>
        <v>0</v>
      </c>
      <c r="S538" s="48">
        <f ca="1">IFERROR(__xludf.DUMMYFUNCTION("IMPORTRANGE(""https://docs.google.com/spreadsheets/d/1jTcq05yEiRwXcBMLjiodW9e4biSGYWAHcDj22rKWQ3s/edit?usp=sharing"",""กำแพงเพชร!S538"")+IMPORTRANGE(""https://docs.google.com/spreadsheets/d/1KS0zmDSZPk8KnTAbGN-Xk6MtX1YRZD0ldgdt20K4CRk/edit?usp=sharing"","&amp;"""เชียงราย!S538"")+IMPORTRANGE(""https://docs.google.com/spreadsheets/d/1rEDxBtusbi64tE0zunoIbsTVV16HeL0oJ6trHQeQ7K8/edit?usp=sharing"",""เชียงใหม่!S538"")+IMPORTRANGE(""https://docs.google.com/spreadsheets/d/1W6MnUbDkMi6xHnHko_XkFDO9kkuL6Wqyc-6OCDFjW9I/e"&amp;"dit?usp=sharing"",""ตาก!S538"")+IMPORTRANGE(""https://docs.google.com/spreadsheets/d/1IQAWArduLkta9LpYo4a_ULsyqdta6-6aDDiwpUnQT6c/edit?usp=sharing"",""นครสวรรค์!S538"")+IMPORTRANGE(""https://docs.google.com/spreadsheets/d/10s13Sk5xrltsiR-Zkbmk5DwIaDIKO8Xl"&amp;"bJAfqyT7Gvg/edit?usp=sharing"",""น่าน!S538"")+IMPORTRANGE(""https://docs.google.com/spreadsheets/d/1uu4nAn4Dbi1XREnLKKotUANlKXa7yCgRcgq8HEzQYW8/edit?usp=sharing"",""พะเยา!S538"")+IMPORTRANGE(""https://docs.google.com/spreadsheets/d/1xfJKIQxVOaPDIICqsflNlL"&amp;"u3JacTDk1FP9RH4phX7mI/edit?usp=sharing"",""พิจิตร!S538"")+IMPORTRANGE(""https://docs.google.com/spreadsheets/d/1JtRfZkJMHtEhI5RdRHxYUG4FIZHqKDpNyIuN7A1Q0_k/edit?usp=sharing"",""พิษณุโลก!S538"")+IMPORTRANGE(""https://docs.google.com/spreadsheets/d/1xlcVZWU"&amp;"Nn6SuWm0c307h32SiGkd9BaeQWlAktfD3KO8/edit?usp=sharing"",""เพชรบูรณ์!S538"")+IMPORTRANGE(""https://docs.google.com/spreadsheets/d/1lOVebEIsI9qjGXl6EX66luk7wiuP2tBaryw-wKvv4e0/edit?usp=sharing"",""แพร่!S538"")+IMPORTRANGE(""https://docs.google.com/spreadshe"&amp;"ets/d/1dQrvX0vEcN7Gu0fnZ0B5S90AeR19zth4XlExFBeExMY/edit?usp=sharing"",""แม่ฮ่องสอน!S538"")+IMPORTRANGE(""https://docs.google.com/spreadsheets/d/1DY4XTNNwjluuxqdfdn6qvOSlMRrZqUtmYcZR0ttFiG4/edit?usp=sharing"",""ลำปาง!S538"")+IMPORTRANGE(""https://docs.goog"&amp;"le.com/spreadsheets/d/1ICwG78r0OFT8biBlxnBF8r7she7gNSzOvJ958PWT09c/edit?usp=sharing"",""ลำพูน!S538"")+IMPORTRANGE(""https://docs.google.com/spreadsheets/d/1B0f2xJpZUC6Z0xXnqKlZtEPzsf6L84eP1r1Q15seqRM/edit?usp=sharing"",""สุโขทัย!S538"")+IMPORTRANGE(""http"&amp;"s://docs.google.com/spreadsheets/d/1v0b9pFQCsKUVExMei7AgY2yQkdeNQvtOssygGsXbiKo/edit?usp=sharing"",""อุตรดิตถ์!S538"")+IMPORTRANGE(""https://docs.google.com/spreadsheets/d/1UsNK1e-WWiCo2PvGqdNfdme4m17_Ezd3J69EeeiQPD0/edit?usp=sharing"",""อุทัยธานี!S538"")"),0)</f>
        <v>0</v>
      </c>
      <c r="T538" s="48">
        <f t="shared" ca="1" si="382"/>
        <v>0</v>
      </c>
      <c r="U538" s="48">
        <f t="shared" ca="1" si="383"/>
        <v>0</v>
      </c>
    </row>
    <row r="539" spans="1:21" ht="18.75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46">
        <f ca="1">IFERROR(__xludf.DUMMYFUNCTION("IMPORTRANGE(""https://docs.google.com/spreadsheets/d/1jTcq05yEiRwXcBMLjiodW9e4biSGYWAHcDj22rKWQ3s/edit?usp=sharing"",""กำแพงเพชร!L539"")+IMPORTRANGE(""https://docs.google.com/spreadsheets/d/1KS0zmDSZPk8KnTAbGN-Xk6MtX1YRZD0ldgdt20K4CRk/edit?usp=sharing"","&amp;"""เชียงราย!L539"")+IMPORTRANGE(""https://docs.google.com/spreadsheets/d/1rEDxBtusbi64tE0zunoIbsTVV16HeL0oJ6trHQeQ7K8/edit?usp=sharing"",""เชียงใหม่!L539"")+IMPORTRANGE(""https://docs.google.com/spreadsheets/d/1W6MnUbDkMi6xHnHko_XkFDO9kkuL6Wqyc-6OCDFjW9I/e"&amp;"dit?usp=sharing"",""ตาก!L539"")+IMPORTRANGE(""https://docs.google.com/spreadsheets/d/1IQAWArduLkta9LpYo4a_ULsyqdta6-6aDDiwpUnQT6c/edit?usp=sharing"",""นครสวรรค์!L539"")+IMPORTRANGE(""https://docs.google.com/spreadsheets/d/10s13Sk5xrltsiR-Zkbmk5DwIaDIKO8Xl"&amp;"bJAfqyT7Gvg/edit?usp=sharing"",""น่าน!L539"")+IMPORTRANGE(""https://docs.google.com/spreadsheets/d/1uu4nAn4Dbi1XREnLKKotUANlKXa7yCgRcgq8HEzQYW8/edit?usp=sharing"",""พะเยา!L539"")+IMPORTRANGE(""https://docs.google.com/spreadsheets/d/1xfJKIQxVOaPDIICqsflNlL"&amp;"u3JacTDk1FP9RH4phX7mI/edit?usp=sharing"",""พิจิตร!L539"")+IMPORTRANGE(""https://docs.google.com/spreadsheets/d/1JtRfZkJMHtEhI5RdRHxYUG4FIZHqKDpNyIuN7A1Q0_k/edit?usp=sharing"",""พิษณุโลก!L539"")+IMPORTRANGE(""https://docs.google.com/spreadsheets/d/1xlcVZWU"&amp;"Nn6SuWm0c307h32SiGkd9BaeQWlAktfD3KO8/edit?usp=sharing"",""เพชรบูรณ์!L539"")+IMPORTRANGE(""https://docs.google.com/spreadsheets/d/1lOVebEIsI9qjGXl6EX66luk7wiuP2tBaryw-wKvv4e0/edit?usp=sharing"",""แพร่!L539"")+IMPORTRANGE(""https://docs.google.com/spreadshe"&amp;"ets/d/1dQrvX0vEcN7Gu0fnZ0B5S90AeR19zth4XlExFBeExMY/edit?usp=sharing"",""แม่ฮ่องสอน!L539"")+IMPORTRANGE(""https://docs.google.com/spreadsheets/d/1DY4XTNNwjluuxqdfdn6qvOSlMRrZqUtmYcZR0ttFiG4/edit?usp=sharing"",""ลำปาง!L539"")+IMPORTRANGE(""https://docs.goog"&amp;"le.com/spreadsheets/d/1ICwG78r0OFT8biBlxnBF8r7she7gNSzOvJ958PWT09c/edit?usp=sharing"",""ลำพูน!L539"")+IMPORTRANGE(""https://docs.google.com/spreadsheets/d/1B0f2xJpZUC6Z0xXnqKlZtEPzsf6L84eP1r1Q15seqRM/edit?usp=sharing"",""สุโขทัย!L539"")+IMPORTRANGE(""http"&amp;"s://docs.google.com/spreadsheets/d/1v0b9pFQCsKUVExMei7AgY2yQkdeNQvtOssygGsXbiKo/edit?usp=sharing"",""อุตรดิตถ์!L539"")+IMPORTRANGE(""https://docs.google.com/spreadsheets/d/1UsNK1e-WWiCo2PvGqdNfdme4m17_Ezd3J69EeeiQPD0/edit?usp=sharing"",""อุทัยธานี!L539"")"),0)</f>
        <v>0</v>
      </c>
      <c r="M539" s="46">
        <f ca="1">IFERROR(__xludf.DUMMYFUNCTION("IMPORTRANGE(""https://docs.google.com/spreadsheets/d/1jTcq05yEiRwXcBMLjiodW9e4biSGYWAHcDj22rKWQ3s/edit?usp=sharing"",""กำแพงเพชร!M539"")+IMPORTRANGE(""https://docs.google.com/spreadsheets/d/1KS0zmDSZPk8KnTAbGN-Xk6MtX1YRZD0ldgdt20K4CRk/edit?usp=sharing"","&amp;"""เชียงราย!M539"")+IMPORTRANGE(""https://docs.google.com/spreadsheets/d/1rEDxBtusbi64tE0zunoIbsTVV16HeL0oJ6trHQeQ7K8/edit?usp=sharing"",""เชียงใหม่!M539"")+IMPORTRANGE(""https://docs.google.com/spreadsheets/d/1W6MnUbDkMi6xHnHko_XkFDO9kkuL6Wqyc-6OCDFjW9I/e"&amp;"dit?usp=sharing"",""ตาก!M539"")+IMPORTRANGE(""https://docs.google.com/spreadsheets/d/1IQAWArduLkta9LpYo4a_ULsyqdta6-6aDDiwpUnQT6c/edit?usp=sharing"",""นครสวรรค์!M539"")+IMPORTRANGE(""https://docs.google.com/spreadsheets/d/10s13Sk5xrltsiR-Zkbmk5DwIaDIKO8Xl"&amp;"bJAfqyT7Gvg/edit?usp=sharing"",""น่าน!M539"")+IMPORTRANGE(""https://docs.google.com/spreadsheets/d/1uu4nAn4Dbi1XREnLKKotUANlKXa7yCgRcgq8HEzQYW8/edit?usp=sharing"",""พะเยา!M539"")+IMPORTRANGE(""https://docs.google.com/spreadsheets/d/1xfJKIQxVOaPDIICqsflNlL"&amp;"u3JacTDk1FP9RH4phX7mI/edit?usp=sharing"",""พิจิตร!M539"")+IMPORTRANGE(""https://docs.google.com/spreadsheets/d/1JtRfZkJMHtEhI5RdRHxYUG4FIZHqKDpNyIuN7A1Q0_k/edit?usp=sharing"",""พิษณุโลก!M539"")+IMPORTRANGE(""https://docs.google.com/spreadsheets/d/1xlcVZWU"&amp;"Nn6SuWm0c307h32SiGkd9BaeQWlAktfD3KO8/edit?usp=sharing"",""เพชรบูรณ์!M539"")+IMPORTRANGE(""https://docs.google.com/spreadsheets/d/1lOVebEIsI9qjGXl6EX66luk7wiuP2tBaryw-wKvv4e0/edit?usp=sharing"",""แพร่!M539"")+IMPORTRANGE(""https://docs.google.com/spreadshe"&amp;"ets/d/1dQrvX0vEcN7Gu0fnZ0B5S90AeR19zth4XlExFBeExMY/edit?usp=sharing"",""แม่ฮ่องสอน!M539"")+IMPORTRANGE(""https://docs.google.com/spreadsheets/d/1DY4XTNNwjluuxqdfdn6qvOSlMRrZqUtmYcZR0ttFiG4/edit?usp=sharing"",""ลำปาง!M539"")+IMPORTRANGE(""https://docs.goog"&amp;"le.com/spreadsheets/d/1ICwG78r0OFT8biBlxnBF8r7she7gNSzOvJ958PWT09c/edit?usp=sharing"",""ลำพูน!M539"")+IMPORTRANGE(""https://docs.google.com/spreadsheets/d/1B0f2xJpZUC6Z0xXnqKlZtEPzsf6L84eP1r1Q15seqRM/edit?usp=sharing"",""สุโขทัย!M539"")+IMPORTRANGE(""http"&amp;"s://docs.google.com/spreadsheets/d/1v0b9pFQCsKUVExMei7AgY2yQkdeNQvtOssygGsXbiKo/edit?usp=sharing"",""อุตรดิตถ์!M539"")+IMPORTRANGE(""https://docs.google.com/spreadsheets/d/1UsNK1e-WWiCo2PvGqdNfdme4m17_Ezd3J69EeeiQPD0/edit?usp=sharing"",""อุทัยธานี!M539"")"),0)</f>
        <v>0</v>
      </c>
      <c r="N539" s="46">
        <f ca="1">IFERROR(__xludf.DUMMYFUNCTION("IMPORTRANGE(""https://docs.google.com/spreadsheets/d/1jTcq05yEiRwXcBMLjiodW9e4biSGYWAHcDj22rKWQ3s/edit?usp=sharing"",""กำแพงเพชร!N539"")+IMPORTRANGE(""https://docs.google.com/spreadsheets/d/1KS0zmDSZPk8KnTAbGN-Xk6MtX1YRZD0ldgdt20K4CRk/edit?usp=sharing"","&amp;"""เชียงราย!N539"")+IMPORTRANGE(""https://docs.google.com/spreadsheets/d/1rEDxBtusbi64tE0zunoIbsTVV16HeL0oJ6trHQeQ7K8/edit?usp=sharing"",""เชียงใหม่!N539"")+IMPORTRANGE(""https://docs.google.com/spreadsheets/d/1W6MnUbDkMi6xHnHko_XkFDO9kkuL6Wqyc-6OCDFjW9I/e"&amp;"dit?usp=sharing"",""ตาก!N539"")+IMPORTRANGE(""https://docs.google.com/spreadsheets/d/1IQAWArduLkta9LpYo4a_ULsyqdta6-6aDDiwpUnQT6c/edit?usp=sharing"",""นครสวรรค์!N539"")+IMPORTRANGE(""https://docs.google.com/spreadsheets/d/10s13Sk5xrltsiR-Zkbmk5DwIaDIKO8Xl"&amp;"bJAfqyT7Gvg/edit?usp=sharing"",""น่าน!N539"")+IMPORTRANGE(""https://docs.google.com/spreadsheets/d/1uu4nAn4Dbi1XREnLKKotUANlKXa7yCgRcgq8HEzQYW8/edit?usp=sharing"",""พะเยา!N539"")+IMPORTRANGE(""https://docs.google.com/spreadsheets/d/1xfJKIQxVOaPDIICqsflNlL"&amp;"u3JacTDk1FP9RH4phX7mI/edit?usp=sharing"",""พิจิตร!N539"")+IMPORTRANGE(""https://docs.google.com/spreadsheets/d/1JtRfZkJMHtEhI5RdRHxYUG4FIZHqKDpNyIuN7A1Q0_k/edit?usp=sharing"",""พิษณุโลก!N539"")+IMPORTRANGE(""https://docs.google.com/spreadsheets/d/1xlcVZWU"&amp;"Nn6SuWm0c307h32SiGkd9BaeQWlAktfD3KO8/edit?usp=sharing"",""เพชรบูรณ์!N539"")+IMPORTRANGE(""https://docs.google.com/spreadsheets/d/1lOVebEIsI9qjGXl6EX66luk7wiuP2tBaryw-wKvv4e0/edit?usp=sharing"",""แพร่!N539"")+IMPORTRANGE(""https://docs.google.com/spreadshe"&amp;"ets/d/1dQrvX0vEcN7Gu0fnZ0B5S90AeR19zth4XlExFBeExMY/edit?usp=sharing"",""แม่ฮ่องสอน!N539"")+IMPORTRANGE(""https://docs.google.com/spreadsheets/d/1DY4XTNNwjluuxqdfdn6qvOSlMRrZqUtmYcZR0ttFiG4/edit?usp=sharing"",""ลำปาง!N539"")+IMPORTRANGE(""https://docs.goog"&amp;"le.com/spreadsheets/d/1ICwG78r0OFT8biBlxnBF8r7she7gNSzOvJ958PWT09c/edit?usp=sharing"",""ลำพูน!N539"")+IMPORTRANGE(""https://docs.google.com/spreadsheets/d/1B0f2xJpZUC6Z0xXnqKlZtEPzsf6L84eP1r1Q15seqRM/edit?usp=sharing"",""สุโขทัย!N539"")+IMPORTRANGE(""http"&amp;"s://docs.google.com/spreadsheets/d/1v0b9pFQCsKUVExMei7AgY2yQkdeNQvtOssygGsXbiKo/edit?usp=sharing"",""อุตรดิตถ์!N539"")+IMPORTRANGE(""https://docs.google.com/spreadsheets/d/1UsNK1e-WWiCo2PvGqdNfdme4m17_Ezd3J69EeeiQPD0/edit?usp=sharing"",""อุทัยธานี!N539"")"),0)</f>
        <v>0</v>
      </c>
      <c r="O539" s="46">
        <f t="shared" ca="1" si="379"/>
        <v>0</v>
      </c>
      <c r="P539" s="46">
        <f t="shared" ca="1" si="380"/>
        <v>0</v>
      </c>
      <c r="Q539" s="46">
        <f ca="1">IFERROR(__xludf.DUMMYFUNCTION("IMPORTRANGE(""https://docs.google.com/spreadsheets/d/1jTcq05yEiRwXcBMLjiodW9e4biSGYWAHcDj22rKWQ3s/edit?usp=sharing"",""กำแพงเพชร!Q539"")+IMPORTRANGE(""https://docs.google.com/spreadsheets/d/1KS0zmDSZPk8KnTAbGN-Xk6MtX1YRZD0ldgdt20K4CRk/edit?usp=sharing"","&amp;"""เชียงราย!Q539"")+IMPORTRANGE(""https://docs.google.com/spreadsheets/d/1rEDxBtusbi64tE0zunoIbsTVV16HeL0oJ6trHQeQ7K8/edit?usp=sharing"",""เชียงใหม่!Q539"")+IMPORTRANGE(""https://docs.google.com/spreadsheets/d/1W6MnUbDkMi6xHnHko_XkFDO9kkuL6Wqyc-6OCDFjW9I/e"&amp;"dit?usp=sharing"",""ตาก!Q539"")+IMPORTRANGE(""https://docs.google.com/spreadsheets/d/1IQAWArduLkta9LpYo4a_ULsyqdta6-6aDDiwpUnQT6c/edit?usp=sharing"",""นครสวรรค์!Q539"")+IMPORTRANGE(""https://docs.google.com/spreadsheets/d/10s13Sk5xrltsiR-Zkbmk5DwIaDIKO8Xl"&amp;"bJAfqyT7Gvg/edit?usp=sharing"",""น่าน!Q539"")+IMPORTRANGE(""https://docs.google.com/spreadsheets/d/1uu4nAn4Dbi1XREnLKKotUANlKXa7yCgRcgq8HEzQYW8/edit?usp=sharing"",""พะเยา!Q539"")+IMPORTRANGE(""https://docs.google.com/spreadsheets/d/1xfJKIQxVOaPDIICqsflNlL"&amp;"u3JacTDk1FP9RH4phX7mI/edit?usp=sharing"",""พิจิตร!Q539"")+IMPORTRANGE(""https://docs.google.com/spreadsheets/d/1JtRfZkJMHtEhI5RdRHxYUG4FIZHqKDpNyIuN7A1Q0_k/edit?usp=sharing"",""พิษณุโลก!Q539"")+IMPORTRANGE(""https://docs.google.com/spreadsheets/d/1xlcVZWU"&amp;"Nn6SuWm0c307h32SiGkd9BaeQWlAktfD3KO8/edit?usp=sharing"",""เพชรบูรณ์!Q539"")+IMPORTRANGE(""https://docs.google.com/spreadsheets/d/1lOVebEIsI9qjGXl6EX66luk7wiuP2tBaryw-wKvv4e0/edit?usp=sharing"",""แพร่!Q539"")+IMPORTRANGE(""https://docs.google.com/spreadshe"&amp;"ets/d/1dQrvX0vEcN7Gu0fnZ0B5S90AeR19zth4XlExFBeExMY/edit?usp=sharing"",""แม่ฮ่องสอน!Q539"")+IMPORTRANGE(""https://docs.google.com/spreadsheets/d/1DY4XTNNwjluuxqdfdn6qvOSlMRrZqUtmYcZR0ttFiG4/edit?usp=sharing"",""ลำปาง!Q539"")+IMPORTRANGE(""https://docs.goog"&amp;"le.com/spreadsheets/d/1ICwG78r0OFT8biBlxnBF8r7she7gNSzOvJ958PWT09c/edit?usp=sharing"",""ลำพูน!Q539"")+IMPORTRANGE(""https://docs.google.com/spreadsheets/d/1B0f2xJpZUC6Z0xXnqKlZtEPzsf6L84eP1r1Q15seqRM/edit?usp=sharing"",""สุโขทัย!Q539"")+IMPORTRANGE(""http"&amp;"s://docs.google.com/spreadsheets/d/1v0b9pFQCsKUVExMei7AgY2yQkdeNQvtOssygGsXbiKo/edit?usp=sharing"",""อุตรดิตถ์!Q539"")+IMPORTRANGE(""https://docs.google.com/spreadsheets/d/1UsNK1e-WWiCo2PvGqdNfdme4m17_Ezd3J69EeeiQPD0/edit?usp=sharing"",""อุทัยธานี!Q539"")"),0)</f>
        <v>0</v>
      </c>
      <c r="R539" s="46">
        <f ca="1">IFERROR(__xludf.DUMMYFUNCTION("IMPORTRANGE(""https://docs.google.com/spreadsheets/d/1jTcq05yEiRwXcBMLjiodW9e4biSGYWAHcDj22rKWQ3s/edit?usp=sharing"",""กำแพงเพชร!R539"")+IMPORTRANGE(""https://docs.google.com/spreadsheets/d/1KS0zmDSZPk8KnTAbGN-Xk6MtX1YRZD0ldgdt20K4CRk/edit?usp=sharing"","&amp;"""เชียงราย!R539"")+IMPORTRANGE(""https://docs.google.com/spreadsheets/d/1rEDxBtusbi64tE0zunoIbsTVV16HeL0oJ6trHQeQ7K8/edit?usp=sharing"",""เชียงใหม่!R539"")+IMPORTRANGE(""https://docs.google.com/spreadsheets/d/1W6MnUbDkMi6xHnHko_XkFDO9kkuL6Wqyc-6OCDFjW9I/e"&amp;"dit?usp=sharing"",""ตาก!R539"")+IMPORTRANGE(""https://docs.google.com/spreadsheets/d/1IQAWArduLkta9LpYo4a_ULsyqdta6-6aDDiwpUnQT6c/edit?usp=sharing"",""นครสวรรค์!R539"")+IMPORTRANGE(""https://docs.google.com/spreadsheets/d/10s13Sk5xrltsiR-Zkbmk5DwIaDIKO8Xl"&amp;"bJAfqyT7Gvg/edit?usp=sharing"",""น่าน!R539"")+IMPORTRANGE(""https://docs.google.com/spreadsheets/d/1uu4nAn4Dbi1XREnLKKotUANlKXa7yCgRcgq8HEzQYW8/edit?usp=sharing"",""พะเยา!R539"")+IMPORTRANGE(""https://docs.google.com/spreadsheets/d/1xfJKIQxVOaPDIICqsflNlL"&amp;"u3JacTDk1FP9RH4phX7mI/edit?usp=sharing"",""พิจิตร!R539"")+IMPORTRANGE(""https://docs.google.com/spreadsheets/d/1JtRfZkJMHtEhI5RdRHxYUG4FIZHqKDpNyIuN7A1Q0_k/edit?usp=sharing"",""พิษณุโลก!R539"")+IMPORTRANGE(""https://docs.google.com/spreadsheets/d/1xlcVZWU"&amp;"Nn6SuWm0c307h32SiGkd9BaeQWlAktfD3KO8/edit?usp=sharing"",""เพชรบูรณ์!R539"")+IMPORTRANGE(""https://docs.google.com/spreadsheets/d/1lOVebEIsI9qjGXl6EX66luk7wiuP2tBaryw-wKvv4e0/edit?usp=sharing"",""แพร่!R539"")+IMPORTRANGE(""https://docs.google.com/spreadshe"&amp;"ets/d/1dQrvX0vEcN7Gu0fnZ0B5S90AeR19zth4XlExFBeExMY/edit?usp=sharing"",""แม่ฮ่องสอน!R539"")+IMPORTRANGE(""https://docs.google.com/spreadsheets/d/1DY4XTNNwjluuxqdfdn6qvOSlMRrZqUtmYcZR0ttFiG4/edit?usp=sharing"",""ลำปาง!R539"")+IMPORTRANGE(""https://docs.goog"&amp;"le.com/spreadsheets/d/1ICwG78r0OFT8biBlxnBF8r7she7gNSzOvJ958PWT09c/edit?usp=sharing"",""ลำพูน!R539"")+IMPORTRANGE(""https://docs.google.com/spreadsheets/d/1B0f2xJpZUC6Z0xXnqKlZtEPzsf6L84eP1r1Q15seqRM/edit?usp=sharing"",""สุโขทัย!R539"")+IMPORTRANGE(""http"&amp;"s://docs.google.com/spreadsheets/d/1v0b9pFQCsKUVExMei7AgY2yQkdeNQvtOssygGsXbiKo/edit?usp=sharing"",""อุตรดิตถ์!R539"")+IMPORTRANGE(""https://docs.google.com/spreadsheets/d/1UsNK1e-WWiCo2PvGqdNfdme4m17_Ezd3J69EeeiQPD0/edit?usp=sharing"",""อุทัยธานี!R539"")"),0)</f>
        <v>0</v>
      </c>
      <c r="S539" s="46">
        <f ca="1">IFERROR(__xludf.DUMMYFUNCTION("IMPORTRANGE(""https://docs.google.com/spreadsheets/d/1jTcq05yEiRwXcBMLjiodW9e4biSGYWAHcDj22rKWQ3s/edit?usp=sharing"",""กำแพงเพชร!S539"")+IMPORTRANGE(""https://docs.google.com/spreadsheets/d/1KS0zmDSZPk8KnTAbGN-Xk6MtX1YRZD0ldgdt20K4CRk/edit?usp=sharing"","&amp;"""เชียงราย!S539"")+IMPORTRANGE(""https://docs.google.com/spreadsheets/d/1rEDxBtusbi64tE0zunoIbsTVV16HeL0oJ6trHQeQ7K8/edit?usp=sharing"",""เชียงใหม่!S539"")+IMPORTRANGE(""https://docs.google.com/spreadsheets/d/1W6MnUbDkMi6xHnHko_XkFDO9kkuL6Wqyc-6OCDFjW9I/e"&amp;"dit?usp=sharing"",""ตาก!S539"")+IMPORTRANGE(""https://docs.google.com/spreadsheets/d/1IQAWArduLkta9LpYo4a_ULsyqdta6-6aDDiwpUnQT6c/edit?usp=sharing"",""นครสวรรค์!S539"")+IMPORTRANGE(""https://docs.google.com/spreadsheets/d/10s13Sk5xrltsiR-Zkbmk5DwIaDIKO8Xl"&amp;"bJAfqyT7Gvg/edit?usp=sharing"",""น่าน!S539"")+IMPORTRANGE(""https://docs.google.com/spreadsheets/d/1uu4nAn4Dbi1XREnLKKotUANlKXa7yCgRcgq8HEzQYW8/edit?usp=sharing"",""พะเยา!S539"")+IMPORTRANGE(""https://docs.google.com/spreadsheets/d/1xfJKIQxVOaPDIICqsflNlL"&amp;"u3JacTDk1FP9RH4phX7mI/edit?usp=sharing"",""พิจิตร!S539"")+IMPORTRANGE(""https://docs.google.com/spreadsheets/d/1JtRfZkJMHtEhI5RdRHxYUG4FIZHqKDpNyIuN7A1Q0_k/edit?usp=sharing"",""พิษณุโลก!S539"")+IMPORTRANGE(""https://docs.google.com/spreadsheets/d/1xlcVZWU"&amp;"Nn6SuWm0c307h32SiGkd9BaeQWlAktfD3KO8/edit?usp=sharing"",""เพชรบูรณ์!S539"")+IMPORTRANGE(""https://docs.google.com/spreadsheets/d/1lOVebEIsI9qjGXl6EX66luk7wiuP2tBaryw-wKvv4e0/edit?usp=sharing"",""แพร่!S539"")+IMPORTRANGE(""https://docs.google.com/spreadshe"&amp;"ets/d/1dQrvX0vEcN7Gu0fnZ0B5S90AeR19zth4XlExFBeExMY/edit?usp=sharing"",""แม่ฮ่องสอน!S539"")+IMPORTRANGE(""https://docs.google.com/spreadsheets/d/1DY4XTNNwjluuxqdfdn6qvOSlMRrZqUtmYcZR0ttFiG4/edit?usp=sharing"",""ลำปาง!S539"")+IMPORTRANGE(""https://docs.goog"&amp;"le.com/spreadsheets/d/1ICwG78r0OFT8biBlxnBF8r7she7gNSzOvJ958PWT09c/edit?usp=sharing"",""ลำพูน!S539"")+IMPORTRANGE(""https://docs.google.com/spreadsheets/d/1B0f2xJpZUC6Z0xXnqKlZtEPzsf6L84eP1r1Q15seqRM/edit?usp=sharing"",""สุโขทัย!S539"")+IMPORTRANGE(""http"&amp;"s://docs.google.com/spreadsheets/d/1v0b9pFQCsKUVExMei7AgY2yQkdeNQvtOssygGsXbiKo/edit?usp=sharing"",""อุตรดิตถ์!S539"")+IMPORTRANGE(""https://docs.google.com/spreadsheets/d/1UsNK1e-WWiCo2PvGqdNfdme4m17_Ezd3J69EeeiQPD0/edit?usp=sharing"",""อุทัยธานี!S539"")"),0)</f>
        <v>0</v>
      </c>
      <c r="T539" s="46">
        <f t="shared" ca="1" si="382"/>
        <v>0</v>
      </c>
      <c r="U539" s="46">
        <f t="shared" ca="1" si="383"/>
        <v>0</v>
      </c>
    </row>
    <row r="540" spans="1:21" ht="18.75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46">
        <f t="shared" ref="L540:N540" ca="1" si="390">L541+L542</f>
        <v>0</v>
      </c>
      <c r="M540" s="46">
        <f t="shared" ca="1" si="390"/>
        <v>0</v>
      </c>
      <c r="N540" s="46">
        <f t="shared" ca="1" si="390"/>
        <v>0</v>
      </c>
      <c r="O540" s="46">
        <f t="shared" ca="1" si="379"/>
        <v>0</v>
      </c>
      <c r="P540" s="46">
        <f t="shared" ca="1" si="380"/>
        <v>0</v>
      </c>
      <c r="Q540" s="46">
        <f t="shared" ref="Q540:S540" ca="1" si="391">Q541+Q542</f>
        <v>0</v>
      </c>
      <c r="R540" s="46">
        <f t="shared" ca="1" si="391"/>
        <v>0</v>
      </c>
      <c r="S540" s="46">
        <f t="shared" ca="1" si="391"/>
        <v>0</v>
      </c>
      <c r="T540" s="46">
        <f t="shared" ca="1" si="382"/>
        <v>0</v>
      </c>
      <c r="U540" s="46">
        <f t="shared" ca="1" si="383"/>
        <v>0</v>
      </c>
    </row>
    <row r="541" spans="1:21" ht="18.75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48">
        <f ca="1">IFERROR(__xludf.DUMMYFUNCTION("IMPORTRANGE(""https://docs.google.com/spreadsheets/d/1jTcq05yEiRwXcBMLjiodW9e4biSGYWAHcDj22rKWQ3s/edit?usp=sharing"",""กำแพงเพชร!L541"")+IMPORTRANGE(""https://docs.google.com/spreadsheets/d/1KS0zmDSZPk8KnTAbGN-Xk6MtX1YRZD0ldgdt20K4CRk/edit?usp=sharing"","&amp;"""เชียงราย!L541"")+IMPORTRANGE(""https://docs.google.com/spreadsheets/d/1rEDxBtusbi64tE0zunoIbsTVV16HeL0oJ6trHQeQ7K8/edit?usp=sharing"",""เชียงใหม่!L541"")+IMPORTRANGE(""https://docs.google.com/spreadsheets/d/1W6MnUbDkMi6xHnHko_XkFDO9kkuL6Wqyc-6OCDFjW9I/e"&amp;"dit?usp=sharing"",""ตาก!L541"")+IMPORTRANGE(""https://docs.google.com/spreadsheets/d/1IQAWArduLkta9LpYo4a_ULsyqdta6-6aDDiwpUnQT6c/edit?usp=sharing"",""นครสวรรค์!L541"")+IMPORTRANGE(""https://docs.google.com/spreadsheets/d/10s13Sk5xrltsiR-Zkbmk5DwIaDIKO8Xl"&amp;"bJAfqyT7Gvg/edit?usp=sharing"",""น่าน!L541"")+IMPORTRANGE(""https://docs.google.com/spreadsheets/d/1uu4nAn4Dbi1XREnLKKotUANlKXa7yCgRcgq8HEzQYW8/edit?usp=sharing"",""พะเยา!L541"")+IMPORTRANGE(""https://docs.google.com/spreadsheets/d/1xfJKIQxVOaPDIICqsflNlL"&amp;"u3JacTDk1FP9RH4phX7mI/edit?usp=sharing"",""พิจิตร!L541"")+IMPORTRANGE(""https://docs.google.com/spreadsheets/d/1JtRfZkJMHtEhI5RdRHxYUG4FIZHqKDpNyIuN7A1Q0_k/edit?usp=sharing"",""พิษณุโลก!L541"")+IMPORTRANGE(""https://docs.google.com/spreadsheets/d/1xlcVZWU"&amp;"Nn6SuWm0c307h32SiGkd9BaeQWlAktfD3KO8/edit?usp=sharing"",""เพชรบูรณ์!L541"")+IMPORTRANGE(""https://docs.google.com/spreadsheets/d/1lOVebEIsI9qjGXl6EX66luk7wiuP2tBaryw-wKvv4e0/edit?usp=sharing"",""แพร่!L541"")+IMPORTRANGE(""https://docs.google.com/spreadshe"&amp;"ets/d/1dQrvX0vEcN7Gu0fnZ0B5S90AeR19zth4XlExFBeExMY/edit?usp=sharing"",""แม่ฮ่องสอน!L541"")+IMPORTRANGE(""https://docs.google.com/spreadsheets/d/1DY4XTNNwjluuxqdfdn6qvOSlMRrZqUtmYcZR0ttFiG4/edit?usp=sharing"",""ลำปาง!L541"")+IMPORTRANGE(""https://docs.goog"&amp;"le.com/spreadsheets/d/1ICwG78r0OFT8biBlxnBF8r7she7gNSzOvJ958PWT09c/edit?usp=sharing"",""ลำพูน!L541"")+IMPORTRANGE(""https://docs.google.com/spreadsheets/d/1B0f2xJpZUC6Z0xXnqKlZtEPzsf6L84eP1r1Q15seqRM/edit?usp=sharing"",""สุโขทัย!L541"")+IMPORTRANGE(""http"&amp;"s://docs.google.com/spreadsheets/d/1v0b9pFQCsKUVExMei7AgY2yQkdeNQvtOssygGsXbiKo/edit?usp=sharing"",""อุตรดิตถ์!L541"")+IMPORTRANGE(""https://docs.google.com/spreadsheets/d/1UsNK1e-WWiCo2PvGqdNfdme4m17_Ezd3J69EeeiQPD0/edit?usp=sharing"",""อุทัยธานี!L541"")"),0)</f>
        <v>0</v>
      </c>
      <c r="M541" s="48">
        <f ca="1">IFERROR(__xludf.DUMMYFUNCTION("IMPORTRANGE(""https://docs.google.com/spreadsheets/d/1jTcq05yEiRwXcBMLjiodW9e4biSGYWAHcDj22rKWQ3s/edit?usp=sharing"",""กำแพงเพชร!M541"")+IMPORTRANGE(""https://docs.google.com/spreadsheets/d/1KS0zmDSZPk8KnTAbGN-Xk6MtX1YRZD0ldgdt20K4CRk/edit?usp=sharing"","&amp;"""เชียงราย!M541"")+IMPORTRANGE(""https://docs.google.com/spreadsheets/d/1rEDxBtusbi64tE0zunoIbsTVV16HeL0oJ6trHQeQ7K8/edit?usp=sharing"",""เชียงใหม่!M541"")+IMPORTRANGE(""https://docs.google.com/spreadsheets/d/1W6MnUbDkMi6xHnHko_XkFDO9kkuL6Wqyc-6OCDFjW9I/e"&amp;"dit?usp=sharing"",""ตาก!M541"")+IMPORTRANGE(""https://docs.google.com/spreadsheets/d/1IQAWArduLkta9LpYo4a_ULsyqdta6-6aDDiwpUnQT6c/edit?usp=sharing"",""นครสวรรค์!M541"")+IMPORTRANGE(""https://docs.google.com/spreadsheets/d/10s13Sk5xrltsiR-Zkbmk5DwIaDIKO8Xl"&amp;"bJAfqyT7Gvg/edit?usp=sharing"",""น่าน!M541"")+IMPORTRANGE(""https://docs.google.com/spreadsheets/d/1uu4nAn4Dbi1XREnLKKotUANlKXa7yCgRcgq8HEzQYW8/edit?usp=sharing"",""พะเยา!M541"")+IMPORTRANGE(""https://docs.google.com/spreadsheets/d/1xfJKIQxVOaPDIICqsflNlL"&amp;"u3JacTDk1FP9RH4phX7mI/edit?usp=sharing"",""พิจิตร!M541"")+IMPORTRANGE(""https://docs.google.com/spreadsheets/d/1JtRfZkJMHtEhI5RdRHxYUG4FIZHqKDpNyIuN7A1Q0_k/edit?usp=sharing"",""พิษณุโลก!M541"")+IMPORTRANGE(""https://docs.google.com/spreadsheets/d/1xlcVZWU"&amp;"Nn6SuWm0c307h32SiGkd9BaeQWlAktfD3KO8/edit?usp=sharing"",""เพชรบูรณ์!M541"")+IMPORTRANGE(""https://docs.google.com/spreadsheets/d/1lOVebEIsI9qjGXl6EX66luk7wiuP2tBaryw-wKvv4e0/edit?usp=sharing"",""แพร่!M541"")+IMPORTRANGE(""https://docs.google.com/spreadshe"&amp;"ets/d/1dQrvX0vEcN7Gu0fnZ0B5S90AeR19zth4XlExFBeExMY/edit?usp=sharing"",""แม่ฮ่องสอน!M541"")+IMPORTRANGE(""https://docs.google.com/spreadsheets/d/1DY4XTNNwjluuxqdfdn6qvOSlMRrZqUtmYcZR0ttFiG4/edit?usp=sharing"",""ลำปาง!M541"")+IMPORTRANGE(""https://docs.goog"&amp;"le.com/spreadsheets/d/1ICwG78r0OFT8biBlxnBF8r7she7gNSzOvJ958PWT09c/edit?usp=sharing"",""ลำพูน!M541"")+IMPORTRANGE(""https://docs.google.com/spreadsheets/d/1B0f2xJpZUC6Z0xXnqKlZtEPzsf6L84eP1r1Q15seqRM/edit?usp=sharing"",""สุโขทัย!M541"")+IMPORTRANGE(""http"&amp;"s://docs.google.com/spreadsheets/d/1v0b9pFQCsKUVExMei7AgY2yQkdeNQvtOssygGsXbiKo/edit?usp=sharing"",""อุตรดิตถ์!M541"")+IMPORTRANGE(""https://docs.google.com/spreadsheets/d/1UsNK1e-WWiCo2PvGqdNfdme4m17_Ezd3J69EeeiQPD0/edit?usp=sharing"",""อุทัยธานี!M541"")"),0)</f>
        <v>0</v>
      </c>
      <c r="N541" s="48">
        <f ca="1">IFERROR(__xludf.DUMMYFUNCTION("IMPORTRANGE(""https://docs.google.com/spreadsheets/d/1jTcq05yEiRwXcBMLjiodW9e4biSGYWAHcDj22rKWQ3s/edit?usp=sharing"",""กำแพงเพชร!N541"")+IMPORTRANGE(""https://docs.google.com/spreadsheets/d/1KS0zmDSZPk8KnTAbGN-Xk6MtX1YRZD0ldgdt20K4CRk/edit?usp=sharing"","&amp;"""เชียงราย!N541"")+IMPORTRANGE(""https://docs.google.com/spreadsheets/d/1rEDxBtusbi64tE0zunoIbsTVV16HeL0oJ6trHQeQ7K8/edit?usp=sharing"",""เชียงใหม่!N541"")+IMPORTRANGE(""https://docs.google.com/spreadsheets/d/1W6MnUbDkMi6xHnHko_XkFDO9kkuL6Wqyc-6OCDFjW9I/e"&amp;"dit?usp=sharing"",""ตาก!N541"")+IMPORTRANGE(""https://docs.google.com/spreadsheets/d/1IQAWArduLkta9LpYo4a_ULsyqdta6-6aDDiwpUnQT6c/edit?usp=sharing"",""นครสวรรค์!N541"")+IMPORTRANGE(""https://docs.google.com/spreadsheets/d/10s13Sk5xrltsiR-Zkbmk5DwIaDIKO8Xl"&amp;"bJAfqyT7Gvg/edit?usp=sharing"",""น่าน!N541"")+IMPORTRANGE(""https://docs.google.com/spreadsheets/d/1uu4nAn4Dbi1XREnLKKotUANlKXa7yCgRcgq8HEzQYW8/edit?usp=sharing"",""พะเยา!N541"")+IMPORTRANGE(""https://docs.google.com/spreadsheets/d/1xfJKIQxVOaPDIICqsflNlL"&amp;"u3JacTDk1FP9RH4phX7mI/edit?usp=sharing"",""พิจิตร!N541"")+IMPORTRANGE(""https://docs.google.com/spreadsheets/d/1JtRfZkJMHtEhI5RdRHxYUG4FIZHqKDpNyIuN7A1Q0_k/edit?usp=sharing"",""พิษณุโลก!N541"")+IMPORTRANGE(""https://docs.google.com/spreadsheets/d/1xlcVZWU"&amp;"Nn6SuWm0c307h32SiGkd9BaeQWlAktfD3KO8/edit?usp=sharing"",""เพชรบูรณ์!N541"")+IMPORTRANGE(""https://docs.google.com/spreadsheets/d/1lOVebEIsI9qjGXl6EX66luk7wiuP2tBaryw-wKvv4e0/edit?usp=sharing"",""แพร่!N541"")+IMPORTRANGE(""https://docs.google.com/spreadshe"&amp;"ets/d/1dQrvX0vEcN7Gu0fnZ0B5S90AeR19zth4XlExFBeExMY/edit?usp=sharing"",""แม่ฮ่องสอน!N541"")+IMPORTRANGE(""https://docs.google.com/spreadsheets/d/1DY4XTNNwjluuxqdfdn6qvOSlMRrZqUtmYcZR0ttFiG4/edit?usp=sharing"",""ลำปาง!N541"")+IMPORTRANGE(""https://docs.goog"&amp;"le.com/spreadsheets/d/1ICwG78r0OFT8biBlxnBF8r7she7gNSzOvJ958PWT09c/edit?usp=sharing"",""ลำพูน!N541"")+IMPORTRANGE(""https://docs.google.com/spreadsheets/d/1B0f2xJpZUC6Z0xXnqKlZtEPzsf6L84eP1r1Q15seqRM/edit?usp=sharing"",""สุโขทัย!N541"")+IMPORTRANGE(""http"&amp;"s://docs.google.com/spreadsheets/d/1v0b9pFQCsKUVExMei7AgY2yQkdeNQvtOssygGsXbiKo/edit?usp=sharing"",""อุตรดิตถ์!N541"")+IMPORTRANGE(""https://docs.google.com/spreadsheets/d/1UsNK1e-WWiCo2PvGqdNfdme4m17_Ezd3J69EeeiQPD0/edit?usp=sharing"",""อุทัยธานี!N541"")"),0)</f>
        <v>0</v>
      </c>
      <c r="O541" s="48">
        <f t="shared" ca="1" si="379"/>
        <v>0</v>
      </c>
      <c r="P541" s="48">
        <f t="shared" ca="1" si="380"/>
        <v>0</v>
      </c>
      <c r="Q541" s="48">
        <f ca="1">IFERROR(__xludf.DUMMYFUNCTION("IMPORTRANGE(""https://docs.google.com/spreadsheets/d/1jTcq05yEiRwXcBMLjiodW9e4biSGYWAHcDj22rKWQ3s/edit?usp=sharing"",""กำแพงเพชร!Q541"")+IMPORTRANGE(""https://docs.google.com/spreadsheets/d/1KS0zmDSZPk8KnTAbGN-Xk6MtX1YRZD0ldgdt20K4CRk/edit?usp=sharing"","&amp;"""เชียงราย!Q541"")+IMPORTRANGE(""https://docs.google.com/spreadsheets/d/1rEDxBtusbi64tE0zunoIbsTVV16HeL0oJ6trHQeQ7K8/edit?usp=sharing"",""เชียงใหม่!Q541"")+IMPORTRANGE(""https://docs.google.com/spreadsheets/d/1W6MnUbDkMi6xHnHko_XkFDO9kkuL6Wqyc-6OCDFjW9I/e"&amp;"dit?usp=sharing"",""ตาก!Q541"")+IMPORTRANGE(""https://docs.google.com/spreadsheets/d/1IQAWArduLkta9LpYo4a_ULsyqdta6-6aDDiwpUnQT6c/edit?usp=sharing"",""นครสวรรค์!Q541"")+IMPORTRANGE(""https://docs.google.com/spreadsheets/d/10s13Sk5xrltsiR-Zkbmk5DwIaDIKO8Xl"&amp;"bJAfqyT7Gvg/edit?usp=sharing"",""น่าน!Q541"")+IMPORTRANGE(""https://docs.google.com/spreadsheets/d/1uu4nAn4Dbi1XREnLKKotUANlKXa7yCgRcgq8HEzQYW8/edit?usp=sharing"",""พะเยา!Q541"")+IMPORTRANGE(""https://docs.google.com/spreadsheets/d/1xfJKIQxVOaPDIICqsflNlL"&amp;"u3JacTDk1FP9RH4phX7mI/edit?usp=sharing"",""พิจิตร!Q541"")+IMPORTRANGE(""https://docs.google.com/spreadsheets/d/1JtRfZkJMHtEhI5RdRHxYUG4FIZHqKDpNyIuN7A1Q0_k/edit?usp=sharing"",""พิษณุโลก!Q541"")+IMPORTRANGE(""https://docs.google.com/spreadsheets/d/1xlcVZWU"&amp;"Nn6SuWm0c307h32SiGkd9BaeQWlAktfD3KO8/edit?usp=sharing"",""เพชรบูรณ์!Q541"")+IMPORTRANGE(""https://docs.google.com/spreadsheets/d/1lOVebEIsI9qjGXl6EX66luk7wiuP2tBaryw-wKvv4e0/edit?usp=sharing"",""แพร่!Q541"")+IMPORTRANGE(""https://docs.google.com/spreadshe"&amp;"ets/d/1dQrvX0vEcN7Gu0fnZ0B5S90AeR19zth4XlExFBeExMY/edit?usp=sharing"",""แม่ฮ่องสอน!Q541"")+IMPORTRANGE(""https://docs.google.com/spreadsheets/d/1DY4XTNNwjluuxqdfdn6qvOSlMRrZqUtmYcZR0ttFiG4/edit?usp=sharing"",""ลำปาง!Q541"")+IMPORTRANGE(""https://docs.goog"&amp;"le.com/spreadsheets/d/1ICwG78r0OFT8biBlxnBF8r7she7gNSzOvJ958PWT09c/edit?usp=sharing"",""ลำพูน!Q541"")+IMPORTRANGE(""https://docs.google.com/spreadsheets/d/1B0f2xJpZUC6Z0xXnqKlZtEPzsf6L84eP1r1Q15seqRM/edit?usp=sharing"",""สุโขทัย!Q541"")+IMPORTRANGE(""http"&amp;"s://docs.google.com/spreadsheets/d/1v0b9pFQCsKUVExMei7AgY2yQkdeNQvtOssygGsXbiKo/edit?usp=sharing"",""อุตรดิตถ์!Q541"")+IMPORTRANGE(""https://docs.google.com/spreadsheets/d/1UsNK1e-WWiCo2PvGqdNfdme4m17_Ezd3J69EeeiQPD0/edit?usp=sharing"",""อุทัยธานี!Q541"")"),0)</f>
        <v>0</v>
      </c>
      <c r="R541" s="48">
        <f ca="1">IFERROR(__xludf.DUMMYFUNCTION("IMPORTRANGE(""https://docs.google.com/spreadsheets/d/1jTcq05yEiRwXcBMLjiodW9e4biSGYWAHcDj22rKWQ3s/edit?usp=sharing"",""กำแพงเพชร!R541"")+IMPORTRANGE(""https://docs.google.com/spreadsheets/d/1KS0zmDSZPk8KnTAbGN-Xk6MtX1YRZD0ldgdt20K4CRk/edit?usp=sharing"","&amp;"""เชียงราย!R541"")+IMPORTRANGE(""https://docs.google.com/spreadsheets/d/1rEDxBtusbi64tE0zunoIbsTVV16HeL0oJ6trHQeQ7K8/edit?usp=sharing"",""เชียงใหม่!R541"")+IMPORTRANGE(""https://docs.google.com/spreadsheets/d/1W6MnUbDkMi6xHnHko_XkFDO9kkuL6Wqyc-6OCDFjW9I/e"&amp;"dit?usp=sharing"",""ตาก!R541"")+IMPORTRANGE(""https://docs.google.com/spreadsheets/d/1IQAWArduLkta9LpYo4a_ULsyqdta6-6aDDiwpUnQT6c/edit?usp=sharing"",""นครสวรรค์!R541"")+IMPORTRANGE(""https://docs.google.com/spreadsheets/d/10s13Sk5xrltsiR-Zkbmk5DwIaDIKO8Xl"&amp;"bJAfqyT7Gvg/edit?usp=sharing"",""น่าน!R541"")+IMPORTRANGE(""https://docs.google.com/spreadsheets/d/1uu4nAn4Dbi1XREnLKKotUANlKXa7yCgRcgq8HEzQYW8/edit?usp=sharing"",""พะเยา!R541"")+IMPORTRANGE(""https://docs.google.com/spreadsheets/d/1xfJKIQxVOaPDIICqsflNlL"&amp;"u3JacTDk1FP9RH4phX7mI/edit?usp=sharing"",""พิจิตร!R541"")+IMPORTRANGE(""https://docs.google.com/spreadsheets/d/1JtRfZkJMHtEhI5RdRHxYUG4FIZHqKDpNyIuN7A1Q0_k/edit?usp=sharing"",""พิษณุโลก!R541"")+IMPORTRANGE(""https://docs.google.com/spreadsheets/d/1xlcVZWU"&amp;"Nn6SuWm0c307h32SiGkd9BaeQWlAktfD3KO8/edit?usp=sharing"",""เพชรบูรณ์!R541"")+IMPORTRANGE(""https://docs.google.com/spreadsheets/d/1lOVebEIsI9qjGXl6EX66luk7wiuP2tBaryw-wKvv4e0/edit?usp=sharing"",""แพร่!R541"")+IMPORTRANGE(""https://docs.google.com/spreadshe"&amp;"ets/d/1dQrvX0vEcN7Gu0fnZ0B5S90AeR19zth4XlExFBeExMY/edit?usp=sharing"",""แม่ฮ่องสอน!R541"")+IMPORTRANGE(""https://docs.google.com/spreadsheets/d/1DY4XTNNwjluuxqdfdn6qvOSlMRrZqUtmYcZR0ttFiG4/edit?usp=sharing"",""ลำปาง!R541"")+IMPORTRANGE(""https://docs.goog"&amp;"le.com/spreadsheets/d/1ICwG78r0OFT8biBlxnBF8r7she7gNSzOvJ958PWT09c/edit?usp=sharing"",""ลำพูน!R541"")+IMPORTRANGE(""https://docs.google.com/spreadsheets/d/1B0f2xJpZUC6Z0xXnqKlZtEPzsf6L84eP1r1Q15seqRM/edit?usp=sharing"",""สุโขทัย!R541"")+IMPORTRANGE(""http"&amp;"s://docs.google.com/spreadsheets/d/1v0b9pFQCsKUVExMei7AgY2yQkdeNQvtOssygGsXbiKo/edit?usp=sharing"",""อุตรดิตถ์!R541"")+IMPORTRANGE(""https://docs.google.com/spreadsheets/d/1UsNK1e-WWiCo2PvGqdNfdme4m17_Ezd3J69EeeiQPD0/edit?usp=sharing"",""อุทัยธานี!R541"")"),0)</f>
        <v>0</v>
      </c>
      <c r="S541" s="48">
        <f ca="1">IFERROR(__xludf.DUMMYFUNCTION("IMPORTRANGE(""https://docs.google.com/spreadsheets/d/1jTcq05yEiRwXcBMLjiodW9e4biSGYWAHcDj22rKWQ3s/edit?usp=sharing"",""กำแพงเพชร!S541"")+IMPORTRANGE(""https://docs.google.com/spreadsheets/d/1KS0zmDSZPk8KnTAbGN-Xk6MtX1YRZD0ldgdt20K4CRk/edit?usp=sharing"","&amp;"""เชียงราย!S541"")+IMPORTRANGE(""https://docs.google.com/spreadsheets/d/1rEDxBtusbi64tE0zunoIbsTVV16HeL0oJ6trHQeQ7K8/edit?usp=sharing"",""เชียงใหม่!S541"")+IMPORTRANGE(""https://docs.google.com/spreadsheets/d/1W6MnUbDkMi6xHnHko_XkFDO9kkuL6Wqyc-6OCDFjW9I/e"&amp;"dit?usp=sharing"",""ตาก!S541"")+IMPORTRANGE(""https://docs.google.com/spreadsheets/d/1IQAWArduLkta9LpYo4a_ULsyqdta6-6aDDiwpUnQT6c/edit?usp=sharing"",""นครสวรรค์!S541"")+IMPORTRANGE(""https://docs.google.com/spreadsheets/d/10s13Sk5xrltsiR-Zkbmk5DwIaDIKO8Xl"&amp;"bJAfqyT7Gvg/edit?usp=sharing"",""น่าน!S541"")+IMPORTRANGE(""https://docs.google.com/spreadsheets/d/1uu4nAn4Dbi1XREnLKKotUANlKXa7yCgRcgq8HEzQYW8/edit?usp=sharing"",""พะเยา!S541"")+IMPORTRANGE(""https://docs.google.com/spreadsheets/d/1xfJKIQxVOaPDIICqsflNlL"&amp;"u3JacTDk1FP9RH4phX7mI/edit?usp=sharing"",""พิจิตร!S541"")+IMPORTRANGE(""https://docs.google.com/spreadsheets/d/1JtRfZkJMHtEhI5RdRHxYUG4FIZHqKDpNyIuN7A1Q0_k/edit?usp=sharing"",""พิษณุโลก!S541"")+IMPORTRANGE(""https://docs.google.com/spreadsheets/d/1xlcVZWU"&amp;"Nn6SuWm0c307h32SiGkd9BaeQWlAktfD3KO8/edit?usp=sharing"",""เพชรบูรณ์!S541"")+IMPORTRANGE(""https://docs.google.com/spreadsheets/d/1lOVebEIsI9qjGXl6EX66luk7wiuP2tBaryw-wKvv4e0/edit?usp=sharing"",""แพร่!S541"")+IMPORTRANGE(""https://docs.google.com/spreadshe"&amp;"ets/d/1dQrvX0vEcN7Gu0fnZ0B5S90AeR19zth4XlExFBeExMY/edit?usp=sharing"",""แม่ฮ่องสอน!S541"")+IMPORTRANGE(""https://docs.google.com/spreadsheets/d/1DY4XTNNwjluuxqdfdn6qvOSlMRrZqUtmYcZR0ttFiG4/edit?usp=sharing"",""ลำปาง!S541"")+IMPORTRANGE(""https://docs.goog"&amp;"le.com/spreadsheets/d/1ICwG78r0OFT8biBlxnBF8r7she7gNSzOvJ958PWT09c/edit?usp=sharing"",""ลำพูน!S541"")+IMPORTRANGE(""https://docs.google.com/spreadsheets/d/1B0f2xJpZUC6Z0xXnqKlZtEPzsf6L84eP1r1Q15seqRM/edit?usp=sharing"",""สุโขทัย!S541"")+IMPORTRANGE(""http"&amp;"s://docs.google.com/spreadsheets/d/1v0b9pFQCsKUVExMei7AgY2yQkdeNQvtOssygGsXbiKo/edit?usp=sharing"",""อุตรดิตถ์!S541"")+IMPORTRANGE(""https://docs.google.com/spreadsheets/d/1UsNK1e-WWiCo2PvGqdNfdme4m17_Ezd3J69EeeiQPD0/edit?usp=sharing"",""อุทัยธานี!S541"")"),0)</f>
        <v>0</v>
      </c>
      <c r="T541" s="48">
        <f t="shared" ca="1" si="382"/>
        <v>0</v>
      </c>
      <c r="U541" s="48">
        <f t="shared" ca="1" si="383"/>
        <v>0</v>
      </c>
    </row>
    <row r="542" spans="1:21" ht="18.75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46">
        <f ca="1">IFERROR(__xludf.DUMMYFUNCTION("IMPORTRANGE(""https://docs.google.com/spreadsheets/d/1jTcq05yEiRwXcBMLjiodW9e4biSGYWAHcDj22rKWQ3s/edit?usp=sharing"",""กำแพงเพชร!L542"")+IMPORTRANGE(""https://docs.google.com/spreadsheets/d/1KS0zmDSZPk8KnTAbGN-Xk6MtX1YRZD0ldgdt20K4CRk/edit?usp=sharing"","&amp;"""เชียงราย!L542"")+IMPORTRANGE(""https://docs.google.com/spreadsheets/d/1rEDxBtusbi64tE0zunoIbsTVV16HeL0oJ6trHQeQ7K8/edit?usp=sharing"",""เชียงใหม่!L542"")+IMPORTRANGE(""https://docs.google.com/spreadsheets/d/1W6MnUbDkMi6xHnHko_XkFDO9kkuL6Wqyc-6OCDFjW9I/e"&amp;"dit?usp=sharing"",""ตาก!L542"")+IMPORTRANGE(""https://docs.google.com/spreadsheets/d/1IQAWArduLkta9LpYo4a_ULsyqdta6-6aDDiwpUnQT6c/edit?usp=sharing"",""นครสวรรค์!L542"")+IMPORTRANGE(""https://docs.google.com/spreadsheets/d/10s13Sk5xrltsiR-Zkbmk5DwIaDIKO8Xl"&amp;"bJAfqyT7Gvg/edit?usp=sharing"",""น่าน!L542"")+IMPORTRANGE(""https://docs.google.com/spreadsheets/d/1uu4nAn4Dbi1XREnLKKotUANlKXa7yCgRcgq8HEzQYW8/edit?usp=sharing"",""พะเยา!L542"")+IMPORTRANGE(""https://docs.google.com/spreadsheets/d/1xfJKIQxVOaPDIICqsflNlL"&amp;"u3JacTDk1FP9RH4phX7mI/edit?usp=sharing"",""พิจิตร!L542"")+IMPORTRANGE(""https://docs.google.com/spreadsheets/d/1JtRfZkJMHtEhI5RdRHxYUG4FIZHqKDpNyIuN7A1Q0_k/edit?usp=sharing"",""พิษณุโลก!L542"")+IMPORTRANGE(""https://docs.google.com/spreadsheets/d/1xlcVZWU"&amp;"Nn6SuWm0c307h32SiGkd9BaeQWlAktfD3KO8/edit?usp=sharing"",""เพชรบูรณ์!L542"")+IMPORTRANGE(""https://docs.google.com/spreadsheets/d/1lOVebEIsI9qjGXl6EX66luk7wiuP2tBaryw-wKvv4e0/edit?usp=sharing"",""แพร่!L542"")+IMPORTRANGE(""https://docs.google.com/spreadshe"&amp;"ets/d/1dQrvX0vEcN7Gu0fnZ0B5S90AeR19zth4XlExFBeExMY/edit?usp=sharing"",""แม่ฮ่องสอน!L542"")+IMPORTRANGE(""https://docs.google.com/spreadsheets/d/1DY4XTNNwjluuxqdfdn6qvOSlMRrZqUtmYcZR0ttFiG4/edit?usp=sharing"",""ลำปาง!L542"")+IMPORTRANGE(""https://docs.goog"&amp;"le.com/spreadsheets/d/1ICwG78r0OFT8biBlxnBF8r7she7gNSzOvJ958PWT09c/edit?usp=sharing"",""ลำพูน!L542"")+IMPORTRANGE(""https://docs.google.com/spreadsheets/d/1B0f2xJpZUC6Z0xXnqKlZtEPzsf6L84eP1r1Q15seqRM/edit?usp=sharing"",""สุโขทัย!L542"")+IMPORTRANGE(""http"&amp;"s://docs.google.com/spreadsheets/d/1v0b9pFQCsKUVExMei7AgY2yQkdeNQvtOssygGsXbiKo/edit?usp=sharing"",""อุตรดิตถ์!L542"")+IMPORTRANGE(""https://docs.google.com/spreadsheets/d/1UsNK1e-WWiCo2PvGqdNfdme4m17_Ezd3J69EeeiQPD0/edit?usp=sharing"",""อุทัยธานี!L542"")"),0)</f>
        <v>0</v>
      </c>
      <c r="M542" s="46">
        <f ca="1">IFERROR(__xludf.DUMMYFUNCTION("IMPORTRANGE(""https://docs.google.com/spreadsheets/d/1jTcq05yEiRwXcBMLjiodW9e4biSGYWAHcDj22rKWQ3s/edit?usp=sharing"",""กำแพงเพชร!M542"")+IMPORTRANGE(""https://docs.google.com/spreadsheets/d/1KS0zmDSZPk8KnTAbGN-Xk6MtX1YRZD0ldgdt20K4CRk/edit?usp=sharing"","&amp;"""เชียงราย!M542"")+IMPORTRANGE(""https://docs.google.com/spreadsheets/d/1rEDxBtusbi64tE0zunoIbsTVV16HeL0oJ6trHQeQ7K8/edit?usp=sharing"",""เชียงใหม่!M542"")+IMPORTRANGE(""https://docs.google.com/spreadsheets/d/1W6MnUbDkMi6xHnHko_XkFDO9kkuL6Wqyc-6OCDFjW9I/e"&amp;"dit?usp=sharing"",""ตาก!M542"")+IMPORTRANGE(""https://docs.google.com/spreadsheets/d/1IQAWArduLkta9LpYo4a_ULsyqdta6-6aDDiwpUnQT6c/edit?usp=sharing"",""นครสวรรค์!M542"")+IMPORTRANGE(""https://docs.google.com/spreadsheets/d/10s13Sk5xrltsiR-Zkbmk5DwIaDIKO8Xl"&amp;"bJAfqyT7Gvg/edit?usp=sharing"",""น่าน!M542"")+IMPORTRANGE(""https://docs.google.com/spreadsheets/d/1uu4nAn4Dbi1XREnLKKotUANlKXa7yCgRcgq8HEzQYW8/edit?usp=sharing"",""พะเยา!M542"")+IMPORTRANGE(""https://docs.google.com/spreadsheets/d/1xfJKIQxVOaPDIICqsflNlL"&amp;"u3JacTDk1FP9RH4phX7mI/edit?usp=sharing"",""พิจิตร!M542"")+IMPORTRANGE(""https://docs.google.com/spreadsheets/d/1JtRfZkJMHtEhI5RdRHxYUG4FIZHqKDpNyIuN7A1Q0_k/edit?usp=sharing"",""พิษณุโลก!M542"")+IMPORTRANGE(""https://docs.google.com/spreadsheets/d/1xlcVZWU"&amp;"Nn6SuWm0c307h32SiGkd9BaeQWlAktfD3KO8/edit?usp=sharing"",""เพชรบูรณ์!M542"")+IMPORTRANGE(""https://docs.google.com/spreadsheets/d/1lOVebEIsI9qjGXl6EX66luk7wiuP2tBaryw-wKvv4e0/edit?usp=sharing"",""แพร่!M542"")+IMPORTRANGE(""https://docs.google.com/spreadshe"&amp;"ets/d/1dQrvX0vEcN7Gu0fnZ0B5S90AeR19zth4XlExFBeExMY/edit?usp=sharing"",""แม่ฮ่องสอน!M542"")+IMPORTRANGE(""https://docs.google.com/spreadsheets/d/1DY4XTNNwjluuxqdfdn6qvOSlMRrZqUtmYcZR0ttFiG4/edit?usp=sharing"",""ลำปาง!M542"")+IMPORTRANGE(""https://docs.goog"&amp;"le.com/spreadsheets/d/1ICwG78r0OFT8biBlxnBF8r7she7gNSzOvJ958PWT09c/edit?usp=sharing"",""ลำพูน!M542"")+IMPORTRANGE(""https://docs.google.com/spreadsheets/d/1B0f2xJpZUC6Z0xXnqKlZtEPzsf6L84eP1r1Q15seqRM/edit?usp=sharing"",""สุโขทัย!M542"")+IMPORTRANGE(""http"&amp;"s://docs.google.com/spreadsheets/d/1v0b9pFQCsKUVExMei7AgY2yQkdeNQvtOssygGsXbiKo/edit?usp=sharing"",""อุตรดิตถ์!M542"")+IMPORTRANGE(""https://docs.google.com/spreadsheets/d/1UsNK1e-WWiCo2PvGqdNfdme4m17_Ezd3J69EeeiQPD0/edit?usp=sharing"",""อุทัยธานี!M542"")"),0)</f>
        <v>0</v>
      </c>
      <c r="N542" s="46">
        <f ca="1">IFERROR(__xludf.DUMMYFUNCTION("IMPORTRANGE(""https://docs.google.com/spreadsheets/d/1jTcq05yEiRwXcBMLjiodW9e4biSGYWAHcDj22rKWQ3s/edit?usp=sharing"",""กำแพงเพชร!N542"")+IMPORTRANGE(""https://docs.google.com/spreadsheets/d/1KS0zmDSZPk8KnTAbGN-Xk6MtX1YRZD0ldgdt20K4CRk/edit?usp=sharing"","&amp;"""เชียงราย!N542"")+IMPORTRANGE(""https://docs.google.com/spreadsheets/d/1rEDxBtusbi64tE0zunoIbsTVV16HeL0oJ6trHQeQ7K8/edit?usp=sharing"",""เชียงใหม่!N542"")+IMPORTRANGE(""https://docs.google.com/spreadsheets/d/1W6MnUbDkMi6xHnHko_XkFDO9kkuL6Wqyc-6OCDFjW9I/e"&amp;"dit?usp=sharing"",""ตาก!N542"")+IMPORTRANGE(""https://docs.google.com/spreadsheets/d/1IQAWArduLkta9LpYo4a_ULsyqdta6-6aDDiwpUnQT6c/edit?usp=sharing"",""นครสวรรค์!N542"")+IMPORTRANGE(""https://docs.google.com/spreadsheets/d/10s13Sk5xrltsiR-Zkbmk5DwIaDIKO8Xl"&amp;"bJAfqyT7Gvg/edit?usp=sharing"",""น่าน!N542"")+IMPORTRANGE(""https://docs.google.com/spreadsheets/d/1uu4nAn4Dbi1XREnLKKotUANlKXa7yCgRcgq8HEzQYW8/edit?usp=sharing"",""พะเยา!N542"")+IMPORTRANGE(""https://docs.google.com/spreadsheets/d/1xfJKIQxVOaPDIICqsflNlL"&amp;"u3JacTDk1FP9RH4phX7mI/edit?usp=sharing"",""พิจิตร!N542"")+IMPORTRANGE(""https://docs.google.com/spreadsheets/d/1JtRfZkJMHtEhI5RdRHxYUG4FIZHqKDpNyIuN7A1Q0_k/edit?usp=sharing"",""พิษณุโลก!N542"")+IMPORTRANGE(""https://docs.google.com/spreadsheets/d/1xlcVZWU"&amp;"Nn6SuWm0c307h32SiGkd9BaeQWlAktfD3KO8/edit?usp=sharing"",""เพชรบูรณ์!N542"")+IMPORTRANGE(""https://docs.google.com/spreadsheets/d/1lOVebEIsI9qjGXl6EX66luk7wiuP2tBaryw-wKvv4e0/edit?usp=sharing"",""แพร่!N542"")+IMPORTRANGE(""https://docs.google.com/spreadshe"&amp;"ets/d/1dQrvX0vEcN7Gu0fnZ0B5S90AeR19zth4XlExFBeExMY/edit?usp=sharing"",""แม่ฮ่องสอน!N542"")+IMPORTRANGE(""https://docs.google.com/spreadsheets/d/1DY4XTNNwjluuxqdfdn6qvOSlMRrZqUtmYcZR0ttFiG4/edit?usp=sharing"",""ลำปาง!N542"")+IMPORTRANGE(""https://docs.goog"&amp;"le.com/spreadsheets/d/1ICwG78r0OFT8biBlxnBF8r7she7gNSzOvJ958PWT09c/edit?usp=sharing"",""ลำพูน!N542"")+IMPORTRANGE(""https://docs.google.com/spreadsheets/d/1B0f2xJpZUC6Z0xXnqKlZtEPzsf6L84eP1r1Q15seqRM/edit?usp=sharing"",""สุโขทัย!N542"")+IMPORTRANGE(""http"&amp;"s://docs.google.com/spreadsheets/d/1v0b9pFQCsKUVExMei7AgY2yQkdeNQvtOssygGsXbiKo/edit?usp=sharing"",""อุตรดิตถ์!N542"")+IMPORTRANGE(""https://docs.google.com/spreadsheets/d/1UsNK1e-WWiCo2PvGqdNfdme4m17_Ezd3J69EeeiQPD0/edit?usp=sharing"",""อุทัยธานี!N542"")"),0)</f>
        <v>0</v>
      </c>
      <c r="O542" s="46">
        <f t="shared" ca="1" si="379"/>
        <v>0</v>
      </c>
      <c r="P542" s="46">
        <f t="shared" ca="1" si="380"/>
        <v>0</v>
      </c>
      <c r="Q542" s="46">
        <f ca="1">IFERROR(__xludf.DUMMYFUNCTION("IMPORTRANGE(""https://docs.google.com/spreadsheets/d/1jTcq05yEiRwXcBMLjiodW9e4biSGYWAHcDj22rKWQ3s/edit?usp=sharing"",""กำแพงเพชร!Q542"")+IMPORTRANGE(""https://docs.google.com/spreadsheets/d/1KS0zmDSZPk8KnTAbGN-Xk6MtX1YRZD0ldgdt20K4CRk/edit?usp=sharing"","&amp;"""เชียงราย!Q542"")+IMPORTRANGE(""https://docs.google.com/spreadsheets/d/1rEDxBtusbi64tE0zunoIbsTVV16HeL0oJ6trHQeQ7K8/edit?usp=sharing"",""เชียงใหม่!Q542"")+IMPORTRANGE(""https://docs.google.com/spreadsheets/d/1W6MnUbDkMi6xHnHko_XkFDO9kkuL6Wqyc-6OCDFjW9I/e"&amp;"dit?usp=sharing"",""ตาก!Q542"")+IMPORTRANGE(""https://docs.google.com/spreadsheets/d/1IQAWArduLkta9LpYo4a_ULsyqdta6-6aDDiwpUnQT6c/edit?usp=sharing"",""นครสวรรค์!Q542"")+IMPORTRANGE(""https://docs.google.com/spreadsheets/d/10s13Sk5xrltsiR-Zkbmk5DwIaDIKO8Xl"&amp;"bJAfqyT7Gvg/edit?usp=sharing"",""น่าน!Q542"")+IMPORTRANGE(""https://docs.google.com/spreadsheets/d/1uu4nAn4Dbi1XREnLKKotUANlKXa7yCgRcgq8HEzQYW8/edit?usp=sharing"",""พะเยา!Q542"")+IMPORTRANGE(""https://docs.google.com/spreadsheets/d/1xfJKIQxVOaPDIICqsflNlL"&amp;"u3JacTDk1FP9RH4phX7mI/edit?usp=sharing"",""พิจิตร!Q542"")+IMPORTRANGE(""https://docs.google.com/spreadsheets/d/1JtRfZkJMHtEhI5RdRHxYUG4FIZHqKDpNyIuN7A1Q0_k/edit?usp=sharing"",""พิษณุโลก!Q542"")+IMPORTRANGE(""https://docs.google.com/spreadsheets/d/1xlcVZWU"&amp;"Nn6SuWm0c307h32SiGkd9BaeQWlAktfD3KO8/edit?usp=sharing"",""เพชรบูรณ์!Q542"")+IMPORTRANGE(""https://docs.google.com/spreadsheets/d/1lOVebEIsI9qjGXl6EX66luk7wiuP2tBaryw-wKvv4e0/edit?usp=sharing"",""แพร่!Q542"")+IMPORTRANGE(""https://docs.google.com/spreadshe"&amp;"ets/d/1dQrvX0vEcN7Gu0fnZ0B5S90AeR19zth4XlExFBeExMY/edit?usp=sharing"",""แม่ฮ่องสอน!Q542"")+IMPORTRANGE(""https://docs.google.com/spreadsheets/d/1DY4XTNNwjluuxqdfdn6qvOSlMRrZqUtmYcZR0ttFiG4/edit?usp=sharing"",""ลำปาง!Q542"")+IMPORTRANGE(""https://docs.goog"&amp;"le.com/spreadsheets/d/1ICwG78r0OFT8biBlxnBF8r7she7gNSzOvJ958PWT09c/edit?usp=sharing"",""ลำพูน!Q542"")+IMPORTRANGE(""https://docs.google.com/spreadsheets/d/1B0f2xJpZUC6Z0xXnqKlZtEPzsf6L84eP1r1Q15seqRM/edit?usp=sharing"",""สุโขทัย!Q542"")+IMPORTRANGE(""http"&amp;"s://docs.google.com/spreadsheets/d/1v0b9pFQCsKUVExMei7AgY2yQkdeNQvtOssygGsXbiKo/edit?usp=sharing"",""อุตรดิตถ์!Q542"")+IMPORTRANGE(""https://docs.google.com/spreadsheets/d/1UsNK1e-WWiCo2PvGqdNfdme4m17_Ezd3J69EeeiQPD0/edit?usp=sharing"",""อุทัยธานี!Q542"")"),0)</f>
        <v>0</v>
      </c>
      <c r="R542" s="46">
        <f ca="1">IFERROR(__xludf.DUMMYFUNCTION("IMPORTRANGE(""https://docs.google.com/spreadsheets/d/1jTcq05yEiRwXcBMLjiodW9e4biSGYWAHcDj22rKWQ3s/edit?usp=sharing"",""กำแพงเพชร!R542"")+IMPORTRANGE(""https://docs.google.com/spreadsheets/d/1KS0zmDSZPk8KnTAbGN-Xk6MtX1YRZD0ldgdt20K4CRk/edit?usp=sharing"","&amp;"""เชียงราย!R542"")+IMPORTRANGE(""https://docs.google.com/spreadsheets/d/1rEDxBtusbi64tE0zunoIbsTVV16HeL0oJ6trHQeQ7K8/edit?usp=sharing"",""เชียงใหม่!R542"")+IMPORTRANGE(""https://docs.google.com/spreadsheets/d/1W6MnUbDkMi6xHnHko_XkFDO9kkuL6Wqyc-6OCDFjW9I/e"&amp;"dit?usp=sharing"",""ตาก!R542"")+IMPORTRANGE(""https://docs.google.com/spreadsheets/d/1IQAWArduLkta9LpYo4a_ULsyqdta6-6aDDiwpUnQT6c/edit?usp=sharing"",""นครสวรรค์!R542"")+IMPORTRANGE(""https://docs.google.com/spreadsheets/d/10s13Sk5xrltsiR-Zkbmk5DwIaDIKO8Xl"&amp;"bJAfqyT7Gvg/edit?usp=sharing"",""น่าน!R542"")+IMPORTRANGE(""https://docs.google.com/spreadsheets/d/1uu4nAn4Dbi1XREnLKKotUANlKXa7yCgRcgq8HEzQYW8/edit?usp=sharing"",""พะเยา!R542"")+IMPORTRANGE(""https://docs.google.com/spreadsheets/d/1xfJKIQxVOaPDIICqsflNlL"&amp;"u3JacTDk1FP9RH4phX7mI/edit?usp=sharing"",""พิจิตร!R542"")+IMPORTRANGE(""https://docs.google.com/spreadsheets/d/1JtRfZkJMHtEhI5RdRHxYUG4FIZHqKDpNyIuN7A1Q0_k/edit?usp=sharing"",""พิษณุโลก!R542"")+IMPORTRANGE(""https://docs.google.com/spreadsheets/d/1xlcVZWU"&amp;"Nn6SuWm0c307h32SiGkd9BaeQWlAktfD3KO8/edit?usp=sharing"",""เพชรบูรณ์!R542"")+IMPORTRANGE(""https://docs.google.com/spreadsheets/d/1lOVebEIsI9qjGXl6EX66luk7wiuP2tBaryw-wKvv4e0/edit?usp=sharing"",""แพร่!R542"")+IMPORTRANGE(""https://docs.google.com/spreadshe"&amp;"ets/d/1dQrvX0vEcN7Gu0fnZ0B5S90AeR19zth4XlExFBeExMY/edit?usp=sharing"",""แม่ฮ่องสอน!R542"")+IMPORTRANGE(""https://docs.google.com/spreadsheets/d/1DY4XTNNwjluuxqdfdn6qvOSlMRrZqUtmYcZR0ttFiG4/edit?usp=sharing"",""ลำปาง!R542"")+IMPORTRANGE(""https://docs.goog"&amp;"le.com/spreadsheets/d/1ICwG78r0OFT8biBlxnBF8r7she7gNSzOvJ958PWT09c/edit?usp=sharing"",""ลำพูน!R542"")+IMPORTRANGE(""https://docs.google.com/spreadsheets/d/1B0f2xJpZUC6Z0xXnqKlZtEPzsf6L84eP1r1Q15seqRM/edit?usp=sharing"",""สุโขทัย!R542"")+IMPORTRANGE(""http"&amp;"s://docs.google.com/spreadsheets/d/1v0b9pFQCsKUVExMei7AgY2yQkdeNQvtOssygGsXbiKo/edit?usp=sharing"",""อุตรดิตถ์!R542"")+IMPORTRANGE(""https://docs.google.com/spreadsheets/d/1UsNK1e-WWiCo2PvGqdNfdme4m17_Ezd3J69EeeiQPD0/edit?usp=sharing"",""อุทัยธานี!R542"")"),0)</f>
        <v>0</v>
      </c>
      <c r="S542" s="46">
        <f ca="1">IFERROR(__xludf.DUMMYFUNCTION("IMPORTRANGE(""https://docs.google.com/spreadsheets/d/1jTcq05yEiRwXcBMLjiodW9e4biSGYWAHcDj22rKWQ3s/edit?usp=sharing"",""กำแพงเพชร!S542"")+IMPORTRANGE(""https://docs.google.com/spreadsheets/d/1KS0zmDSZPk8KnTAbGN-Xk6MtX1YRZD0ldgdt20K4CRk/edit?usp=sharing"","&amp;"""เชียงราย!S542"")+IMPORTRANGE(""https://docs.google.com/spreadsheets/d/1rEDxBtusbi64tE0zunoIbsTVV16HeL0oJ6trHQeQ7K8/edit?usp=sharing"",""เชียงใหม่!S542"")+IMPORTRANGE(""https://docs.google.com/spreadsheets/d/1W6MnUbDkMi6xHnHko_XkFDO9kkuL6Wqyc-6OCDFjW9I/e"&amp;"dit?usp=sharing"",""ตาก!S542"")+IMPORTRANGE(""https://docs.google.com/spreadsheets/d/1IQAWArduLkta9LpYo4a_ULsyqdta6-6aDDiwpUnQT6c/edit?usp=sharing"",""นครสวรรค์!S542"")+IMPORTRANGE(""https://docs.google.com/spreadsheets/d/10s13Sk5xrltsiR-Zkbmk5DwIaDIKO8Xl"&amp;"bJAfqyT7Gvg/edit?usp=sharing"",""น่าน!S542"")+IMPORTRANGE(""https://docs.google.com/spreadsheets/d/1uu4nAn4Dbi1XREnLKKotUANlKXa7yCgRcgq8HEzQYW8/edit?usp=sharing"",""พะเยา!S542"")+IMPORTRANGE(""https://docs.google.com/spreadsheets/d/1xfJKIQxVOaPDIICqsflNlL"&amp;"u3JacTDk1FP9RH4phX7mI/edit?usp=sharing"",""พิจิตร!S542"")+IMPORTRANGE(""https://docs.google.com/spreadsheets/d/1JtRfZkJMHtEhI5RdRHxYUG4FIZHqKDpNyIuN7A1Q0_k/edit?usp=sharing"",""พิษณุโลก!S542"")+IMPORTRANGE(""https://docs.google.com/spreadsheets/d/1xlcVZWU"&amp;"Nn6SuWm0c307h32SiGkd9BaeQWlAktfD3KO8/edit?usp=sharing"",""เพชรบูรณ์!S542"")+IMPORTRANGE(""https://docs.google.com/spreadsheets/d/1lOVebEIsI9qjGXl6EX66luk7wiuP2tBaryw-wKvv4e0/edit?usp=sharing"",""แพร่!S542"")+IMPORTRANGE(""https://docs.google.com/spreadshe"&amp;"ets/d/1dQrvX0vEcN7Gu0fnZ0B5S90AeR19zth4XlExFBeExMY/edit?usp=sharing"",""แม่ฮ่องสอน!S542"")+IMPORTRANGE(""https://docs.google.com/spreadsheets/d/1DY4XTNNwjluuxqdfdn6qvOSlMRrZqUtmYcZR0ttFiG4/edit?usp=sharing"",""ลำปาง!S542"")+IMPORTRANGE(""https://docs.goog"&amp;"le.com/spreadsheets/d/1ICwG78r0OFT8biBlxnBF8r7she7gNSzOvJ958PWT09c/edit?usp=sharing"",""ลำพูน!S542"")+IMPORTRANGE(""https://docs.google.com/spreadsheets/d/1B0f2xJpZUC6Z0xXnqKlZtEPzsf6L84eP1r1Q15seqRM/edit?usp=sharing"",""สุโขทัย!S542"")+IMPORTRANGE(""http"&amp;"s://docs.google.com/spreadsheets/d/1v0b9pFQCsKUVExMei7AgY2yQkdeNQvtOssygGsXbiKo/edit?usp=sharing"",""อุตรดิตถ์!S542"")+IMPORTRANGE(""https://docs.google.com/spreadsheets/d/1UsNK1e-WWiCo2PvGqdNfdme4m17_Ezd3J69EeeiQPD0/edit?usp=sharing"",""อุทัยธานี!S542"")"),0)</f>
        <v>0</v>
      </c>
      <c r="T542" s="46">
        <f t="shared" ca="1" si="382"/>
        <v>0</v>
      </c>
      <c r="U542" s="46">
        <f t="shared" ca="1" si="383"/>
        <v>0</v>
      </c>
    </row>
    <row r="543" spans="1:21" ht="19.5" x14ac:dyDescent="0.3">
      <c r="A543" s="138"/>
      <c r="B543" s="139"/>
      <c r="C543" s="365" t="s">
        <v>18</v>
      </c>
      <c r="D543" s="140" t="s">
        <v>38</v>
      </c>
      <c r="E543" s="141"/>
      <c r="F543" s="141"/>
      <c r="G543" s="142"/>
      <c r="H543" s="143"/>
      <c r="I543" s="135"/>
      <c r="J543" s="44"/>
      <c r="K543" s="45"/>
      <c r="L543" s="45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233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233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233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233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233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233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233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233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233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319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64">
        <f t="shared" ref="I554:J554" si="392">I566</f>
        <v>0</v>
      </c>
      <c r="J554" s="364">
        <f t="shared" si="392"/>
        <v>0</v>
      </c>
      <c r="K554" s="356">
        <f>IF(I554&gt;0,J554*100/I554,0)</f>
        <v>0</v>
      </c>
      <c r="L554" s="357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x14ac:dyDescent="0.3">
      <c r="A555" s="128"/>
      <c r="B555" s="40"/>
      <c r="C555" s="129" t="s">
        <v>18</v>
      </c>
      <c r="D555" s="13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132">
        <f t="shared" ref="L555:N555" ca="1" si="393">L556+L557</f>
        <v>0</v>
      </c>
      <c r="M555" s="132">
        <f t="shared" ca="1" si="393"/>
        <v>0</v>
      </c>
      <c r="N555" s="132">
        <f t="shared" ca="1" si="393"/>
        <v>0</v>
      </c>
      <c r="O555" s="132">
        <f t="shared" ref="O555:O563" ca="1" si="394">IF(L555&gt;0,N555*100/L555,0)</f>
        <v>0</v>
      </c>
      <c r="P555" s="132">
        <f t="shared" ref="P555:P563" ca="1" si="395">IF(M555&gt;0,N555*100/M555,0)</f>
        <v>0</v>
      </c>
      <c r="Q555" s="132">
        <f t="shared" ref="Q555:S555" ca="1" si="396">Q556+Q557</f>
        <v>0</v>
      </c>
      <c r="R555" s="132">
        <f t="shared" ca="1" si="396"/>
        <v>0</v>
      </c>
      <c r="S555" s="132">
        <f t="shared" ca="1" si="396"/>
        <v>0</v>
      </c>
      <c r="T555" s="132">
        <f t="shared" ref="T555:T563" ca="1" si="397">IF(Q555&gt;0,S555*100/Q555,0)</f>
        <v>0</v>
      </c>
      <c r="U555" s="132">
        <f t="shared" ref="U555:U563" ca="1" si="398">IF(R555&gt;0,S555*100/R555,0)</f>
        <v>0</v>
      </c>
    </row>
    <row r="556" spans="1:21" ht="18.75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48">
        <f t="shared" ref="L556:N556" ca="1" si="399">L559+L562</f>
        <v>0</v>
      </c>
      <c r="M556" s="48">
        <f t="shared" ca="1" si="399"/>
        <v>0</v>
      </c>
      <c r="N556" s="48">
        <f t="shared" ca="1" si="399"/>
        <v>0</v>
      </c>
      <c r="O556" s="48">
        <f t="shared" ca="1" si="394"/>
        <v>0</v>
      </c>
      <c r="P556" s="48">
        <f t="shared" ca="1" si="395"/>
        <v>0</v>
      </c>
      <c r="Q556" s="48">
        <f t="shared" ref="Q556:S556" ca="1" si="400">Q559+Q562</f>
        <v>0</v>
      </c>
      <c r="R556" s="48">
        <f t="shared" ca="1" si="400"/>
        <v>0</v>
      </c>
      <c r="S556" s="48">
        <f t="shared" ca="1" si="400"/>
        <v>0</v>
      </c>
      <c r="T556" s="48">
        <f t="shared" ca="1" si="397"/>
        <v>0</v>
      </c>
      <c r="U556" s="48">
        <f t="shared" ca="1" si="398"/>
        <v>0</v>
      </c>
    </row>
    <row r="557" spans="1:21" ht="18.75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46">
        <f t="shared" ref="L557:N557" ca="1" si="401">L560+L563</f>
        <v>0</v>
      </c>
      <c r="M557" s="46">
        <f t="shared" ca="1" si="401"/>
        <v>0</v>
      </c>
      <c r="N557" s="46">
        <f t="shared" ca="1" si="401"/>
        <v>0</v>
      </c>
      <c r="O557" s="46">
        <f t="shared" ca="1" si="394"/>
        <v>0</v>
      </c>
      <c r="P557" s="46">
        <f t="shared" ca="1" si="395"/>
        <v>0</v>
      </c>
      <c r="Q557" s="46">
        <f t="shared" ref="Q557:S557" ca="1" si="402">Q560+Q563</f>
        <v>0</v>
      </c>
      <c r="R557" s="46">
        <f t="shared" ca="1" si="402"/>
        <v>0</v>
      </c>
      <c r="S557" s="46">
        <f t="shared" ca="1" si="402"/>
        <v>0</v>
      </c>
      <c r="T557" s="46">
        <f t="shared" ca="1" si="397"/>
        <v>0</v>
      </c>
      <c r="U557" s="46">
        <f t="shared" ca="1" si="398"/>
        <v>0</v>
      </c>
    </row>
    <row r="558" spans="1:21" ht="18.75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46">
        <f t="shared" ref="L558:N558" ca="1" si="403">L559+L560</f>
        <v>0</v>
      </c>
      <c r="M558" s="46">
        <f t="shared" ca="1" si="403"/>
        <v>0</v>
      </c>
      <c r="N558" s="46">
        <f t="shared" ca="1" si="403"/>
        <v>0</v>
      </c>
      <c r="O558" s="46">
        <f t="shared" ca="1" si="394"/>
        <v>0</v>
      </c>
      <c r="P558" s="46">
        <f t="shared" ca="1" si="395"/>
        <v>0</v>
      </c>
      <c r="Q558" s="46">
        <f t="shared" ref="Q558:S558" ca="1" si="404">Q559+Q560</f>
        <v>0</v>
      </c>
      <c r="R558" s="46">
        <f t="shared" ca="1" si="404"/>
        <v>0</v>
      </c>
      <c r="S558" s="46">
        <f t="shared" ca="1" si="404"/>
        <v>0</v>
      </c>
      <c r="T558" s="46">
        <f t="shared" ca="1" si="397"/>
        <v>0</v>
      </c>
      <c r="U558" s="46">
        <f t="shared" ca="1" si="398"/>
        <v>0</v>
      </c>
    </row>
    <row r="559" spans="1:21" ht="18.75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48">
        <f ca="1">IFERROR(__xludf.DUMMYFUNCTION("IMPORTRANGE(""https://docs.google.com/spreadsheets/d/1jTcq05yEiRwXcBMLjiodW9e4biSGYWAHcDj22rKWQ3s/edit?usp=sharing"",""กำแพงเพชร!L559"")+IMPORTRANGE(""https://docs.google.com/spreadsheets/d/1KS0zmDSZPk8KnTAbGN-Xk6MtX1YRZD0ldgdt20K4CRk/edit?usp=sharing"","&amp;"""เชียงราย!L559"")+IMPORTRANGE(""https://docs.google.com/spreadsheets/d/1rEDxBtusbi64tE0zunoIbsTVV16HeL0oJ6trHQeQ7K8/edit?usp=sharing"",""เชียงใหม่!L559"")+IMPORTRANGE(""https://docs.google.com/spreadsheets/d/1W6MnUbDkMi6xHnHko_XkFDO9kkuL6Wqyc-6OCDFjW9I/e"&amp;"dit?usp=sharing"",""ตาก!L559"")+IMPORTRANGE(""https://docs.google.com/spreadsheets/d/1IQAWArduLkta9LpYo4a_ULsyqdta6-6aDDiwpUnQT6c/edit?usp=sharing"",""นครสวรรค์!L559"")+IMPORTRANGE(""https://docs.google.com/spreadsheets/d/10s13Sk5xrltsiR-Zkbmk5DwIaDIKO8Xl"&amp;"bJAfqyT7Gvg/edit?usp=sharing"",""น่าน!L559"")+IMPORTRANGE(""https://docs.google.com/spreadsheets/d/1uu4nAn4Dbi1XREnLKKotUANlKXa7yCgRcgq8HEzQYW8/edit?usp=sharing"",""พะเยา!L559"")+IMPORTRANGE(""https://docs.google.com/spreadsheets/d/1xfJKIQxVOaPDIICqsflNlL"&amp;"u3JacTDk1FP9RH4phX7mI/edit?usp=sharing"",""พิจิตร!L559"")+IMPORTRANGE(""https://docs.google.com/spreadsheets/d/1JtRfZkJMHtEhI5RdRHxYUG4FIZHqKDpNyIuN7A1Q0_k/edit?usp=sharing"",""พิษณุโลก!L559"")+IMPORTRANGE(""https://docs.google.com/spreadsheets/d/1xlcVZWU"&amp;"Nn6SuWm0c307h32SiGkd9BaeQWlAktfD3KO8/edit?usp=sharing"",""เพชรบูรณ์!L559"")+IMPORTRANGE(""https://docs.google.com/spreadsheets/d/1lOVebEIsI9qjGXl6EX66luk7wiuP2tBaryw-wKvv4e0/edit?usp=sharing"",""แพร่!L559"")+IMPORTRANGE(""https://docs.google.com/spreadshe"&amp;"ets/d/1dQrvX0vEcN7Gu0fnZ0B5S90AeR19zth4XlExFBeExMY/edit?usp=sharing"",""แม่ฮ่องสอน!L559"")+IMPORTRANGE(""https://docs.google.com/spreadsheets/d/1DY4XTNNwjluuxqdfdn6qvOSlMRrZqUtmYcZR0ttFiG4/edit?usp=sharing"",""ลำปาง!L559"")+IMPORTRANGE(""https://docs.goog"&amp;"le.com/spreadsheets/d/1ICwG78r0OFT8biBlxnBF8r7she7gNSzOvJ958PWT09c/edit?usp=sharing"",""ลำพูน!L559"")+IMPORTRANGE(""https://docs.google.com/spreadsheets/d/1B0f2xJpZUC6Z0xXnqKlZtEPzsf6L84eP1r1Q15seqRM/edit?usp=sharing"",""สุโขทัย!L559"")+IMPORTRANGE(""http"&amp;"s://docs.google.com/spreadsheets/d/1v0b9pFQCsKUVExMei7AgY2yQkdeNQvtOssygGsXbiKo/edit?usp=sharing"",""อุตรดิตถ์!L559"")+IMPORTRANGE(""https://docs.google.com/spreadsheets/d/1UsNK1e-WWiCo2PvGqdNfdme4m17_Ezd3J69EeeiQPD0/edit?usp=sharing"",""อุทัยธานี!L559"")"),0)</f>
        <v>0</v>
      </c>
      <c r="M559" s="48">
        <f ca="1">IFERROR(__xludf.DUMMYFUNCTION("IMPORTRANGE(""https://docs.google.com/spreadsheets/d/1jTcq05yEiRwXcBMLjiodW9e4biSGYWAHcDj22rKWQ3s/edit?usp=sharing"",""กำแพงเพชร!M559"")+IMPORTRANGE(""https://docs.google.com/spreadsheets/d/1KS0zmDSZPk8KnTAbGN-Xk6MtX1YRZD0ldgdt20K4CRk/edit?usp=sharing"","&amp;"""เชียงราย!M559"")+IMPORTRANGE(""https://docs.google.com/spreadsheets/d/1rEDxBtusbi64tE0zunoIbsTVV16HeL0oJ6trHQeQ7K8/edit?usp=sharing"",""เชียงใหม่!M559"")+IMPORTRANGE(""https://docs.google.com/spreadsheets/d/1W6MnUbDkMi6xHnHko_XkFDO9kkuL6Wqyc-6OCDFjW9I/e"&amp;"dit?usp=sharing"",""ตาก!M559"")+IMPORTRANGE(""https://docs.google.com/spreadsheets/d/1IQAWArduLkta9LpYo4a_ULsyqdta6-6aDDiwpUnQT6c/edit?usp=sharing"",""นครสวรรค์!M559"")+IMPORTRANGE(""https://docs.google.com/spreadsheets/d/10s13Sk5xrltsiR-Zkbmk5DwIaDIKO8Xl"&amp;"bJAfqyT7Gvg/edit?usp=sharing"",""น่าน!M559"")+IMPORTRANGE(""https://docs.google.com/spreadsheets/d/1uu4nAn4Dbi1XREnLKKotUANlKXa7yCgRcgq8HEzQYW8/edit?usp=sharing"",""พะเยา!M559"")+IMPORTRANGE(""https://docs.google.com/spreadsheets/d/1xfJKIQxVOaPDIICqsflNlL"&amp;"u3JacTDk1FP9RH4phX7mI/edit?usp=sharing"",""พิจิตร!M559"")+IMPORTRANGE(""https://docs.google.com/spreadsheets/d/1JtRfZkJMHtEhI5RdRHxYUG4FIZHqKDpNyIuN7A1Q0_k/edit?usp=sharing"",""พิษณุโลก!M559"")+IMPORTRANGE(""https://docs.google.com/spreadsheets/d/1xlcVZWU"&amp;"Nn6SuWm0c307h32SiGkd9BaeQWlAktfD3KO8/edit?usp=sharing"",""เพชรบูรณ์!M559"")+IMPORTRANGE(""https://docs.google.com/spreadsheets/d/1lOVebEIsI9qjGXl6EX66luk7wiuP2tBaryw-wKvv4e0/edit?usp=sharing"",""แพร่!M559"")+IMPORTRANGE(""https://docs.google.com/spreadshe"&amp;"ets/d/1dQrvX0vEcN7Gu0fnZ0B5S90AeR19zth4XlExFBeExMY/edit?usp=sharing"",""แม่ฮ่องสอน!M559"")+IMPORTRANGE(""https://docs.google.com/spreadsheets/d/1DY4XTNNwjluuxqdfdn6qvOSlMRrZqUtmYcZR0ttFiG4/edit?usp=sharing"",""ลำปาง!M559"")+IMPORTRANGE(""https://docs.goog"&amp;"le.com/spreadsheets/d/1ICwG78r0OFT8biBlxnBF8r7she7gNSzOvJ958PWT09c/edit?usp=sharing"",""ลำพูน!M559"")+IMPORTRANGE(""https://docs.google.com/spreadsheets/d/1B0f2xJpZUC6Z0xXnqKlZtEPzsf6L84eP1r1Q15seqRM/edit?usp=sharing"",""สุโขทัย!M559"")+IMPORTRANGE(""http"&amp;"s://docs.google.com/spreadsheets/d/1v0b9pFQCsKUVExMei7AgY2yQkdeNQvtOssygGsXbiKo/edit?usp=sharing"",""อุตรดิตถ์!M559"")+IMPORTRANGE(""https://docs.google.com/spreadsheets/d/1UsNK1e-WWiCo2PvGqdNfdme4m17_Ezd3J69EeeiQPD0/edit?usp=sharing"",""อุทัยธานี!M559"")"),0)</f>
        <v>0</v>
      </c>
      <c r="N559" s="48">
        <f ca="1">IFERROR(__xludf.DUMMYFUNCTION("IMPORTRANGE(""https://docs.google.com/spreadsheets/d/1jTcq05yEiRwXcBMLjiodW9e4biSGYWAHcDj22rKWQ3s/edit?usp=sharing"",""กำแพงเพชร!N559"")+IMPORTRANGE(""https://docs.google.com/spreadsheets/d/1KS0zmDSZPk8KnTAbGN-Xk6MtX1YRZD0ldgdt20K4CRk/edit?usp=sharing"","&amp;"""เชียงราย!N559"")+IMPORTRANGE(""https://docs.google.com/spreadsheets/d/1rEDxBtusbi64tE0zunoIbsTVV16HeL0oJ6trHQeQ7K8/edit?usp=sharing"",""เชียงใหม่!N559"")+IMPORTRANGE(""https://docs.google.com/spreadsheets/d/1W6MnUbDkMi6xHnHko_XkFDO9kkuL6Wqyc-6OCDFjW9I/e"&amp;"dit?usp=sharing"",""ตาก!N559"")+IMPORTRANGE(""https://docs.google.com/spreadsheets/d/1IQAWArduLkta9LpYo4a_ULsyqdta6-6aDDiwpUnQT6c/edit?usp=sharing"",""นครสวรรค์!N559"")+IMPORTRANGE(""https://docs.google.com/spreadsheets/d/10s13Sk5xrltsiR-Zkbmk5DwIaDIKO8Xl"&amp;"bJAfqyT7Gvg/edit?usp=sharing"",""น่าน!N559"")+IMPORTRANGE(""https://docs.google.com/spreadsheets/d/1uu4nAn4Dbi1XREnLKKotUANlKXa7yCgRcgq8HEzQYW8/edit?usp=sharing"",""พะเยา!N559"")+IMPORTRANGE(""https://docs.google.com/spreadsheets/d/1xfJKIQxVOaPDIICqsflNlL"&amp;"u3JacTDk1FP9RH4phX7mI/edit?usp=sharing"",""พิจิตร!N559"")+IMPORTRANGE(""https://docs.google.com/spreadsheets/d/1JtRfZkJMHtEhI5RdRHxYUG4FIZHqKDpNyIuN7A1Q0_k/edit?usp=sharing"",""พิษณุโลก!N559"")+IMPORTRANGE(""https://docs.google.com/spreadsheets/d/1xlcVZWU"&amp;"Nn6SuWm0c307h32SiGkd9BaeQWlAktfD3KO8/edit?usp=sharing"",""เพชรบูรณ์!N559"")+IMPORTRANGE(""https://docs.google.com/spreadsheets/d/1lOVebEIsI9qjGXl6EX66luk7wiuP2tBaryw-wKvv4e0/edit?usp=sharing"",""แพร่!N559"")+IMPORTRANGE(""https://docs.google.com/spreadshe"&amp;"ets/d/1dQrvX0vEcN7Gu0fnZ0B5S90AeR19zth4XlExFBeExMY/edit?usp=sharing"",""แม่ฮ่องสอน!N559"")+IMPORTRANGE(""https://docs.google.com/spreadsheets/d/1DY4XTNNwjluuxqdfdn6qvOSlMRrZqUtmYcZR0ttFiG4/edit?usp=sharing"",""ลำปาง!N559"")+IMPORTRANGE(""https://docs.goog"&amp;"le.com/spreadsheets/d/1ICwG78r0OFT8biBlxnBF8r7she7gNSzOvJ958PWT09c/edit?usp=sharing"",""ลำพูน!N559"")+IMPORTRANGE(""https://docs.google.com/spreadsheets/d/1B0f2xJpZUC6Z0xXnqKlZtEPzsf6L84eP1r1Q15seqRM/edit?usp=sharing"",""สุโขทัย!N559"")+IMPORTRANGE(""http"&amp;"s://docs.google.com/spreadsheets/d/1v0b9pFQCsKUVExMei7AgY2yQkdeNQvtOssygGsXbiKo/edit?usp=sharing"",""อุตรดิตถ์!N559"")+IMPORTRANGE(""https://docs.google.com/spreadsheets/d/1UsNK1e-WWiCo2PvGqdNfdme4m17_Ezd3J69EeeiQPD0/edit?usp=sharing"",""อุทัยธานี!N559"")"),0)</f>
        <v>0</v>
      </c>
      <c r="O559" s="48">
        <f t="shared" ca="1" si="394"/>
        <v>0</v>
      </c>
      <c r="P559" s="48">
        <f t="shared" ca="1" si="395"/>
        <v>0</v>
      </c>
      <c r="Q559" s="48">
        <f ca="1">IFERROR(__xludf.DUMMYFUNCTION("IMPORTRANGE(""https://docs.google.com/spreadsheets/d/1jTcq05yEiRwXcBMLjiodW9e4biSGYWAHcDj22rKWQ3s/edit?usp=sharing"",""กำแพงเพชร!Q559"")+IMPORTRANGE(""https://docs.google.com/spreadsheets/d/1KS0zmDSZPk8KnTAbGN-Xk6MtX1YRZD0ldgdt20K4CRk/edit?usp=sharing"","&amp;"""เชียงราย!Q559"")+IMPORTRANGE(""https://docs.google.com/spreadsheets/d/1rEDxBtusbi64tE0zunoIbsTVV16HeL0oJ6trHQeQ7K8/edit?usp=sharing"",""เชียงใหม่!Q559"")+IMPORTRANGE(""https://docs.google.com/spreadsheets/d/1W6MnUbDkMi6xHnHko_XkFDO9kkuL6Wqyc-6OCDFjW9I/e"&amp;"dit?usp=sharing"",""ตาก!Q559"")+IMPORTRANGE(""https://docs.google.com/spreadsheets/d/1IQAWArduLkta9LpYo4a_ULsyqdta6-6aDDiwpUnQT6c/edit?usp=sharing"",""นครสวรรค์!Q559"")+IMPORTRANGE(""https://docs.google.com/spreadsheets/d/10s13Sk5xrltsiR-Zkbmk5DwIaDIKO8Xl"&amp;"bJAfqyT7Gvg/edit?usp=sharing"",""น่าน!Q559"")+IMPORTRANGE(""https://docs.google.com/spreadsheets/d/1uu4nAn4Dbi1XREnLKKotUANlKXa7yCgRcgq8HEzQYW8/edit?usp=sharing"",""พะเยา!Q559"")+IMPORTRANGE(""https://docs.google.com/spreadsheets/d/1xfJKIQxVOaPDIICqsflNlL"&amp;"u3JacTDk1FP9RH4phX7mI/edit?usp=sharing"",""พิจิตร!Q559"")+IMPORTRANGE(""https://docs.google.com/spreadsheets/d/1JtRfZkJMHtEhI5RdRHxYUG4FIZHqKDpNyIuN7A1Q0_k/edit?usp=sharing"",""พิษณุโลก!Q559"")+IMPORTRANGE(""https://docs.google.com/spreadsheets/d/1xlcVZWU"&amp;"Nn6SuWm0c307h32SiGkd9BaeQWlAktfD3KO8/edit?usp=sharing"",""เพชรบูรณ์!Q559"")+IMPORTRANGE(""https://docs.google.com/spreadsheets/d/1lOVebEIsI9qjGXl6EX66luk7wiuP2tBaryw-wKvv4e0/edit?usp=sharing"",""แพร่!Q559"")+IMPORTRANGE(""https://docs.google.com/spreadshe"&amp;"ets/d/1dQrvX0vEcN7Gu0fnZ0B5S90AeR19zth4XlExFBeExMY/edit?usp=sharing"",""แม่ฮ่องสอน!Q559"")+IMPORTRANGE(""https://docs.google.com/spreadsheets/d/1DY4XTNNwjluuxqdfdn6qvOSlMRrZqUtmYcZR0ttFiG4/edit?usp=sharing"",""ลำปาง!Q559"")+IMPORTRANGE(""https://docs.goog"&amp;"le.com/spreadsheets/d/1ICwG78r0OFT8biBlxnBF8r7she7gNSzOvJ958PWT09c/edit?usp=sharing"",""ลำพูน!Q559"")+IMPORTRANGE(""https://docs.google.com/spreadsheets/d/1B0f2xJpZUC6Z0xXnqKlZtEPzsf6L84eP1r1Q15seqRM/edit?usp=sharing"",""สุโขทัย!Q559"")+IMPORTRANGE(""http"&amp;"s://docs.google.com/spreadsheets/d/1v0b9pFQCsKUVExMei7AgY2yQkdeNQvtOssygGsXbiKo/edit?usp=sharing"",""อุตรดิตถ์!Q559"")+IMPORTRANGE(""https://docs.google.com/spreadsheets/d/1UsNK1e-WWiCo2PvGqdNfdme4m17_Ezd3J69EeeiQPD0/edit?usp=sharing"",""อุทัยธานี!Q559"")"),0)</f>
        <v>0</v>
      </c>
      <c r="R559" s="48">
        <f ca="1">IFERROR(__xludf.DUMMYFUNCTION("IMPORTRANGE(""https://docs.google.com/spreadsheets/d/1jTcq05yEiRwXcBMLjiodW9e4biSGYWAHcDj22rKWQ3s/edit?usp=sharing"",""กำแพงเพชร!R559"")+IMPORTRANGE(""https://docs.google.com/spreadsheets/d/1KS0zmDSZPk8KnTAbGN-Xk6MtX1YRZD0ldgdt20K4CRk/edit?usp=sharing"","&amp;"""เชียงราย!R559"")+IMPORTRANGE(""https://docs.google.com/spreadsheets/d/1rEDxBtusbi64tE0zunoIbsTVV16HeL0oJ6trHQeQ7K8/edit?usp=sharing"",""เชียงใหม่!R559"")+IMPORTRANGE(""https://docs.google.com/spreadsheets/d/1W6MnUbDkMi6xHnHko_XkFDO9kkuL6Wqyc-6OCDFjW9I/e"&amp;"dit?usp=sharing"",""ตาก!R559"")+IMPORTRANGE(""https://docs.google.com/spreadsheets/d/1IQAWArduLkta9LpYo4a_ULsyqdta6-6aDDiwpUnQT6c/edit?usp=sharing"",""นครสวรรค์!R559"")+IMPORTRANGE(""https://docs.google.com/spreadsheets/d/10s13Sk5xrltsiR-Zkbmk5DwIaDIKO8Xl"&amp;"bJAfqyT7Gvg/edit?usp=sharing"",""น่าน!R559"")+IMPORTRANGE(""https://docs.google.com/spreadsheets/d/1uu4nAn4Dbi1XREnLKKotUANlKXa7yCgRcgq8HEzQYW8/edit?usp=sharing"",""พะเยา!R559"")+IMPORTRANGE(""https://docs.google.com/spreadsheets/d/1xfJKIQxVOaPDIICqsflNlL"&amp;"u3JacTDk1FP9RH4phX7mI/edit?usp=sharing"",""พิจิตร!R559"")+IMPORTRANGE(""https://docs.google.com/spreadsheets/d/1JtRfZkJMHtEhI5RdRHxYUG4FIZHqKDpNyIuN7A1Q0_k/edit?usp=sharing"",""พิษณุโลก!R559"")+IMPORTRANGE(""https://docs.google.com/spreadsheets/d/1xlcVZWU"&amp;"Nn6SuWm0c307h32SiGkd9BaeQWlAktfD3KO8/edit?usp=sharing"",""เพชรบูรณ์!R559"")+IMPORTRANGE(""https://docs.google.com/spreadsheets/d/1lOVebEIsI9qjGXl6EX66luk7wiuP2tBaryw-wKvv4e0/edit?usp=sharing"",""แพร่!R559"")+IMPORTRANGE(""https://docs.google.com/spreadshe"&amp;"ets/d/1dQrvX0vEcN7Gu0fnZ0B5S90AeR19zth4XlExFBeExMY/edit?usp=sharing"",""แม่ฮ่องสอน!R559"")+IMPORTRANGE(""https://docs.google.com/spreadsheets/d/1DY4XTNNwjluuxqdfdn6qvOSlMRrZqUtmYcZR0ttFiG4/edit?usp=sharing"",""ลำปาง!R559"")+IMPORTRANGE(""https://docs.goog"&amp;"le.com/spreadsheets/d/1ICwG78r0OFT8biBlxnBF8r7she7gNSzOvJ958PWT09c/edit?usp=sharing"",""ลำพูน!R559"")+IMPORTRANGE(""https://docs.google.com/spreadsheets/d/1B0f2xJpZUC6Z0xXnqKlZtEPzsf6L84eP1r1Q15seqRM/edit?usp=sharing"",""สุโขทัย!R559"")+IMPORTRANGE(""http"&amp;"s://docs.google.com/spreadsheets/d/1v0b9pFQCsKUVExMei7AgY2yQkdeNQvtOssygGsXbiKo/edit?usp=sharing"",""อุตรดิตถ์!R559"")+IMPORTRANGE(""https://docs.google.com/spreadsheets/d/1UsNK1e-WWiCo2PvGqdNfdme4m17_Ezd3J69EeeiQPD0/edit?usp=sharing"",""อุทัยธานี!R559"")"),0)</f>
        <v>0</v>
      </c>
      <c r="S559" s="48">
        <f ca="1">IFERROR(__xludf.DUMMYFUNCTION("IMPORTRANGE(""https://docs.google.com/spreadsheets/d/1jTcq05yEiRwXcBMLjiodW9e4biSGYWAHcDj22rKWQ3s/edit?usp=sharing"",""กำแพงเพชร!S559"")+IMPORTRANGE(""https://docs.google.com/spreadsheets/d/1KS0zmDSZPk8KnTAbGN-Xk6MtX1YRZD0ldgdt20K4CRk/edit?usp=sharing"","&amp;"""เชียงราย!S559"")+IMPORTRANGE(""https://docs.google.com/spreadsheets/d/1rEDxBtusbi64tE0zunoIbsTVV16HeL0oJ6trHQeQ7K8/edit?usp=sharing"",""เชียงใหม่!S559"")+IMPORTRANGE(""https://docs.google.com/spreadsheets/d/1W6MnUbDkMi6xHnHko_XkFDO9kkuL6Wqyc-6OCDFjW9I/e"&amp;"dit?usp=sharing"",""ตาก!S559"")+IMPORTRANGE(""https://docs.google.com/spreadsheets/d/1IQAWArduLkta9LpYo4a_ULsyqdta6-6aDDiwpUnQT6c/edit?usp=sharing"",""นครสวรรค์!S559"")+IMPORTRANGE(""https://docs.google.com/spreadsheets/d/10s13Sk5xrltsiR-Zkbmk5DwIaDIKO8Xl"&amp;"bJAfqyT7Gvg/edit?usp=sharing"",""น่าน!S559"")+IMPORTRANGE(""https://docs.google.com/spreadsheets/d/1uu4nAn4Dbi1XREnLKKotUANlKXa7yCgRcgq8HEzQYW8/edit?usp=sharing"",""พะเยา!S559"")+IMPORTRANGE(""https://docs.google.com/spreadsheets/d/1xfJKIQxVOaPDIICqsflNlL"&amp;"u3JacTDk1FP9RH4phX7mI/edit?usp=sharing"",""พิจิตร!S559"")+IMPORTRANGE(""https://docs.google.com/spreadsheets/d/1JtRfZkJMHtEhI5RdRHxYUG4FIZHqKDpNyIuN7A1Q0_k/edit?usp=sharing"",""พิษณุโลก!S559"")+IMPORTRANGE(""https://docs.google.com/spreadsheets/d/1xlcVZWU"&amp;"Nn6SuWm0c307h32SiGkd9BaeQWlAktfD3KO8/edit?usp=sharing"",""เพชรบูรณ์!S559"")+IMPORTRANGE(""https://docs.google.com/spreadsheets/d/1lOVebEIsI9qjGXl6EX66luk7wiuP2tBaryw-wKvv4e0/edit?usp=sharing"",""แพร่!S559"")+IMPORTRANGE(""https://docs.google.com/spreadshe"&amp;"ets/d/1dQrvX0vEcN7Gu0fnZ0B5S90AeR19zth4XlExFBeExMY/edit?usp=sharing"",""แม่ฮ่องสอน!S559"")+IMPORTRANGE(""https://docs.google.com/spreadsheets/d/1DY4XTNNwjluuxqdfdn6qvOSlMRrZqUtmYcZR0ttFiG4/edit?usp=sharing"",""ลำปาง!S559"")+IMPORTRANGE(""https://docs.goog"&amp;"le.com/spreadsheets/d/1ICwG78r0OFT8biBlxnBF8r7she7gNSzOvJ958PWT09c/edit?usp=sharing"",""ลำพูน!S559"")+IMPORTRANGE(""https://docs.google.com/spreadsheets/d/1B0f2xJpZUC6Z0xXnqKlZtEPzsf6L84eP1r1Q15seqRM/edit?usp=sharing"",""สุโขทัย!S559"")+IMPORTRANGE(""http"&amp;"s://docs.google.com/spreadsheets/d/1v0b9pFQCsKUVExMei7AgY2yQkdeNQvtOssygGsXbiKo/edit?usp=sharing"",""อุตรดิตถ์!S559"")+IMPORTRANGE(""https://docs.google.com/spreadsheets/d/1UsNK1e-WWiCo2PvGqdNfdme4m17_Ezd3J69EeeiQPD0/edit?usp=sharing"",""อุทัยธานี!S559"")"),0)</f>
        <v>0</v>
      </c>
      <c r="T559" s="48">
        <f t="shared" ca="1" si="397"/>
        <v>0</v>
      </c>
      <c r="U559" s="48">
        <f t="shared" ca="1" si="398"/>
        <v>0</v>
      </c>
    </row>
    <row r="560" spans="1:21" ht="18.75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46">
        <f ca="1">IFERROR(__xludf.DUMMYFUNCTION("IMPORTRANGE(""https://docs.google.com/spreadsheets/d/1jTcq05yEiRwXcBMLjiodW9e4biSGYWAHcDj22rKWQ3s/edit?usp=sharing"",""กำแพงเพชร!L560"")+IMPORTRANGE(""https://docs.google.com/spreadsheets/d/1KS0zmDSZPk8KnTAbGN-Xk6MtX1YRZD0ldgdt20K4CRk/edit?usp=sharing"","&amp;"""เชียงราย!L560"")+IMPORTRANGE(""https://docs.google.com/spreadsheets/d/1rEDxBtusbi64tE0zunoIbsTVV16HeL0oJ6trHQeQ7K8/edit?usp=sharing"",""เชียงใหม่!L560"")+IMPORTRANGE(""https://docs.google.com/spreadsheets/d/1W6MnUbDkMi6xHnHko_XkFDO9kkuL6Wqyc-6OCDFjW9I/e"&amp;"dit?usp=sharing"",""ตาก!L560"")+IMPORTRANGE(""https://docs.google.com/spreadsheets/d/1IQAWArduLkta9LpYo4a_ULsyqdta6-6aDDiwpUnQT6c/edit?usp=sharing"",""นครสวรรค์!L560"")+IMPORTRANGE(""https://docs.google.com/spreadsheets/d/10s13Sk5xrltsiR-Zkbmk5DwIaDIKO8Xl"&amp;"bJAfqyT7Gvg/edit?usp=sharing"",""น่าน!L560"")+IMPORTRANGE(""https://docs.google.com/spreadsheets/d/1uu4nAn4Dbi1XREnLKKotUANlKXa7yCgRcgq8HEzQYW8/edit?usp=sharing"",""พะเยา!L560"")+IMPORTRANGE(""https://docs.google.com/spreadsheets/d/1xfJKIQxVOaPDIICqsflNlL"&amp;"u3JacTDk1FP9RH4phX7mI/edit?usp=sharing"",""พิจิตร!L560"")+IMPORTRANGE(""https://docs.google.com/spreadsheets/d/1JtRfZkJMHtEhI5RdRHxYUG4FIZHqKDpNyIuN7A1Q0_k/edit?usp=sharing"",""พิษณุโลก!L560"")+IMPORTRANGE(""https://docs.google.com/spreadsheets/d/1xlcVZWU"&amp;"Nn6SuWm0c307h32SiGkd9BaeQWlAktfD3KO8/edit?usp=sharing"",""เพชรบูรณ์!L560"")+IMPORTRANGE(""https://docs.google.com/spreadsheets/d/1lOVebEIsI9qjGXl6EX66luk7wiuP2tBaryw-wKvv4e0/edit?usp=sharing"",""แพร่!L560"")+IMPORTRANGE(""https://docs.google.com/spreadshe"&amp;"ets/d/1dQrvX0vEcN7Gu0fnZ0B5S90AeR19zth4XlExFBeExMY/edit?usp=sharing"",""แม่ฮ่องสอน!L560"")+IMPORTRANGE(""https://docs.google.com/spreadsheets/d/1DY4XTNNwjluuxqdfdn6qvOSlMRrZqUtmYcZR0ttFiG4/edit?usp=sharing"",""ลำปาง!L560"")+IMPORTRANGE(""https://docs.goog"&amp;"le.com/spreadsheets/d/1ICwG78r0OFT8biBlxnBF8r7she7gNSzOvJ958PWT09c/edit?usp=sharing"",""ลำพูน!L560"")+IMPORTRANGE(""https://docs.google.com/spreadsheets/d/1B0f2xJpZUC6Z0xXnqKlZtEPzsf6L84eP1r1Q15seqRM/edit?usp=sharing"",""สุโขทัย!L560"")+IMPORTRANGE(""http"&amp;"s://docs.google.com/spreadsheets/d/1v0b9pFQCsKUVExMei7AgY2yQkdeNQvtOssygGsXbiKo/edit?usp=sharing"",""อุตรดิตถ์!L560"")+IMPORTRANGE(""https://docs.google.com/spreadsheets/d/1UsNK1e-WWiCo2PvGqdNfdme4m17_Ezd3J69EeeiQPD0/edit?usp=sharing"",""อุทัยธานี!L560"")"),0)</f>
        <v>0</v>
      </c>
      <c r="M560" s="46">
        <f ca="1">IFERROR(__xludf.DUMMYFUNCTION("IMPORTRANGE(""https://docs.google.com/spreadsheets/d/1jTcq05yEiRwXcBMLjiodW9e4biSGYWAHcDj22rKWQ3s/edit?usp=sharing"",""กำแพงเพชร!M560"")+IMPORTRANGE(""https://docs.google.com/spreadsheets/d/1KS0zmDSZPk8KnTAbGN-Xk6MtX1YRZD0ldgdt20K4CRk/edit?usp=sharing"","&amp;"""เชียงราย!M560"")+IMPORTRANGE(""https://docs.google.com/spreadsheets/d/1rEDxBtusbi64tE0zunoIbsTVV16HeL0oJ6trHQeQ7K8/edit?usp=sharing"",""เชียงใหม่!M560"")+IMPORTRANGE(""https://docs.google.com/spreadsheets/d/1W6MnUbDkMi6xHnHko_XkFDO9kkuL6Wqyc-6OCDFjW9I/e"&amp;"dit?usp=sharing"",""ตาก!M560"")+IMPORTRANGE(""https://docs.google.com/spreadsheets/d/1IQAWArduLkta9LpYo4a_ULsyqdta6-6aDDiwpUnQT6c/edit?usp=sharing"",""นครสวรรค์!M560"")+IMPORTRANGE(""https://docs.google.com/spreadsheets/d/10s13Sk5xrltsiR-Zkbmk5DwIaDIKO8Xl"&amp;"bJAfqyT7Gvg/edit?usp=sharing"",""น่าน!M560"")+IMPORTRANGE(""https://docs.google.com/spreadsheets/d/1uu4nAn4Dbi1XREnLKKotUANlKXa7yCgRcgq8HEzQYW8/edit?usp=sharing"",""พะเยา!M560"")+IMPORTRANGE(""https://docs.google.com/spreadsheets/d/1xfJKIQxVOaPDIICqsflNlL"&amp;"u3JacTDk1FP9RH4phX7mI/edit?usp=sharing"",""พิจิตร!M560"")+IMPORTRANGE(""https://docs.google.com/spreadsheets/d/1JtRfZkJMHtEhI5RdRHxYUG4FIZHqKDpNyIuN7A1Q0_k/edit?usp=sharing"",""พิษณุโลก!M560"")+IMPORTRANGE(""https://docs.google.com/spreadsheets/d/1xlcVZWU"&amp;"Nn6SuWm0c307h32SiGkd9BaeQWlAktfD3KO8/edit?usp=sharing"",""เพชรบูรณ์!M560"")+IMPORTRANGE(""https://docs.google.com/spreadsheets/d/1lOVebEIsI9qjGXl6EX66luk7wiuP2tBaryw-wKvv4e0/edit?usp=sharing"",""แพร่!M560"")+IMPORTRANGE(""https://docs.google.com/spreadshe"&amp;"ets/d/1dQrvX0vEcN7Gu0fnZ0B5S90AeR19zth4XlExFBeExMY/edit?usp=sharing"",""แม่ฮ่องสอน!M560"")+IMPORTRANGE(""https://docs.google.com/spreadsheets/d/1DY4XTNNwjluuxqdfdn6qvOSlMRrZqUtmYcZR0ttFiG4/edit?usp=sharing"",""ลำปาง!M560"")+IMPORTRANGE(""https://docs.goog"&amp;"le.com/spreadsheets/d/1ICwG78r0OFT8biBlxnBF8r7she7gNSzOvJ958PWT09c/edit?usp=sharing"",""ลำพูน!M560"")+IMPORTRANGE(""https://docs.google.com/spreadsheets/d/1B0f2xJpZUC6Z0xXnqKlZtEPzsf6L84eP1r1Q15seqRM/edit?usp=sharing"",""สุโขทัย!M560"")+IMPORTRANGE(""http"&amp;"s://docs.google.com/spreadsheets/d/1v0b9pFQCsKUVExMei7AgY2yQkdeNQvtOssygGsXbiKo/edit?usp=sharing"",""อุตรดิตถ์!M560"")+IMPORTRANGE(""https://docs.google.com/spreadsheets/d/1UsNK1e-WWiCo2PvGqdNfdme4m17_Ezd3J69EeeiQPD0/edit?usp=sharing"",""อุทัยธานี!M560"")"),0)</f>
        <v>0</v>
      </c>
      <c r="N560" s="46">
        <f ca="1">IFERROR(__xludf.DUMMYFUNCTION("IMPORTRANGE(""https://docs.google.com/spreadsheets/d/1jTcq05yEiRwXcBMLjiodW9e4biSGYWAHcDj22rKWQ3s/edit?usp=sharing"",""กำแพงเพชร!N560"")+IMPORTRANGE(""https://docs.google.com/spreadsheets/d/1KS0zmDSZPk8KnTAbGN-Xk6MtX1YRZD0ldgdt20K4CRk/edit?usp=sharing"","&amp;"""เชียงราย!N560"")+IMPORTRANGE(""https://docs.google.com/spreadsheets/d/1rEDxBtusbi64tE0zunoIbsTVV16HeL0oJ6trHQeQ7K8/edit?usp=sharing"",""เชียงใหม่!N560"")+IMPORTRANGE(""https://docs.google.com/spreadsheets/d/1W6MnUbDkMi6xHnHko_XkFDO9kkuL6Wqyc-6OCDFjW9I/e"&amp;"dit?usp=sharing"",""ตาก!N560"")+IMPORTRANGE(""https://docs.google.com/spreadsheets/d/1IQAWArduLkta9LpYo4a_ULsyqdta6-6aDDiwpUnQT6c/edit?usp=sharing"",""นครสวรรค์!N560"")+IMPORTRANGE(""https://docs.google.com/spreadsheets/d/10s13Sk5xrltsiR-Zkbmk5DwIaDIKO8Xl"&amp;"bJAfqyT7Gvg/edit?usp=sharing"",""น่าน!N560"")+IMPORTRANGE(""https://docs.google.com/spreadsheets/d/1uu4nAn4Dbi1XREnLKKotUANlKXa7yCgRcgq8HEzQYW8/edit?usp=sharing"",""พะเยา!N560"")+IMPORTRANGE(""https://docs.google.com/spreadsheets/d/1xfJKIQxVOaPDIICqsflNlL"&amp;"u3JacTDk1FP9RH4phX7mI/edit?usp=sharing"",""พิจิตร!N560"")+IMPORTRANGE(""https://docs.google.com/spreadsheets/d/1JtRfZkJMHtEhI5RdRHxYUG4FIZHqKDpNyIuN7A1Q0_k/edit?usp=sharing"",""พิษณุโลก!N560"")+IMPORTRANGE(""https://docs.google.com/spreadsheets/d/1xlcVZWU"&amp;"Nn6SuWm0c307h32SiGkd9BaeQWlAktfD3KO8/edit?usp=sharing"",""เพชรบูรณ์!N560"")+IMPORTRANGE(""https://docs.google.com/spreadsheets/d/1lOVebEIsI9qjGXl6EX66luk7wiuP2tBaryw-wKvv4e0/edit?usp=sharing"",""แพร่!N560"")+IMPORTRANGE(""https://docs.google.com/spreadshe"&amp;"ets/d/1dQrvX0vEcN7Gu0fnZ0B5S90AeR19zth4XlExFBeExMY/edit?usp=sharing"",""แม่ฮ่องสอน!N560"")+IMPORTRANGE(""https://docs.google.com/spreadsheets/d/1DY4XTNNwjluuxqdfdn6qvOSlMRrZqUtmYcZR0ttFiG4/edit?usp=sharing"",""ลำปาง!N560"")+IMPORTRANGE(""https://docs.goog"&amp;"le.com/spreadsheets/d/1ICwG78r0OFT8biBlxnBF8r7she7gNSzOvJ958PWT09c/edit?usp=sharing"",""ลำพูน!N560"")+IMPORTRANGE(""https://docs.google.com/spreadsheets/d/1B0f2xJpZUC6Z0xXnqKlZtEPzsf6L84eP1r1Q15seqRM/edit?usp=sharing"",""สุโขทัย!N560"")+IMPORTRANGE(""http"&amp;"s://docs.google.com/spreadsheets/d/1v0b9pFQCsKUVExMei7AgY2yQkdeNQvtOssygGsXbiKo/edit?usp=sharing"",""อุตรดิตถ์!N560"")+IMPORTRANGE(""https://docs.google.com/spreadsheets/d/1UsNK1e-WWiCo2PvGqdNfdme4m17_Ezd3J69EeeiQPD0/edit?usp=sharing"",""อุทัยธานี!N560"")"),0)</f>
        <v>0</v>
      </c>
      <c r="O560" s="46">
        <f t="shared" ca="1" si="394"/>
        <v>0</v>
      </c>
      <c r="P560" s="46">
        <f t="shared" ca="1" si="395"/>
        <v>0</v>
      </c>
      <c r="Q560" s="46">
        <f ca="1">IFERROR(__xludf.DUMMYFUNCTION("IMPORTRANGE(""https://docs.google.com/spreadsheets/d/1jTcq05yEiRwXcBMLjiodW9e4biSGYWAHcDj22rKWQ3s/edit?usp=sharing"",""กำแพงเพชร!Q560"")+IMPORTRANGE(""https://docs.google.com/spreadsheets/d/1KS0zmDSZPk8KnTAbGN-Xk6MtX1YRZD0ldgdt20K4CRk/edit?usp=sharing"","&amp;"""เชียงราย!Q560"")+IMPORTRANGE(""https://docs.google.com/spreadsheets/d/1rEDxBtusbi64tE0zunoIbsTVV16HeL0oJ6trHQeQ7K8/edit?usp=sharing"",""เชียงใหม่!Q560"")+IMPORTRANGE(""https://docs.google.com/spreadsheets/d/1W6MnUbDkMi6xHnHko_XkFDO9kkuL6Wqyc-6OCDFjW9I/e"&amp;"dit?usp=sharing"",""ตาก!Q560"")+IMPORTRANGE(""https://docs.google.com/spreadsheets/d/1IQAWArduLkta9LpYo4a_ULsyqdta6-6aDDiwpUnQT6c/edit?usp=sharing"",""นครสวรรค์!Q560"")+IMPORTRANGE(""https://docs.google.com/spreadsheets/d/10s13Sk5xrltsiR-Zkbmk5DwIaDIKO8Xl"&amp;"bJAfqyT7Gvg/edit?usp=sharing"",""น่าน!Q560"")+IMPORTRANGE(""https://docs.google.com/spreadsheets/d/1uu4nAn4Dbi1XREnLKKotUANlKXa7yCgRcgq8HEzQYW8/edit?usp=sharing"",""พะเยา!Q560"")+IMPORTRANGE(""https://docs.google.com/spreadsheets/d/1xfJKIQxVOaPDIICqsflNlL"&amp;"u3JacTDk1FP9RH4phX7mI/edit?usp=sharing"",""พิจิตร!Q560"")+IMPORTRANGE(""https://docs.google.com/spreadsheets/d/1JtRfZkJMHtEhI5RdRHxYUG4FIZHqKDpNyIuN7A1Q0_k/edit?usp=sharing"",""พิษณุโลก!Q560"")+IMPORTRANGE(""https://docs.google.com/spreadsheets/d/1xlcVZWU"&amp;"Nn6SuWm0c307h32SiGkd9BaeQWlAktfD3KO8/edit?usp=sharing"",""เพชรบูรณ์!Q560"")+IMPORTRANGE(""https://docs.google.com/spreadsheets/d/1lOVebEIsI9qjGXl6EX66luk7wiuP2tBaryw-wKvv4e0/edit?usp=sharing"",""แพร่!Q560"")+IMPORTRANGE(""https://docs.google.com/spreadshe"&amp;"ets/d/1dQrvX0vEcN7Gu0fnZ0B5S90AeR19zth4XlExFBeExMY/edit?usp=sharing"",""แม่ฮ่องสอน!Q560"")+IMPORTRANGE(""https://docs.google.com/spreadsheets/d/1DY4XTNNwjluuxqdfdn6qvOSlMRrZqUtmYcZR0ttFiG4/edit?usp=sharing"",""ลำปาง!Q560"")+IMPORTRANGE(""https://docs.goog"&amp;"le.com/spreadsheets/d/1ICwG78r0OFT8biBlxnBF8r7she7gNSzOvJ958PWT09c/edit?usp=sharing"",""ลำพูน!Q560"")+IMPORTRANGE(""https://docs.google.com/spreadsheets/d/1B0f2xJpZUC6Z0xXnqKlZtEPzsf6L84eP1r1Q15seqRM/edit?usp=sharing"",""สุโขทัย!Q560"")+IMPORTRANGE(""http"&amp;"s://docs.google.com/spreadsheets/d/1v0b9pFQCsKUVExMei7AgY2yQkdeNQvtOssygGsXbiKo/edit?usp=sharing"",""อุตรดิตถ์!Q560"")+IMPORTRANGE(""https://docs.google.com/spreadsheets/d/1UsNK1e-WWiCo2PvGqdNfdme4m17_Ezd3J69EeeiQPD0/edit?usp=sharing"",""อุทัยธานี!Q560"")"),0)</f>
        <v>0</v>
      </c>
      <c r="R560" s="46">
        <f ca="1">IFERROR(__xludf.DUMMYFUNCTION("IMPORTRANGE(""https://docs.google.com/spreadsheets/d/1jTcq05yEiRwXcBMLjiodW9e4biSGYWAHcDj22rKWQ3s/edit?usp=sharing"",""กำแพงเพชร!R560"")+IMPORTRANGE(""https://docs.google.com/spreadsheets/d/1KS0zmDSZPk8KnTAbGN-Xk6MtX1YRZD0ldgdt20K4CRk/edit?usp=sharing"","&amp;"""เชียงราย!R560"")+IMPORTRANGE(""https://docs.google.com/spreadsheets/d/1rEDxBtusbi64tE0zunoIbsTVV16HeL0oJ6trHQeQ7K8/edit?usp=sharing"",""เชียงใหม่!R560"")+IMPORTRANGE(""https://docs.google.com/spreadsheets/d/1W6MnUbDkMi6xHnHko_XkFDO9kkuL6Wqyc-6OCDFjW9I/e"&amp;"dit?usp=sharing"",""ตาก!R560"")+IMPORTRANGE(""https://docs.google.com/spreadsheets/d/1IQAWArduLkta9LpYo4a_ULsyqdta6-6aDDiwpUnQT6c/edit?usp=sharing"",""นครสวรรค์!R560"")+IMPORTRANGE(""https://docs.google.com/spreadsheets/d/10s13Sk5xrltsiR-Zkbmk5DwIaDIKO8Xl"&amp;"bJAfqyT7Gvg/edit?usp=sharing"",""น่าน!R560"")+IMPORTRANGE(""https://docs.google.com/spreadsheets/d/1uu4nAn4Dbi1XREnLKKotUANlKXa7yCgRcgq8HEzQYW8/edit?usp=sharing"",""พะเยา!R560"")+IMPORTRANGE(""https://docs.google.com/spreadsheets/d/1xfJKIQxVOaPDIICqsflNlL"&amp;"u3JacTDk1FP9RH4phX7mI/edit?usp=sharing"",""พิจิตร!R560"")+IMPORTRANGE(""https://docs.google.com/spreadsheets/d/1JtRfZkJMHtEhI5RdRHxYUG4FIZHqKDpNyIuN7A1Q0_k/edit?usp=sharing"",""พิษณุโลก!R560"")+IMPORTRANGE(""https://docs.google.com/spreadsheets/d/1xlcVZWU"&amp;"Nn6SuWm0c307h32SiGkd9BaeQWlAktfD3KO8/edit?usp=sharing"",""เพชรบูรณ์!R560"")+IMPORTRANGE(""https://docs.google.com/spreadsheets/d/1lOVebEIsI9qjGXl6EX66luk7wiuP2tBaryw-wKvv4e0/edit?usp=sharing"",""แพร่!R560"")+IMPORTRANGE(""https://docs.google.com/spreadshe"&amp;"ets/d/1dQrvX0vEcN7Gu0fnZ0B5S90AeR19zth4XlExFBeExMY/edit?usp=sharing"",""แม่ฮ่องสอน!R560"")+IMPORTRANGE(""https://docs.google.com/spreadsheets/d/1DY4XTNNwjluuxqdfdn6qvOSlMRrZqUtmYcZR0ttFiG4/edit?usp=sharing"",""ลำปาง!R560"")+IMPORTRANGE(""https://docs.goog"&amp;"le.com/spreadsheets/d/1ICwG78r0OFT8biBlxnBF8r7she7gNSzOvJ958PWT09c/edit?usp=sharing"",""ลำพูน!R560"")+IMPORTRANGE(""https://docs.google.com/spreadsheets/d/1B0f2xJpZUC6Z0xXnqKlZtEPzsf6L84eP1r1Q15seqRM/edit?usp=sharing"",""สุโขทัย!R560"")+IMPORTRANGE(""http"&amp;"s://docs.google.com/spreadsheets/d/1v0b9pFQCsKUVExMei7AgY2yQkdeNQvtOssygGsXbiKo/edit?usp=sharing"",""อุตรดิตถ์!R560"")+IMPORTRANGE(""https://docs.google.com/spreadsheets/d/1UsNK1e-WWiCo2PvGqdNfdme4m17_Ezd3J69EeeiQPD0/edit?usp=sharing"",""อุทัยธานี!R560"")"),0)</f>
        <v>0</v>
      </c>
      <c r="S560" s="46">
        <f ca="1">IFERROR(__xludf.DUMMYFUNCTION("IMPORTRANGE(""https://docs.google.com/spreadsheets/d/1jTcq05yEiRwXcBMLjiodW9e4biSGYWAHcDj22rKWQ3s/edit?usp=sharing"",""กำแพงเพชร!S560"")+IMPORTRANGE(""https://docs.google.com/spreadsheets/d/1KS0zmDSZPk8KnTAbGN-Xk6MtX1YRZD0ldgdt20K4CRk/edit?usp=sharing"","&amp;"""เชียงราย!S560"")+IMPORTRANGE(""https://docs.google.com/spreadsheets/d/1rEDxBtusbi64tE0zunoIbsTVV16HeL0oJ6trHQeQ7K8/edit?usp=sharing"",""เชียงใหม่!S560"")+IMPORTRANGE(""https://docs.google.com/spreadsheets/d/1W6MnUbDkMi6xHnHko_XkFDO9kkuL6Wqyc-6OCDFjW9I/e"&amp;"dit?usp=sharing"",""ตาก!S560"")+IMPORTRANGE(""https://docs.google.com/spreadsheets/d/1IQAWArduLkta9LpYo4a_ULsyqdta6-6aDDiwpUnQT6c/edit?usp=sharing"",""นครสวรรค์!S560"")+IMPORTRANGE(""https://docs.google.com/spreadsheets/d/10s13Sk5xrltsiR-Zkbmk5DwIaDIKO8Xl"&amp;"bJAfqyT7Gvg/edit?usp=sharing"",""น่าน!S560"")+IMPORTRANGE(""https://docs.google.com/spreadsheets/d/1uu4nAn4Dbi1XREnLKKotUANlKXa7yCgRcgq8HEzQYW8/edit?usp=sharing"",""พะเยา!S560"")+IMPORTRANGE(""https://docs.google.com/spreadsheets/d/1xfJKIQxVOaPDIICqsflNlL"&amp;"u3JacTDk1FP9RH4phX7mI/edit?usp=sharing"",""พิจิตร!S560"")+IMPORTRANGE(""https://docs.google.com/spreadsheets/d/1JtRfZkJMHtEhI5RdRHxYUG4FIZHqKDpNyIuN7A1Q0_k/edit?usp=sharing"",""พิษณุโลก!S560"")+IMPORTRANGE(""https://docs.google.com/spreadsheets/d/1xlcVZWU"&amp;"Nn6SuWm0c307h32SiGkd9BaeQWlAktfD3KO8/edit?usp=sharing"",""เพชรบูรณ์!S560"")+IMPORTRANGE(""https://docs.google.com/spreadsheets/d/1lOVebEIsI9qjGXl6EX66luk7wiuP2tBaryw-wKvv4e0/edit?usp=sharing"",""แพร่!S560"")+IMPORTRANGE(""https://docs.google.com/spreadshe"&amp;"ets/d/1dQrvX0vEcN7Gu0fnZ0B5S90AeR19zth4XlExFBeExMY/edit?usp=sharing"",""แม่ฮ่องสอน!S560"")+IMPORTRANGE(""https://docs.google.com/spreadsheets/d/1DY4XTNNwjluuxqdfdn6qvOSlMRrZqUtmYcZR0ttFiG4/edit?usp=sharing"",""ลำปาง!S560"")+IMPORTRANGE(""https://docs.goog"&amp;"le.com/spreadsheets/d/1ICwG78r0OFT8biBlxnBF8r7she7gNSzOvJ958PWT09c/edit?usp=sharing"",""ลำพูน!S560"")+IMPORTRANGE(""https://docs.google.com/spreadsheets/d/1B0f2xJpZUC6Z0xXnqKlZtEPzsf6L84eP1r1Q15seqRM/edit?usp=sharing"",""สุโขทัย!S560"")+IMPORTRANGE(""http"&amp;"s://docs.google.com/spreadsheets/d/1v0b9pFQCsKUVExMei7AgY2yQkdeNQvtOssygGsXbiKo/edit?usp=sharing"",""อุตรดิตถ์!S560"")+IMPORTRANGE(""https://docs.google.com/spreadsheets/d/1UsNK1e-WWiCo2PvGqdNfdme4m17_Ezd3J69EeeiQPD0/edit?usp=sharing"",""อุทัยธานี!S560"")"),0)</f>
        <v>0</v>
      </c>
      <c r="T560" s="46">
        <f t="shared" ca="1" si="397"/>
        <v>0</v>
      </c>
      <c r="U560" s="46">
        <f t="shared" ca="1" si="398"/>
        <v>0</v>
      </c>
    </row>
    <row r="561" spans="1:21" ht="18.75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46">
        <f t="shared" ref="L561:N561" ca="1" si="405">L562+L563</f>
        <v>0</v>
      </c>
      <c r="M561" s="46">
        <f t="shared" ca="1" si="405"/>
        <v>0</v>
      </c>
      <c r="N561" s="46">
        <f t="shared" ca="1" si="405"/>
        <v>0</v>
      </c>
      <c r="O561" s="46">
        <f t="shared" ca="1" si="394"/>
        <v>0</v>
      </c>
      <c r="P561" s="46">
        <f t="shared" ca="1" si="395"/>
        <v>0</v>
      </c>
      <c r="Q561" s="46">
        <f t="shared" ref="Q561:S561" ca="1" si="406">Q562+Q563</f>
        <v>0</v>
      </c>
      <c r="R561" s="46">
        <f t="shared" ca="1" si="406"/>
        <v>0</v>
      </c>
      <c r="S561" s="46">
        <f t="shared" ca="1" si="406"/>
        <v>0</v>
      </c>
      <c r="T561" s="46">
        <f t="shared" ca="1" si="397"/>
        <v>0</v>
      </c>
      <c r="U561" s="46">
        <f t="shared" ca="1" si="398"/>
        <v>0</v>
      </c>
    </row>
    <row r="562" spans="1:21" ht="18.75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48">
        <f ca="1">IFERROR(__xludf.DUMMYFUNCTION("IMPORTRANGE(""https://docs.google.com/spreadsheets/d/1jTcq05yEiRwXcBMLjiodW9e4biSGYWAHcDj22rKWQ3s/edit?usp=sharing"",""กำแพงเพชร!L562"")+IMPORTRANGE(""https://docs.google.com/spreadsheets/d/1KS0zmDSZPk8KnTAbGN-Xk6MtX1YRZD0ldgdt20K4CRk/edit?usp=sharing"","&amp;"""เชียงราย!L562"")+IMPORTRANGE(""https://docs.google.com/spreadsheets/d/1rEDxBtusbi64tE0zunoIbsTVV16HeL0oJ6trHQeQ7K8/edit?usp=sharing"",""เชียงใหม่!L562"")+IMPORTRANGE(""https://docs.google.com/spreadsheets/d/1W6MnUbDkMi6xHnHko_XkFDO9kkuL6Wqyc-6OCDFjW9I/e"&amp;"dit?usp=sharing"",""ตาก!L562"")+IMPORTRANGE(""https://docs.google.com/spreadsheets/d/1IQAWArduLkta9LpYo4a_ULsyqdta6-6aDDiwpUnQT6c/edit?usp=sharing"",""นครสวรรค์!L562"")+IMPORTRANGE(""https://docs.google.com/spreadsheets/d/10s13Sk5xrltsiR-Zkbmk5DwIaDIKO8Xl"&amp;"bJAfqyT7Gvg/edit?usp=sharing"",""น่าน!L562"")+IMPORTRANGE(""https://docs.google.com/spreadsheets/d/1uu4nAn4Dbi1XREnLKKotUANlKXa7yCgRcgq8HEzQYW8/edit?usp=sharing"",""พะเยา!L562"")+IMPORTRANGE(""https://docs.google.com/spreadsheets/d/1xfJKIQxVOaPDIICqsflNlL"&amp;"u3JacTDk1FP9RH4phX7mI/edit?usp=sharing"",""พิจิตร!L562"")+IMPORTRANGE(""https://docs.google.com/spreadsheets/d/1JtRfZkJMHtEhI5RdRHxYUG4FIZHqKDpNyIuN7A1Q0_k/edit?usp=sharing"",""พิษณุโลก!L562"")+IMPORTRANGE(""https://docs.google.com/spreadsheets/d/1xlcVZWU"&amp;"Nn6SuWm0c307h32SiGkd9BaeQWlAktfD3KO8/edit?usp=sharing"",""เพชรบูรณ์!L562"")+IMPORTRANGE(""https://docs.google.com/spreadsheets/d/1lOVebEIsI9qjGXl6EX66luk7wiuP2tBaryw-wKvv4e0/edit?usp=sharing"",""แพร่!L562"")+IMPORTRANGE(""https://docs.google.com/spreadshe"&amp;"ets/d/1dQrvX0vEcN7Gu0fnZ0B5S90AeR19zth4XlExFBeExMY/edit?usp=sharing"",""แม่ฮ่องสอน!L562"")+IMPORTRANGE(""https://docs.google.com/spreadsheets/d/1DY4XTNNwjluuxqdfdn6qvOSlMRrZqUtmYcZR0ttFiG4/edit?usp=sharing"",""ลำปาง!L562"")+IMPORTRANGE(""https://docs.goog"&amp;"le.com/spreadsheets/d/1ICwG78r0OFT8biBlxnBF8r7she7gNSzOvJ958PWT09c/edit?usp=sharing"",""ลำพูน!L562"")+IMPORTRANGE(""https://docs.google.com/spreadsheets/d/1B0f2xJpZUC6Z0xXnqKlZtEPzsf6L84eP1r1Q15seqRM/edit?usp=sharing"",""สุโขทัย!L562"")+IMPORTRANGE(""http"&amp;"s://docs.google.com/spreadsheets/d/1v0b9pFQCsKUVExMei7AgY2yQkdeNQvtOssygGsXbiKo/edit?usp=sharing"",""อุตรดิตถ์!L562"")+IMPORTRANGE(""https://docs.google.com/spreadsheets/d/1UsNK1e-WWiCo2PvGqdNfdme4m17_Ezd3J69EeeiQPD0/edit?usp=sharing"",""อุทัยธานี!L562"")"),0)</f>
        <v>0</v>
      </c>
      <c r="M562" s="48">
        <f ca="1">IFERROR(__xludf.DUMMYFUNCTION("IMPORTRANGE(""https://docs.google.com/spreadsheets/d/1jTcq05yEiRwXcBMLjiodW9e4biSGYWAHcDj22rKWQ3s/edit?usp=sharing"",""กำแพงเพชร!M562"")+IMPORTRANGE(""https://docs.google.com/spreadsheets/d/1KS0zmDSZPk8KnTAbGN-Xk6MtX1YRZD0ldgdt20K4CRk/edit?usp=sharing"","&amp;"""เชียงราย!M562"")+IMPORTRANGE(""https://docs.google.com/spreadsheets/d/1rEDxBtusbi64tE0zunoIbsTVV16HeL0oJ6trHQeQ7K8/edit?usp=sharing"",""เชียงใหม่!M562"")+IMPORTRANGE(""https://docs.google.com/spreadsheets/d/1W6MnUbDkMi6xHnHko_XkFDO9kkuL6Wqyc-6OCDFjW9I/e"&amp;"dit?usp=sharing"",""ตาก!M562"")+IMPORTRANGE(""https://docs.google.com/spreadsheets/d/1IQAWArduLkta9LpYo4a_ULsyqdta6-6aDDiwpUnQT6c/edit?usp=sharing"",""นครสวรรค์!M562"")+IMPORTRANGE(""https://docs.google.com/spreadsheets/d/10s13Sk5xrltsiR-Zkbmk5DwIaDIKO8Xl"&amp;"bJAfqyT7Gvg/edit?usp=sharing"",""น่าน!M562"")+IMPORTRANGE(""https://docs.google.com/spreadsheets/d/1uu4nAn4Dbi1XREnLKKotUANlKXa7yCgRcgq8HEzQYW8/edit?usp=sharing"",""พะเยา!M562"")+IMPORTRANGE(""https://docs.google.com/spreadsheets/d/1xfJKIQxVOaPDIICqsflNlL"&amp;"u3JacTDk1FP9RH4phX7mI/edit?usp=sharing"",""พิจิตร!M562"")+IMPORTRANGE(""https://docs.google.com/spreadsheets/d/1JtRfZkJMHtEhI5RdRHxYUG4FIZHqKDpNyIuN7A1Q0_k/edit?usp=sharing"",""พิษณุโลก!M562"")+IMPORTRANGE(""https://docs.google.com/spreadsheets/d/1xlcVZWU"&amp;"Nn6SuWm0c307h32SiGkd9BaeQWlAktfD3KO8/edit?usp=sharing"",""เพชรบูรณ์!M562"")+IMPORTRANGE(""https://docs.google.com/spreadsheets/d/1lOVebEIsI9qjGXl6EX66luk7wiuP2tBaryw-wKvv4e0/edit?usp=sharing"",""แพร่!M562"")+IMPORTRANGE(""https://docs.google.com/spreadshe"&amp;"ets/d/1dQrvX0vEcN7Gu0fnZ0B5S90AeR19zth4XlExFBeExMY/edit?usp=sharing"",""แม่ฮ่องสอน!M562"")+IMPORTRANGE(""https://docs.google.com/spreadsheets/d/1DY4XTNNwjluuxqdfdn6qvOSlMRrZqUtmYcZR0ttFiG4/edit?usp=sharing"",""ลำปาง!M562"")+IMPORTRANGE(""https://docs.goog"&amp;"le.com/spreadsheets/d/1ICwG78r0OFT8biBlxnBF8r7she7gNSzOvJ958PWT09c/edit?usp=sharing"",""ลำพูน!M562"")+IMPORTRANGE(""https://docs.google.com/spreadsheets/d/1B0f2xJpZUC6Z0xXnqKlZtEPzsf6L84eP1r1Q15seqRM/edit?usp=sharing"",""สุโขทัย!M562"")+IMPORTRANGE(""http"&amp;"s://docs.google.com/spreadsheets/d/1v0b9pFQCsKUVExMei7AgY2yQkdeNQvtOssygGsXbiKo/edit?usp=sharing"",""อุตรดิตถ์!M562"")+IMPORTRANGE(""https://docs.google.com/spreadsheets/d/1UsNK1e-WWiCo2PvGqdNfdme4m17_Ezd3J69EeeiQPD0/edit?usp=sharing"",""อุทัยธานี!M562"")"),0)</f>
        <v>0</v>
      </c>
      <c r="N562" s="48">
        <f ca="1">IFERROR(__xludf.DUMMYFUNCTION("IMPORTRANGE(""https://docs.google.com/spreadsheets/d/1jTcq05yEiRwXcBMLjiodW9e4biSGYWAHcDj22rKWQ3s/edit?usp=sharing"",""กำแพงเพชร!N562"")+IMPORTRANGE(""https://docs.google.com/spreadsheets/d/1KS0zmDSZPk8KnTAbGN-Xk6MtX1YRZD0ldgdt20K4CRk/edit?usp=sharing"","&amp;"""เชียงราย!N562"")+IMPORTRANGE(""https://docs.google.com/spreadsheets/d/1rEDxBtusbi64tE0zunoIbsTVV16HeL0oJ6trHQeQ7K8/edit?usp=sharing"",""เชียงใหม่!N562"")+IMPORTRANGE(""https://docs.google.com/spreadsheets/d/1W6MnUbDkMi6xHnHko_XkFDO9kkuL6Wqyc-6OCDFjW9I/e"&amp;"dit?usp=sharing"",""ตาก!N562"")+IMPORTRANGE(""https://docs.google.com/spreadsheets/d/1IQAWArduLkta9LpYo4a_ULsyqdta6-6aDDiwpUnQT6c/edit?usp=sharing"",""นครสวรรค์!N562"")+IMPORTRANGE(""https://docs.google.com/spreadsheets/d/10s13Sk5xrltsiR-Zkbmk5DwIaDIKO8Xl"&amp;"bJAfqyT7Gvg/edit?usp=sharing"",""น่าน!N562"")+IMPORTRANGE(""https://docs.google.com/spreadsheets/d/1uu4nAn4Dbi1XREnLKKotUANlKXa7yCgRcgq8HEzQYW8/edit?usp=sharing"",""พะเยา!N562"")+IMPORTRANGE(""https://docs.google.com/spreadsheets/d/1xfJKIQxVOaPDIICqsflNlL"&amp;"u3JacTDk1FP9RH4phX7mI/edit?usp=sharing"",""พิจิตร!N562"")+IMPORTRANGE(""https://docs.google.com/spreadsheets/d/1JtRfZkJMHtEhI5RdRHxYUG4FIZHqKDpNyIuN7A1Q0_k/edit?usp=sharing"",""พิษณุโลก!N562"")+IMPORTRANGE(""https://docs.google.com/spreadsheets/d/1xlcVZWU"&amp;"Nn6SuWm0c307h32SiGkd9BaeQWlAktfD3KO8/edit?usp=sharing"",""เพชรบูรณ์!N562"")+IMPORTRANGE(""https://docs.google.com/spreadsheets/d/1lOVebEIsI9qjGXl6EX66luk7wiuP2tBaryw-wKvv4e0/edit?usp=sharing"",""แพร่!N562"")+IMPORTRANGE(""https://docs.google.com/spreadshe"&amp;"ets/d/1dQrvX0vEcN7Gu0fnZ0B5S90AeR19zth4XlExFBeExMY/edit?usp=sharing"",""แม่ฮ่องสอน!N562"")+IMPORTRANGE(""https://docs.google.com/spreadsheets/d/1DY4XTNNwjluuxqdfdn6qvOSlMRrZqUtmYcZR0ttFiG4/edit?usp=sharing"",""ลำปาง!N562"")+IMPORTRANGE(""https://docs.goog"&amp;"le.com/spreadsheets/d/1ICwG78r0OFT8biBlxnBF8r7she7gNSzOvJ958PWT09c/edit?usp=sharing"",""ลำพูน!N562"")+IMPORTRANGE(""https://docs.google.com/spreadsheets/d/1B0f2xJpZUC6Z0xXnqKlZtEPzsf6L84eP1r1Q15seqRM/edit?usp=sharing"",""สุโขทัย!N562"")+IMPORTRANGE(""http"&amp;"s://docs.google.com/spreadsheets/d/1v0b9pFQCsKUVExMei7AgY2yQkdeNQvtOssygGsXbiKo/edit?usp=sharing"",""อุตรดิตถ์!N562"")+IMPORTRANGE(""https://docs.google.com/spreadsheets/d/1UsNK1e-WWiCo2PvGqdNfdme4m17_Ezd3J69EeeiQPD0/edit?usp=sharing"",""อุทัยธานี!N562"")"),0)</f>
        <v>0</v>
      </c>
      <c r="O562" s="48">
        <f t="shared" ca="1" si="394"/>
        <v>0</v>
      </c>
      <c r="P562" s="48">
        <f t="shared" ca="1" si="395"/>
        <v>0</v>
      </c>
      <c r="Q562" s="48">
        <f ca="1">IFERROR(__xludf.DUMMYFUNCTION("IMPORTRANGE(""https://docs.google.com/spreadsheets/d/1jTcq05yEiRwXcBMLjiodW9e4biSGYWAHcDj22rKWQ3s/edit?usp=sharing"",""กำแพงเพชร!Q562"")+IMPORTRANGE(""https://docs.google.com/spreadsheets/d/1KS0zmDSZPk8KnTAbGN-Xk6MtX1YRZD0ldgdt20K4CRk/edit?usp=sharing"","&amp;"""เชียงราย!Q562"")+IMPORTRANGE(""https://docs.google.com/spreadsheets/d/1rEDxBtusbi64tE0zunoIbsTVV16HeL0oJ6trHQeQ7K8/edit?usp=sharing"",""เชียงใหม่!Q562"")+IMPORTRANGE(""https://docs.google.com/spreadsheets/d/1W6MnUbDkMi6xHnHko_XkFDO9kkuL6Wqyc-6OCDFjW9I/e"&amp;"dit?usp=sharing"",""ตาก!Q562"")+IMPORTRANGE(""https://docs.google.com/spreadsheets/d/1IQAWArduLkta9LpYo4a_ULsyqdta6-6aDDiwpUnQT6c/edit?usp=sharing"",""นครสวรรค์!Q562"")+IMPORTRANGE(""https://docs.google.com/spreadsheets/d/10s13Sk5xrltsiR-Zkbmk5DwIaDIKO8Xl"&amp;"bJAfqyT7Gvg/edit?usp=sharing"",""น่าน!Q562"")+IMPORTRANGE(""https://docs.google.com/spreadsheets/d/1uu4nAn4Dbi1XREnLKKotUANlKXa7yCgRcgq8HEzQYW8/edit?usp=sharing"",""พะเยา!Q562"")+IMPORTRANGE(""https://docs.google.com/spreadsheets/d/1xfJKIQxVOaPDIICqsflNlL"&amp;"u3JacTDk1FP9RH4phX7mI/edit?usp=sharing"",""พิจิตร!Q562"")+IMPORTRANGE(""https://docs.google.com/spreadsheets/d/1JtRfZkJMHtEhI5RdRHxYUG4FIZHqKDpNyIuN7A1Q0_k/edit?usp=sharing"",""พิษณุโลก!Q562"")+IMPORTRANGE(""https://docs.google.com/spreadsheets/d/1xlcVZWU"&amp;"Nn6SuWm0c307h32SiGkd9BaeQWlAktfD3KO8/edit?usp=sharing"",""เพชรบูรณ์!Q562"")+IMPORTRANGE(""https://docs.google.com/spreadsheets/d/1lOVebEIsI9qjGXl6EX66luk7wiuP2tBaryw-wKvv4e0/edit?usp=sharing"",""แพร่!Q562"")+IMPORTRANGE(""https://docs.google.com/spreadshe"&amp;"ets/d/1dQrvX0vEcN7Gu0fnZ0B5S90AeR19zth4XlExFBeExMY/edit?usp=sharing"",""แม่ฮ่องสอน!Q562"")+IMPORTRANGE(""https://docs.google.com/spreadsheets/d/1DY4XTNNwjluuxqdfdn6qvOSlMRrZqUtmYcZR0ttFiG4/edit?usp=sharing"",""ลำปาง!Q562"")+IMPORTRANGE(""https://docs.goog"&amp;"le.com/spreadsheets/d/1ICwG78r0OFT8biBlxnBF8r7she7gNSzOvJ958PWT09c/edit?usp=sharing"",""ลำพูน!Q562"")+IMPORTRANGE(""https://docs.google.com/spreadsheets/d/1B0f2xJpZUC6Z0xXnqKlZtEPzsf6L84eP1r1Q15seqRM/edit?usp=sharing"",""สุโขทัย!Q562"")+IMPORTRANGE(""http"&amp;"s://docs.google.com/spreadsheets/d/1v0b9pFQCsKUVExMei7AgY2yQkdeNQvtOssygGsXbiKo/edit?usp=sharing"",""อุตรดิตถ์!Q562"")+IMPORTRANGE(""https://docs.google.com/spreadsheets/d/1UsNK1e-WWiCo2PvGqdNfdme4m17_Ezd3J69EeeiQPD0/edit?usp=sharing"",""อุทัยธานี!Q562"")"),0)</f>
        <v>0</v>
      </c>
      <c r="R562" s="48">
        <f ca="1">IFERROR(__xludf.DUMMYFUNCTION("IMPORTRANGE(""https://docs.google.com/spreadsheets/d/1jTcq05yEiRwXcBMLjiodW9e4biSGYWAHcDj22rKWQ3s/edit?usp=sharing"",""กำแพงเพชร!R562"")+IMPORTRANGE(""https://docs.google.com/spreadsheets/d/1KS0zmDSZPk8KnTAbGN-Xk6MtX1YRZD0ldgdt20K4CRk/edit?usp=sharing"","&amp;"""เชียงราย!R562"")+IMPORTRANGE(""https://docs.google.com/spreadsheets/d/1rEDxBtusbi64tE0zunoIbsTVV16HeL0oJ6trHQeQ7K8/edit?usp=sharing"",""เชียงใหม่!R562"")+IMPORTRANGE(""https://docs.google.com/spreadsheets/d/1W6MnUbDkMi6xHnHko_XkFDO9kkuL6Wqyc-6OCDFjW9I/e"&amp;"dit?usp=sharing"",""ตาก!R562"")+IMPORTRANGE(""https://docs.google.com/spreadsheets/d/1IQAWArduLkta9LpYo4a_ULsyqdta6-6aDDiwpUnQT6c/edit?usp=sharing"",""นครสวรรค์!R562"")+IMPORTRANGE(""https://docs.google.com/spreadsheets/d/10s13Sk5xrltsiR-Zkbmk5DwIaDIKO8Xl"&amp;"bJAfqyT7Gvg/edit?usp=sharing"",""น่าน!R562"")+IMPORTRANGE(""https://docs.google.com/spreadsheets/d/1uu4nAn4Dbi1XREnLKKotUANlKXa7yCgRcgq8HEzQYW8/edit?usp=sharing"",""พะเยา!R562"")+IMPORTRANGE(""https://docs.google.com/spreadsheets/d/1xfJKIQxVOaPDIICqsflNlL"&amp;"u3JacTDk1FP9RH4phX7mI/edit?usp=sharing"",""พิจิตร!R562"")+IMPORTRANGE(""https://docs.google.com/spreadsheets/d/1JtRfZkJMHtEhI5RdRHxYUG4FIZHqKDpNyIuN7A1Q0_k/edit?usp=sharing"",""พิษณุโลก!R562"")+IMPORTRANGE(""https://docs.google.com/spreadsheets/d/1xlcVZWU"&amp;"Nn6SuWm0c307h32SiGkd9BaeQWlAktfD3KO8/edit?usp=sharing"",""เพชรบูรณ์!R562"")+IMPORTRANGE(""https://docs.google.com/spreadsheets/d/1lOVebEIsI9qjGXl6EX66luk7wiuP2tBaryw-wKvv4e0/edit?usp=sharing"",""แพร่!R562"")+IMPORTRANGE(""https://docs.google.com/spreadshe"&amp;"ets/d/1dQrvX0vEcN7Gu0fnZ0B5S90AeR19zth4XlExFBeExMY/edit?usp=sharing"",""แม่ฮ่องสอน!R562"")+IMPORTRANGE(""https://docs.google.com/spreadsheets/d/1DY4XTNNwjluuxqdfdn6qvOSlMRrZqUtmYcZR0ttFiG4/edit?usp=sharing"",""ลำปาง!R562"")+IMPORTRANGE(""https://docs.goog"&amp;"le.com/spreadsheets/d/1ICwG78r0OFT8biBlxnBF8r7she7gNSzOvJ958PWT09c/edit?usp=sharing"",""ลำพูน!R562"")+IMPORTRANGE(""https://docs.google.com/spreadsheets/d/1B0f2xJpZUC6Z0xXnqKlZtEPzsf6L84eP1r1Q15seqRM/edit?usp=sharing"",""สุโขทัย!R562"")+IMPORTRANGE(""http"&amp;"s://docs.google.com/spreadsheets/d/1v0b9pFQCsKUVExMei7AgY2yQkdeNQvtOssygGsXbiKo/edit?usp=sharing"",""อุตรดิตถ์!R562"")+IMPORTRANGE(""https://docs.google.com/spreadsheets/d/1UsNK1e-WWiCo2PvGqdNfdme4m17_Ezd3J69EeeiQPD0/edit?usp=sharing"",""อุทัยธานี!R562"")"),0)</f>
        <v>0</v>
      </c>
      <c r="S562" s="48">
        <f ca="1">IFERROR(__xludf.DUMMYFUNCTION("IMPORTRANGE(""https://docs.google.com/spreadsheets/d/1jTcq05yEiRwXcBMLjiodW9e4biSGYWAHcDj22rKWQ3s/edit?usp=sharing"",""กำแพงเพชร!S562"")+IMPORTRANGE(""https://docs.google.com/spreadsheets/d/1KS0zmDSZPk8KnTAbGN-Xk6MtX1YRZD0ldgdt20K4CRk/edit?usp=sharing"","&amp;"""เชียงราย!S562"")+IMPORTRANGE(""https://docs.google.com/spreadsheets/d/1rEDxBtusbi64tE0zunoIbsTVV16HeL0oJ6trHQeQ7K8/edit?usp=sharing"",""เชียงใหม่!S562"")+IMPORTRANGE(""https://docs.google.com/spreadsheets/d/1W6MnUbDkMi6xHnHko_XkFDO9kkuL6Wqyc-6OCDFjW9I/e"&amp;"dit?usp=sharing"",""ตาก!S562"")+IMPORTRANGE(""https://docs.google.com/spreadsheets/d/1IQAWArduLkta9LpYo4a_ULsyqdta6-6aDDiwpUnQT6c/edit?usp=sharing"",""นครสวรรค์!S562"")+IMPORTRANGE(""https://docs.google.com/spreadsheets/d/10s13Sk5xrltsiR-Zkbmk5DwIaDIKO8Xl"&amp;"bJAfqyT7Gvg/edit?usp=sharing"",""น่าน!S562"")+IMPORTRANGE(""https://docs.google.com/spreadsheets/d/1uu4nAn4Dbi1XREnLKKotUANlKXa7yCgRcgq8HEzQYW8/edit?usp=sharing"",""พะเยา!S562"")+IMPORTRANGE(""https://docs.google.com/spreadsheets/d/1xfJKIQxVOaPDIICqsflNlL"&amp;"u3JacTDk1FP9RH4phX7mI/edit?usp=sharing"",""พิจิตร!S562"")+IMPORTRANGE(""https://docs.google.com/spreadsheets/d/1JtRfZkJMHtEhI5RdRHxYUG4FIZHqKDpNyIuN7A1Q0_k/edit?usp=sharing"",""พิษณุโลก!S562"")+IMPORTRANGE(""https://docs.google.com/spreadsheets/d/1xlcVZWU"&amp;"Nn6SuWm0c307h32SiGkd9BaeQWlAktfD3KO8/edit?usp=sharing"",""เพชรบูรณ์!S562"")+IMPORTRANGE(""https://docs.google.com/spreadsheets/d/1lOVebEIsI9qjGXl6EX66luk7wiuP2tBaryw-wKvv4e0/edit?usp=sharing"",""แพร่!S562"")+IMPORTRANGE(""https://docs.google.com/spreadshe"&amp;"ets/d/1dQrvX0vEcN7Gu0fnZ0B5S90AeR19zth4XlExFBeExMY/edit?usp=sharing"",""แม่ฮ่องสอน!S562"")+IMPORTRANGE(""https://docs.google.com/spreadsheets/d/1DY4XTNNwjluuxqdfdn6qvOSlMRrZqUtmYcZR0ttFiG4/edit?usp=sharing"",""ลำปาง!S562"")+IMPORTRANGE(""https://docs.goog"&amp;"le.com/spreadsheets/d/1ICwG78r0OFT8biBlxnBF8r7she7gNSzOvJ958PWT09c/edit?usp=sharing"",""ลำพูน!S562"")+IMPORTRANGE(""https://docs.google.com/spreadsheets/d/1B0f2xJpZUC6Z0xXnqKlZtEPzsf6L84eP1r1Q15seqRM/edit?usp=sharing"",""สุโขทัย!S562"")+IMPORTRANGE(""http"&amp;"s://docs.google.com/spreadsheets/d/1v0b9pFQCsKUVExMei7AgY2yQkdeNQvtOssygGsXbiKo/edit?usp=sharing"",""อุตรดิตถ์!S562"")+IMPORTRANGE(""https://docs.google.com/spreadsheets/d/1UsNK1e-WWiCo2PvGqdNfdme4m17_Ezd3J69EeeiQPD0/edit?usp=sharing"",""อุทัยธานี!S562"")"),0)</f>
        <v>0</v>
      </c>
      <c r="T562" s="48">
        <f t="shared" ca="1" si="397"/>
        <v>0</v>
      </c>
      <c r="U562" s="48">
        <f t="shared" ca="1" si="398"/>
        <v>0</v>
      </c>
    </row>
    <row r="563" spans="1:21" ht="18.75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46">
        <f ca="1">IFERROR(__xludf.DUMMYFUNCTION("IMPORTRANGE(""https://docs.google.com/spreadsheets/d/1jTcq05yEiRwXcBMLjiodW9e4biSGYWAHcDj22rKWQ3s/edit?usp=sharing"",""กำแพงเพชร!L563"")+IMPORTRANGE(""https://docs.google.com/spreadsheets/d/1KS0zmDSZPk8KnTAbGN-Xk6MtX1YRZD0ldgdt20K4CRk/edit?usp=sharing"","&amp;"""เชียงราย!L563"")+IMPORTRANGE(""https://docs.google.com/spreadsheets/d/1rEDxBtusbi64tE0zunoIbsTVV16HeL0oJ6trHQeQ7K8/edit?usp=sharing"",""เชียงใหม่!L563"")+IMPORTRANGE(""https://docs.google.com/spreadsheets/d/1W6MnUbDkMi6xHnHko_XkFDO9kkuL6Wqyc-6OCDFjW9I/e"&amp;"dit?usp=sharing"",""ตาก!L563"")+IMPORTRANGE(""https://docs.google.com/spreadsheets/d/1IQAWArduLkta9LpYo4a_ULsyqdta6-6aDDiwpUnQT6c/edit?usp=sharing"",""นครสวรรค์!L563"")+IMPORTRANGE(""https://docs.google.com/spreadsheets/d/10s13Sk5xrltsiR-Zkbmk5DwIaDIKO8Xl"&amp;"bJAfqyT7Gvg/edit?usp=sharing"",""น่าน!L563"")+IMPORTRANGE(""https://docs.google.com/spreadsheets/d/1uu4nAn4Dbi1XREnLKKotUANlKXa7yCgRcgq8HEzQYW8/edit?usp=sharing"",""พะเยา!L563"")+IMPORTRANGE(""https://docs.google.com/spreadsheets/d/1xfJKIQxVOaPDIICqsflNlL"&amp;"u3JacTDk1FP9RH4phX7mI/edit?usp=sharing"",""พิจิตร!L563"")+IMPORTRANGE(""https://docs.google.com/spreadsheets/d/1JtRfZkJMHtEhI5RdRHxYUG4FIZHqKDpNyIuN7A1Q0_k/edit?usp=sharing"",""พิษณุโลก!L563"")+IMPORTRANGE(""https://docs.google.com/spreadsheets/d/1xlcVZWU"&amp;"Nn6SuWm0c307h32SiGkd9BaeQWlAktfD3KO8/edit?usp=sharing"",""เพชรบูรณ์!L563"")+IMPORTRANGE(""https://docs.google.com/spreadsheets/d/1lOVebEIsI9qjGXl6EX66luk7wiuP2tBaryw-wKvv4e0/edit?usp=sharing"",""แพร่!L563"")+IMPORTRANGE(""https://docs.google.com/spreadshe"&amp;"ets/d/1dQrvX0vEcN7Gu0fnZ0B5S90AeR19zth4XlExFBeExMY/edit?usp=sharing"",""แม่ฮ่องสอน!L563"")+IMPORTRANGE(""https://docs.google.com/spreadsheets/d/1DY4XTNNwjluuxqdfdn6qvOSlMRrZqUtmYcZR0ttFiG4/edit?usp=sharing"",""ลำปาง!L563"")+IMPORTRANGE(""https://docs.goog"&amp;"le.com/spreadsheets/d/1ICwG78r0OFT8biBlxnBF8r7she7gNSzOvJ958PWT09c/edit?usp=sharing"",""ลำพูน!L563"")+IMPORTRANGE(""https://docs.google.com/spreadsheets/d/1B0f2xJpZUC6Z0xXnqKlZtEPzsf6L84eP1r1Q15seqRM/edit?usp=sharing"",""สุโขทัย!L563"")+IMPORTRANGE(""http"&amp;"s://docs.google.com/spreadsheets/d/1v0b9pFQCsKUVExMei7AgY2yQkdeNQvtOssygGsXbiKo/edit?usp=sharing"",""อุตรดิตถ์!L563"")+IMPORTRANGE(""https://docs.google.com/spreadsheets/d/1UsNK1e-WWiCo2PvGqdNfdme4m17_Ezd3J69EeeiQPD0/edit?usp=sharing"",""อุทัยธานี!L563"")"),0)</f>
        <v>0</v>
      </c>
      <c r="M563" s="46">
        <f ca="1">IFERROR(__xludf.DUMMYFUNCTION("IMPORTRANGE(""https://docs.google.com/spreadsheets/d/1jTcq05yEiRwXcBMLjiodW9e4biSGYWAHcDj22rKWQ3s/edit?usp=sharing"",""กำแพงเพชร!M563"")+IMPORTRANGE(""https://docs.google.com/spreadsheets/d/1KS0zmDSZPk8KnTAbGN-Xk6MtX1YRZD0ldgdt20K4CRk/edit?usp=sharing"","&amp;"""เชียงราย!M563"")+IMPORTRANGE(""https://docs.google.com/spreadsheets/d/1rEDxBtusbi64tE0zunoIbsTVV16HeL0oJ6trHQeQ7K8/edit?usp=sharing"",""เชียงใหม่!M563"")+IMPORTRANGE(""https://docs.google.com/spreadsheets/d/1W6MnUbDkMi6xHnHko_XkFDO9kkuL6Wqyc-6OCDFjW9I/e"&amp;"dit?usp=sharing"",""ตาก!M563"")+IMPORTRANGE(""https://docs.google.com/spreadsheets/d/1IQAWArduLkta9LpYo4a_ULsyqdta6-6aDDiwpUnQT6c/edit?usp=sharing"",""นครสวรรค์!M563"")+IMPORTRANGE(""https://docs.google.com/spreadsheets/d/10s13Sk5xrltsiR-Zkbmk5DwIaDIKO8Xl"&amp;"bJAfqyT7Gvg/edit?usp=sharing"",""น่าน!M563"")+IMPORTRANGE(""https://docs.google.com/spreadsheets/d/1uu4nAn4Dbi1XREnLKKotUANlKXa7yCgRcgq8HEzQYW8/edit?usp=sharing"",""พะเยา!M563"")+IMPORTRANGE(""https://docs.google.com/spreadsheets/d/1xfJKIQxVOaPDIICqsflNlL"&amp;"u3JacTDk1FP9RH4phX7mI/edit?usp=sharing"",""พิจิตร!M563"")+IMPORTRANGE(""https://docs.google.com/spreadsheets/d/1JtRfZkJMHtEhI5RdRHxYUG4FIZHqKDpNyIuN7A1Q0_k/edit?usp=sharing"",""พิษณุโลก!M563"")+IMPORTRANGE(""https://docs.google.com/spreadsheets/d/1xlcVZWU"&amp;"Nn6SuWm0c307h32SiGkd9BaeQWlAktfD3KO8/edit?usp=sharing"",""เพชรบูรณ์!M563"")+IMPORTRANGE(""https://docs.google.com/spreadsheets/d/1lOVebEIsI9qjGXl6EX66luk7wiuP2tBaryw-wKvv4e0/edit?usp=sharing"",""แพร่!M563"")+IMPORTRANGE(""https://docs.google.com/spreadshe"&amp;"ets/d/1dQrvX0vEcN7Gu0fnZ0B5S90AeR19zth4XlExFBeExMY/edit?usp=sharing"",""แม่ฮ่องสอน!M563"")+IMPORTRANGE(""https://docs.google.com/spreadsheets/d/1DY4XTNNwjluuxqdfdn6qvOSlMRrZqUtmYcZR0ttFiG4/edit?usp=sharing"",""ลำปาง!M563"")+IMPORTRANGE(""https://docs.goog"&amp;"le.com/spreadsheets/d/1ICwG78r0OFT8biBlxnBF8r7she7gNSzOvJ958PWT09c/edit?usp=sharing"",""ลำพูน!M563"")+IMPORTRANGE(""https://docs.google.com/spreadsheets/d/1B0f2xJpZUC6Z0xXnqKlZtEPzsf6L84eP1r1Q15seqRM/edit?usp=sharing"",""สุโขทัย!M563"")+IMPORTRANGE(""http"&amp;"s://docs.google.com/spreadsheets/d/1v0b9pFQCsKUVExMei7AgY2yQkdeNQvtOssygGsXbiKo/edit?usp=sharing"",""อุตรดิตถ์!M563"")+IMPORTRANGE(""https://docs.google.com/spreadsheets/d/1UsNK1e-WWiCo2PvGqdNfdme4m17_Ezd3J69EeeiQPD0/edit?usp=sharing"",""อุทัยธานี!M563"")"),0)</f>
        <v>0</v>
      </c>
      <c r="N563" s="46">
        <f ca="1">IFERROR(__xludf.DUMMYFUNCTION("IMPORTRANGE(""https://docs.google.com/spreadsheets/d/1jTcq05yEiRwXcBMLjiodW9e4biSGYWAHcDj22rKWQ3s/edit?usp=sharing"",""กำแพงเพชร!N563"")+IMPORTRANGE(""https://docs.google.com/spreadsheets/d/1KS0zmDSZPk8KnTAbGN-Xk6MtX1YRZD0ldgdt20K4CRk/edit?usp=sharing"","&amp;"""เชียงราย!N563"")+IMPORTRANGE(""https://docs.google.com/spreadsheets/d/1rEDxBtusbi64tE0zunoIbsTVV16HeL0oJ6trHQeQ7K8/edit?usp=sharing"",""เชียงใหม่!N563"")+IMPORTRANGE(""https://docs.google.com/spreadsheets/d/1W6MnUbDkMi6xHnHko_XkFDO9kkuL6Wqyc-6OCDFjW9I/e"&amp;"dit?usp=sharing"",""ตาก!N563"")+IMPORTRANGE(""https://docs.google.com/spreadsheets/d/1IQAWArduLkta9LpYo4a_ULsyqdta6-6aDDiwpUnQT6c/edit?usp=sharing"",""นครสวรรค์!N563"")+IMPORTRANGE(""https://docs.google.com/spreadsheets/d/10s13Sk5xrltsiR-Zkbmk5DwIaDIKO8Xl"&amp;"bJAfqyT7Gvg/edit?usp=sharing"",""น่าน!N563"")+IMPORTRANGE(""https://docs.google.com/spreadsheets/d/1uu4nAn4Dbi1XREnLKKotUANlKXa7yCgRcgq8HEzQYW8/edit?usp=sharing"",""พะเยา!N563"")+IMPORTRANGE(""https://docs.google.com/spreadsheets/d/1xfJKIQxVOaPDIICqsflNlL"&amp;"u3JacTDk1FP9RH4phX7mI/edit?usp=sharing"",""พิจิตร!N563"")+IMPORTRANGE(""https://docs.google.com/spreadsheets/d/1JtRfZkJMHtEhI5RdRHxYUG4FIZHqKDpNyIuN7A1Q0_k/edit?usp=sharing"",""พิษณุโลก!N563"")+IMPORTRANGE(""https://docs.google.com/spreadsheets/d/1xlcVZWU"&amp;"Nn6SuWm0c307h32SiGkd9BaeQWlAktfD3KO8/edit?usp=sharing"",""เพชรบูรณ์!N563"")+IMPORTRANGE(""https://docs.google.com/spreadsheets/d/1lOVebEIsI9qjGXl6EX66luk7wiuP2tBaryw-wKvv4e0/edit?usp=sharing"",""แพร่!N563"")+IMPORTRANGE(""https://docs.google.com/spreadshe"&amp;"ets/d/1dQrvX0vEcN7Gu0fnZ0B5S90AeR19zth4XlExFBeExMY/edit?usp=sharing"",""แม่ฮ่องสอน!N563"")+IMPORTRANGE(""https://docs.google.com/spreadsheets/d/1DY4XTNNwjluuxqdfdn6qvOSlMRrZqUtmYcZR0ttFiG4/edit?usp=sharing"",""ลำปาง!N563"")+IMPORTRANGE(""https://docs.goog"&amp;"le.com/spreadsheets/d/1ICwG78r0OFT8biBlxnBF8r7she7gNSzOvJ958PWT09c/edit?usp=sharing"",""ลำพูน!N563"")+IMPORTRANGE(""https://docs.google.com/spreadsheets/d/1B0f2xJpZUC6Z0xXnqKlZtEPzsf6L84eP1r1Q15seqRM/edit?usp=sharing"",""สุโขทัย!N563"")+IMPORTRANGE(""http"&amp;"s://docs.google.com/spreadsheets/d/1v0b9pFQCsKUVExMei7AgY2yQkdeNQvtOssygGsXbiKo/edit?usp=sharing"",""อุตรดิตถ์!N563"")+IMPORTRANGE(""https://docs.google.com/spreadsheets/d/1UsNK1e-WWiCo2PvGqdNfdme4m17_Ezd3J69EeeiQPD0/edit?usp=sharing"",""อุทัยธานี!N563"")"),0)</f>
        <v>0</v>
      </c>
      <c r="O563" s="46">
        <f t="shared" ca="1" si="394"/>
        <v>0</v>
      </c>
      <c r="P563" s="46">
        <f t="shared" ca="1" si="395"/>
        <v>0</v>
      </c>
      <c r="Q563" s="46">
        <f ca="1">IFERROR(__xludf.DUMMYFUNCTION("IMPORTRANGE(""https://docs.google.com/spreadsheets/d/1jTcq05yEiRwXcBMLjiodW9e4biSGYWAHcDj22rKWQ3s/edit?usp=sharing"",""กำแพงเพชร!Q563"")+IMPORTRANGE(""https://docs.google.com/spreadsheets/d/1KS0zmDSZPk8KnTAbGN-Xk6MtX1YRZD0ldgdt20K4CRk/edit?usp=sharing"","&amp;"""เชียงราย!Q563"")+IMPORTRANGE(""https://docs.google.com/spreadsheets/d/1rEDxBtusbi64tE0zunoIbsTVV16HeL0oJ6trHQeQ7K8/edit?usp=sharing"",""เชียงใหม่!Q563"")+IMPORTRANGE(""https://docs.google.com/spreadsheets/d/1W6MnUbDkMi6xHnHko_XkFDO9kkuL6Wqyc-6OCDFjW9I/e"&amp;"dit?usp=sharing"",""ตาก!Q563"")+IMPORTRANGE(""https://docs.google.com/spreadsheets/d/1IQAWArduLkta9LpYo4a_ULsyqdta6-6aDDiwpUnQT6c/edit?usp=sharing"",""นครสวรรค์!Q563"")+IMPORTRANGE(""https://docs.google.com/spreadsheets/d/10s13Sk5xrltsiR-Zkbmk5DwIaDIKO8Xl"&amp;"bJAfqyT7Gvg/edit?usp=sharing"",""น่าน!Q563"")+IMPORTRANGE(""https://docs.google.com/spreadsheets/d/1uu4nAn4Dbi1XREnLKKotUANlKXa7yCgRcgq8HEzQYW8/edit?usp=sharing"",""พะเยา!Q563"")+IMPORTRANGE(""https://docs.google.com/spreadsheets/d/1xfJKIQxVOaPDIICqsflNlL"&amp;"u3JacTDk1FP9RH4phX7mI/edit?usp=sharing"",""พิจิตร!Q563"")+IMPORTRANGE(""https://docs.google.com/spreadsheets/d/1JtRfZkJMHtEhI5RdRHxYUG4FIZHqKDpNyIuN7A1Q0_k/edit?usp=sharing"",""พิษณุโลก!Q563"")+IMPORTRANGE(""https://docs.google.com/spreadsheets/d/1xlcVZWU"&amp;"Nn6SuWm0c307h32SiGkd9BaeQWlAktfD3KO8/edit?usp=sharing"",""เพชรบูรณ์!Q563"")+IMPORTRANGE(""https://docs.google.com/spreadsheets/d/1lOVebEIsI9qjGXl6EX66luk7wiuP2tBaryw-wKvv4e0/edit?usp=sharing"",""แพร่!Q563"")+IMPORTRANGE(""https://docs.google.com/spreadshe"&amp;"ets/d/1dQrvX0vEcN7Gu0fnZ0B5S90AeR19zth4XlExFBeExMY/edit?usp=sharing"",""แม่ฮ่องสอน!Q563"")+IMPORTRANGE(""https://docs.google.com/spreadsheets/d/1DY4XTNNwjluuxqdfdn6qvOSlMRrZqUtmYcZR0ttFiG4/edit?usp=sharing"",""ลำปาง!Q563"")+IMPORTRANGE(""https://docs.goog"&amp;"le.com/spreadsheets/d/1ICwG78r0OFT8biBlxnBF8r7she7gNSzOvJ958PWT09c/edit?usp=sharing"",""ลำพูน!Q563"")+IMPORTRANGE(""https://docs.google.com/spreadsheets/d/1B0f2xJpZUC6Z0xXnqKlZtEPzsf6L84eP1r1Q15seqRM/edit?usp=sharing"",""สุโขทัย!Q563"")+IMPORTRANGE(""http"&amp;"s://docs.google.com/spreadsheets/d/1v0b9pFQCsKUVExMei7AgY2yQkdeNQvtOssygGsXbiKo/edit?usp=sharing"",""อุตรดิตถ์!Q563"")+IMPORTRANGE(""https://docs.google.com/spreadsheets/d/1UsNK1e-WWiCo2PvGqdNfdme4m17_Ezd3J69EeeiQPD0/edit?usp=sharing"",""อุทัยธานี!Q563"")"),0)</f>
        <v>0</v>
      </c>
      <c r="R563" s="46">
        <f ca="1">IFERROR(__xludf.DUMMYFUNCTION("IMPORTRANGE(""https://docs.google.com/spreadsheets/d/1jTcq05yEiRwXcBMLjiodW9e4biSGYWAHcDj22rKWQ3s/edit?usp=sharing"",""กำแพงเพชร!R563"")+IMPORTRANGE(""https://docs.google.com/spreadsheets/d/1KS0zmDSZPk8KnTAbGN-Xk6MtX1YRZD0ldgdt20K4CRk/edit?usp=sharing"","&amp;"""เชียงราย!R563"")+IMPORTRANGE(""https://docs.google.com/spreadsheets/d/1rEDxBtusbi64tE0zunoIbsTVV16HeL0oJ6trHQeQ7K8/edit?usp=sharing"",""เชียงใหม่!R563"")+IMPORTRANGE(""https://docs.google.com/spreadsheets/d/1W6MnUbDkMi6xHnHko_XkFDO9kkuL6Wqyc-6OCDFjW9I/e"&amp;"dit?usp=sharing"",""ตาก!R563"")+IMPORTRANGE(""https://docs.google.com/spreadsheets/d/1IQAWArduLkta9LpYo4a_ULsyqdta6-6aDDiwpUnQT6c/edit?usp=sharing"",""นครสวรรค์!R563"")+IMPORTRANGE(""https://docs.google.com/spreadsheets/d/10s13Sk5xrltsiR-Zkbmk5DwIaDIKO8Xl"&amp;"bJAfqyT7Gvg/edit?usp=sharing"",""น่าน!R563"")+IMPORTRANGE(""https://docs.google.com/spreadsheets/d/1uu4nAn4Dbi1XREnLKKotUANlKXa7yCgRcgq8HEzQYW8/edit?usp=sharing"",""พะเยา!R563"")+IMPORTRANGE(""https://docs.google.com/spreadsheets/d/1xfJKIQxVOaPDIICqsflNlL"&amp;"u3JacTDk1FP9RH4phX7mI/edit?usp=sharing"",""พิจิตร!R563"")+IMPORTRANGE(""https://docs.google.com/spreadsheets/d/1JtRfZkJMHtEhI5RdRHxYUG4FIZHqKDpNyIuN7A1Q0_k/edit?usp=sharing"",""พิษณุโลก!R563"")+IMPORTRANGE(""https://docs.google.com/spreadsheets/d/1xlcVZWU"&amp;"Nn6SuWm0c307h32SiGkd9BaeQWlAktfD3KO8/edit?usp=sharing"",""เพชรบูรณ์!R563"")+IMPORTRANGE(""https://docs.google.com/spreadsheets/d/1lOVebEIsI9qjGXl6EX66luk7wiuP2tBaryw-wKvv4e0/edit?usp=sharing"",""แพร่!R563"")+IMPORTRANGE(""https://docs.google.com/spreadshe"&amp;"ets/d/1dQrvX0vEcN7Gu0fnZ0B5S90AeR19zth4XlExFBeExMY/edit?usp=sharing"",""แม่ฮ่องสอน!R563"")+IMPORTRANGE(""https://docs.google.com/spreadsheets/d/1DY4XTNNwjluuxqdfdn6qvOSlMRrZqUtmYcZR0ttFiG4/edit?usp=sharing"",""ลำปาง!R563"")+IMPORTRANGE(""https://docs.goog"&amp;"le.com/spreadsheets/d/1ICwG78r0OFT8biBlxnBF8r7she7gNSzOvJ958PWT09c/edit?usp=sharing"",""ลำพูน!R563"")+IMPORTRANGE(""https://docs.google.com/spreadsheets/d/1B0f2xJpZUC6Z0xXnqKlZtEPzsf6L84eP1r1Q15seqRM/edit?usp=sharing"",""สุโขทัย!R563"")+IMPORTRANGE(""http"&amp;"s://docs.google.com/spreadsheets/d/1v0b9pFQCsKUVExMei7AgY2yQkdeNQvtOssygGsXbiKo/edit?usp=sharing"",""อุตรดิตถ์!R563"")+IMPORTRANGE(""https://docs.google.com/spreadsheets/d/1UsNK1e-WWiCo2PvGqdNfdme4m17_Ezd3J69EeeiQPD0/edit?usp=sharing"",""อุทัยธานี!R563"")"),0)</f>
        <v>0</v>
      </c>
      <c r="S563" s="46">
        <f ca="1">IFERROR(__xludf.DUMMYFUNCTION("IMPORTRANGE(""https://docs.google.com/spreadsheets/d/1jTcq05yEiRwXcBMLjiodW9e4biSGYWAHcDj22rKWQ3s/edit?usp=sharing"",""กำแพงเพชร!S563"")+IMPORTRANGE(""https://docs.google.com/spreadsheets/d/1KS0zmDSZPk8KnTAbGN-Xk6MtX1YRZD0ldgdt20K4CRk/edit?usp=sharing"","&amp;"""เชียงราย!S563"")+IMPORTRANGE(""https://docs.google.com/spreadsheets/d/1rEDxBtusbi64tE0zunoIbsTVV16HeL0oJ6trHQeQ7K8/edit?usp=sharing"",""เชียงใหม่!S563"")+IMPORTRANGE(""https://docs.google.com/spreadsheets/d/1W6MnUbDkMi6xHnHko_XkFDO9kkuL6Wqyc-6OCDFjW9I/e"&amp;"dit?usp=sharing"",""ตาก!S563"")+IMPORTRANGE(""https://docs.google.com/spreadsheets/d/1IQAWArduLkta9LpYo4a_ULsyqdta6-6aDDiwpUnQT6c/edit?usp=sharing"",""นครสวรรค์!S563"")+IMPORTRANGE(""https://docs.google.com/spreadsheets/d/10s13Sk5xrltsiR-Zkbmk5DwIaDIKO8Xl"&amp;"bJAfqyT7Gvg/edit?usp=sharing"",""น่าน!S563"")+IMPORTRANGE(""https://docs.google.com/spreadsheets/d/1uu4nAn4Dbi1XREnLKKotUANlKXa7yCgRcgq8HEzQYW8/edit?usp=sharing"",""พะเยา!S563"")+IMPORTRANGE(""https://docs.google.com/spreadsheets/d/1xfJKIQxVOaPDIICqsflNlL"&amp;"u3JacTDk1FP9RH4phX7mI/edit?usp=sharing"",""พิจิตร!S563"")+IMPORTRANGE(""https://docs.google.com/spreadsheets/d/1JtRfZkJMHtEhI5RdRHxYUG4FIZHqKDpNyIuN7A1Q0_k/edit?usp=sharing"",""พิษณุโลก!S563"")+IMPORTRANGE(""https://docs.google.com/spreadsheets/d/1xlcVZWU"&amp;"Nn6SuWm0c307h32SiGkd9BaeQWlAktfD3KO8/edit?usp=sharing"",""เพชรบูรณ์!S563"")+IMPORTRANGE(""https://docs.google.com/spreadsheets/d/1lOVebEIsI9qjGXl6EX66luk7wiuP2tBaryw-wKvv4e0/edit?usp=sharing"",""แพร่!S563"")+IMPORTRANGE(""https://docs.google.com/spreadshe"&amp;"ets/d/1dQrvX0vEcN7Gu0fnZ0B5S90AeR19zth4XlExFBeExMY/edit?usp=sharing"",""แม่ฮ่องสอน!S563"")+IMPORTRANGE(""https://docs.google.com/spreadsheets/d/1DY4XTNNwjluuxqdfdn6qvOSlMRrZqUtmYcZR0ttFiG4/edit?usp=sharing"",""ลำปาง!S563"")+IMPORTRANGE(""https://docs.goog"&amp;"le.com/spreadsheets/d/1ICwG78r0OFT8biBlxnBF8r7she7gNSzOvJ958PWT09c/edit?usp=sharing"",""ลำพูน!S563"")+IMPORTRANGE(""https://docs.google.com/spreadsheets/d/1B0f2xJpZUC6Z0xXnqKlZtEPzsf6L84eP1r1Q15seqRM/edit?usp=sharing"",""สุโขทัย!S563"")+IMPORTRANGE(""http"&amp;"s://docs.google.com/spreadsheets/d/1v0b9pFQCsKUVExMei7AgY2yQkdeNQvtOssygGsXbiKo/edit?usp=sharing"",""อุตรดิตถ์!S563"")+IMPORTRANGE(""https://docs.google.com/spreadsheets/d/1UsNK1e-WWiCo2PvGqdNfdme4m17_Ezd3J69EeeiQPD0/edit?usp=sharing"",""อุทัยธานี!S563"")"),0)</f>
        <v>0</v>
      </c>
      <c r="T563" s="46">
        <f t="shared" ca="1" si="397"/>
        <v>0</v>
      </c>
      <c r="U563" s="46">
        <f t="shared" ca="1" si="398"/>
        <v>0</v>
      </c>
    </row>
    <row r="564" spans="1:21" ht="19.5" x14ac:dyDescent="0.3">
      <c r="A564" s="138"/>
      <c r="B564" s="139"/>
      <c r="C564" s="365" t="s">
        <v>18</v>
      </c>
      <c r="D564" s="140" t="s">
        <v>38</v>
      </c>
      <c r="E564" s="141"/>
      <c r="F564" s="141"/>
      <c r="G564" s="142"/>
      <c r="H564" s="143"/>
      <c r="I564" s="135"/>
      <c r="J564" s="44"/>
      <c r="K564" s="45"/>
      <c r="L564" s="45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233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233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233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233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233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233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233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233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233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319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64">
        <f t="shared" ref="I575:J575" si="407">I587</f>
        <v>0</v>
      </c>
      <c r="J575" s="364">
        <f t="shared" si="407"/>
        <v>0</v>
      </c>
      <c r="K575" s="356">
        <f>IF(I575&gt;0,J575*100/I575,0)</f>
        <v>0</v>
      </c>
      <c r="L575" s="357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x14ac:dyDescent="0.3">
      <c r="A576" s="128"/>
      <c r="B576" s="40"/>
      <c r="C576" s="129" t="s">
        <v>18</v>
      </c>
      <c r="D576" s="13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132">
        <f t="shared" ref="L576:N576" ca="1" si="408">L577+L578</f>
        <v>0</v>
      </c>
      <c r="M576" s="132">
        <f t="shared" ca="1" si="408"/>
        <v>0</v>
      </c>
      <c r="N576" s="132">
        <f t="shared" ca="1" si="408"/>
        <v>0</v>
      </c>
      <c r="O576" s="132">
        <f t="shared" ref="O576:O584" ca="1" si="409">IF(L576&gt;0,N576*100/L576,0)</f>
        <v>0</v>
      </c>
      <c r="P576" s="132">
        <f t="shared" ref="P576:P584" ca="1" si="410">IF(M576&gt;0,N576*100/M576,0)</f>
        <v>0</v>
      </c>
      <c r="Q576" s="132">
        <f t="shared" ref="Q576:S576" ca="1" si="411">Q577+Q578</f>
        <v>0</v>
      </c>
      <c r="R576" s="132">
        <f t="shared" ca="1" si="411"/>
        <v>0</v>
      </c>
      <c r="S576" s="132">
        <f t="shared" ca="1" si="411"/>
        <v>0</v>
      </c>
      <c r="T576" s="132">
        <f t="shared" ref="T576:T584" ca="1" si="412">IF(Q576&gt;0,S576*100/Q576,0)</f>
        <v>0</v>
      </c>
      <c r="U576" s="132">
        <f t="shared" ref="U576:U584" ca="1" si="413">IF(R576&gt;0,S576*100/R576,0)</f>
        <v>0</v>
      </c>
    </row>
    <row r="577" spans="1:21" ht="18.75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48">
        <f t="shared" ref="L577:N577" ca="1" si="414">L580+L583</f>
        <v>0</v>
      </c>
      <c r="M577" s="48">
        <f t="shared" ca="1" si="414"/>
        <v>0</v>
      </c>
      <c r="N577" s="48">
        <f t="shared" ca="1" si="414"/>
        <v>0</v>
      </c>
      <c r="O577" s="48">
        <f t="shared" ca="1" si="409"/>
        <v>0</v>
      </c>
      <c r="P577" s="48">
        <f t="shared" ca="1" si="410"/>
        <v>0</v>
      </c>
      <c r="Q577" s="48">
        <f t="shared" ref="Q577:S577" ca="1" si="415">Q580+Q583</f>
        <v>0</v>
      </c>
      <c r="R577" s="48">
        <f t="shared" ca="1" si="415"/>
        <v>0</v>
      </c>
      <c r="S577" s="48">
        <f t="shared" ca="1" si="415"/>
        <v>0</v>
      </c>
      <c r="T577" s="48">
        <f t="shared" ca="1" si="412"/>
        <v>0</v>
      </c>
      <c r="U577" s="48">
        <f t="shared" ca="1" si="413"/>
        <v>0</v>
      </c>
    </row>
    <row r="578" spans="1:21" ht="18.75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46">
        <f t="shared" ref="L578:N578" ca="1" si="416">L581+L584</f>
        <v>0</v>
      </c>
      <c r="M578" s="46">
        <f t="shared" ca="1" si="416"/>
        <v>0</v>
      </c>
      <c r="N578" s="46">
        <f t="shared" ca="1" si="416"/>
        <v>0</v>
      </c>
      <c r="O578" s="46">
        <f t="shared" ca="1" si="409"/>
        <v>0</v>
      </c>
      <c r="P578" s="46">
        <f t="shared" ca="1" si="410"/>
        <v>0</v>
      </c>
      <c r="Q578" s="46">
        <f t="shared" ref="Q578:S578" ca="1" si="417">Q581+Q584</f>
        <v>0</v>
      </c>
      <c r="R578" s="46">
        <f t="shared" ca="1" si="417"/>
        <v>0</v>
      </c>
      <c r="S578" s="46">
        <f t="shared" ca="1" si="417"/>
        <v>0</v>
      </c>
      <c r="T578" s="46">
        <f t="shared" ca="1" si="412"/>
        <v>0</v>
      </c>
      <c r="U578" s="46">
        <f t="shared" ca="1" si="413"/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46">
        <f t="shared" ref="L579:N579" ca="1" si="418">L580+L581</f>
        <v>0</v>
      </c>
      <c r="M579" s="46">
        <f t="shared" ca="1" si="418"/>
        <v>0</v>
      </c>
      <c r="N579" s="46">
        <f t="shared" ca="1" si="418"/>
        <v>0</v>
      </c>
      <c r="O579" s="46">
        <f t="shared" ca="1" si="409"/>
        <v>0</v>
      </c>
      <c r="P579" s="46">
        <f t="shared" ca="1" si="410"/>
        <v>0</v>
      </c>
      <c r="Q579" s="46">
        <f t="shared" ref="Q579:S579" ca="1" si="419">Q580+Q581</f>
        <v>0</v>
      </c>
      <c r="R579" s="46">
        <f t="shared" ca="1" si="419"/>
        <v>0</v>
      </c>
      <c r="S579" s="46">
        <f t="shared" ca="1" si="419"/>
        <v>0</v>
      </c>
      <c r="T579" s="46">
        <f t="shared" ca="1" si="412"/>
        <v>0</v>
      </c>
      <c r="U579" s="46">
        <f t="shared" ca="1" si="413"/>
        <v>0</v>
      </c>
    </row>
    <row r="580" spans="1:21" ht="18.75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48">
        <f ca="1">IFERROR(__xludf.DUMMYFUNCTION("IMPORTRANGE(""https://docs.google.com/spreadsheets/d/1jTcq05yEiRwXcBMLjiodW9e4biSGYWAHcDj22rKWQ3s/edit?usp=sharing"",""กำแพงเพชร!L580"")+IMPORTRANGE(""https://docs.google.com/spreadsheets/d/1KS0zmDSZPk8KnTAbGN-Xk6MtX1YRZD0ldgdt20K4CRk/edit?usp=sharing"","&amp;"""เชียงราย!L580"")+IMPORTRANGE(""https://docs.google.com/spreadsheets/d/1rEDxBtusbi64tE0zunoIbsTVV16HeL0oJ6trHQeQ7K8/edit?usp=sharing"",""เชียงใหม่!L580"")+IMPORTRANGE(""https://docs.google.com/spreadsheets/d/1W6MnUbDkMi6xHnHko_XkFDO9kkuL6Wqyc-6OCDFjW9I/e"&amp;"dit?usp=sharing"",""ตาก!L580"")+IMPORTRANGE(""https://docs.google.com/spreadsheets/d/1IQAWArduLkta9LpYo4a_ULsyqdta6-6aDDiwpUnQT6c/edit?usp=sharing"",""นครสวรรค์!L580"")+IMPORTRANGE(""https://docs.google.com/spreadsheets/d/10s13Sk5xrltsiR-Zkbmk5DwIaDIKO8Xl"&amp;"bJAfqyT7Gvg/edit?usp=sharing"",""น่าน!L580"")+IMPORTRANGE(""https://docs.google.com/spreadsheets/d/1uu4nAn4Dbi1XREnLKKotUANlKXa7yCgRcgq8HEzQYW8/edit?usp=sharing"",""พะเยา!L580"")+IMPORTRANGE(""https://docs.google.com/spreadsheets/d/1xfJKIQxVOaPDIICqsflNlL"&amp;"u3JacTDk1FP9RH4phX7mI/edit?usp=sharing"",""พิจิตร!L580"")+IMPORTRANGE(""https://docs.google.com/spreadsheets/d/1JtRfZkJMHtEhI5RdRHxYUG4FIZHqKDpNyIuN7A1Q0_k/edit?usp=sharing"",""พิษณุโลก!L580"")+IMPORTRANGE(""https://docs.google.com/spreadsheets/d/1xlcVZWU"&amp;"Nn6SuWm0c307h32SiGkd9BaeQWlAktfD3KO8/edit?usp=sharing"",""เพชรบูรณ์!L580"")+IMPORTRANGE(""https://docs.google.com/spreadsheets/d/1lOVebEIsI9qjGXl6EX66luk7wiuP2tBaryw-wKvv4e0/edit?usp=sharing"",""แพร่!L580"")+IMPORTRANGE(""https://docs.google.com/spreadshe"&amp;"ets/d/1dQrvX0vEcN7Gu0fnZ0B5S90AeR19zth4XlExFBeExMY/edit?usp=sharing"",""แม่ฮ่องสอน!L580"")+IMPORTRANGE(""https://docs.google.com/spreadsheets/d/1DY4XTNNwjluuxqdfdn6qvOSlMRrZqUtmYcZR0ttFiG4/edit?usp=sharing"",""ลำปาง!L580"")+IMPORTRANGE(""https://docs.goog"&amp;"le.com/spreadsheets/d/1ICwG78r0OFT8biBlxnBF8r7she7gNSzOvJ958PWT09c/edit?usp=sharing"",""ลำพูน!L580"")+IMPORTRANGE(""https://docs.google.com/spreadsheets/d/1B0f2xJpZUC6Z0xXnqKlZtEPzsf6L84eP1r1Q15seqRM/edit?usp=sharing"",""สุโขทัย!L580"")+IMPORTRANGE(""http"&amp;"s://docs.google.com/spreadsheets/d/1v0b9pFQCsKUVExMei7AgY2yQkdeNQvtOssygGsXbiKo/edit?usp=sharing"",""อุตรดิตถ์!L580"")+IMPORTRANGE(""https://docs.google.com/spreadsheets/d/1UsNK1e-WWiCo2PvGqdNfdme4m17_Ezd3J69EeeiQPD0/edit?usp=sharing"",""อุทัยธานี!L580"")"),0)</f>
        <v>0</v>
      </c>
      <c r="M580" s="48">
        <f ca="1">IFERROR(__xludf.DUMMYFUNCTION("IMPORTRANGE(""https://docs.google.com/spreadsheets/d/1jTcq05yEiRwXcBMLjiodW9e4biSGYWAHcDj22rKWQ3s/edit?usp=sharing"",""กำแพงเพชร!M580"")+IMPORTRANGE(""https://docs.google.com/spreadsheets/d/1KS0zmDSZPk8KnTAbGN-Xk6MtX1YRZD0ldgdt20K4CRk/edit?usp=sharing"","&amp;"""เชียงราย!M580"")+IMPORTRANGE(""https://docs.google.com/spreadsheets/d/1rEDxBtusbi64tE0zunoIbsTVV16HeL0oJ6trHQeQ7K8/edit?usp=sharing"",""เชียงใหม่!M580"")+IMPORTRANGE(""https://docs.google.com/spreadsheets/d/1W6MnUbDkMi6xHnHko_XkFDO9kkuL6Wqyc-6OCDFjW9I/e"&amp;"dit?usp=sharing"",""ตาก!M580"")+IMPORTRANGE(""https://docs.google.com/spreadsheets/d/1IQAWArduLkta9LpYo4a_ULsyqdta6-6aDDiwpUnQT6c/edit?usp=sharing"",""นครสวรรค์!M580"")+IMPORTRANGE(""https://docs.google.com/spreadsheets/d/10s13Sk5xrltsiR-Zkbmk5DwIaDIKO8Xl"&amp;"bJAfqyT7Gvg/edit?usp=sharing"",""น่าน!M580"")+IMPORTRANGE(""https://docs.google.com/spreadsheets/d/1uu4nAn4Dbi1XREnLKKotUANlKXa7yCgRcgq8HEzQYW8/edit?usp=sharing"",""พะเยา!M580"")+IMPORTRANGE(""https://docs.google.com/spreadsheets/d/1xfJKIQxVOaPDIICqsflNlL"&amp;"u3JacTDk1FP9RH4phX7mI/edit?usp=sharing"",""พิจิตร!M580"")+IMPORTRANGE(""https://docs.google.com/spreadsheets/d/1JtRfZkJMHtEhI5RdRHxYUG4FIZHqKDpNyIuN7A1Q0_k/edit?usp=sharing"",""พิษณุโลก!M580"")+IMPORTRANGE(""https://docs.google.com/spreadsheets/d/1xlcVZWU"&amp;"Nn6SuWm0c307h32SiGkd9BaeQWlAktfD3KO8/edit?usp=sharing"",""เพชรบูรณ์!M580"")+IMPORTRANGE(""https://docs.google.com/spreadsheets/d/1lOVebEIsI9qjGXl6EX66luk7wiuP2tBaryw-wKvv4e0/edit?usp=sharing"",""แพร่!M580"")+IMPORTRANGE(""https://docs.google.com/spreadshe"&amp;"ets/d/1dQrvX0vEcN7Gu0fnZ0B5S90AeR19zth4XlExFBeExMY/edit?usp=sharing"",""แม่ฮ่องสอน!M580"")+IMPORTRANGE(""https://docs.google.com/spreadsheets/d/1DY4XTNNwjluuxqdfdn6qvOSlMRrZqUtmYcZR0ttFiG4/edit?usp=sharing"",""ลำปาง!M580"")+IMPORTRANGE(""https://docs.goog"&amp;"le.com/spreadsheets/d/1ICwG78r0OFT8biBlxnBF8r7she7gNSzOvJ958PWT09c/edit?usp=sharing"",""ลำพูน!M580"")+IMPORTRANGE(""https://docs.google.com/spreadsheets/d/1B0f2xJpZUC6Z0xXnqKlZtEPzsf6L84eP1r1Q15seqRM/edit?usp=sharing"",""สุโขทัย!M580"")+IMPORTRANGE(""http"&amp;"s://docs.google.com/spreadsheets/d/1v0b9pFQCsKUVExMei7AgY2yQkdeNQvtOssygGsXbiKo/edit?usp=sharing"",""อุตรดิตถ์!M580"")+IMPORTRANGE(""https://docs.google.com/spreadsheets/d/1UsNK1e-WWiCo2PvGqdNfdme4m17_Ezd3J69EeeiQPD0/edit?usp=sharing"",""อุทัยธานี!M580"")"),0)</f>
        <v>0</v>
      </c>
      <c r="N580" s="48">
        <f ca="1">IFERROR(__xludf.DUMMYFUNCTION("IMPORTRANGE(""https://docs.google.com/spreadsheets/d/1jTcq05yEiRwXcBMLjiodW9e4biSGYWAHcDj22rKWQ3s/edit?usp=sharing"",""กำแพงเพชร!N580"")+IMPORTRANGE(""https://docs.google.com/spreadsheets/d/1KS0zmDSZPk8KnTAbGN-Xk6MtX1YRZD0ldgdt20K4CRk/edit?usp=sharing"","&amp;"""เชียงราย!N580"")+IMPORTRANGE(""https://docs.google.com/spreadsheets/d/1rEDxBtusbi64tE0zunoIbsTVV16HeL0oJ6trHQeQ7K8/edit?usp=sharing"",""เชียงใหม่!N580"")+IMPORTRANGE(""https://docs.google.com/spreadsheets/d/1W6MnUbDkMi6xHnHko_XkFDO9kkuL6Wqyc-6OCDFjW9I/e"&amp;"dit?usp=sharing"",""ตาก!N580"")+IMPORTRANGE(""https://docs.google.com/spreadsheets/d/1IQAWArduLkta9LpYo4a_ULsyqdta6-6aDDiwpUnQT6c/edit?usp=sharing"",""นครสวรรค์!N580"")+IMPORTRANGE(""https://docs.google.com/spreadsheets/d/10s13Sk5xrltsiR-Zkbmk5DwIaDIKO8Xl"&amp;"bJAfqyT7Gvg/edit?usp=sharing"",""น่าน!N580"")+IMPORTRANGE(""https://docs.google.com/spreadsheets/d/1uu4nAn4Dbi1XREnLKKotUANlKXa7yCgRcgq8HEzQYW8/edit?usp=sharing"",""พะเยา!N580"")+IMPORTRANGE(""https://docs.google.com/spreadsheets/d/1xfJKIQxVOaPDIICqsflNlL"&amp;"u3JacTDk1FP9RH4phX7mI/edit?usp=sharing"",""พิจิตร!N580"")+IMPORTRANGE(""https://docs.google.com/spreadsheets/d/1JtRfZkJMHtEhI5RdRHxYUG4FIZHqKDpNyIuN7A1Q0_k/edit?usp=sharing"",""พิษณุโลก!N580"")+IMPORTRANGE(""https://docs.google.com/spreadsheets/d/1xlcVZWU"&amp;"Nn6SuWm0c307h32SiGkd9BaeQWlAktfD3KO8/edit?usp=sharing"",""เพชรบูรณ์!N580"")+IMPORTRANGE(""https://docs.google.com/spreadsheets/d/1lOVebEIsI9qjGXl6EX66luk7wiuP2tBaryw-wKvv4e0/edit?usp=sharing"",""แพร่!N580"")+IMPORTRANGE(""https://docs.google.com/spreadshe"&amp;"ets/d/1dQrvX0vEcN7Gu0fnZ0B5S90AeR19zth4XlExFBeExMY/edit?usp=sharing"",""แม่ฮ่องสอน!N580"")+IMPORTRANGE(""https://docs.google.com/spreadsheets/d/1DY4XTNNwjluuxqdfdn6qvOSlMRrZqUtmYcZR0ttFiG4/edit?usp=sharing"",""ลำปาง!N580"")+IMPORTRANGE(""https://docs.goog"&amp;"le.com/spreadsheets/d/1ICwG78r0OFT8biBlxnBF8r7she7gNSzOvJ958PWT09c/edit?usp=sharing"",""ลำพูน!N580"")+IMPORTRANGE(""https://docs.google.com/spreadsheets/d/1B0f2xJpZUC6Z0xXnqKlZtEPzsf6L84eP1r1Q15seqRM/edit?usp=sharing"",""สุโขทัย!N580"")+IMPORTRANGE(""http"&amp;"s://docs.google.com/spreadsheets/d/1v0b9pFQCsKUVExMei7AgY2yQkdeNQvtOssygGsXbiKo/edit?usp=sharing"",""อุตรดิตถ์!N580"")+IMPORTRANGE(""https://docs.google.com/spreadsheets/d/1UsNK1e-WWiCo2PvGqdNfdme4m17_Ezd3J69EeeiQPD0/edit?usp=sharing"",""อุทัยธานี!N580"")"),0)</f>
        <v>0</v>
      </c>
      <c r="O580" s="48">
        <f t="shared" ca="1" si="409"/>
        <v>0</v>
      </c>
      <c r="P580" s="48">
        <f t="shared" ca="1" si="410"/>
        <v>0</v>
      </c>
      <c r="Q580" s="48">
        <f ca="1">IFERROR(__xludf.DUMMYFUNCTION("IMPORTRANGE(""https://docs.google.com/spreadsheets/d/1jTcq05yEiRwXcBMLjiodW9e4biSGYWAHcDj22rKWQ3s/edit?usp=sharing"",""กำแพงเพชร!Q580"")+IMPORTRANGE(""https://docs.google.com/spreadsheets/d/1KS0zmDSZPk8KnTAbGN-Xk6MtX1YRZD0ldgdt20K4CRk/edit?usp=sharing"","&amp;"""เชียงราย!Q580"")+IMPORTRANGE(""https://docs.google.com/spreadsheets/d/1rEDxBtusbi64tE0zunoIbsTVV16HeL0oJ6trHQeQ7K8/edit?usp=sharing"",""เชียงใหม่!Q580"")+IMPORTRANGE(""https://docs.google.com/spreadsheets/d/1W6MnUbDkMi6xHnHko_XkFDO9kkuL6Wqyc-6OCDFjW9I/e"&amp;"dit?usp=sharing"",""ตาก!Q580"")+IMPORTRANGE(""https://docs.google.com/spreadsheets/d/1IQAWArduLkta9LpYo4a_ULsyqdta6-6aDDiwpUnQT6c/edit?usp=sharing"",""นครสวรรค์!Q580"")+IMPORTRANGE(""https://docs.google.com/spreadsheets/d/10s13Sk5xrltsiR-Zkbmk5DwIaDIKO8Xl"&amp;"bJAfqyT7Gvg/edit?usp=sharing"",""น่าน!Q580"")+IMPORTRANGE(""https://docs.google.com/spreadsheets/d/1uu4nAn4Dbi1XREnLKKotUANlKXa7yCgRcgq8HEzQYW8/edit?usp=sharing"",""พะเยา!Q580"")+IMPORTRANGE(""https://docs.google.com/spreadsheets/d/1xfJKIQxVOaPDIICqsflNlL"&amp;"u3JacTDk1FP9RH4phX7mI/edit?usp=sharing"",""พิจิตร!Q580"")+IMPORTRANGE(""https://docs.google.com/spreadsheets/d/1JtRfZkJMHtEhI5RdRHxYUG4FIZHqKDpNyIuN7A1Q0_k/edit?usp=sharing"",""พิษณุโลก!Q580"")+IMPORTRANGE(""https://docs.google.com/spreadsheets/d/1xlcVZWU"&amp;"Nn6SuWm0c307h32SiGkd9BaeQWlAktfD3KO8/edit?usp=sharing"",""เพชรบูรณ์!Q580"")+IMPORTRANGE(""https://docs.google.com/spreadsheets/d/1lOVebEIsI9qjGXl6EX66luk7wiuP2tBaryw-wKvv4e0/edit?usp=sharing"",""แพร่!Q580"")+IMPORTRANGE(""https://docs.google.com/spreadshe"&amp;"ets/d/1dQrvX0vEcN7Gu0fnZ0B5S90AeR19zth4XlExFBeExMY/edit?usp=sharing"",""แม่ฮ่องสอน!Q580"")+IMPORTRANGE(""https://docs.google.com/spreadsheets/d/1DY4XTNNwjluuxqdfdn6qvOSlMRrZqUtmYcZR0ttFiG4/edit?usp=sharing"",""ลำปาง!Q580"")+IMPORTRANGE(""https://docs.goog"&amp;"le.com/spreadsheets/d/1ICwG78r0OFT8biBlxnBF8r7she7gNSzOvJ958PWT09c/edit?usp=sharing"",""ลำพูน!Q580"")+IMPORTRANGE(""https://docs.google.com/spreadsheets/d/1B0f2xJpZUC6Z0xXnqKlZtEPzsf6L84eP1r1Q15seqRM/edit?usp=sharing"",""สุโขทัย!Q580"")+IMPORTRANGE(""http"&amp;"s://docs.google.com/spreadsheets/d/1v0b9pFQCsKUVExMei7AgY2yQkdeNQvtOssygGsXbiKo/edit?usp=sharing"",""อุตรดิตถ์!Q580"")+IMPORTRANGE(""https://docs.google.com/spreadsheets/d/1UsNK1e-WWiCo2PvGqdNfdme4m17_Ezd3J69EeeiQPD0/edit?usp=sharing"",""อุทัยธานี!Q580"")"),0)</f>
        <v>0</v>
      </c>
      <c r="R580" s="48">
        <f ca="1">IFERROR(__xludf.DUMMYFUNCTION("IMPORTRANGE(""https://docs.google.com/spreadsheets/d/1jTcq05yEiRwXcBMLjiodW9e4biSGYWAHcDj22rKWQ3s/edit?usp=sharing"",""กำแพงเพชร!R580"")+IMPORTRANGE(""https://docs.google.com/spreadsheets/d/1KS0zmDSZPk8KnTAbGN-Xk6MtX1YRZD0ldgdt20K4CRk/edit?usp=sharing"","&amp;"""เชียงราย!R580"")+IMPORTRANGE(""https://docs.google.com/spreadsheets/d/1rEDxBtusbi64tE0zunoIbsTVV16HeL0oJ6trHQeQ7K8/edit?usp=sharing"",""เชียงใหม่!R580"")+IMPORTRANGE(""https://docs.google.com/spreadsheets/d/1W6MnUbDkMi6xHnHko_XkFDO9kkuL6Wqyc-6OCDFjW9I/e"&amp;"dit?usp=sharing"",""ตาก!R580"")+IMPORTRANGE(""https://docs.google.com/spreadsheets/d/1IQAWArduLkta9LpYo4a_ULsyqdta6-6aDDiwpUnQT6c/edit?usp=sharing"",""นครสวรรค์!R580"")+IMPORTRANGE(""https://docs.google.com/spreadsheets/d/10s13Sk5xrltsiR-Zkbmk5DwIaDIKO8Xl"&amp;"bJAfqyT7Gvg/edit?usp=sharing"",""น่าน!R580"")+IMPORTRANGE(""https://docs.google.com/spreadsheets/d/1uu4nAn4Dbi1XREnLKKotUANlKXa7yCgRcgq8HEzQYW8/edit?usp=sharing"",""พะเยา!R580"")+IMPORTRANGE(""https://docs.google.com/spreadsheets/d/1xfJKIQxVOaPDIICqsflNlL"&amp;"u3JacTDk1FP9RH4phX7mI/edit?usp=sharing"",""พิจิตร!R580"")+IMPORTRANGE(""https://docs.google.com/spreadsheets/d/1JtRfZkJMHtEhI5RdRHxYUG4FIZHqKDpNyIuN7A1Q0_k/edit?usp=sharing"",""พิษณุโลก!R580"")+IMPORTRANGE(""https://docs.google.com/spreadsheets/d/1xlcVZWU"&amp;"Nn6SuWm0c307h32SiGkd9BaeQWlAktfD3KO8/edit?usp=sharing"",""เพชรบูรณ์!R580"")+IMPORTRANGE(""https://docs.google.com/spreadsheets/d/1lOVebEIsI9qjGXl6EX66luk7wiuP2tBaryw-wKvv4e0/edit?usp=sharing"",""แพร่!R580"")+IMPORTRANGE(""https://docs.google.com/spreadshe"&amp;"ets/d/1dQrvX0vEcN7Gu0fnZ0B5S90AeR19zth4XlExFBeExMY/edit?usp=sharing"",""แม่ฮ่องสอน!R580"")+IMPORTRANGE(""https://docs.google.com/spreadsheets/d/1DY4XTNNwjluuxqdfdn6qvOSlMRrZqUtmYcZR0ttFiG4/edit?usp=sharing"",""ลำปาง!R580"")+IMPORTRANGE(""https://docs.goog"&amp;"le.com/spreadsheets/d/1ICwG78r0OFT8biBlxnBF8r7she7gNSzOvJ958PWT09c/edit?usp=sharing"",""ลำพูน!R580"")+IMPORTRANGE(""https://docs.google.com/spreadsheets/d/1B0f2xJpZUC6Z0xXnqKlZtEPzsf6L84eP1r1Q15seqRM/edit?usp=sharing"",""สุโขทัย!R580"")+IMPORTRANGE(""http"&amp;"s://docs.google.com/spreadsheets/d/1v0b9pFQCsKUVExMei7AgY2yQkdeNQvtOssygGsXbiKo/edit?usp=sharing"",""อุตรดิตถ์!R580"")+IMPORTRANGE(""https://docs.google.com/spreadsheets/d/1UsNK1e-WWiCo2PvGqdNfdme4m17_Ezd3J69EeeiQPD0/edit?usp=sharing"",""อุทัยธานี!R580"")"),0)</f>
        <v>0</v>
      </c>
      <c r="S580" s="48">
        <f ca="1">IFERROR(__xludf.DUMMYFUNCTION("IMPORTRANGE(""https://docs.google.com/spreadsheets/d/1jTcq05yEiRwXcBMLjiodW9e4biSGYWAHcDj22rKWQ3s/edit?usp=sharing"",""กำแพงเพชร!S580"")+IMPORTRANGE(""https://docs.google.com/spreadsheets/d/1KS0zmDSZPk8KnTAbGN-Xk6MtX1YRZD0ldgdt20K4CRk/edit?usp=sharing"","&amp;"""เชียงราย!S580"")+IMPORTRANGE(""https://docs.google.com/spreadsheets/d/1rEDxBtusbi64tE0zunoIbsTVV16HeL0oJ6trHQeQ7K8/edit?usp=sharing"",""เชียงใหม่!S580"")+IMPORTRANGE(""https://docs.google.com/spreadsheets/d/1W6MnUbDkMi6xHnHko_XkFDO9kkuL6Wqyc-6OCDFjW9I/e"&amp;"dit?usp=sharing"",""ตาก!S580"")+IMPORTRANGE(""https://docs.google.com/spreadsheets/d/1IQAWArduLkta9LpYo4a_ULsyqdta6-6aDDiwpUnQT6c/edit?usp=sharing"",""นครสวรรค์!S580"")+IMPORTRANGE(""https://docs.google.com/spreadsheets/d/10s13Sk5xrltsiR-Zkbmk5DwIaDIKO8Xl"&amp;"bJAfqyT7Gvg/edit?usp=sharing"",""น่าน!S580"")+IMPORTRANGE(""https://docs.google.com/spreadsheets/d/1uu4nAn4Dbi1XREnLKKotUANlKXa7yCgRcgq8HEzQYW8/edit?usp=sharing"",""พะเยา!S580"")+IMPORTRANGE(""https://docs.google.com/spreadsheets/d/1xfJKIQxVOaPDIICqsflNlL"&amp;"u3JacTDk1FP9RH4phX7mI/edit?usp=sharing"",""พิจิตร!S580"")+IMPORTRANGE(""https://docs.google.com/spreadsheets/d/1JtRfZkJMHtEhI5RdRHxYUG4FIZHqKDpNyIuN7A1Q0_k/edit?usp=sharing"",""พิษณุโลก!S580"")+IMPORTRANGE(""https://docs.google.com/spreadsheets/d/1xlcVZWU"&amp;"Nn6SuWm0c307h32SiGkd9BaeQWlAktfD3KO8/edit?usp=sharing"",""เพชรบูรณ์!S580"")+IMPORTRANGE(""https://docs.google.com/spreadsheets/d/1lOVebEIsI9qjGXl6EX66luk7wiuP2tBaryw-wKvv4e0/edit?usp=sharing"",""แพร่!S580"")+IMPORTRANGE(""https://docs.google.com/spreadshe"&amp;"ets/d/1dQrvX0vEcN7Gu0fnZ0B5S90AeR19zth4XlExFBeExMY/edit?usp=sharing"",""แม่ฮ่องสอน!S580"")+IMPORTRANGE(""https://docs.google.com/spreadsheets/d/1DY4XTNNwjluuxqdfdn6qvOSlMRrZqUtmYcZR0ttFiG4/edit?usp=sharing"",""ลำปาง!S580"")+IMPORTRANGE(""https://docs.goog"&amp;"le.com/spreadsheets/d/1ICwG78r0OFT8biBlxnBF8r7she7gNSzOvJ958PWT09c/edit?usp=sharing"",""ลำพูน!S580"")+IMPORTRANGE(""https://docs.google.com/spreadsheets/d/1B0f2xJpZUC6Z0xXnqKlZtEPzsf6L84eP1r1Q15seqRM/edit?usp=sharing"",""สุโขทัย!S580"")+IMPORTRANGE(""http"&amp;"s://docs.google.com/spreadsheets/d/1v0b9pFQCsKUVExMei7AgY2yQkdeNQvtOssygGsXbiKo/edit?usp=sharing"",""อุตรดิตถ์!S580"")+IMPORTRANGE(""https://docs.google.com/spreadsheets/d/1UsNK1e-WWiCo2PvGqdNfdme4m17_Ezd3J69EeeiQPD0/edit?usp=sharing"",""อุทัยธานี!S580"")"),0)</f>
        <v>0</v>
      </c>
      <c r="T580" s="48">
        <f t="shared" ca="1" si="412"/>
        <v>0</v>
      </c>
      <c r="U580" s="48">
        <f t="shared" ca="1" si="413"/>
        <v>0</v>
      </c>
    </row>
    <row r="581" spans="1:21" ht="18.75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46">
        <f ca="1">IFERROR(__xludf.DUMMYFUNCTION("IMPORTRANGE(""https://docs.google.com/spreadsheets/d/1jTcq05yEiRwXcBMLjiodW9e4biSGYWAHcDj22rKWQ3s/edit?usp=sharing"",""กำแพงเพชร!L581"")+IMPORTRANGE(""https://docs.google.com/spreadsheets/d/1KS0zmDSZPk8KnTAbGN-Xk6MtX1YRZD0ldgdt20K4CRk/edit?usp=sharing"","&amp;"""เชียงราย!L581"")+IMPORTRANGE(""https://docs.google.com/spreadsheets/d/1rEDxBtusbi64tE0zunoIbsTVV16HeL0oJ6trHQeQ7K8/edit?usp=sharing"",""เชียงใหม่!L581"")+IMPORTRANGE(""https://docs.google.com/spreadsheets/d/1W6MnUbDkMi6xHnHko_XkFDO9kkuL6Wqyc-6OCDFjW9I/e"&amp;"dit?usp=sharing"",""ตาก!L581"")+IMPORTRANGE(""https://docs.google.com/spreadsheets/d/1IQAWArduLkta9LpYo4a_ULsyqdta6-6aDDiwpUnQT6c/edit?usp=sharing"",""นครสวรรค์!L581"")+IMPORTRANGE(""https://docs.google.com/spreadsheets/d/10s13Sk5xrltsiR-Zkbmk5DwIaDIKO8Xl"&amp;"bJAfqyT7Gvg/edit?usp=sharing"",""น่าน!L581"")+IMPORTRANGE(""https://docs.google.com/spreadsheets/d/1uu4nAn4Dbi1XREnLKKotUANlKXa7yCgRcgq8HEzQYW8/edit?usp=sharing"",""พะเยา!L581"")+IMPORTRANGE(""https://docs.google.com/spreadsheets/d/1xfJKIQxVOaPDIICqsflNlL"&amp;"u3JacTDk1FP9RH4phX7mI/edit?usp=sharing"",""พิจิตร!L581"")+IMPORTRANGE(""https://docs.google.com/spreadsheets/d/1JtRfZkJMHtEhI5RdRHxYUG4FIZHqKDpNyIuN7A1Q0_k/edit?usp=sharing"",""พิษณุโลก!L581"")+IMPORTRANGE(""https://docs.google.com/spreadsheets/d/1xlcVZWU"&amp;"Nn6SuWm0c307h32SiGkd9BaeQWlAktfD3KO8/edit?usp=sharing"",""เพชรบูรณ์!L581"")+IMPORTRANGE(""https://docs.google.com/spreadsheets/d/1lOVebEIsI9qjGXl6EX66luk7wiuP2tBaryw-wKvv4e0/edit?usp=sharing"",""แพร่!L581"")+IMPORTRANGE(""https://docs.google.com/spreadshe"&amp;"ets/d/1dQrvX0vEcN7Gu0fnZ0B5S90AeR19zth4XlExFBeExMY/edit?usp=sharing"",""แม่ฮ่องสอน!L581"")+IMPORTRANGE(""https://docs.google.com/spreadsheets/d/1DY4XTNNwjluuxqdfdn6qvOSlMRrZqUtmYcZR0ttFiG4/edit?usp=sharing"",""ลำปาง!L581"")+IMPORTRANGE(""https://docs.goog"&amp;"le.com/spreadsheets/d/1ICwG78r0OFT8biBlxnBF8r7she7gNSzOvJ958PWT09c/edit?usp=sharing"",""ลำพูน!L581"")+IMPORTRANGE(""https://docs.google.com/spreadsheets/d/1B0f2xJpZUC6Z0xXnqKlZtEPzsf6L84eP1r1Q15seqRM/edit?usp=sharing"",""สุโขทัย!L581"")+IMPORTRANGE(""http"&amp;"s://docs.google.com/spreadsheets/d/1v0b9pFQCsKUVExMei7AgY2yQkdeNQvtOssygGsXbiKo/edit?usp=sharing"",""อุตรดิตถ์!L581"")+IMPORTRANGE(""https://docs.google.com/spreadsheets/d/1UsNK1e-WWiCo2PvGqdNfdme4m17_Ezd3J69EeeiQPD0/edit?usp=sharing"",""อุทัยธานี!L581"")"),0)</f>
        <v>0</v>
      </c>
      <c r="M581" s="46">
        <f ca="1">IFERROR(__xludf.DUMMYFUNCTION("IMPORTRANGE(""https://docs.google.com/spreadsheets/d/1jTcq05yEiRwXcBMLjiodW9e4biSGYWAHcDj22rKWQ3s/edit?usp=sharing"",""กำแพงเพชร!M581"")+IMPORTRANGE(""https://docs.google.com/spreadsheets/d/1KS0zmDSZPk8KnTAbGN-Xk6MtX1YRZD0ldgdt20K4CRk/edit?usp=sharing"","&amp;"""เชียงราย!M581"")+IMPORTRANGE(""https://docs.google.com/spreadsheets/d/1rEDxBtusbi64tE0zunoIbsTVV16HeL0oJ6trHQeQ7K8/edit?usp=sharing"",""เชียงใหม่!M581"")+IMPORTRANGE(""https://docs.google.com/spreadsheets/d/1W6MnUbDkMi6xHnHko_XkFDO9kkuL6Wqyc-6OCDFjW9I/e"&amp;"dit?usp=sharing"",""ตาก!M581"")+IMPORTRANGE(""https://docs.google.com/spreadsheets/d/1IQAWArduLkta9LpYo4a_ULsyqdta6-6aDDiwpUnQT6c/edit?usp=sharing"",""นครสวรรค์!M581"")+IMPORTRANGE(""https://docs.google.com/spreadsheets/d/10s13Sk5xrltsiR-Zkbmk5DwIaDIKO8Xl"&amp;"bJAfqyT7Gvg/edit?usp=sharing"",""น่าน!M581"")+IMPORTRANGE(""https://docs.google.com/spreadsheets/d/1uu4nAn4Dbi1XREnLKKotUANlKXa7yCgRcgq8HEzQYW8/edit?usp=sharing"",""พะเยา!M581"")+IMPORTRANGE(""https://docs.google.com/spreadsheets/d/1xfJKIQxVOaPDIICqsflNlL"&amp;"u3JacTDk1FP9RH4phX7mI/edit?usp=sharing"",""พิจิตร!M581"")+IMPORTRANGE(""https://docs.google.com/spreadsheets/d/1JtRfZkJMHtEhI5RdRHxYUG4FIZHqKDpNyIuN7A1Q0_k/edit?usp=sharing"",""พิษณุโลก!M581"")+IMPORTRANGE(""https://docs.google.com/spreadsheets/d/1xlcVZWU"&amp;"Nn6SuWm0c307h32SiGkd9BaeQWlAktfD3KO8/edit?usp=sharing"",""เพชรบูรณ์!M581"")+IMPORTRANGE(""https://docs.google.com/spreadsheets/d/1lOVebEIsI9qjGXl6EX66luk7wiuP2tBaryw-wKvv4e0/edit?usp=sharing"",""แพร่!M581"")+IMPORTRANGE(""https://docs.google.com/spreadshe"&amp;"ets/d/1dQrvX0vEcN7Gu0fnZ0B5S90AeR19zth4XlExFBeExMY/edit?usp=sharing"",""แม่ฮ่องสอน!M581"")+IMPORTRANGE(""https://docs.google.com/spreadsheets/d/1DY4XTNNwjluuxqdfdn6qvOSlMRrZqUtmYcZR0ttFiG4/edit?usp=sharing"",""ลำปาง!M581"")+IMPORTRANGE(""https://docs.goog"&amp;"le.com/spreadsheets/d/1ICwG78r0OFT8biBlxnBF8r7she7gNSzOvJ958PWT09c/edit?usp=sharing"",""ลำพูน!M581"")+IMPORTRANGE(""https://docs.google.com/spreadsheets/d/1B0f2xJpZUC6Z0xXnqKlZtEPzsf6L84eP1r1Q15seqRM/edit?usp=sharing"",""สุโขทัย!M581"")+IMPORTRANGE(""http"&amp;"s://docs.google.com/spreadsheets/d/1v0b9pFQCsKUVExMei7AgY2yQkdeNQvtOssygGsXbiKo/edit?usp=sharing"",""อุตรดิตถ์!M581"")+IMPORTRANGE(""https://docs.google.com/spreadsheets/d/1UsNK1e-WWiCo2PvGqdNfdme4m17_Ezd3J69EeeiQPD0/edit?usp=sharing"",""อุทัยธานี!M581"")"),0)</f>
        <v>0</v>
      </c>
      <c r="N581" s="46">
        <f ca="1">IFERROR(__xludf.DUMMYFUNCTION("IMPORTRANGE(""https://docs.google.com/spreadsheets/d/1jTcq05yEiRwXcBMLjiodW9e4biSGYWAHcDj22rKWQ3s/edit?usp=sharing"",""กำแพงเพชร!N581"")+IMPORTRANGE(""https://docs.google.com/spreadsheets/d/1KS0zmDSZPk8KnTAbGN-Xk6MtX1YRZD0ldgdt20K4CRk/edit?usp=sharing"","&amp;"""เชียงราย!N581"")+IMPORTRANGE(""https://docs.google.com/spreadsheets/d/1rEDxBtusbi64tE0zunoIbsTVV16HeL0oJ6trHQeQ7K8/edit?usp=sharing"",""เชียงใหม่!N581"")+IMPORTRANGE(""https://docs.google.com/spreadsheets/d/1W6MnUbDkMi6xHnHko_XkFDO9kkuL6Wqyc-6OCDFjW9I/e"&amp;"dit?usp=sharing"",""ตาก!N581"")+IMPORTRANGE(""https://docs.google.com/spreadsheets/d/1IQAWArduLkta9LpYo4a_ULsyqdta6-6aDDiwpUnQT6c/edit?usp=sharing"",""นครสวรรค์!N581"")+IMPORTRANGE(""https://docs.google.com/spreadsheets/d/10s13Sk5xrltsiR-Zkbmk5DwIaDIKO8Xl"&amp;"bJAfqyT7Gvg/edit?usp=sharing"",""น่าน!N581"")+IMPORTRANGE(""https://docs.google.com/spreadsheets/d/1uu4nAn4Dbi1XREnLKKotUANlKXa7yCgRcgq8HEzQYW8/edit?usp=sharing"",""พะเยา!N581"")+IMPORTRANGE(""https://docs.google.com/spreadsheets/d/1xfJKIQxVOaPDIICqsflNlL"&amp;"u3JacTDk1FP9RH4phX7mI/edit?usp=sharing"",""พิจิตร!N581"")+IMPORTRANGE(""https://docs.google.com/spreadsheets/d/1JtRfZkJMHtEhI5RdRHxYUG4FIZHqKDpNyIuN7A1Q0_k/edit?usp=sharing"",""พิษณุโลก!N581"")+IMPORTRANGE(""https://docs.google.com/spreadsheets/d/1xlcVZWU"&amp;"Nn6SuWm0c307h32SiGkd9BaeQWlAktfD3KO8/edit?usp=sharing"",""เพชรบูรณ์!N581"")+IMPORTRANGE(""https://docs.google.com/spreadsheets/d/1lOVebEIsI9qjGXl6EX66luk7wiuP2tBaryw-wKvv4e0/edit?usp=sharing"",""แพร่!N581"")+IMPORTRANGE(""https://docs.google.com/spreadshe"&amp;"ets/d/1dQrvX0vEcN7Gu0fnZ0B5S90AeR19zth4XlExFBeExMY/edit?usp=sharing"",""แม่ฮ่องสอน!N581"")+IMPORTRANGE(""https://docs.google.com/spreadsheets/d/1DY4XTNNwjluuxqdfdn6qvOSlMRrZqUtmYcZR0ttFiG4/edit?usp=sharing"",""ลำปาง!N581"")+IMPORTRANGE(""https://docs.goog"&amp;"le.com/spreadsheets/d/1ICwG78r0OFT8biBlxnBF8r7she7gNSzOvJ958PWT09c/edit?usp=sharing"",""ลำพูน!N581"")+IMPORTRANGE(""https://docs.google.com/spreadsheets/d/1B0f2xJpZUC6Z0xXnqKlZtEPzsf6L84eP1r1Q15seqRM/edit?usp=sharing"",""สุโขทัย!N581"")+IMPORTRANGE(""http"&amp;"s://docs.google.com/spreadsheets/d/1v0b9pFQCsKUVExMei7AgY2yQkdeNQvtOssygGsXbiKo/edit?usp=sharing"",""อุตรดิตถ์!N581"")+IMPORTRANGE(""https://docs.google.com/spreadsheets/d/1UsNK1e-WWiCo2PvGqdNfdme4m17_Ezd3J69EeeiQPD0/edit?usp=sharing"",""อุทัยธานี!N581"")"),0)</f>
        <v>0</v>
      </c>
      <c r="O581" s="46">
        <f t="shared" ca="1" si="409"/>
        <v>0</v>
      </c>
      <c r="P581" s="46">
        <f t="shared" ca="1" si="410"/>
        <v>0</v>
      </c>
      <c r="Q581" s="46">
        <f ca="1">IFERROR(__xludf.DUMMYFUNCTION("IMPORTRANGE(""https://docs.google.com/spreadsheets/d/1jTcq05yEiRwXcBMLjiodW9e4biSGYWAHcDj22rKWQ3s/edit?usp=sharing"",""กำแพงเพชร!Q581"")+IMPORTRANGE(""https://docs.google.com/spreadsheets/d/1KS0zmDSZPk8KnTAbGN-Xk6MtX1YRZD0ldgdt20K4CRk/edit?usp=sharing"","&amp;"""เชียงราย!Q581"")+IMPORTRANGE(""https://docs.google.com/spreadsheets/d/1rEDxBtusbi64tE0zunoIbsTVV16HeL0oJ6trHQeQ7K8/edit?usp=sharing"",""เชียงใหม่!Q581"")+IMPORTRANGE(""https://docs.google.com/spreadsheets/d/1W6MnUbDkMi6xHnHko_XkFDO9kkuL6Wqyc-6OCDFjW9I/e"&amp;"dit?usp=sharing"",""ตาก!Q581"")+IMPORTRANGE(""https://docs.google.com/spreadsheets/d/1IQAWArduLkta9LpYo4a_ULsyqdta6-6aDDiwpUnQT6c/edit?usp=sharing"",""นครสวรรค์!Q581"")+IMPORTRANGE(""https://docs.google.com/spreadsheets/d/10s13Sk5xrltsiR-Zkbmk5DwIaDIKO8Xl"&amp;"bJAfqyT7Gvg/edit?usp=sharing"",""น่าน!Q581"")+IMPORTRANGE(""https://docs.google.com/spreadsheets/d/1uu4nAn4Dbi1XREnLKKotUANlKXa7yCgRcgq8HEzQYW8/edit?usp=sharing"",""พะเยา!Q581"")+IMPORTRANGE(""https://docs.google.com/spreadsheets/d/1xfJKIQxVOaPDIICqsflNlL"&amp;"u3JacTDk1FP9RH4phX7mI/edit?usp=sharing"",""พิจิตร!Q581"")+IMPORTRANGE(""https://docs.google.com/spreadsheets/d/1JtRfZkJMHtEhI5RdRHxYUG4FIZHqKDpNyIuN7A1Q0_k/edit?usp=sharing"",""พิษณุโลก!Q581"")+IMPORTRANGE(""https://docs.google.com/spreadsheets/d/1xlcVZWU"&amp;"Nn6SuWm0c307h32SiGkd9BaeQWlAktfD3KO8/edit?usp=sharing"",""เพชรบูรณ์!Q581"")+IMPORTRANGE(""https://docs.google.com/spreadsheets/d/1lOVebEIsI9qjGXl6EX66luk7wiuP2tBaryw-wKvv4e0/edit?usp=sharing"",""แพร่!Q581"")+IMPORTRANGE(""https://docs.google.com/spreadshe"&amp;"ets/d/1dQrvX0vEcN7Gu0fnZ0B5S90AeR19zth4XlExFBeExMY/edit?usp=sharing"",""แม่ฮ่องสอน!Q581"")+IMPORTRANGE(""https://docs.google.com/spreadsheets/d/1DY4XTNNwjluuxqdfdn6qvOSlMRrZqUtmYcZR0ttFiG4/edit?usp=sharing"",""ลำปาง!Q581"")+IMPORTRANGE(""https://docs.goog"&amp;"le.com/spreadsheets/d/1ICwG78r0OFT8biBlxnBF8r7she7gNSzOvJ958PWT09c/edit?usp=sharing"",""ลำพูน!Q581"")+IMPORTRANGE(""https://docs.google.com/spreadsheets/d/1B0f2xJpZUC6Z0xXnqKlZtEPzsf6L84eP1r1Q15seqRM/edit?usp=sharing"",""สุโขทัย!Q581"")+IMPORTRANGE(""http"&amp;"s://docs.google.com/spreadsheets/d/1v0b9pFQCsKUVExMei7AgY2yQkdeNQvtOssygGsXbiKo/edit?usp=sharing"",""อุตรดิตถ์!Q581"")+IMPORTRANGE(""https://docs.google.com/spreadsheets/d/1UsNK1e-WWiCo2PvGqdNfdme4m17_Ezd3J69EeeiQPD0/edit?usp=sharing"",""อุทัยธานี!Q581"")"),0)</f>
        <v>0</v>
      </c>
      <c r="R581" s="46">
        <f ca="1">IFERROR(__xludf.DUMMYFUNCTION("IMPORTRANGE(""https://docs.google.com/spreadsheets/d/1jTcq05yEiRwXcBMLjiodW9e4biSGYWAHcDj22rKWQ3s/edit?usp=sharing"",""กำแพงเพชร!R581"")+IMPORTRANGE(""https://docs.google.com/spreadsheets/d/1KS0zmDSZPk8KnTAbGN-Xk6MtX1YRZD0ldgdt20K4CRk/edit?usp=sharing"","&amp;"""เชียงราย!R581"")+IMPORTRANGE(""https://docs.google.com/spreadsheets/d/1rEDxBtusbi64tE0zunoIbsTVV16HeL0oJ6trHQeQ7K8/edit?usp=sharing"",""เชียงใหม่!R581"")+IMPORTRANGE(""https://docs.google.com/spreadsheets/d/1W6MnUbDkMi6xHnHko_XkFDO9kkuL6Wqyc-6OCDFjW9I/e"&amp;"dit?usp=sharing"",""ตาก!R581"")+IMPORTRANGE(""https://docs.google.com/spreadsheets/d/1IQAWArduLkta9LpYo4a_ULsyqdta6-6aDDiwpUnQT6c/edit?usp=sharing"",""นครสวรรค์!R581"")+IMPORTRANGE(""https://docs.google.com/spreadsheets/d/10s13Sk5xrltsiR-Zkbmk5DwIaDIKO8Xl"&amp;"bJAfqyT7Gvg/edit?usp=sharing"",""น่าน!R581"")+IMPORTRANGE(""https://docs.google.com/spreadsheets/d/1uu4nAn4Dbi1XREnLKKotUANlKXa7yCgRcgq8HEzQYW8/edit?usp=sharing"",""พะเยา!R581"")+IMPORTRANGE(""https://docs.google.com/spreadsheets/d/1xfJKIQxVOaPDIICqsflNlL"&amp;"u3JacTDk1FP9RH4phX7mI/edit?usp=sharing"",""พิจิตร!R581"")+IMPORTRANGE(""https://docs.google.com/spreadsheets/d/1JtRfZkJMHtEhI5RdRHxYUG4FIZHqKDpNyIuN7A1Q0_k/edit?usp=sharing"",""พิษณุโลก!R581"")+IMPORTRANGE(""https://docs.google.com/spreadsheets/d/1xlcVZWU"&amp;"Nn6SuWm0c307h32SiGkd9BaeQWlAktfD3KO8/edit?usp=sharing"",""เพชรบูรณ์!R581"")+IMPORTRANGE(""https://docs.google.com/spreadsheets/d/1lOVebEIsI9qjGXl6EX66luk7wiuP2tBaryw-wKvv4e0/edit?usp=sharing"",""แพร่!R581"")+IMPORTRANGE(""https://docs.google.com/spreadshe"&amp;"ets/d/1dQrvX0vEcN7Gu0fnZ0B5S90AeR19zth4XlExFBeExMY/edit?usp=sharing"",""แม่ฮ่องสอน!R581"")+IMPORTRANGE(""https://docs.google.com/spreadsheets/d/1DY4XTNNwjluuxqdfdn6qvOSlMRrZqUtmYcZR0ttFiG4/edit?usp=sharing"",""ลำปาง!R581"")+IMPORTRANGE(""https://docs.goog"&amp;"le.com/spreadsheets/d/1ICwG78r0OFT8biBlxnBF8r7she7gNSzOvJ958PWT09c/edit?usp=sharing"",""ลำพูน!R581"")+IMPORTRANGE(""https://docs.google.com/spreadsheets/d/1B0f2xJpZUC6Z0xXnqKlZtEPzsf6L84eP1r1Q15seqRM/edit?usp=sharing"",""สุโขทัย!R581"")+IMPORTRANGE(""http"&amp;"s://docs.google.com/spreadsheets/d/1v0b9pFQCsKUVExMei7AgY2yQkdeNQvtOssygGsXbiKo/edit?usp=sharing"",""อุตรดิตถ์!R581"")+IMPORTRANGE(""https://docs.google.com/spreadsheets/d/1UsNK1e-WWiCo2PvGqdNfdme4m17_Ezd3J69EeeiQPD0/edit?usp=sharing"",""อุทัยธานี!R581"")"),0)</f>
        <v>0</v>
      </c>
      <c r="S581" s="46">
        <f ca="1">IFERROR(__xludf.DUMMYFUNCTION("IMPORTRANGE(""https://docs.google.com/spreadsheets/d/1jTcq05yEiRwXcBMLjiodW9e4biSGYWAHcDj22rKWQ3s/edit?usp=sharing"",""กำแพงเพชร!S581"")+IMPORTRANGE(""https://docs.google.com/spreadsheets/d/1KS0zmDSZPk8KnTAbGN-Xk6MtX1YRZD0ldgdt20K4CRk/edit?usp=sharing"","&amp;"""เชียงราย!S581"")+IMPORTRANGE(""https://docs.google.com/spreadsheets/d/1rEDxBtusbi64tE0zunoIbsTVV16HeL0oJ6trHQeQ7K8/edit?usp=sharing"",""เชียงใหม่!S581"")+IMPORTRANGE(""https://docs.google.com/spreadsheets/d/1W6MnUbDkMi6xHnHko_XkFDO9kkuL6Wqyc-6OCDFjW9I/e"&amp;"dit?usp=sharing"",""ตาก!S581"")+IMPORTRANGE(""https://docs.google.com/spreadsheets/d/1IQAWArduLkta9LpYo4a_ULsyqdta6-6aDDiwpUnQT6c/edit?usp=sharing"",""นครสวรรค์!S581"")+IMPORTRANGE(""https://docs.google.com/spreadsheets/d/10s13Sk5xrltsiR-Zkbmk5DwIaDIKO8Xl"&amp;"bJAfqyT7Gvg/edit?usp=sharing"",""น่าน!S581"")+IMPORTRANGE(""https://docs.google.com/spreadsheets/d/1uu4nAn4Dbi1XREnLKKotUANlKXa7yCgRcgq8HEzQYW8/edit?usp=sharing"",""พะเยา!S581"")+IMPORTRANGE(""https://docs.google.com/spreadsheets/d/1xfJKIQxVOaPDIICqsflNlL"&amp;"u3JacTDk1FP9RH4phX7mI/edit?usp=sharing"",""พิจิตร!S581"")+IMPORTRANGE(""https://docs.google.com/spreadsheets/d/1JtRfZkJMHtEhI5RdRHxYUG4FIZHqKDpNyIuN7A1Q0_k/edit?usp=sharing"",""พิษณุโลก!S581"")+IMPORTRANGE(""https://docs.google.com/spreadsheets/d/1xlcVZWU"&amp;"Nn6SuWm0c307h32SiGkd9BaeQWlAktfD3KO8/edit?usp=sharing"",""เพชรบูรณ์!S581"")+IMPORTRANGE(""https://docs.google.com/spreadsheets/d/1lOVebEIsI9qjGXl6EX66luk7wiuP2tBaryw-wKvv4e0/edit?usp=sharing"",""แพร่!S581"")+IMPORTRANGE(""https://docs.google.com/spreadshe"&amp;"ets/d/1dQrvX0vEcN7Gu0fnZ0B5S90AeR19zth4XlExFBeExMY/edit?usp=sharing"",""แม่ฮ่องสอน!S581"")+IMPORTRANGE(""https://docs.google.com/spreadsheets/d/1DY4XTNNwjluuxqdfdn6qvOSlMRrZqUtmYcZR0ttFiG4/edit?usp=sharing"",""ลำปาง!S581"")+IMPORTRANGE(""https://docs.goog"&amp;"le.com/spreadsheets/d/1ICwG78r0OFT8biBlxnBF8r7she7gNSzOvJ958PWT09c/edit?usp=sharing"",""ลำพูน!S581"")+IMPORTRANGE(""https://docs.google.com/spreadsheets/d/1B0f2xJpZUC6Z0xXnqKlZtEPzsf6L84eP1r1Q15seqRM/edit?usp=sharing"",""สุโขทัย!S581"")+IMPORTRANGE(""http"&amp;"s://docs.google.com/spreadsheets/d/1v0b9pFQCsKUVExMei7AgY2yQkdeNQvtOssygGsXbiKo/edit?usp=sharing"",""อุตรดิตถ์!S581"")+IMPORTRANGE(""https://docs.google.com/spreadsheets/d/1UsNK1e-WWiCo2PvGqdNfdme4m17_Ezd3J69EeeiQPD0/edit?usp=sharing"",""อุทัยธานี!S581"")"),0)</f>
        <v>0</v>
      </c>
      <c r="T581" s="46">
        <f t="shared" ca="1" si="412"/>
        <v>0</v>
      </c>
      <c r="U581" s="46">
        <f t="shared" ca="1" si="413"/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46">
        <f t="shared" ref="L582:N582" ca="1" si="420">L583+L584</f>
        <v>0</v>
      </c>
      <c r="M582" s="46">
        <f t="shared" ca="1" si="420"/>
        <v>0</v>
      </c>
      <c r="N582" s="46">
        <f t="shared" ca="1" si="420"/>
        <v>0</v>
      </c>
      <c r="O582" s="46">
        <f t="shared" ca="1" si="409"/>
        <v>0</v>
      </c>
      <c r="P582" s="46">
        <f t="shared" ca="1" si="410"/>
        <v>0</v>
      </c>
      <c r="Q582" s="46">
        <f t="shared" ref="Q582:S582" ca="1" si="421">Q583+Q584</f>
        <v>0</v>
      </c>
      <c r="R582" s="46">
        <f t="shared" ca="1" si="421"/>
        <v>0</v>
      </c>
      <c r="S582" s="46">
        <f t="shared" ca="1" si="421"/>
        <v>0</v>
      </c>
      <c r="T582" s="46">
        <f t="shared" ca="1" si="412"/>
        <v>0</v>
      </c>
      <c r="U582" s="46">
        <f t="shared" ca="1" si="413"/>
        <v>0</v>
      </c>
    </row>
    <row r="583" spans="1:21" ht="18.75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48">
        <f ca="1">IFERROR(__xludf.DUMMYFUNCTION("IMPORTRANGE(""https://docs.google.com/spreadsheets/d/1jTcq05yEiRwXcBMLjiodW9e4biSGYWAHcDj22rKWQ3s/edit?usp=sharing"",""กำแพงเพชร!L583"")+IMPORTRANGE(""https://docs.google.com/spreadsheets/d/1KS0zmDSZPk8KnTAbGN-Xk6MtX1YRZD0ldgdt20K4CRk/edit?usp=sharing"","&amp;"""เชียงราย!L583"")+IMPORTRANGE(""https://docs.google.com/spreadsheets/d/1rEDxBtusbi64tE0zunoIbsTVV16HeL0oJ6trHQeQ7K8/edit?usp=sharing"",""เชียงใหม่!L583"")+IMPORTRANGE(""https://docs.google.com/spreadsheets/d/1W6MnUbDkMi6xHnHko_XkFDO9kkuL6Wqyc-6OCDFjW9I/e"&amp;"dit?usp=sharing"",""ตาก!L583"")+IMPORTRANGE(""https://docs.google.com/spreadsheets/d/1IQAWArduLkta9LpYo4a_ULsyqdta6-6aDDiwpUnQT6c/edit?usp=sharing"",""นครสวรรค์!L583"")+IMPORTRANGE(""https://docs.google.com/spreadsheets/d/10s13Sk5xrltsiR-Zkbmk5DwIaDIKO8Xl"&amp;"bJAfqyT7Gvg/edit?usp=sharing"",""น่าน!L583"")+IMPORTRANGE(""https://docs.google.com/spreadsheets/d/1uu4nAn4Dbi1XREnLKKotUANlKXa7yCgRcgq8HEzQYW8/edit?usp=sharing"",""พะเยา!L583"")+IMPORTRANGE(""https://docs.google.com/spreadsheets/d/1xfJKIQxVOaPDIICqsflNlL"&amp;"u3JacTDk1FP9RH4phX7mI/edit?usp=sharing"",""พิจิตร!L583"")+IMPORTRANGE(""https://docs.google.com/spreadsheets/d/1JtRfZkJMHtEhI5RdRHxYUG4FIZHqKDpNyIuN7A1Q0_k/edit?usp=sharing"",""พิษณุโลก!L583"")+IMPORTRANGE(""https://docs.google.com/spreadsheets/d/1xlcVZWU"&amp;"Nn6SuWm0c307h32SiGkd9BaeQWlAktfD3KO8/edit?usp=sharing"",""เพชรบูรณ์!L583"")+IMPORTRANGE(""https://docs.google.com/spreadsheets/d/1lOVebEIsI9qjGXl6EX66luk7wiuP2tBaryw-wKvv4e0/edit?usp=sharing"",""แพร่!L583"")+IMPORTRANGE(""https://docs.google.com/spreadshe"&amp;"ets/d/1dQrvX0vEcN7Gu0fnZ0B5S90AeR19zth4XlExFBeExMY/edit?usp=sharing"",""แม่ฮ่องสอน!L583"")+IMPORTRANGE(""https://docs.google.com/spreadsheets/d/1DY4XTNNwjluuxqdfdn6qvOSlMRrZqUtmYcZR0ttFiG4/edit?usp=sharing"",""ลำปาง!L583"")+IMPORTRANGE(""https://docs.goog"&amp;"le.com/spreadsheets/d/1ICwG78r0OFT8biBlxnBF8r7she7gNSzOvJ958PWT09c/edit?usp=sharing"",""ลำพูน!L583"")+IMPORTRANGE(""https://docs.google.com/spreadsheets/d/1B0f2xJpZUC6Z0xXnqKlZtEPzsf6L84eP1r1Q15seqRM/edit?usp=sharing"",""สุโขทัย!L583"")+IMPORTRANGE(""http"&amp;"s://docs.google.com/spreadsheets/d/1v0b9pFQCsKUVExMei7AgY2yQkdeNQvtOssygGsXbiKo/edit?usp=sharing"",""อุตรดิตถ์!L583"")+IMPORTRANGE(""https://docs.google.com/spreadsheets/d/1UsNK1e-WWiCo2PvGqdNfdme4m17_Ezd3J69EeeiQPD0/edit?usp=sharing"",""อุทัยธานี!L583"")"),0)</f>
        <v>0</v>
      </c>
      <c r="M583" s="48">
        <f ca="1">IFERROR(__xludf.DUMMYFUNCTION("IMPORTRANGE(""https://docs.google.com/spreadsheets/d/1jTcq05yEiRwXcBMLjiodW9e4biSGYWAHcDj22rKWQ3s/edit?usp=sharing"",""กำแพงเพชร!M583"")+IMPORTRANGE(""https://docs.google.com/spreadsheets/d/1KS0zmDSZPk8KnTAbGN-Xk6MtX1YRZD0ldgdt20K4CRk/edit?usp=sharing"","&amp;"""เชียงราย!M583"")+IMPORTRANGE(""https://docs.google.com/spreadsheets/d/1rEDxBtusbi64tE0zunoIbsTVV16HeL0oJ6trHQeQ7K8/edit?usp=sharing"",""เชียงใหม่!M583"")+IMPORTRANGE(""https://docs.google.com/spreadsheets/d/1W6MnUbDkMi6xHnHko_XkFDO9kkuL6Wqyc-6OCDFjW9I/e"&amp;"dit?usp=sharing"",""ตาก!M583"")+IMPORTRANGE(""https://docs.google.com/spreadsheets/d/1IQAWArduLkta9LpYo4a_ULsyqdta6-6aDDiwpUnQT6c/edit?usp=sharing"",""นครสวรรค์!M583"")+IMPORTRANGE(""https://docs.google.com/spreadsheets/d/10s13Sk5xrltsiR-Zkbmk5DwIaDIKO8Xl"&amp;"bJAfqyT7Gvg/edit?usp=sharing"",""น่าน!M583"")+IMPORTRANGE(""https://docs.google.com/spreadsheets/d/1uu4nAn4Dbi1XREnLKKotUANlKXa7yCgRcgq8HEzQYW8/edit?usp=sharing"",""พะเยา!M583"")+IMPORTRANGE(""https://docs.google.com/spreadsheets/d/1xfJKIQxVOaPDIICqsflNlL"&amp;"u3JacTDk1FP9RH4phX7mI/edit?usp=sharing"",""พิจิตร!M583"")+IMPORTRANGE(""https://docs.google.com/spreadsheets/d/1JtRfZkJMHtEhI5RdRHxYUG4FIZHqKDpNyIuN7A1Q0_k/edit?usp=sharing"",""พิษณุโลก!M583"")+IMPORTRANGE(""https://docs.google.com/spreadsheets/d/1xlcVZWU"&amp;"Nn6SuWm0c307h32SiGkd9BaeQWlAktfD3KO8/edit?usp=sharing"",""เพชรบูรณ์!M583"")+IMPORTRANGE(""https://docs.google.com/spreadsheets/d/1lOVebEIsI9qjGXl6EX66luk7wiuP2tBaryw-wKvv4e0/edit?usp=sharing"",""แพร่!M583"")+IMPORTRANGE(""https://docs.google.com/spreadshe"&amp;"ets/d/1dQrvX0vEcN7Gu0fnZ0B5S90AeR19zth4XlExFBeExMY/edit?usp=sharing"",""แม่ฮ่องสอน!M583"")+IMPORTRANGE(""https://docs.google.com/spreadsheets/d/1DY4XTNNwjluuxqdfdn6qvOSlMRrZqUtmYcZR0ttFiG4/edit?usp=sharing"",""ลำปาง!M583"")+IMPORTRANGE(""https://docs.goog"&amp;"le.com/spreadsheets/d/1ICwG78r0OFT8biBlxnBF8r7she7gNSzOvJ958PWT09c/edit?usp=sharing"",""ลำพูน!M583"")+IMPORTRANGE(""https://docs.google.com/spreadsheets/d/1B0f2xJpZUC6Z0xXnqKlZtEPzsf6L84eP1r1Q15seqRM/edit?usp=sharing"",""สุโขทัย!M583"")+IMPORTRANGE(""http"&amp;"s://docs.google.com/spreadsheets/d/1v0b9pFQCsKUVExMei7AgY2yQkdeNQvtOssygGsXbiKo/edit?usp=sharing"",""อุตรดิตถ์!M583"")+IMPORTRANGE(""https://docs.google.com/spreadsheets/d/1UsNK1e-WWiCo2PvGqdNfdme4m17_Ezd3J69EeeiQPD0/edit?usp=sharing"",""อุทัยธานี!M583"")"),0)</f>
        <v>0</v>
      </c>
      <c r="N583" s="48">
        <f ca="1">IFERROR(__xludf.DUMMYFUNCTION("IMPORTRANGE(""https://docs.google.com/spreadsheets/d/1jTcq05yEiRwXcBMLjiodW9e4biSGYWAHcDj22rKWQ3s/edit?usp=sharing"",""กำแพงเพชร!N583"")+IMPORTRANGE(""https://docs.google.com/spreadsheets/d/1KS0zmDSZPk8KnTAbGN-Xk6MtX1YRZD0ldgdt20K4CRk/edit?usp=sharing"","&amp;"""เชียงราย!N583"")+IMPORTRANGE(""https://docs.google.com/spreadsheets/d/1rEDxBtusbi64tE0zunoIbsTVV16HeL0oJ6trHQeQ7K8/edit?usp=sharing"",""เชียงใหม่!N583"")+IMPORTRANGE(""https://docs.google.com/spreadsheets/d/1W6MnUbDkMi6xHnHko_XkFDO9kkuL6Wqyc-6OCDFjW9I/e"&amp;"dit?usp=sharing"",""ตาก!N583"")+IMPORTRANGE(""https://docs.google.com/spreadsheets/d/1IQAWArduLkta9LpYo4a_ULsyqdta6-6aDDiwpUnQT6c/edit?usp=sharing"",""นครสวรรค์!N583"")+IMPORTRANGE(""https://docs.google.com/spreadsheets/d/10s13Sk5xrltsiR-Zkbmk5DwIaDIKO8Xl"&amp;"bJAfqyT7Gvg/edit?usp=sharing"",""น่าน!N583"")+IMPORTRANGE(""https://docs.google.com/spreadsheets/d/1uu4nAn4Dbi1XREnLKKotUANlKXa7yCgRcgq8HEzQYW8/edit?usp=sharing"",""พะเยา!N583"")+IMPORTRANGE(""https://docs.google.com/spreadsheets/d/1xfJKIQxVOaPDIICqsflNlL"&amp;"u3JacTDk1FP9RH4phX7mI/edit?usp=sharing"",""พิจิตร!N583"")+IMPORTRANGE(""https://docs.google.com/spreadsheets/d/1JtRfZkJMHtEhI5RdRHxYUG4FIZHqKDpNyIuN7A1Q0_k/edit?usp=sharing"",""พิษณุโลก!N583"")+IMPORTRANGE(""https://docs.google.com/spreadsheets/d/1xlcVZWU"&amp;"Nn6SuWm0c307h32SiGkd9BaeQWlAktfD3KO8/edit?usp=sharing"",""เพชรบูรณ์!N583"")+IMPORTRANGE(""https://docs.google.com/spreadsheets/d/1lOVebEIsI9qjGXl6EX66luk7wiuP2tBaryw-wKvv4e0/edit?usp=sharing"",""แพร่!N583"")+IMPORTRANGE(""https://docs.google.com/spreadshe"&amp;"ets/d/1dQrvX0vEcN7Gu0fnZ0B5S90AeR19zth4XlExFBeExMY/edit?usp=sharing"",""แม่ฮ่องสอน!N583"")+IMPORTRANGE(""https://docs.google.com/spreadsheets/d/1DY4XTNNwjluuxqdfdn6qvOSlMRrZqUtmYcZR0ttFiG4/edit?usp=sharing"",""ลำปาง!N583"")+IMPORTRANGE(""https://docs.goog"&amp;"le.com/spreadsheets/d/1ICwG78r0OFT8biBlxnBF8r7she7gNSzOvJ958PWT09c/edit?usp=sharing"",""ลำพูน!N583"")+IMPORTRANGE(""https://docs.google.com/spreadsheets/d/1B0f2xJpZUC6Z0xXnqKlZtEPzsf6L84eP1r1Q15seqRM/edit?usp=sharing"",""สุโขทัย!N583"")+IMPORTRANGE(""http"&amp;"s://docs.google.com/spreadsheets/d/1v0b9pFQCsKUVExMei7AgY2yQkdeNQvtOssygGsXbiKo/edit?usp=sharing"",""อุตรดิตถ์!N583"")+IMPORTRANGE(""https://docs.google.com/spreadsheets/d/1UsNK1e-WWiCo2PvGqdNfdme4m17_Ezd3J69EeeiQPD0/edit?usp=sharing"",""อุทัยธานี!N583"")"),0)</f>
        <v>0</v>
      </c>
      <c r="O583" s="48">
        <f t="shared" ca="1" si="409"/>
        <v>0</v>
      </c>
      <c r="P583" s="48">
        <f t="shared" ca="1" si="410"/>
        <v>0</v>
      </c>
      <c r="Q583" s="48">
        <f ca="1">IFERROR(__xludf.DUMMYFUNCTION("IMPORTRANGE(""https://docs.google.com/spreadsheets/d/1jTcq05yEiRwXcBMLjiodW9e4biSGYWAHcDj22rKWQ3s/edit?usp=sharing"",""กำแพงเพชร!Q583"")+IMPORTRANGE(""https://docs.google.com/spreadsheets/d/1KS0zmDSZPk8KnTAbGN-Xk6MtX1YRZD0ldgdt20K4CRk/edit?usp=sharing"","&amp;"""เชียงราย!Q583"")+IMPORTRANGE(""https://docs.google.com/spreadsheets/d/1rEDxBtusbi64tE0zunoIbsTVV16HeL0oJ6trHQeQ7K8/edit?usp=sharing"",""เชียงใหม่!Q583"")+IMPORTRANGE(""https://docs.google.com/spreadsheets/d/1W6MnUbDkMi6xHnHko_XkFDO9kkuL6Wqyc-6OCDFjW9I/e"&amp;"dit?usp=sharing"",""ตาก!Q583"")+IMPORTRANGE(""https://docs.google.com/spreadsheets/d/1IQAWArduLkta9LpYo4a_ULsyqdta6-6aDDiwpUnQT6c/edit?usp=sharing"",""นครสวรรค์!Q583"")+IMPORTRANGE(""https://docs.google.com/spreadsheets/d/10s13Sk5xrltsiR-Zkbmk5DwIaDIKO8Xl"&amp;"bJAfqyT7Gvg/edit?usp=sharing"",""น่าน!Q583"")+IMPORTRANGE(""https://docs.google.com/spreadsheets/d/1uu4nAn4Dbi1XREnLKKotUANlKXa7yCgRcgq8HEzQYW8/edit?usp=sharing"",""พะเยา!Q583"")+IMPORTRANGE(""https://docs.google.com/spreadsheets/d/1xfJKIQxVOaPDIICqsflNlL"&amp;"u3JacTDk1FP9RH4phX7mI/edit?usp=sharing"",""พิจิตร!Q583"")+IMPORTRANGE(""https://docs.google.com/spreadsheets/d/1JtRfZkJMHtEhI5RdRHxYUG4FIZHqKDpNyIuN7A1Q0_k/edit?usp=sharing"",""พิษณุโลก!Q583"")+IMPORTRANGE(""https://docs.google.com/spreadsheets/d/1xlcVZWU"&amp;"Nn6SuWm0c307h32SiGkd9BaeQWlAktfD3KO8/edit?usp=sharing"",""เพชรบูรณ์!Q583"")+IMPORTRANGE(""https://docs.google.com/spreadsheets/d/1lOVebEIsI9qjGXl6EX66luk7wiuP2tBaryw-wKvv4e0/edit?usp=sharing"",""แพร่!Q583"")+IMPORTRANGE(""https://docs.google.com/spreadshe"&amp;"ets/d/1dQrvX0vEcN7Gu0fnZ0B5S90AeR19zth4XlExFBeExMY/edit?usp=sharing"",""แม่ฮ่องสอน!Q583"")+IMPORTRANGE(""https://docs.google.com/spreadsheets/d/1DY4XTNNwjluuxqdfdn6qvOSlMRrZqUtmYcZR0ttFiG4/edit?usp=sharing"",""ลำปาง!Q583"")+IMPORTRANGE(""https://docs.goog"&amp;"le.com/spreadsheets/d/1ICwG78r0OFT8biBlxnBF8r7she7gNSzOvJ958PWT09c/edit?usp=sharing"",""ลำพูน!Q583"")+IMPORTRANGE(""https://docs.google.com/spreadsheets/d/1B0f2xJpZUC6Z0xXnqKlZtEPzsf6L84eP1r1Q15seqRM/edit?usp=sharing"",""สุโขทัย!Q583"")+IMPORTRANGE(""http"&amp;"s://docs.google.com/spreadsheets/d/1v0b9pFQCsKUVExMei7AgY2yQkdeNQvtOssygGsXbiKo/edit?usp=sharing"",""อุตรดิตถ์!Q583"")+IMPORTRANGE(""https://docs.google.com/spreadsheets/d/1UsNK1e-WWiCo2PvGqdNfdme4m17_Ezd3J69EeeiQPD0/edit?usp=sharing"",""อุทัยธานี!Q583"")"),0)</f>
        <v>0</v>
      </c>
      <c r="R583" s="48">
        <f ca="1">IFERROR(__xludf.DUMMYFUNCTION("IMPORTRANGE(""https://docs.google.com/spreadsheets/d/1jTcq05yEiRwXcBMLjiodW9e4biSGYWAHcDj22rKWQ3s/edit?usp=sharing"",""กำแพงเพชร!R583"")+IMPORTRANGE(""https://docs.google.com/spreadsheets/d/1KS0zmDSZPk8KnTAbGN-Xk6MtX1YRZD0ldgdt20K4CRk/edit?usp=sharing"","&amp;"""เชียงราย!R583"")+IMPORTRANGE(""https://docs.google.com/spreadsheets/d/1rEDxBtusbi64tE0zunoIbsTVV16HeL0oJ6trHQeQ7K8/edit?usp=sharing"",""เชียงใหม่!R583"")+IMPORTRANGE(""https://docs.google.com/spreadsheets/d/1W6MnUbDkMi6xHnHko_XkFDO9kkuL6Wqyc-6OCDFjW9I/e"&amp;"dit?usp=sharing"",""ตาก!R583"")+IMPORTRANGE(""https://docs.google.com/spreadsheets/d/1IQAWArduLkta9LpYo4a_ULsyqdta6-6aDDiwpUnQT6c/edit?usp=sharing"",""นครสวรรค์!R583"")+IMPORTRANGE(""https://docs.google.com/spreadsheets/d/10s13Sk5xrltsiR-Zkbmk5DwIaDIKO8Xl"&amp;"bJAfqyT7Gvg/edit?usp=sharing"",""น่าน!R583"")+IMPORTRANGE(""https://docs.google.com/spreadsheets/d/1uu4nAn4Dbi1XREnLKKotUANlKXa7yCgRcgq8HEzQYW8/edit?usp=sharing"",""พะเยา!R583"")+IMPORTRANGE(""https://docs.google.com/spreadsheets/d/1xfJKIQxVOaPDIICqsflNlL"&amp;"u3JacTDk1FP9RH4phX7mI/edit?usp=sharing"",""พิจิตร!R583"")+IMPORTRANGE(""https://docs.google.com/spreadsheets/d/1JtRfZkJMHtEhI5RdRHxYUG4FIZHqKDpNyIuN7A1Q0_k/edit?usp=sharing"",""พิษณุโลก!R583"")+IMPORTRANGE(""https://docs.google.com/spreadsheets/d/1xlcVZWU"&amp;"Nn6SuWm0c307h32SiGkd9BaeQWlAktfD3KO8/edit?usp=sharing"",""เพชรบูรณ์!R583"")+IMPORTRANGE(""https://docs.google.com/spreadsheets/d/1lOVebEIsI9qjGXl6EX66luk7wiuP2tBaryw-wKvv4e0/edit?usp=sharing"",""แพร่!R583"")+IMPORTRANGE(""https://docs.google.com/spreadshe"&amp;"ets/d/1dQrvX0vEcN7Gu0fnZ0B5S90AeR19zth4XlExFBeExMY/edit?usp=sharing"",""แม่ฮ่องสอน!R583"")+IMPORTRANGE(""https://docs.google.com/spreadsheets/d/1DY4XTNNwjluuxqdfdn6qvOSlMRrZqUtmYcZR0ttFiG4/edit?usp=sharing"",""ลำปาง!R583"")+IMPORTRANGE(""https://docs.goog"&amp;"le.com/spreadsheets/d/1ICwG78r0OFT8biBlxnBF8r7she7gNSzOvJ958PWT09c/edit?usp=sharing"",""ลำพูน!R583"")+IMPORTRANGE(""https://docs.google.com/spreadsheets/d/1B0f2xJpZUC6Z0xXnqKlZtEPzsf6L84eP1r1Q15seqRM/edit?usp=sharing"",""สุโขทัย!R583"")+IMPORTRANGE(""http"&amp;"s://docs.google.com/spreadsheets/d/1v0b9pFQCsKUVExMei7AgY2yQkdeNQvtOssygGsXbiKo/edit?usp=sharing"",""อุตรดิตถ์!R583"")+IMPORTRANGE(""https://docs.google.com/spreadsheets/d/1UsNK1e-WWiCo2PvGqdNfdme4m17_Ezd3J69EeeiQPD0/edit?usp=sharing"",""อุทัยธานี!R583"")"),0)</f>
        <v>0</v>
      </c>
      <c r="S583" s="48">
        <f ca="1">IFERROR(__xludf.DUMMYFUNCTION("IMPORTRANGE(""https://docs.google.com/spreadsheets/d/1jTcq05yEiRwXcBMLjiodW9e4biSGYWAHcDj22rKWQ3s/edit?usp=sharing"",""กำแพงเพชร!S583"")+IMPORTRANGE(""https://docs.google.com/spreadsheets/d/1KS0zmDSZPk8KnTAbGN-Xk6MtX1YRZD0ldgdt20K4CRk/edit?usp=sharing"","&amp;"""เชียงราย!S583"")+IMPORTRANGE(""https://docs.google.com/spreadsheets/d/1rEDxBtusbi64tE0zunoIbsTVV16HeL0oJ6trHQeQ7K8/edit?usp=sharing"",""เชียงใหม่!S583"")+IMPORTRANGE(""https://docs.google.com/spreadsheets/d/1W6MnUbDkMi6xHnHko_XkFDO9kkuL6Wqyc-6OCDFjW9I/e"&amp;"dit?usp=sharing"",""ตาก!S583"")+IMPORTRANGE(""https://docs.google.com/spreadsheets/d/1IQAWArduLkta9LpYo4a_ULsyqdta6-6aDDiwpUnQT6c/edit?usp=sharing"",""นครสวรรค์!S583"")+IMPORTRANGE(""https://docs.google.com/spreadsheets/d/10s13Sk5xrltsiR-Zkbmk5DwIaDIKO8Xl"&amp;"bJAfqyT7Gvg/edit?usp=sharing"",""น่าน!S583"")+IMPORTRANGE(""https://docs.google.com/spreadsheets/d/1uu4nAn4Dbi1XREnLKKotUANlKXa7yCgRcgq8HEzQYW8/edit?usp=sharing"",""พะเยา!S583"")+IMPORTRANGE(""https://docs.google.com/spreadsheets/d/1xfJKIQxVOaPDIICqsflNlL"&amp;"u3JacTDk1FP9RH4phX7mI/edit?usp=sharing"",""พิจิตร!S583"")+IMPORTRANGE(""https://docs.google.com/spreadsheets/d/1JtRfZkJMHtEhI5RdRHxYUG4FIZHqKDpNyIuN7A1Q0_k/edit?usp=sharing"",""พิษณุโลก!S583"")+IMPORTRANGE(""https://docs.google.com/spreadsheets/d/1xlcVZWU"&amp;"Nn6SuWm0c307h32SiGkd9BaeQWlAktfD3KO8/edit?usp=sharing"",""เพชรบูรณ์!S583"")+IMPORTRANGE(""https://docs.google.com/spreadsheets/d/1lOVebEIsI9qjGXl6EX66luk7wiuP2tBaryw-wKvv4e0/edit?usp=sharing"",""แพร่!S583"")+IMPORTRANGE(""https://docs.google.com/spreadshe"&amp;"ets/d/1dQrvX0vEcN7Gu0fnZ0B5S90AeR19zth4XlExFBeExMY/edit?usp=sharing"",""แม่ฮ่องสอน!S583"")+IMPORTRANGE(""https://docs.google.com/spreadsheets/d/1DY4XTNNwjluuxqdfdn6qvOSlMRrZqUtmYcZR0ttFiG4/edit?usp=sharing"",""ลำปาง!S583"")+IMPORTRANGE(""https://docs.goog"&amp;"le.com/spreadsheets/d/1ICwG78r0OFT8biBlxnBF8r7she7gNSzOvJ958PWT09c/edit?usp=sharing"",""ลำพูน!S583"")+IMPORTRANGE(""https://docs.google.com/spreadsheets/d/1B0f2xJpZUC6Z0xXnqKlZtEPzsf6L84eP1r1Q15seqRM/edit?usp=sharing"",""สุโขทัย!S583"")+IMPORTRANGE(""http"&amp;"s://docs.google.com/spreadsheets/d/1v0b9pFQCsKUVExMei7AgY2yQkdeNQvtOssygGsXbiKo/edit?usp=sharing"",""อุตรดิตถ์!S583"")+IMPORTRANGE(""https://docs.google.com/spreadsheets/d/1UsNK1e-WWiCo2PvGqdNfdme4m17_Ezd3J69EeeiQPD0/edit?usp=sharing"",""อุทัยธานี!S583"")"),0)</f>
        <v>0</v>
      </c>
      <c r="T583" s="48">
        <f t="shared" ca="1" si="412"/>
        <v>0</v>
      </c>
      <c r="U583" s="48">
        <f t="shared" ca="1" si="413"/>
        <v>0</v>
      </c>
    </row>
    <row r="584" spans="1:21" ht="18.75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46">
        <f ca="1">IFERROR(__xludf.DUMMYFUNCTION("IMPORTRANGE(""https://docs.google.com/spreadsheets/d/1jTcq05yEiRwXcBMLjiodW9e4biSGYWAHcDj22rKWQ3s/edit?usp=sharing"",""กำแพงเพชร!L584"")+IMPORTRANGE(""https://docs.google.com/spreadsheets/d/1KS0zmDSZPk8KnTAbGN-Xk6MtX1YRZD0ldgdt20K4CRk/edit?usp=sharing"","&amp;"""เชียงราย!L584"")+IMPORTRANGE(""https://docs.google.com/spreadsheets/d/1rEDxBtusbi64tE0zunoIbsTVV16HeL0oJ6trHQeQ7K8/edit?usp=sharing"",""เชียงใหม่!L584"")+IMPORTRANGE(""https://docs.google.com/spreadsheets/d/1W6MnUbDkMi6xHnHko_XkFDO9kkuL6Wqyc-6OCDFjW9I/e"&amp;"dit?usp=sharing"",""ตาก!L584"")+IMPORTRANGE(""https://docs.google.com/spreadsheets/d/1IQAWArduLkta9LpYo4a_ULsyqdta6-6aDDiwpUnQT6c/edit?usp=sharing"",""นครสวรรค์!L584"")+IMPORTRANGE(""https://docs.google.com/spreadsheets/d/10s13Sk5xrltsiR-Zkbmk5DwIaDIKO8Xl"&amp;"bJAfqyT7Gvg/edit?usp=sharing"",""น่าน!L584"")+IMPORTRANGE(""https://docs.google.com/spreadsheets/d/1uu4nAn4Dbi1XREnLKKotUANlKXa7yCgRcgq8HEzQYW8/edit?usp=sharing"",""พะเยา!L584"")+IMPORTRANGE(""https://docs.google.com/spreadsheets/d/1xfJKIQxVOaPDIICqsflNlL"&amp;"u3JacTDk1FP9RH4phX7mI/edit?usp=sharing"",""พิจิตร!L584"")+IMPORTRANGE(""https://docs.google.com/spreadsheets/d/1JtRfZkJMHtEhI5RdRHxYUG4FIZHqKDpNyIuN7A1Q0_k/edit?usp=sharing"",""พิษณุโลก!L584"")+IMPORTRANGE(""https://docs.google.com/spreadsheets/d/1xlcVZWU"&amp;"Nn6SuWm0c307h32SiGkd9BaeQWlAktfD3KO8/edit?usp=sharing"",""เพชรบูรณ์!L584"")+IMPORTRANGE(""https://docs.google.com/spreadsheets/d/1lOVebEIsI9qjGXl6EX66luk7wiuP2tBaryw-wKvv4e0/edit?usp=sharing"",""แพร่!L584"")+IMPORTRANGE(""https://docs.google.com/spreadshe"&amp;"ets/d/1dQrvX0vEcN7Gu0fnZ0B5S90AeR19zth4XlExFBeExMY/edit?usp=sharing"",""แม่ฮ่องสอน!L584"")+IMPORTRANGE(""https://docs.google.com/spreadsheets/d/1DY4XTNNwjluuxqdfdn6qvOSlMRrZqUtmYcZR0ttFiG4/edit?usp=sharing"",""ลำปาง!L584"")+IMPORTRANGE(""https://docs.goog"&amp;"le.com/spreadsheets/d/1ICwG78r0OFT8biBlxnBF8r7she7gNSzOvJ958PWT09c/edit?usp=sharing"",""ลำพูน!L584"")+IMPORTRANGE(""https://docs.google.com/spreadsheets/d/1B0f2xJpZUC6Z0xXnqKlZtEPzsf6L84eP1r1Q15seqRM/edit?usp=sharing"",""สุโขทัย!L584"")+IMPORTRANGE(""http"&amp;"s://docs.google.com/spreadsheets/d/1v0b9pFQCsKUVExMei7AgY2yQkdeNQvtOssygGsXbiKo/edit?usp=sharing"",""อุตรดิตถ์!L584"")+IMPORTRANGE(""https://docs.google.com/spreadsheets/d/1UsNK1e-WWiCo2PvGqdNfdme4m17_Ezd3J69EeeiQPD0/edit?usp=sharing"",""อุทัยธานี!L584"")"),0)</f>
        <v>0</v>
      </c>
      <c r="M584" s="46">
        <f ca="1">IFERROR(__xludf.DUMMYFUNCTION("IMPORTRANGE(""https://docs.google.com/spreadsheets/d/1jTcq05yEiRwXcBMLjiodW9e4biSGYWAHcDj22rKWQ3s/edit?usp=sharing"",""กำแพงเพชร!M584"")+IMPORTRANGE(""https://docs.google.com/spreadsheets/d/1KS0zmDSZPk8KnTAbGN-Xk6MtX1YRZD0ldgdt20K4CRk/edit?usp=sharing"","&amp;"""เชียงราย!M584"")+IMPORTRANGE(""https://docs.google.com/spreadsheets/d/1rEDxBtusbi64tE0zunoIbsTVV16HeL0oJ6trHQeQ7K8/edit?usp=sharing"",""เชียงใหม่!M584"")+IMPORTRANGE(""https://docs.google.com/spreadsheets/d/1W6MnUbDkMi6xHnHko_XkFDO9kkuL6Wqyc-6OCDFjW9I/e"&amp;"dit?usp=sharing"",""ตาก!M584"")+IMPORTRANGE(""https://docs.google.com/spreadsheets/d/1IQAWArduLkta9LpYo4a_ULsyqdta6-6aDDiwpUnQT6c/edit?usp=sharing"",""นครสวรรค์!M584"")+IMPORTRANGE(""https://docs.google.com/spreadsheets/d/10s13Sk5xrltsiR-Zkbmk5DwIaDIKO8Xl"&amp;"bJAfqyT7Gvg/edit?usp=sharing"",""น่าน!M584"")+IMPORTRANGE(""https://docs.google.com/spreadsheets/d/1uu4nAn4Dbi1XREnLKKotUANlKXa7yCgRcgq8HEzQYW8/edit?usp=sharing"",""พะเยา!M584"")+IMPORTRANGE(""https://docs.google.com/spreadsheets/d/1xfJKIQxVOaPDIICqsflNlL"&amp;"u3JacTDk1FP9RH4phX7mI/edit?usp=sharing"",""พิจิตร!M584"")+IMPORTRANGE(""https://docs.google.com/spreadsheets/d/1JtRfZkJMHtEhI5RdRHxYUG4FIZHqKDpNyIuN7A1Q0_k/edit?usp=sharing"",""พิษณุโลก!M584"")+IMPORTRANGE(""https://docs.google.com/spreadsheets/d/1xlcVZWU"&amp;"Nn6SuWm0c307h32SiGkd9BaeQWlAktfD3KO8/edit?usp=sharing"",""เพชรบูรณ์!M584"")+IMPORTRANGE(""https://docs.google.com/spreadsheets/d/1lOVebEIsI9qjGXl6EX66luk7wiuP2tBaryw-wKvv4e0/edit?usp=sharing"",""แพร่!M584"")+IMPORTRANGE(""https://docs.google.com/spreadshe"&amp;"ets/d/1dQrvX0vEcN7Gu0fnZ0B5S90AeR19zth4XlExFBeExMY/edit?usp=sharing"",""แม่ฮ่องสอน!M584"")+IMPORTRANGE(""https://docs.google.com/spreadsheets/d/1DY4XTNNwjluuxqdfdn6qvOSlMRrZqUtmYcZR0ttFiG4/edit?usp=sharing"",""ลำปาง!M584"")+IMPORTRANGE(""https://docs.goog"&amp;"le.com/spreadsheets/d/1ICwG78r0OFT8biBlxnBF8r7she7gNSzOvJ958PWT09c/edit?usp=sharing"",""ลำพูน!M584"")+IMPORTRANGE(""https://docs.google.com/spreadsheets/d/1B0f2xJpZUC6Z0xXnqKlZtEPzsf6L84eP1r1Q15seqRM/edit?usp=sharing"",""สุโขทัย!M584"")+IMPORTRANGE(""http"&amp;"s://docs.google.com/spreadsheets/d/1v0b9pFQCsKUVExMei7AgY2yQkdeNQvtOssygGsXbiKo/edit?usp=sharing"",""อุตรดิตถ์!M584"")+IMPORTRANGE(""https://docs.google.com/spreadsheets/d/1UsNK1e-WWiCo2PvGqdNfdme4m17_Ezd3J69EeeiQPD0/edit?usp=sharing"",""อุทัยธานี!M584"")"),0)</f>
        <v>0</v>
      </c>
      <c r="N584" s="46">
        <f ca="1">IFERROR(__xludf.DUMMYFUNCTION("IMPORTRANGE(""https://docs.google.com/spreadsheets/d/1jTcq05yEiRwXcBMLjiodW9e4biSGYWAHcDj22rKWQ3s/edit?usp=sharing"",""กำแพงเพชร!N584"")+IMPORTRANGE(""https://docs.google.com/spreadsheets/d/1KS0zmDSZPk8KnTAbGN-Xk6MtX1YRZD0ldgdt20K4CRk/edit?usp=sharing"","&amp;"""เชียงราย!N584"")+IMPORTRANGE(""https://docs.google.com/spreadsheets/d/1rEDxBtusbi64tE0zunoIbsTVV16HeL0oJ6trHQeQ7K8/edit?usp=sharing"",""เชียงใหม่!N584"")+IMPORTRANGE(""https://docs.google.com/spreadsheets/d/1W6MnUbDkMi6xHnHko_XkFDO9kkuL6Wqyc-6OCDFjW9I/e"&amp;"dit?usp=sharing"",""ตาก!N584"")+IMPORTRANGE(""https://docs.google.com/spreadsheets/d/1IQAWArduLkta9LpYo4a_ULsyqdta6-6aDDiwpUnQT6c/edit?usp=sharing"",""นครสวรรค์!N584"")+IMPORTRANGE(""https://docs.google.com/spreadsheets/d/10s13Sk5xrltsiR-Zkbmk5DwIaDIKO8Xl"&amp;"bJAfqyT7Gvg/edit?usp=sharing"",""น่าน!N584"")+IMPORTRANGE(""https://docs.google.com/spreadsheets/d/1uu4nAn4Dbi1XREnLKKotUANlKXa7yCgRcgq8HEzQYW8/edit?usp=sharing"",""พะเยา!N584"")+IMPORTRANGE(""https://docs.google.com/spreadsheets/d/1xfJKIQxVOaPDIICqsflNlL"&amp;"u3JacTDk1FP9RH4phX7mI/edit?usp=sharing"",""พิจิตร!N584"")+IMPORTRANGE(""https://docs.google.com/spreadsheets/d/1JtRfZkJMHtEhI5RdRHxYUG4FIZHqKDpNyIuN7A1Q0_k/edit?usp=sharing"",""พิษณุโลก!N584"")+IMPORTRANGE(""https://docs.google.com/spreadsheets/d/1xlcVZWU"&amp;"Nn6SuWm0c307h32SiGkd9BaeQWlAktfD3KO8/edit?usp=sharing"",""เพชรบูรณ์!N584"")+IMPORTRANGE(""https://docs.google.com/spreadsheets/d/1lOVebEIsI9qjGXl6EX66luk7wiuP2tBaryw-wKvv4e0/edit?usp=sharing"",""แพร่!N584"")+IMPORTRANGE(""https://docs.google.com/spreadshe"&amp;"ets/d/1dQrvX0vEcN7Gu0fnZ0B5S90AeR19zth4XlExFBeExMY/edit?usp=sharing"",""แม่ฮ่องสอน!N584"")+IMPORTRANGE(""https://docs.google.com/spreadsheets/d/1DY4XTNNwjluuxqdfdn6qvOSlMRrZqUtmYcZR0ttFiG4/edit?usp=sharing"",""ลำปาง!N584"")+IMPORTRANGE(""https://docs.goog"&amp;"le.com/spreadsheets/d/1ICwG78r0OFT8biBlxnBF8r7she7gNSzOvJ958PWT09c/edit?usp=sharing"",""ลำพูน!N584"")+IMPORTRANGE(""https://docs.google.com/spreadsheets/d/1B0f2xJpZUC6Z0xXnqKlZtEPzsf6L84eP1r1Q15seqRM/edit?usp=sharing"",""สุโขทัย!N584"")+IMPORTRANGE(""http"&amp;"s://docs.google.com/spreadsheets/d/1v0b9pFQCsKUVExMei7AgY2yQkdeNQvtOssygGsXbiKo/edit?usp=sharing"",""อุตรดิตถ์!N584"")+IMPORTRANGE(""https://docs.google.com/spreadsheets/d/1UsNK1e-WWiCo2PvGqdNfdme4m17_Ezd3J69EeeiQPD0/edit?usp=sharing"",""อุทัยธานี!N584"")"),0)</f>
        <v>0</v>
      </c>
      <c r="O584" s="46">
        <f t="shared" ca="1" si="409"/>
        <v>0</v>
      </c>
      <c r="P584" s="46">
        <f t="shared" ca="1" si="410"/>
        <v>0</v>
      </c>
      <c r="Q584" s="46">
        <f ca="1">IFERROR(__xludf.DUMMYFUNCTION("IMPORTRANGE(""https://docs.google.com/spreadsheets/d/1jTcq05yEiRwXcBMLjiodW9e4biSGYWAHcDj22rKWQ3s/edit?usp=sharing"",""กำแพงเพชร!Q584"")+IMPORTRANGE(""https://docs.google.com/spreadsheets/d/1KS0zmDSZPk8KnTAbGN-Xk6MtX1YRZD0ldgdt20K4CRk/edit?usp=sharing"","&amp;"""เชียงราย!Q584"")+IMPORTRANGE(""https://docs.google.com/spreadsheets/d/1rEDxBtusbi64tE0zunoIbsTVV16HeL0oJ6trHQeQ7K8/edit?usp=sharing"",""เชียงใหม่!Q584"")+IMPORTRANGE(""https://docs.google.com/spreadsheets/d/1W6MnUbDkMi6xHnHko_XkFDO9kkuL6Wqyc-6OCDFjW9I/e"&amp;"dit?usp=sharing"",""ตาก!Q584"")+IMPORTRANGE(""https://docs.google.com/spreadsheets/d/1IQAWArduLkta9LpYo4a_ULsyqdta6-6aDDiwpUnQT6c/edit?usp=sharing"",""นครสวรรค์!Q584"")+IMPORTRANGE(""https://docs.google.com/spreadsheets/d/10s13Sk5xrltsiR-Zkbmk5DwIaDIKO8Xl"&amp;"bJAfqyT7Gvg/edit?usp=sharing"",""น่าน!Q584"")+IMPORTRANGE(""https://docs.google.com/spreadsheets/d/1uu4nAn4Dbi1XREnLKKotUANlKXa7yCgRcgq8HEzQYW8/edit?usp=sharing"",""พะเยา!Q584"")+IMPORTRANGE(""https://docs.google.com/spreadsheets/d/1xfJKIQxVOaPDIICqsflNlL"&amp;"u3JacTDk1FP9RH4phX7mI/edit?usp=sharing"",""พิจิตร!Q584"")+IMPORTRANGE(""https://docs.google.com/spreadsheets/d/1JtRfZkJMHtEhI5RdRHxYUG4FIZHqKDpNyIuN7A1Q0_k/edit?usp=sharing"",""พิษณุโลก!Q584"")+IMPORTRANGE(""https://docs.google.com/spreadsheets/d/1xlcVZWU"&amp;"Nn6SuWm0c307h32SiGkd9BaeQWlAktfD3KO8/edit?usp=sharing"",""เพชรบูรณ์!Q584"")+IMPORTRANGE(""https://docs.google.com/spreadsheets/d/1lOVebEIsI9qjGXl6EX66luk7wiuP2tBaryw-wKvv4e0/edit?usp=sharing"",""แพร่!Q584"")+IMPORTRANGE(""https://docs.google.com/spreadshe"&amp;"ets/d/1dQrvX0vEcN7Gu0fnZ0B5S90AeR19zth4XlExFBeExMY/edit?usp=sharing"",""แม่ฮ่องสอน!Q584"")+IMPORTRANGE(""https://docs.google.com/spreadsheets/d/1DY4XTNNwjluuxqdfdn6qvOSlMRrZqUtmYcZR0ttFiG4/edit?usp=sharing"",""ลำปาง!Q584"")+IMPORTRANGE(""https://docs.goog"&amp;"le.com/spreadsheets/d/1ICwG78r0OFT8biBlxnBF8r7she7gNSzOvJ958PWT09c/edit?usp=sharing"",""ลำพูน!Q584"")+IMPORTRANGE(""https://docs.google.com/spreadsheets/d/1B0f2xJpZUC6Z0xXnqKlZtEPzsf6L84eP1r1Q15seqRM/edit?usp=sharing"",""สุโขทัย!Q584"")+IMPORTRANGE(""http"&amp;"s://docs.google.com/spreadsheets/d/1v0b9pFQCsKUVExMei7AgY2yQkdeNQvtOssygGsXbiKo/edit?usp=sharing"",""อุตรดิตถ์!Q584"")+IMPORTRANGE(""https://docs.google.com/spreadsheets/d/1UsNK1e-WWiCo2PvGqdNfdme4m17_Ezd3J69EeeiQPD0/edit?usp=sharing"",""อุทัยธานี!Q584"")"),0)</f>
        <v>0</v>
      </c>
      <c r="R584" s="46">
        <f ca="1">IFERROR(__xludf.DUMMYFUNCTION("IMPORTRANGE(""https://docs.google.com/spreadsheets/d/1jTcq05yEiRwXcBMLjiodW9e4biSGYWAHcDj22rKWQ3s/edit?usp=sharing"",""กำแพงเพชร!R584"")+IMPORTRANGE(""https://docs.google.com/spreadsheets/d/1KS0zmDSZPk8KnTAbGN-Xk6MtX1YRZD0ldgdt20K4CRk/edit?usp=sharing"","&amp;"""เชียงราย!R584"")+IMPORTRANGE(""https://docs.google.com/spreadsheets/d/1rEDxBtusbi64tE0zunoIbsTVV16HeL0oJ6trHQeQ7K8/edit?usp=sharing"",""เชียงใหม่!R584"")+IMPORTRANGE(""https://docs.google.com/spreadsheets/d/1W6MnUbDkMi6xHnHko_XkFDO9kkuL6Wqyc-6OCDFjW9I/e"&amp;"dit?usp=sharing"",""ตาก!R584"")+IMPORTRANGE(""https://docs.google.com/spreadsheets/d/1IQAWArduLkta9LpYo4a_ULsyqdta6-6aDDiwpUnQT6c/edit?usp=sharing"",""นครสวรรค์!R584"")+IMPORTRANGE(""https://docs.google.com/spreadsheets/d/10s13Sk5xrltsiR-Zkbmk5DwIaDIKO8Xl"&amp;"bJAfqyT7Gvg/edit?usp=sharing"",""น่าน!R584"")+IMPORTRANGE(""https://docs.google.com/spreadsheets/d/1uu4nAn4Dbi1XREnLKKotUANlKXa7yCgRcgq8HEzQYW8/edit?usp=sharing"",""พะเยา!R584"")+IMPORTRANGE(""https://docs.google.com/spreadsheets/d/1xfJKIQxVOaPDIICqsflNlL"&amp;"u3JacTDk1FP9RH4phX7mI/edit?usp=sharing"",""พิจิตร!R584"")+IMPORTRANGE(""https://docs.google.com/spreadsheets/d/1JtRfZkJMHtEhI5RdRHxYUG4FIZHqKDpNyIuN7A1Q0_k/edit?usp=sharing"",""พิษณุโลก!R584"")+IMPORTRANGE(""https://docs.google.com/spreadsheets/d/1xlcVZWU"&amp;"Nn6SuWm0c307h32SiGkd9BaeQWlAktfD3KO8/edit?usp=sharing"",""เพชรบูรณ์!R584"")+IMPORTRANGE(""https://docs.google.com/spreadsheets/d/1lOVebEIsI9qjGXl6EX66luk7wiuP2tBaryw-wKvv4e0/edit?usp=sharing"",""แพร่!R584"")+IMPORTRANGE(""https://docs.google.com/spreadshe"&amp;"ets/d/1dQrvX0vEcN7Gu0fnZ0B5S90AeR19zth4XlExFBeExMY/edit?usp=sharing"",""แม่ฮ่องสอน!R584"")+IMPORTRANGE(""https://docs.google.com/spreadsheets/d/1DY4XTNNwjluuxqdfdn6qvOSlMRrZqUtmYcZR0ttFiG4/edit?usp=sharing"",""ลำปาง!R584"")+IMPORTRANGE(""https://docs.goog"&amp;"le.com/spreadsheets/d/1ICwG78r0OFT8biBlxnBF8r7she7gNSzOvJ958PWT09c/edit?usp=sharing"",""ลำพูน!R584"")+IMPORTRANGE(""https://docs.google.com/spreadsheets/d/1B0f2xJpZUC6Z0xXnqKlZtEPzsf6L84eP1r1Q15seqRM/edit?usp=sharing"",""สุโขทัย!R584"")+IMPORTRANGE(""http"&amp;"s://docs.google.com/spreadsheets/d/1v0b9pFQCsKUVExMei7AgY2yQkdeNQvtOssygGsXbiKo/edit?usp=sharing"",""อุตรดิตถ์!R584"")+IMPORTRANGE(""https://docs.google.com/spreadsheets/d/1UsNK1e-WWiCo2PvGqdNfdme4m17_Ezd3J69EeeiQPD0/edit?usp=sharing"",""อุทัยธานี!R584"")"),0)</f>
        <v>0</v>
      </c>
      <c r="S584" s="46">
        <f ca="1">IFERROR(__xludf.DUMMYFUNCTION("IMPORTRANGE(""https://docs.google.com/spreadsheets/d/1jTcq05yEiRwXcBMLjiodW9e4biSGYWAHcDj22rKWQ3s/edit?usp=sharing"",""กำแพงเพชร!S584"")+IMPORTRANGE(""https://docs.google.com/spreadsheets/d/1KS0zmDSZPk8KnTAbGN-Xk6MtX1YRZD0ldgdt20K4CRk/edit?usp=sharing"","&amp;"""เชียงราย!S584"")+IMPORTRANGE(""https://docs.google.com/spreadsheets/d/1rEDxBtusbi64tE0zunoIbsTVV16HeL0oJ6trHQeQ7K8/edit?usp=sharing"",""เชียงใหม่!S584"")+IMPORTRANGE(""https://docs.google.com/spreadsheets/d/1W6MnUbDkMi6xHnHko_XkFDO9kkuL6Wqyc-6OCDFjW9I/e"&amp;"dit?usp=sharing"",""ตาก!S584"")+IMPORTRANGE(""https://docs.google.com/spreadsheets/d/1IQAWArduLkta9LpYo4a_ULsyqdta6-6aDDiwpUnQT6c/edit?usp=sharing"",""นครสวรรค์!S584"")+IMPORTRANGE(""https://docs.google.com/spreadsheets/d/10s13Sk5xrltsiR-Zkbmk5DwIaDIKO8Xl"&amp;"bJAfqyT7Gvg/edit?usp=sharing"",""น่าน!S584"")+IMPORTRANGE(""https://docs.google.com/spreadsheets/d/1uu4nAn4Dbi1XREnLKKotUANlKXa7yCgRcgq8HEzQYW8/edit?usp=sharing"",""พะเยา!S584"")+IMPORTRANGE(""https://docs.google.com/spreadsheets/d/1xfJKIQxVOaPDIICqsflNlL"&amp;"u3JacTDk1FP9RH4phX7mI/edit?usp=sharing"",""พิจิตร!S584"")+IMPORTRANGE(""https://docs.google.com/spreadsheets/d/1JtRfZkJMHtEhI5RdRHxYUG4FIZHqKDpNyIuN7A1Q0_k/edit?usp=sharing"",""พิษณุโลก!S584"")+IMPORTRANGE(""https://docs.google.com/spreadsheets/d/1xlcVZWU"&amp;"Nn6SuWm0c307h32SiGkd9BaeQWlAktfD3KO8/edit?usp=sharing"",""เพชรบูรณ์!S584"")+IMPORTRANGE(""https://docs.google.com/spreadsheets/d/1lOVebEIsI9qjGXl6EX66luk7wiuP2tBaryw-wKvv4e0/edit?usp=sharing"",""แพร่!S584"")+IMPORTRANGE(""https://docs.google.com/spreadshe"&amp;"ets/d/1dQrvX0vEcN7Gu0fnZ0B5S90AeR19zth4XlExFBeExMY/edit?usp=sharing"",""แม่ฮ่องสอน!S584"")+IMPORTRANGE(""https://docs.google.com/spreadsheets/d/1DY4XTNNwjluuxqdfdn6qvOSlMRrZqUtmYcZR0ttFiG4/edit?usp=sharing"",""ลำปาง!S584"")+IMPORTRANGE(""https://docs.goog"&amp;"le.com/spreadsheets/d/1ICwG78r0OFT8biBlxnBF8r7she7gNSzOvJ958PWT09c/edit?usp=sharing"",""ลำพูน!S584"")+IMPORTRANGE(""https://docs.google.com/spreadsheets/d/1B0f2xJpZUC6Z0xXnqKlZtEPzsf6L84eP1r1Q15seqRM/edit?usp=sharing"",""สุโขทัย!S584"")+IMPORTRANGE(""http"&amp;"s://docs.google.com/spreadsheets/d/1v0b9pFQCsKUVExMei7AgY2yQkdeNQvtOssygGsXbiKo/edit?usp=sharing"",""อุตรดิตถ์!S584"")+IMPORTRANGE(""https://docs.google.com/spreadsheets/d/1UsNK1e-WWiCo2PvGqdNfdme4m17_Ezd3J69EeeiQPD0/edit?usp=sharing"",""อุทัยธานี!S584"")"),0)</f>
        <v>0</v>
      </c>
      <c r="T584" s="46">
        <f t="shared" ca="1" si="412"/>
        <v>0</v>
      </c>
      <c r="U584" s="46">
        <f t="shared" ca="1" si="413"/>
        <v>0</v>
      </c>
    </row>
    <row r="585" spans="1:21" ht="19.5" x14ac:dyDescent="0.3">
      <c r="A585" s="138"/>
      <c r="B585" s="139"/>
      <c r="C585" s="365" t="s">
        <v>18</v>
      </c>
      <c r="D585" s="140" t="s">
        <v>38</v>
      </c>
      <c r="E585" s="141"/>
      <c r="F585" s="141"/>
      <c r="G585" s="142"/>
      <c r="H585" s="143"/>
      <c r="I585" s="135"/>
      <c r="J585" s="44"/>
      <c r="K585" s="45"/>
      <c r="L585" s="45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233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233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233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233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233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233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233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233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233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319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x14ac:dyDescent="0.3">
      <c r="A596" s="366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x14ac:dyDescent="0.3">
      <c r="A597" s="124"/>
      <c r="B597" s="367" t="s">
        <v>214</v>
      </c>
      <c r="C597" s="172"/>
      <c r="D597" s="125"/>
      <c r="E597" s="27"/>
      <c r="F597" s="27"/>
      <c r="G597" s="27"/>
      <c r="H597" s="368" t="s">
        <v>99</v>
      </c>
      <c r="I597" s="182"/>
      <c r="J597" s="32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x14ac:dyDescent="0.3">
      <c r="A598" s="369"/>
      <c r="B598" s="370" t="s">
        <v>215</v>
      </c>
      <c r="C598" s="125"/>
      <c r="D598" s="27"/>
      <c r="E598" s="27"/>
      <c r="F598" s="27"/>
      <c r="G598" s="30"/>
      <c r="H598" s="371" t="s">
        <v>35</v>
      </c>
      <c r="I598" s="32"/>
      <c r="J598" s="32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x14ac:dyDescent="0.3">
      <c r="A599" s="128"/>
      <c r="B599" s="158"/>
      <c r="C599" s="177" t="s">
        <v>18</v>
      </c>
      <c r="D599" s="792" t="s">
        <v>19</v>
      </c>
      <c r="E599" s="793"/>
      <c r="F599" s="793"/>
      <c r="G599" s="794"/>
      <c r="H599" s="372" t="s">
        <v>14</v>
      </c>
      <c r="I599" s="44"/>
      <c r="J599" s="44"/>
      <c r="K599" s="45"/>
      <c r="L599" s="132">
        <f t="shared" ref="L599:N599" ca="1" si="422">L600+L601</f>
        <v>0</v>
      </c>
      <c r="M599" s="132">
        <f t="shared" ca="1" si="422"/>
        <v>0</v>
      </c>
      <c r="N599" s="132">
        <f t="shared" ca="1" si="422"/>
        <v>0</v>
      </c>
      <c r="O599" s="132">
        <f t="shared" ref="O599:O607" ca="1" si="423">IF(L599&gt;0,N599*100/L599,0)</f>
        <v>0</v>
      </c>
      <c r="P599" s="132">
        <f t="shared" ref="P599:P607" ca="1" si="424">IF(M599&gt;0,N599*100/M599,0)</f>
        <v>0</v>
      </c>
      <c r="Q599" s="132">
        <f t="shared" ref="Q599:S599" ca="1" si="425">Q600+Q601</f>
        <v>0</v>
      </c>
      <c r="R599" s="132">
        <f t="shared" ca="1" si="425"/>
        <v>0</v>
      </c>
      <c r="S599" s="132">
        <f t="shared" ca="1" si="425"/>
        <v>0</v>
      </c>
      <c r="T599" s="132">
        <f t="shared" ref="T599:T607" ca="1" si="426">IF(Q599&gt;0,S599*100/Q599,0)</f>
        <v>0</v>
      </c>
      <c r="U599" s="132">
        <f t="shared" ref="U599:U607" ca="1" si="427">IF(R599&gt;0,S599*100/R599,0)</f>
        <v>0</v>
      </c>
    </row>
    <row r="600" spans="1:21" ht="18.75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48">
        <f t="shared" ref="L600:N600" ca="1" si="428">L603+L606</f>
        <v>0</v>
      </c>
      <c r="M600" s="48">
        <f t="shared" ca="1" si="428"/>
        <v>0</v>
      </c>
      <c r="N600" s="48">
        <f t="shared" ca="1" si="428"/>
        <v>0</v>
      </c>
      <c r="O600" s="48">
        <f t="shared" ca="1" si="423"/>
        <v>0</v>
      </c>
      <c r="P600" s="48">
        <f t="shared" ca="1" si="424"/>
        <v>0</v>
      </c>
      <c r="Q600" s="48">
        <f t="shared" ref="Q600:S600" ca="1" si="429">Q603+Q606</f>
        <v>0</v>
      </c>
      <c r="R600" s="48">
        <f t="shared" ca="1" si="429"/>
        <v>0</v>
      </c>
      <c r="S600" s="48">
        <f t="shared" ca="1" si="429"/>
        <v>0</v>
      </c>
      <c r="T600" s="48">
        <f t="shared" ca="1" si="426"/>
        <v>0</v>
      </c>
      <c r="U600" s="48">
        <f t="shared" ca="1" si="427"/>
        <v>0</v>
      </c>
    </row>
    <row r="601" spans="1:21" ht="18.75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46">
        <f t="shared" ref="L601:N601" ca="1" si="430">L604+L607</f>
        <v>0</v>
      </c>
      <c r="M601" s="46">
        <f t="shared" ca="1" si="430"/>
        <v>0</v>
      </c>
      <c r="N601" s="46">
        <f t="shared" ca="1" si="430"/>
        <v>0</v>
      </c>
      <c r="O601" s="46">
        <f t="shared" ca="1" si="423"/>
        <v>0</v>
      </c>
      <c r="P601" s="46">
        <f t="shared" ca="1" si="424"/>
        <v>0</v>
      </c>
      <c r="Q601" s="46">
        <f t="shared" ref="Q601:S601" ca="1" si="431">Q604+Q607</f>
        <v>0</v>
      </c>
      <c r="R601" s="46">
        <f t="shared" ca="1" si="431"/>
        <v>0</v>
      </c>
      <c r="S601" s="46">
        <f t="shared" ca="1" si="431"/>
        <v>0</v>
      </c>
      <c r="T601" s="46">
        <f t="shared" ca="1" si="426"/>
        <v>0</v>
      </c>
      <c r="U601" s="46">
        <f t="shared" ca="1" si="427"/>
        <v>0</v>
      </c>
    </row>
    <row r="602" spans="1:21" ht="19.5" x14ac:dyDescent="0.3">
      <c r="A602" s="128"/>
      <c r="B602" s="158"/>
      <c r="C602" s="158"/>
      <c r="D602" s="373" t="s">
        <v>22</v>
      </c>
      <c r="E602" s="40"/>
      <c r="F602" s="40"/>
      <c r="G602" s="42"/>
      <c r="H602" s="372" t="s">
        <v>14</v>
      </c>
      <c r="I602" s="135"/>
      <c r="J602" s="135"/>
      <c r="K602" s="136"/>
      <c r="L602" s="46">
        <f t="shared" ref="L602:N602" ca="1" si="432">L603+L604</f>
        <v>0</v>
      </c>
      <c r="M602" s="46">
        <f t="shared" ca="1" si="432"/>
        <v>0</v>
      </c>
      <c r="N602" s="46">
        <f t="shared" ca="1" si="432"/>
        <v>0</v>
      </c>
      <c r="O602" s="46">
        <f t="shared" ca="1" si="423"/>
        <v>0</v>
      </c>
      <c r="P602" s="46">
        <f t="shared" ca="1" si="424"/>
        <v>0</v>
      </c>
      <c r="Q602" s="46">
        <f t="shared" ref="Q602:S602" ca="1" si="433">Q603+Q604</f>
        <v>0</v>
      </c>
      <c r="R602" s="46">
        <f t="shared" ca="1" si="433"/>
        <v>0</v>
      </c>
      <c r="S602" s="46">
        <f t="shared" ca="1" si="433"/>
        <v>0</v>
      </c>
      <c r="T602" s="46">
        <f t="shared" ca="1" si="426"/>
        <v>0</v>
      </c>
      <c r="U602" s="46">
        <f t="shared" ca="1" si="427"/>
        <v>0</v>
      </c>
    </row>
    <row r="603" spans="1:21" ht="18.75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48">
        <f ca="1">IFERROR(__xludf.DUMMYFUNCTION("IMPORTRANGE(""https://docs.google.com/spreadsheets/d/1jTcq05yEiRwXcBMLjiodW9e4biSGYWAHcDj22rKWQ3s/edit?usp=sharing"",""กำแพงเพชร!L603"")+IMPORTRANGE(""https://docs.google.com/spreadsheets/d/1KS0zmDSZPk8KnTAbGN-Xk6MtX1YRZD0ldgdt20K4CRk/edit?usp=sharing"","&amp;"""เชียงราย!L603"")+IMPORTRANGE(""https://docs.google.com/spreadsheets/d/1rEDxBtusbi64tE0zunoIbsTVV16HeL0oJ6trHQeQ7K8/edit?usp=sharing"",""เชียงใหม่!L603"")+IMPORTRANGE(""https://docs.google.com/spreadsheets/d/1W6MnUbDkMi6xHnHko_XkFDO9kkuL6Wqyc-6OCDFjW9I/e"&amp;"dit?usp=sharing"",""ตาก!L603"")+IMPORTRANGE(""https://docs.google.com/spreadsheets/d/1IQAWArduLkta9LpYo4a_ULsyqdta6-6aDDiwpUnQT6c/edit?usp=sharing"",""นครสวรรค์!L603"")+IMPORTRANGE(""https://docs.google.com/spreadsheets/d/10s13Sk5xrltsiR-Zkbmk5DwIaDIKO8Xl"&amp;"bJAfqyT7Gvg/edit?usp=sharing"",""น่าน!L603"")+IMPORTRANGE(""https://docs.google.com/spreadsheets/d/1uu4nAn4Dbi1XREnLKKotUANlKXa7yCgRcgq8HEzQYW8/edit?usp=sharing"",""พะเยา!L603"")+IMPORTRANGE(""https://docs.google.com/spreadsheets/d/1xfJKIQxVOaPDIICqsflNlL"&amp;"u3JacTDk1FP9RH4phX7mI/edit?usp=sharing"",""พิจิตร!L603"")+IMPORTRANGE(""https://docs.google.com/spreadsheets/d/1JtRfZkJMHtEhI5RdRHxYUG4FIZHqKDpNyIuN7A1Q0_k/edit?usp=sharing"",""พิษณุโลก!L603"")+IMPORTRANGE(""https://docs.google.com/spreadsheets/d/1xlcVZWU"&amp;"Nn6SuWm0c307h32SiGkd9BaeQWlAktfD3KO8/edit?usp=sharing"",""เพชรบูรณ์!L603"")+IMPORTRANGE(""https://docs.google.com/spreadsheets/d/1lOVebEIsI9qjGXl6EX66luk7wiuP2tBaryw-wKvv4e0/edit?usp=sharing"",""แพร่!L603"")+IMPORTRANGE(""https://docs.google.com/spreadshe"&amp;"ets/d/1dQrvX0vEcN7Gu0fnZ0B5S90AeR19zth4XlExFBeExMY/edit?usp=sharing"",""แม่ฮ่องสอน!L603"")+IMPORTRANGE(""https://docs.google.com/spreadsheets/d/1DY4XTNNwjluuxqdfdn6qvOSlMRrZqUtmYcZR0ttFiG4/edit?usp=sharing"",""ลำปาง!L603"")+IMPORTRANGE(""https://docs.goog"&amp;"le.com/spreadsheets/d/1ICwG78r0OFT8biBlxnBF8r7she7gNSzOvJ958PWT09c/edit?usp=sharing"",""ลำพูน!L603"")+IMPORTRANGE(""https://docs.google.com/spreadsheets/d/1B0f2xJpZUC6Z0xXnqKlZtEPzsf6L84eP1r1Q15seqRM/edit?usp=sharing"",""สุโขทัย!L603"")+IMPORTRANGE(""http"&amp;"s://docs.google.com/spreadsheets/d/1v0b9pFQCsKUVExMei7AgY2yQkdeNQvtOssygGsXbiKo/edit?usp=sharing"",""อุตรดิตถ์!L603"")+IMPORTRANGE(""https://docs.google.com/spreadsheets/d/1UsNK1e-WWiCo2PvGqdNfdme4m17_Ezd3J69EeeiQPD0/edit?usp=sharing"",""อุทัยธานี!L603"")"),0)</f>
        <v>0</v>
      </c>
      <c r="M603" s="48">
        <f ca="1">IFERROR(__xludf.DUMMYFUNCTION("IMPORTRANGE(""https://docs.google.com/spreadsheets/d/1jTcq05yEiRwXcBMLjiodW9e4biSGYWAHcDj22rKWQ3s/edit?usp=sharing"",""กำแพงเพชร!M603"")+IMPORTRANGE(""https://docs.google.com/spreadsheets/d/1KS0zmDSZPk8KnTAbGN-Xk6MtX1YRZD0ldgdt20K4CRk/edit?usp=sharing"","&amp;"""เชียงราย!M603"")+IMPORTRANGE(""https://docs.google.com/spreadsheets/d/1rEDxBtusbi64tE0zunoIbsTVV16HeL0oJ6trHQeQ7K8/edit?usp=sharing"",""เชียงใหม่!M603"")+IMPORTRANGE(""https://docs.google.com/spreadsheets/d/1W6MnUbDkMi6xHnHko_XkFDO9kkuL6Wqyc-6OCDFjW9I/e"&amp;"dit?usp=sharing"",""ตาก!M603"")+IMPORTRANGE(""https://docs.google.com/spreadsheets/d/1IQAWArduLkta9LpYo4a_ULsyqdta6-6aDDiwpUnQT6c/edit?usp=sharing"",""นครสวรรค์!M603"")+IMPORTRANGE(""https://docs.google.com/spreadsheets/d/10s13Sk5xrltsiR-Zkbmk5DwIaDIKO8Xl"&amp;"bJAfqyT7Gvg/edit?usp=sharing"",""น่าน!M603"")+IMPORTRANGE(""https://docs.google.com/spreadsheets/d/1uu4nAn4Dbi1XREnLKKotUANlKXa7yCgRcgq8HEzQYW8/edit?usp=sharing"",""พะเยา!M603"")+IMPORTRANGE(""https://docs.google.com/spreadsheets/d/1xfJKIQxVOaPDIICqsflNlL"&amp;"u3JacTDk1FP9RH4phX7mI/edit?usp=sharing"",""พิจิตร!M603"")+IMPORTRANGE(""https://docs.google.com/spreadsheets/d/1JtRfZkJMHtEhI5RdRHxYUG4FIZHqKDpNyIuN7A1Q0_k/edit?usp=sharing"",""พิษณุโลก!M603"")+IMPORTRANGE(""https://docs.google.com/spreadsheets/d/1xlcVZWU"&amp;"Nn6SuWm0c307h32SiGkd9BaeQWlAktfD3KO8/edit?usp=sharing"",""เพชรบูรณ์!M603"")+IMPORTRANGE(""https://docs.google.com/spreadsheets/d/1lOVebEIsI9qjGXl6EX66luk7wiuP2tBaryw-wKvv4e0/edit?usp=sharing"",""แพร่!M603"")+IMPORTRANGE(""https://docs.google.com/spreadshe"&amp;"ets/d/1dQrvX0vEcN7Gu0fnZ0B5S90AeR19zth4XlExFBeExMY/edit?usp=sharing"",""แม่ฮ่องสอน!M603"")+IMPORTRANGE(""https://docs.google.com/spreadsheets/d/1DY4XTNNwjluuxqdfdn6qvOSlMRrZqUtmYcZR0ttFiG4/edit?usp=sharing"",""ลำปาง!M603"")+IMPORTRANGE(""https://docs.goog"&amp;"le.com/spreadsheets/d/1ICwG78r0OFT8biBlxnBF8r7she7gNSzOvJ958PWT09c/edit?usp=sharing"",""ลำพูน!M603"")+IMPORTRANGE(""https://docs.google.com/spreadsheets/d/1B0f2xJpZUC6Z0xXnqKlZtEPzsf6L84eP1r1Q15seqRM/edit?usp=sharing"",""สุโขทัย!M603"")+IMPORTRANGE(""http"&amp;"s://docs.google.com/spreadsheets/d/1v0b9pFQCsKUVExMei7AgY2yQkdeNQvtOssygGsXbiKo/edit?usp=sharing"",""อุตรดิตถ์!M603"")+IMPORTRANGE(""https://docs.google.com/spreadsheets/d/1UsNK1e-WWiCo2PvGqdNfdme4m17_Ezd3J69EeeiQPD0/edit?usp=sharing"",""อุทัยธานี!M603"")"),0)</f>
        <v>0</v>
      </c>
      <c r="N603" s="48">
        <f ca="1">IFERROR(__xludf.DUMMYFUNCTION("IMPORTRANGE(""https://docs.google.com/spreadsheets/d/1jTcq05yEiRwXcBMLjiodW9e4biSGYWAHcDj22rKWQ3s/edit?usp=sharing"",""กำแพงเพชร!N603"")+IMPORTRANGE(""https://docs.google.com/spreadsheets/d/1KS0zmDSZPk8KnTAbGN-Xk6MtX1YRZD0ldgdt20K4CRk/edit?usp=sharing"","&amp;"""เชียงราย!N603"")+IMPORTRANGE(""https://docs.google.com/spreadsheets/d/1rEDxBtusbi64tE0zunoIbsTVV16HeL0oJ6trHQeQ7K8/edit?usp=sharing"",""เชียงใหม่!N603"")+IMPORTRANGE(""https://docs.google.com/spreadsheets/d/1W6MnUbDkMi6xHnHko_XkFDO9kkuL6Wqyc-6OCDFjW9I/e"&amp;"dit?usp=sharing"",""ตาก!N603"")+IMPORTRANGE(""https://docs.google.com/spreadsheets/d/1IQAWArduLkta9LpYo4a_ULsyqdta6-6aDDiwpUnQT6c/edit?usp=sharing"",""นครสวรรค์!N603"")+IMPORTRANGE(""https://docs.google.com/spreadsheets/d/10s13Sk5xrltsiR-Zkbmk5DwIaDIKO8Xl"&amp;"bJAfqyT7Gvg/edit?usp=sharing"",""น่าน!N603"")+IMPORTRANGE(""https://docs.google.com/spreadsheets/d/1uu4nAn4Dbi1XREnLKKotUANlKXa7yCgRcgq8HEzQYW8/edit?usp=sharing"",""พะเยา!N603"")+IMPORTRANGE(""https://docs.google.com/spreadsheets/d/1xfJKIQxVOaPDIICqsflNlL"&amp;"u3JacTDk1FP9RH4phX7mI/edit?usp=sharing"",""พิจิตร!N603"")+IMPORTRANGE(""https://docs.google.com/spreadsheets/d/1JtRfZkJMHtEhI5RdRHxYUG4FIZHqKDpNyIuN7A1Q0_k/edit?usp=sharing"",""พิษณุโลก!N603"")+IMPORTRANGE(""https://docs.google.com/spreadsheets/d/1xlcVZWU"&amp;"Nn6SuWm0c307h32SiGkd9BaeQWlAktfD3KO8/edit?usp=sharing"",""เพชรบูรณ์!N603"")+IMPORTRANGE(""https://docs.google.com/spreadsheets/d/1lOVebEIsI9qjGXl6EX66luk7wiuP2tBaryw-wKvv4e0/edit?usp=sharing"",""แพร่!N603"")+IMPORTRANGE(""https://docs.google.com/spreadshe"&amp;"ets/d/1dQrvX0vEcN7Gu0fnZ0B5S90AeR19zth4XlExFBeExMY/edit?usp=sharing"",""แม่ฮ่องสอน!N603"")+IMPORTRANGE(""https://docs.google.com/spreadsheets/d/1DY4XTNNwjluuxqdfdn6qvOSlMRrZqUtmYcZR0ttFiG4/edit?usp=sharing"",""ลำปาง!N603"")+IMPORTRANGE(""https://docs.goog"&amp;"le.com/spreadsheets/d/1ICwG78r0OFT8biBlxnBF8r7she7gNSzOvJ958PWT09c/edit?usp=sharing"",""ลำพูน!N603"")+IMPORTRANGE(""https://docs.google.com/spreadsheets/d/1B0f2xJpZUC6Z0xXnqKlZtEPzsf6L84eP1r1Q15seqRM/edit?usp=sharing"",""สุโขทัย!N603"")+IMPORTRANGE(""http"&amp;"s://docs.google.com/spreadsheets/d/1v0b9pFQCsKUVExMei7AgY2yQkdeNQvtOssygGsXbiKo/edit?usp=sharing"",""อุตรดิตถ์!N603"")+IMPORTRANGE(""https://docs.google.com/spreadsheets/d/1UsNK1e-WWiCo2PvGqdNfdme4m17_Ezd3J69EeeiQPD0/edit?usp=sharing"",""อุทัยธานี!N603"")"),0)</f>
        <v>0</v>
      </c>
      <c r="O603" s="48">
        <f t="shared" ca="1" si="423"/>
        <v>0</v>
      </c>
      <c r="P603" s="48">
        <f t="shared" ca="1" si="424"/>
        <v>0</v>
      </c>
      <c r="Q603" s="48">
        <f ca="1">IFERROR(__xludf.DUMMYFUNCTION("IMPORTRANGE(""https://docs.google.com/spreadsheets/d/1jTcq05yEiRwXcBMLjiodW9e4biSGYWAHcDj22rKWQ3s/edit?usp=sharing"",""กำแพงเพชร!Q603"")+IMPORTRANGE(""https://docs.google.com/spreadsheets/d/1KS0zmDSZPk8KnTAbGN-Xk6MtX1YRZD0ldgdt20K4CRk/edit?usp=sharing"","&amp;"""เชียงราย!Q603"")+IMPORTRANGE(""https://docs.google.com/spreadsheets/d/1rEDxBtusbi64tE0zunoIbsTVV16HeL0oJ6trHQeQ7K8/edit?usp=sharing"",""เชียงใหม่!Q603"")+IMPORTRANGE(""https://docs.google.com/spreadsheets/d/1W6MnUbDkMi6xHnHko_XkFDO9kkuL6Wqyc-6OCDFjW9I/e"&amp;"dit?usp=sharing"",""ตาก!Q603"")+IMPORTRANGE(""https://docs.google.com/spreadsheets/d/1IQAWArduLkta9LpYo4a_ULsyqdta6-6aDDiwpUnQT6c/edit?usp=sharing"",""นครสวรรค์!Q603"")+IMPORTRANGE(""https://docs.google.com/spreadsheets/d/10s13Sk5xrltsiR-Zkbmk5DwIaDIKO8Xl"&amp;"bJAfqyT7Gvg/edit?usp=sharing"",""น่าน!Q603"")+IMPORTRANGE(""https://docs.google.com/spreadsheets/d/1uu4nAn4Dbi1XREnLKKotUANlKXa7yCgRcgq8HEzQYW8/edit?usp=sharing"",""พะเยา!Q603"")+IMPORTRANGE(""https://docs.google.com/spreadsheets/d/1xfJKIQxVOaPDIICqsflNlL"&amp;"u3JacTDk1FP9RH4phX7mI/edit?usp=sharing"",""พิจิตร!Q603"")+IMPORTRANGE(""https://docs.google.com/spreadsheets/d/1JtRfZkJMHtEhI5RdRHxYUG4FIZHqKDpNyIuN7A1Q0_k/edit?usp=sharing"",""พิษณุโลก!Q603"")+IMPORTRANGE(""https://docs.google.com/spreadsheets/d/1xlcVZWU"&amp;"Nn6SuWm0c307h32SiGkd9BaeQWlAktfD3KO8/edit?usp=sharing"",""เพชรบูรณ์!Q603"")+IMPORTRANGE(""https://docs.google.com/spreadsheets/d/1lOVebEIsI9qjGXl6EX66luk7wiuP2tBaryw-wKvv4e0/edit?usp=sharing"",""แพร่!Q603"")+IMPORTRANGE(""https://docs.google.com/spreadshe"&amp;"ets/d/1dQrvX0vEcN7Gu0fnZ0B5S90AeR19zth4XlExFBeExMY/edit?usp=sharing"",""แม่ฮ่องสอน!Q603"")+IMPORTRANGE(""https://docs.google.com/spreadsheets/d/1DY4XTNNwjluuxqdfdn6qvOSlMRrZqUtmYcZR0ttFiG4/edit?usp=sharing"",""ลำปาง!Q603"")+IMPORTRANGE(""https://docs.goog"&amp;"le.com/spreadsheets/d/1ICwG78r0OFT8biBlxnBF8r7she7gNSzOvJ958PWT09c/edit?usp=sharing"",""ลำพูน!Q603"")+IMPORTRANGE(""https://docs.google.com/spreadsheets/d/1B0f2xJpZUC6Z0xXnqKlZtEPzsf6L84eP1r1Q15seqRM/edit?usp=sharing"",""สุโขทัย!Q603"")+IMPORTRANGE(""http"&amp;"s://docs.google.com/spreadsheets/d/1v0b9pFQCsKUVExMei7AgY2yQkdeNQvtOssygGsXbiKo/edit?usp=sharing"",""อุตรดิตถ์!Q603"")+IMPORTRANGE(""https://docs.google.com/spreadsheets/d/1UsNK1e-WWiCo2PvGqdNfdme4m17_Ezd3J69EeeiQPD0/edit?usp=sharing"",""อุทัยธานี!Q603"")"),0)</f>
        <v>0</v>
      </c>
      <c r="R603" s="48">
        <f ca="1">IFERROR(__xludf.DUMMYFUNCTION("IMPORTRANGE(""https://docs.google.com/spreadsheets/d/1jTcq05yEiRwXcBMLjiodW9e4biSGYWAHcDj22rKWQ3s/edit?usp=sharing"",""กำแพงเพชร!R603"")+IMPORTRANGE(""https://docs.google.com/spreadsheets/d/1KS0zmDSZPk8KnTAbGN-Xk6MtX1YRZD0ldgdt20K4CRk/edit?usp=sharing"","&amp;"""เชียงราย!R603"")+IMPORTRANGE(""https://docs.google.com/spreadsheets/d/1rEDxBtusbi64tE0zunoIbsTVV16HeL0oJ6trHQeQ7K8/edit?usp=sharing"",""เชียงใหม่!R603"")+IMPORTRANGE(""https://docs.google.com/spreadsheets/d/1W6MnUbDkMi6xHnHko_XkFDO9kkuL6Wqyc-6OCDFjW9I/e"&amp;"dit?usp=sharing"",""ตาก!R603"")+IMPORTRANGE(""https://docs.google.com/spreadsheets/d/1IQAWArduLkta9LpYo4a_ULsyqdta6-6aDDiwpUnQT6c/edit?usp=sharing"",""นครสวรรค์!R603"")+IMPORTRANGE(""https://docs.google.com/spreadsheets/d/10s13Sk5xrltsiR-Zkbmk5DwIaDIKO8Xl"&amp;"bJAfqyT7Gvg/edit?usp=sharing"",""น่าน!R603"")+IMPORTRANGE(""https://docs.google.com/spreadsheets/d/1uu4nAn4Dbi1XREnLKKotUANlKXa7yCgRcgq8HEzQYW8/edit?usp=sharing"",""พะเยา!R603"")+IMPORTRANGE(""https://docs.google.com/spreadsheets/d/1xfJKIQxVOaPDIICqsflNlL"&amp;"u3JacTDk1FP9RH4phX7mI/edit?usp=sharing"",""พิจิตร!R603"")+IMPORTRANGE(""https://docs.google.com/spreadsheets/d/1JtRfZkJMHtEhI5RdRHxYUG4FIZHqKDpNyIuN7A1Q0_k/edit?usp=sharing"",""พิษณุโลก!R603"")+IMPORTRANGE(""https://docs.google.com/spreadsheets/d/1xlcVZWU"&amp;"Nn6SuWm0c307h32SiGkd9BaeQWlAktfD3KO8/edit?usp=sharing"",""เพชรบูรณ์!R603"")+IMPORTRANGE(""https://docs.google.com/spreadsheets/d/1lOVebEIsI9qjGXl6EX66luk7wiuP2tBaryw-wKvv4e0/edit?usp=sharing"",""แพร่!R603"")+IMPORTRANGE(""https://docs.google.com/spreadshe"&amp;"ets/d/1dQrvX0vEcN7Gu0fnZ0B5S90AeR19zth4XlExFBeExMY/edit?usp=sharing"",""แม่ฮ่องสอน!R603"")+IMPORTRANGE(""https://docs.google.com/spreadsheets/d/1DY4XTNNwjluuxqdfdn6qvOSlMRrZqUtmYcZR0ttFiG4/edit?usp=sharing"",""ลำปาง!R603"")+IMPORTRANGE(""https://docs.goog"&amp;"le.com/spreadsheets/d/1ICwG78r0OFT8biBlxnBF8r7she7gNSzOvJ958PWT09c/edit?usp=sharing"",""ลำพูน!R603"")+IMPORTRANGE(""https://docs.google.com/spreadsheets/d/1B0f2xJpZUC6Z0xXnqKlZtEPzsf6L84eP1r1Q15seqRM/edit?usp=sharing"",""สุโขทัย!R603"")+IMPORTRANGE(""http"&amp;"s://docs.google.com/spreadsheets/d/1v0b9pFQCsKUVExMei7AgY2yQkdeNQvtOssygGsXbiKo/edit?usp=sharing"",""อุตรดิตถ์!R603"")+IMPORTRANGE(""https://docs.google.com/spreadsheets/d/1UsNK1e-WWiCo2PvGqdNfdme4m17_Ezd3J69EeeiQPD0/edit?usp=sharing"",""อุทัยธานี!R603"")"),0)</f>
        <v>0</v>
      </c>
      <c r="S603" s="48">
        <f ca="1">IFERROR(__xludf.DUMMYFUNCTION("IMPORTRANGE(""https://docs.google.com/spreadsheets/d/1jTcq05yEiRwXcBMLjiodW9e4biSGYWAHcDj22rKWQ3s/edit?usp=sharing"",""กำแพงเพชร!S603"")+IMPORTRANGE(""https://docs.google.com/spreadsheets/d/1KS0zmDSZPk8KnTAbGN-Xk6MtX1YRZD0ldgdt20K4CRk/edit?usp=sharing"","&amp;"""เชียงราย!S603"")+IMPORTRANGE(""https://docs.google.com/spreadsheets/d/1rEDxBtusbi64tE0zunoIbsTVV16HeL0oJ6trHQeQ7K8/edit?usp=sharing"",""เชียงใหม่!S603"")+IMPORTRANGE(""https://docs.google.com/spreadsheets/d/1W6MnUbDkMi6xHnHko_XkFDO9kkuL6Wqyc-6OCDFjW9I/e"&amp;"dit?usp=sharing"",""ตาก!S603"")+IMPORTRANGE(""https://docs.google.com/spreadsheets/d/1IQAWArduLkta9LpYo4a_ULsyqdta6-6aDDiwpUnQT6c/edit?usp=sharing"",""นครสวรรค์!S603"")+IMPORTRANGE(""https://docs.google.com/spreadsheets/d/10s13Sk5xrltsiR-Zkbmk5DwIaDIKO8Xl"&amp;"bJAfqyT7Gvg/edit?usp=sharing"",""น่าน!S603"")+IMPORTRANGE(""https://docs.google.com/spreadsheets/d/1uu4nAn4Dbi1XREnLKKotUANlKXa7yCgRcgq8HEzQYW8/edit?usp=sharing"",""พะเยา!S603"")+IMPORTRANGE(""https://docs.google.com/spreadsheets/d/1xfJKIQxVOaPDIICqsflNlL"&amp;"u3JacTDk1FP9RH4phX7mI/edit?usp=sharing"",""พิจิตร!S603"")+IMPORTRANGE(""https://docs.google.com/spreadsheets/d/1JtRfZkJMHtEhI5RdRHxYUG4FIZHqKDpNyIuN7A1Q0_k/edit?usp=sharing"",""พิษณุโลก!S603"")+IMPORTRANGE(""https://docs.google.com/spreadsheets/d/1xlcVZWU"&amp;"Nn6SuWm0c307h32SiGkd9BaeQWlAktfD3KO8/edit?usp=sharing"",""เพชรบูรณ์!S603"")+IMPORTRANGE(""https://docs.google.com/spreadsheets/d/1lOVebEIsI9qjGXl6EX66luk7wiuP2tBaryw-wKvv4e0/edit?usp=sharing"",""แพร่!S603"")+IMPORTRANGE(""https://docs.google.com/spreadshe"&amp;"ets/d/1dQrvX0vEcN7Gu0fnZ0B5S90AeR19zth4XlExFBeExMY/edit?usp=sharing"",""แม่ฮ่องสอน!S603"")+IMPORTRANGE(""https://docs.google.com/spreadsheets/d/1DY4XTNNwjluuxqdfdn6qvOSlMRrZqUtmYcZR0ttFiG4/edit?usp=sharing"",""ลำปาง!S603"")+IMPORTRANGE(""https://docs.goog"&amp;"le.com/spreadsheets/d/1ICwG78r0OFT8biBlxnBF8r7she7gNSzOvJ958PWT09c/edit?usp=sharing"",""ลำพูน!S603"")+IMPORTRANGE(""https://docs.google.com/spreadsheets/d/1B0f2xJpZUC6Z0xXnqKlZtEPzsf6L84eP1r1Q15seqRM/edit?usp=sharing"",""สุโขทัย!S603"")+IMPORTRANGE(""http"&amp;"s://docs.google.com/spreadsheets/d/1v0b9pFQCsKUVExMei7AgY2yQkdeNQvtOssygGsXbiKo/edit?usp=sharing"",""อุตรดิตถ์!S603"")+IMPORTRANGE(""https://docs.google.com/spreadsheets/d/1UsNK1e-WWiCo2PvGqdNfdme4m17_Ezd3J69EeeiQPD0/edit?usp=sharing"",""อุทัยธานี!S603"")"),0)</f>
        <v>0</v>
      </c>
      <c r="T603" s="48">
        <f t="shared" ca="1" si="426"/>
        <v>0</v>
      </c>
      <c r="U603" s="48">
        <f t="shared" ca="1" si="427"/>
        <v>0</v>
      </c>
    </row>
    <row r="604" spans="1:21" ht="18.75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46">
        <f ca="1">IFERROR(__xludf.DUMMYFUNCTION("IMPORTRANGE(""https://docs.google.com/spreadsheets/d/1jTcq05yEiRwXcBMLjiodW9e4biSGYWAHcDj22rKWQ3s/edit?usp=sharing"",""กำแพงเพชร!L604"")+IMPORTRANGE(""https://docs.google.com/spreadsheets/d/1KS0zmDSZPk8KnTAbGN-Xk6MtX1YRZD0ldgdt20K4CRk/edit?usp=sharing"","&amp;"""เชียงราย!L604"")+IMPORTRANGE(""https://docs.google.com/spreadsheets/d/1rEDxBtusbi64tE0zunoIbsTVV16HeL0oJ6trHQeQ7K8/edit?usp=sharing"",""เชียงใหม่!L604"")+IMPORTRANGE(""https://docs.google.com/spreadsheets/d/1W6MnUbDkMi6xHnHko_XkFDO9kkuL6Wqyc-6OCDFjW9I/e"&amp;"dit?usp=sharing"",""ตาก!L604"")+IMPORTRANGE(""https://docs.google.com/spreadsheets/d/1IQAWArduLkta9LpYo4a_ULsyqdta6-6aDDiwpUnQT6c/edit?usp=sharing"",""นครสวรรค์!L604"")+IMPORTRANGE(""https://docs.google.com/spreadsheets/d/10s13Sk5xrltsiR-Zkbmk5DwIaDIKO8Xl"&amp;"bJAfqyT7Gvg/edit?usp=sharing"",""น่าน!L604"")+IMPORTRANGE(""https://docs.google.com/spreadsheets/d/1uu4nAn4Dbi1XREnLKKotUANlKXa7yCgRcgq8HEzQYW8/edit?usp=sharing"",""พะเยา!L604"")+IMPORTRANGE(""https://docs.google.com/spreadsheets/d/1xfJKIQxVOaPDIICqsflNlL"&amp;"u3JacTDk1FP9RH4phX7mI/edit?usp=sharing"",""พิจิตร!L604"")+IMPORTRANGE(""https://docs.google.com/spreadsheets/d/1JtRfZkJMHtEhI5RdRHxYUG4FIZHqKDpNyIuN7A1Q0_k/edit?usp=sharing"",""พิษณุโลก!L604"")+IMPORTRANGE(""https://docs.google.com/spreadsheets/d/1xlcVZWU"&amp;"Nn6SuWm0c307h32SiGkd9BaeQWlAktfD3KO8/edit?usp=sharing"",""เพชรบูรณ์!L604"")+IMPORTRANGE(""https://docs.google.com/spreadsheets/d/1lOVebEIsI9qjGXl6EX66luk7wiuP2tBaryw-wKvv4e0/edit?usp=sharing"",""แพร่!L604"")+IMPORTRANGE(""https://docs.google.com/spreadshe"&amp;"ets/d/1dQrvX0vEcN7Gu0fnZ0B5S90AeR19zth4XlExFBeExMY/edit?usp=sharing"",""แม่ฮ่องสอน!L604"")+IMPORTRANGE(""https://docs.google.com/spreadsheets/d/1DY4XTNNwjluuxqdfdn6qvOSlMRrZqUtmYcZR0ttFiG4/edit?usp=sharing"",""ลำปาง!L604"")+IMPORTRANGE(""https://docs.goog"&amp;"le.com/spreadsheets/d/1ICwG78r0OFT8biBlxnBF8r7she7gNSzOvJ958PWT09c/edit?usp=sharing"",""ลำพูน!L604"")+IMPORTRANGE(""https://docs.google.com/spreadsheets/d/1B0f2xJpZUC6Z0xXnqKlZtEPzsf6L84eP1r1Q15seqRM/edit?usp=sharing"",""สุโขทัย!L604"")+IMPORTRANGE(""http"&amp;"s://docs.google.com/spreadsheets/d/1v0b9pFQCsKUVExMei7AgY2yQkdeNQvtOssygGsXbiKo/edit?usp=sharing"",""อุตรดิตถ์!L604"")+IMPORTRANGE(""https://docs.google.com/spreadsheets/d/1UsNK1e-WWiCo2PvGqdNfdme4m17_Ezd3J69EeeiQPD0/edit?usp=sharing"",""อุทัยธานี!L604"")"),0)</f>
        <v>0</v>
      </c>
      <c r="M604" s="46">
        <f ca="1">IFERROR(__xludf.DUMMYFUNCTION("IMPORTRANGE(""https://docs.google.com/spreadsheets/d/1jTcq05yEiRwXcBMLjiodW9e4biSGYWAHcDj22rKWQ3s/edit?usp=sharing"",""กำแพงเพชร!M604"")+IMPORTRANGE(""https://docs.google.com/spreadsheets/d/1KS0zmDSZPk8KnTAbGN-Xk6MtX1YRZD0ldgdt20K4CRk/edit?usp=sharing"","&amp;"""เชียงราย!M604"")+IMPORTRANGE(""https://docs.google.com/spreadsheets/d/1rEDxBtusbi64tE0zunoIbsTVV16HeL0oJ6trHQeQ7K8/edit?usp=sharing"",""เชียงใหม่!M604"")+IMPORTRANGE(""https://docs.google.com/spreadsheets/d/1W6MnUbDkMi6xHnHko_XkFDO9kkuL6Wqyc-6OCDFjW9I/e"&amp;"dit?usp=sharing"",""ตาก!M604"")+IMPORTRANGE(""https://docs.google.com/spreadsheets/d/1IQAWArduLkta9LpYo4a_ULsyqdta6-6aDDiwpUnQT6c/edit?usp=sharing"",""นครสวรรค์!M604"")+IMPORTRANGE(""https://docs.google.com/spreadsheets/d/10s13Sk5xrltsiR-Zkbmk5DwIaDIKO8Xl"&amp;"bJAfqyT7Gvg/edit?usp=sharing"",""น่าน!M604"")+IMPORTRANGE(""https://docs.google.com/spreadsheets/d/1uu4nAn4Dbi1XREnLKKotUANlKXa7yCgRcgq8HEzQYW8/edit?usp=sharing"",""พะเยา!M604"")+IMPORTRANGE(""https://docs.google.com/spreadsheets/d/1xfJKIQxVOaPDIICqsflNlL"&amp;"u3JacTDk1FP9RH4phX7mI/edit?usp=sharing"",""พิจิตร!M604"")+IMPORTRANGE(""https://docs.google.com/spreadsheets/d/1JtRfZkJMHtEhI5RdRHxYUG4FIZHqKDpNyIuN7A1Q0_k/edit?usp=sharing"",""พิษณุโลก!M604"")+IMPORTRANGE(""https://docs.google.com/spreadsheets/d/1xlcVZWU"&amp;"Nn6SuWm0c307h32SiGkd9BaeQWlAktfD3KO8/edit?usp=sharing"",""เพชรบูรณ์!M604"")+IMPORTRANGE(""https://docs.google.com/spreadsheets/d/1lOVebEIsI9qjGXl6EX66luk7wiuP2tBaryw-wKvv4e0/edit?usp=sharing"",""แพร่!M604"")+IMPORTRANGE(""https://docs.google.com/spreadshe"&amp;"ets/d/1dQrvX0vEcN7Gu0fnZ0B5S90AeR19zth4XlExFBeExMY/edit?usp=sharing"",""แม่ฮ่องสอน!M604"")+IMPORTRANGE(""https://docs.google.com/spreadsheets/d/1DY4XTNNwjluuxqdfdn6qvOSlMRrZqUtmYcZR0ttFiG4/edit?usp=sharing"",""ลำปาง!M604"")+IMPORTRANGE(""https://docs.goog"&amp;"le.com/spreadsheets/d/1ICwG78r0OFT8biBlxnBF8r7she7gNSzOvJ958PWT09c/edit?usp=sharing"",""ลำพูน!M604"")+IMPORTRANGE(""https://docs.google.com/spreadsheets/d/1B0f2xJpZUC6Z0xXnqKlZtEPzsf6L84eP1r1Q15seqRM/edit?usp=sharing"",""สุโขทัย!M604"")+IMPORTRANGE(""http"&amp;"s://docs.google.com/spreadsheets/d/1v0b9pFQCsKUVExMei7AgY2yQkdeNQvtOssygGsXbiKo/edit?usp=sharing"",""อุตรดิตถ์!M604"")+IMPORTRANGE(""https://docs.google.com/spreadsheets/d/1UsNK1e-WWiCo2PvGqdNfdme4m17_Ezd3J69EeeiQPD0/edit?usp=sharing"",""อุทัยธานี!M604"")"),0)</f>
        <v>0</v>
      </c>
      <c r="N604" s="46">
        <f ca="1">IFERROR(__xludf.DUMMYFUNCTION("IMPORTRANGE(""https://docs.google.com/spreadsheets/d/1jTcq05yEiRwXcBMLjiodW9e4biSGYWAHcDj22rKWQ3s/edit?usp=sharing"",""กำแพงเพชร!N604"")+IMPORTRANGE(""https://docs.google.com/spreadsheets/d/1KS0zmDSZPk8KnTAbGN-Xk6MtX1YRZD0ldgdt20K4CRk/edit?usp=sharing"","&amp;"""เชียงราย!N604"")+IMPORTRANGE(""https://docs.google.com/spreadsheets/d/1rEDxBtusbi64tE0zunoIbsTVV16HeL0oJ6trHQeQ7K8/edit?usp=sharing"",""เชียงใหม่!N604"")+IMPORTRANGE(""https://docs.google.com/spreadsheets/d/1W6MnUbDkMi6xHnHko_XkFDO9kkuL6Wqyc-6OCDFjW9I/e"&amp;"dit?usp=sharing"",""ตาก!N604"")+IMPORTRANGE(""https://docs.google.com/spreadsheets/d/1IQAWArduLkta9LpYo4a_ULsyqdta6-6aDDiwpUnQT6c/edit?usp=sharing"",""นครสวรรค์!N604"")+IMPORTRANGE(""https://docs.google.com/spreadsheets/d/10s13Sk5xrltsiR-Zkbmk5DwIaDIKO8Xl"&amp;"bJAfqyT7Gvg/edit?usp=sharing"",""น่าน!N604"")+IMPORTRANGE(""https://docs.google.com/spreadsheets/d/1uu4nAn4Dbi1XREnLKKotUANlKXa7yCgRcgq8HEzQYW8/edit?usp=sharing"",""พะเยา!N604"")+IMPORTRANGE(""https://docs.google.com/spreadsheets/d/1xfJKIQxVOaPDIICqsflNlL"&amp;"u3JacTDk1FP9RH4phX7mI/edit?usp=sharing"",""พิจิตร!N604"")+IMPORTRANGE(""https://docs.google.com/spreadsheets/d/1JtRfZkJMHtEhI5RdRHxYUG4FIZHqKDpNyIuN7A1Q0_k/edit?usp=sharing"",""พิษณุโลก!N604"")+IMPORTRANGE(""https://docs.google.com/spreadsheets/d/1xlcVZWU"&amp;"Nn6SuWm0c307h32SiGkd9BaeQWlAktfD3KO8/edit?usp=sharing"",""เพชรบูรณ์!N604"")+IMPORTRANGE(""https://docs.google.com/spreadsheets/d/1lOVebEIsI9qjGXl6EX66luk7wiuP2tBaryw-wKvv4e0/edit?usp=sharing"",""แพร่!N604"")+IMPORTRANGE(""https://docs.google.com/spreadshe"&amp;"ets/d/1dQrvX0vEcN7Gu0fnZ0B5S90AeR19zth4XlExFBeExMY/edit?usp=sharing"",""แม่ฮ่องสอน!N604"")+IMPORTRANGE(""https://docs.google.com/spreadsheets/d/1DY4XTNNwjluuxqdfdn6qvOSlMRrZqUtmYcZR0ttFiG4/edit?usp=sharing"",""ลำปาง!N604"")+IMPORTRANGE(""https://docs.goog"&amp;"le.com/spreadsheets/d/1ICwG78r0OFT8biBlxnBF8r7she7gNSzOvJ958PWT09c/edit?usp=sharing"",""ลำพูน!N604"")+IMPORTRANGE(""https://docs.google.com/spreadsheets/d/1B0f2xJpZUC6Z0xXnqKlZtEPzsf6L84eP1r1Q15seqRM/edit?usp=sharing"",""สุโขทัย!N604"")+IMPORTRANGE(""http"&amp;"s://docs.google.com/spreadsheets/d/1v0b9pFQCsKUVExMei7AgY2yQkdeNQvtOssygGsXbiKo/edit?usp=sharing"",""อุตรดิตถ์!N604"")+IMPORTRANGE(""https://docs.google.com/spreadsheets/d/1UsNK1e-WWiCo2PvGqdNfdme4m17_Ezd3J69EeeiQPD0/edit?usp=sharing"",""อุทัยธานี!N604"")"),0)</f>
        <v>0</v>
      </c>
      <c r="O604" s="46">
        <f t="shared" ca="1" si="423"/>
        <v>0</v>
      </c>
      <c r="P604" s="46">
        <f t="shared" ca="1" si="424"/>
        <v>0</v>
      </c>
      <c r="Q604" s="46">
        <f ca="1">IFERROR(__xludf.DUMMYFUNCTION("IMPORTRANGE(""https://docs.google.com/spreadsheets/d/1jTcq05yEiRwXcBMLjiodW9e4biSGYWAHcDj22rKWQ3s/edit?usp=sharing"",""กำแพงเพชร!Q604"")+IMPORTRANGE(""https://docs.google.com/spreadsheets/d/1KS0zmDSZPk8KnTAbGN-Xk6MtX1YRZD0ldgdt20K4CRk/edit?usp=sharing"","&amp;"""เชียงราย!Q604"")+IMPORTRANGE(""https://docs.google.com/spreadsheets/d/1rEDxBtusbi64tE0zunoIbsTVV16HeL0oJ6trHQeQ7K8/edit?usp=sharing"",""เชียงใหม่!Q604"")+IMPORTRANGE(""https://docs.google.com/spreadsheets/d/1W6MnUbDkMi6xHnHko_XkFDO9kkuL6Wqyc-6OCDFjW9I/e"&amp;"dit?usp=sharing"",""ตาก!Q604"")+IMPORTRANGE(""https://docs.google.com/spreadsheets/d/1IQAWArduLkta9LpYo4a_ULsyqdta6-6aDDiwpUnQT6c/edit?usp=sharing"",""นครสวรรค์!Q604"")+IMPORTRANGE(""https://docs.google.com/spreadsheets/d/10s13Sk5xrltsiR-Zkbmk5DwIaDIKO8Xl"&amp;"bJAfqyT7Gvg/edit?usp=sharing"",""น่าน!Q604"")+IMPORTRANGE(""https://docs.google.com/spreadsheets/d/1uu4nAn4Dbi1XREnLKKotUANlKXa7yCgRcgq8HEzQYW8/edit?usp=sharing"",""พะเยา!Q604"")+IMPORTRANGE(""https://docs.google.com/spreadsheets/d/1xfJKIQxVOaPDIICqsflNlL"&amp;"u3JacTDk1FP9RH4phX7mI/edit?usp=sharing"",""พิจิตร!Q604"")+IMPORTRANGE(""https://docs.google.com/spreadsheets/d/1JtRfZkJMHtEhI5RdRHxYUG4FIZHqKDpNyIuN7A1Q0_k/edit?usp=sharing"",""พิษณุโลก!Q604"")+IMPORTRANGE(""https://docs.google.com/spreadsheets/d/1xlcVZWU"&amp;"Nn6SuWm0c307h32SiGkd9BaeQWlAktfD3KO8/edit?usp=sharing"",""เพชรบูรณ์!Q604"")+IMPORTRANGE(""https://docs.google.com/spreadsheets/d/1lOVebEIsI9qjGXl6EX66luk7wiuP2tBaryw-wKvv4e0/edit?usp=sharing"",""แพร่!Q604"")+IMPORTRANGE(""https://docs.google.com/spreadshe"&amp;"ets/d/1dQrvX0vEcN7Gu0fnZ0B5S90AeR19zth4XlExFBeExMY/edit?usp=sharing"",""แม่ฮ่องสอน!Q604"")+IMPORTRANGE(""https://docs.google.com/spreadsheets/d/1DY4XTNNwjluuxqdfdn6qvOSlMRrZqUtmYcZR0ttFiG4/edit?usp=sharing"",""ลำปาง!Q604"")+IMPORTRANGE(""https://docs.goog"&amp;"le.com/spreadsheets/d/1ICwG78r0OFT8biBlxnBF8r7she7gNSzOvJ958PWT09c/edit?usp=sharing"",""ลำพูน!Q604"")+IMPORTRANGE(""https://docs.google.com/spreadsheets/d/1B0f2xJpZUC6Z0xXnqKlZtEPzsf6L84eP1r1Q15seqRM/edit?usp=sharing"",""สุโขทัย!Q604"")+IMPORTRANGE(""http"&amp;"s://docs.google.com/spreadsheets/d/1v0b9pFQCsKUVExMei7AgY2yQkdeNQvtOssygGsXbiKo/edit?usp=sharing"",""อุตรดิตถ์!Q604"")+IMPORTRANGE(""https://docs.google.com/spreadsheets/d/1UsNK1e-WWiCo2PvGqdNfdme4m17_Ezd3J69EeeiQPD0/edit?usp=sharing"",""อุทัยธานี!Q604"")"),0)</f>
        <v>0</v>
      </c>
      <c r="R604" s="46">
        <f ca="1">IFERROR(__xludf.DUMMYFUNCTION("IMPORTRANGE(""https://docs.google.com/spreadsheets/d/1jTcq05yEiRwXcBMLjiodW9e4biSGYWAHcDj22rKWQ3s/edit?usp=sharing"",""กำแพงเพชร!R604"")+IMPORTRANGE(""https://docs.google.com/spreadsheets/d/1KS0zmDSZPk8KnTAbGN-Xk6MtX1YRZD0ldgdt20K4CRk/edit?usp=sharing"","&amp;"""เชียงราย!R604"")+IMPORTRANGE(""https://docs.google.com/spreadsheets/d/1rEDxBtusbi64tE0zunoIbsTVV16HeL0oJ6trHQeQ7K8/edit?usp=sharing"",""เชียงใหม่!R604"")+IMPORTRANGE(""https://docs.google.com/spreadsheets/d/1W6MnUbDkMi6xHnHko_XkFDO9kkuL6Wqyc-6OCDFjW9I/e"&amp;"dit?usp=sharing"",""ตาก!R604"")+IMPORTRANGE(""https://docs.google.com/spreadsheets/d/1IQAWArduLkta9LpYo4a_ULsyqdta6-6aDDiwpUnQT6c/edit?usp=sharing"",""นครสวรรค์!R604"")+IMPORTRANGE(""https://docs.google.com/spreadsheets/d/10s13Sk5xrltsiR-Zkbmk5DwIaDIKO8Xl"&amp;"bJAfqyT7Gvg/edit?usp=sharing"",""น่าน!R604"")+IMPORTRANGE(""https://docs.google.com/spreadsheets/d/1uu4nAn4Dbi1XREnLKKotUANlKXa7yCgRcgq8HEzQYW8/edit?usp=sharing"",""พะเยา!R604"")+IMPORTRANGE(""https://docs.google.com/spreadsheets/d/1xfJKIQxVOaPDIICqsflNlL"&amp;"u3JacTDk1FP9RH4phX7mI/edit?usp=sharing"",""พิจิตร!R604"")+IMPORTRANGE(""https://docs.google.com/spreadsheets/d/1JtRfZkJMHtEhI5RdRHxYUG4FIZHqKDpNyIuN7A1Q0_k/edit?usp=sharing"",""พิษณุโลก!R604"")+IMPORTRANGE(""https://docs.google.com/spreadsheets/d/1xlcVZWU"&amp;"Nn6SuWm0c307h32SiGkd9BaeQWlAktfD3KO8/edit?usp=sharing"",""เพชรบูรณ์!R604"")+IMPORTRANGE(""https://docs.google.com/spreadsheets/d/1lOVebEIsI9qjGXl6EX66luk7wiuP2tBaryw-wKvv4e0/edit?usp=sharing"",""แพร่!R604"")+IMPORTRANGE(""https://docs.google.com/spreadshe"&amp;"ets/d/1dQrvX0vEcN7Gu0fnZ0B5S90AeR19zth4XlExFBeExMY/edit?usp=sharing"",""แม่ฮ่องสอน!R604"")+IMPORTRANGE(""https://docs.google.com/spreadsheets/d/1DY4XTNNwjluuxqdfdn6qvOSlMRrZqUtmYcZR0ttFiG4/edit?usp=sharing"",""ลำปาง!R604"")+IMPORTRANGE(""https://docs.goog"&amp;"le.com/spreadsheets/d/1ICwG78r0OFT8biBlxnBF8r7she7gNSzOvJ958PWT09c/edit?usp=sharing"",""ลำพูน!R604"")+IMPORTRANGE(""https://docs.google.com/spreadsheets/d/1B0f2xJpZUC6Z0xXnqKlZtEPzsf6L84eP1r1Q15seqRM/edit?usp=sharing"",""สุโขทัย!R604"")+IMPORTRANGE(""http"&amp;"s://docs.google.com/spreadsheets/d/1v0b9pFQCsKUVExMei7AgY2yQkdeNQvtOssygGsXbiKo/edit?usp=sharing"",""อุตรดิตถ์!R604"")+IMPORTRANGE(""https://docs.google.com/spreadsheets/d/1UsNK1e-WWiCo2PvGqdNfdme4m17_Ezd3J69EeeiQPD0/edit?usp=sharing"",""อุทัยธานี!R604"")"),0)</f>
        <v>0</v>
      </c>
      <c r="S604" s="46">
        <f ca="1">IFERROR(__xludf.DUMMYFUNCTION("IMPORTRANGE(""https://docs.google.com/spreadsheets/d/1jTcq05yEiRwXcBMLjiodW9e4biSGYWAHcDj22rKWQ3s/edit?usp=sharing"",""กำแพงเพชร!S604"")+IMPORTRANGE(""https://docs.google.com/spreadsheets/d/1KS0zmDSZPk8KnTAbGN-Xk6MtX1YRZD0ldgdt20K4CRk/edit?usp=sharing"","&amp;"""เชียงราย!S604"")+IMPORTRANGE(""https://docs.google.com/spreadsheets/d/1rEDxBtusbi64tE0zunoIbsTVV16HeL0oJ6trHQeQ7K8/edit?usp=sharing"",""เชียงใหม่!S604"")+IMPORTRANGE(""https://docs.google.com/spreadsheets/d/1W6MnUbDkMi6xHnHko_XkFDO9kkuL6Wqyc-6OCDFjW9I/e"&amp;"dit?usp=sharing"",""ตาก!S604"")+IMPORTRANGE(""https://docs.google.com/spreadsheets/d/1IQAWArduLkta9LpYo4a_ULsyqdta6-6aDDiwpUnQT6c/edit?usp=sharing"",""นครสวรรค์!S604"")+IMPORTRANGE(""https://docs.google.com/spreadsheets/d/10s13Sk5xrltsiR-Zkbmk5DwIaDIKO8Xl"&amp;"bJAfqyT7Gvg/edit?usp=sharing"",""น่าน!S604"")+IMPORTRANGE(""https://docs.google.com/spreadsheets/d/1uu4nAn4Dbi1XREnLKKotUANlKXa7yCgRcgq8HEzQYW8/edit?usp=sharing"",""พะเยา!S604"")+IMPORTRANGE(""https://docs.google.com/spreadsheets/d/1xfJKIQxVOaPDIICqsflNlL"&amp;"u3JacTDk1FP9RH4phX7mI/edit?usp=sharing"",""พิจิตร!S604"")+IMPORTRANGE(""https://docs.google.com/spreadsheets/d/1JtRfZkJMHtEhI5RdRHxYUG4FIZHqKDpNyIuN7A1Q0_k/edit?usp=sharing"",""พิษณุโลก!S604"")+IMPORTRANGE(""https://docs.google.com/spreadsheets/d/1xlcVZWU"&amp;"Nn6SuWm0c307h32SiGkd9BaeQWlAktfD3KO8/edit?usp=sharing"",""เพชรบูรณ์!S604"")+IMPORTRANGE(""https://docs.google.com/spreadsheets/d/1lOVebEIsI9qjGXl6EX66luk7wiuP2tBaryw-wKvv4e0/edit?usp=sharing"",""แพร่!S604"")+IMPORTRANGE(""https://docs.google.com/spreadshe"&amp;"ets/d/1dQrvX0vEcN7Gu0fnZ0B5S90AeR19zth4XlExFBeExMY/edit?usp=sharing"",""แม่ฮ่องสอน!S604"")+IMPORTRANGE(""https://docs.google.com/spreadsheets/d/1DY4XTNNwjluuxqdfdn6qvOSlMRrZqUtmYcZR0ttFiG4/edit?usp=sharing"",""ลำปาง!S604"")+IMPORTRANGE(""https://docs.goog"&amp;"le.com/spreadsheets/d/1ICwG78r0OFT8biBlxnBF8r7she7gNSzOvJ958PWT09c/edit?usp=sharing"",""ลำพูน!S604"")+IMPORTRANGE(""https://docs.google.com/spreadsheets/d/1B0f2xJpZUC6Z0xXnqKlZtEPzsf6L84eP1r1Q15seqRM/edit?usp=sharing"",""สุโขทัย!S604"")+IMPORTRANGE(""http"&amp;"s://docs.google.com/spreadsheets/d/1v0b9pFQCsKUVExMei7AgY2yQkdeNQvtOssygGsXbiKo/edit?usp=sharing"",""อุตรดิตถ์!S604"")+IMPORTRANGE(""https://docs.google.com/spreadsheets/d/1UsNK1e-WWiCo2PvGqdNfdme4m17_Ezd3J69EeeiQPD0/edit?usp=sharing"",""อุทัยธานี!S604"")"),0)</f>
        <v>0</v>
      </c>
      <c r="T604" s="46">
        <f t="shared" ca="1" si="426"/>
        <v>0</v>
      </c>
      <c r="U604" s="46">
        <f t="shared" ca="1" si="427"/>
        <v>0</v>
      </c>
    </row>
    <row r="605" spans="1:21" ht="19.5" x14ac:dyDescent="0.3">
      <c r="A605" s="128"/>
      <c r="B605" s="158"/>
      <c r="C605" s="158"/>
      <c r="D605" s="373" t="s">
        <v>23</v>
      </c>
      <c r="E605" s="158"/>
      <c r="F605" s="40"/>
      <c r="G605" s="42"/>
      <c r="H605" s="374" t="s">
        <v>14</v>
      </c>
      <c r="I605" s="135"/>
      <c r="J605" s="135"/>
      <c r="K605" s="136"/>
      <c r="L605" s="46">
        <f t="shared" ref="L605:N605" ca="1" si="434">L606+L607</f>
        <v>0</v>
      </c>
      <c r="M605" s="46">
        <f t="shared" ca="1" si="434"/>
        <v>0</v>
      </c>
      <c r="N605" s="46">
        <f t="shared" ca="1" si="434"/>
        <v>0</v>
      </c>
      <c r="O605" s="46">
        <f t="shared" ca="1" si="423"/>
        <v>0</v>
      </c>
      <c r="P605" s="46">
        <f t="shared" ca="1" si="424"/>
        <v>0</v>
      </c>
      <c r="Q605" s="46">
        <f t="shared" ref="Q605:S605" ca="1" si="435">Q606+Q607</f>
        <v>0</v>
      </c>
      <c r="R605" s="46">
        <f t="shared" ca="1" si="435"/>
        <v>0</v>
      </c>
      <c r="S605" s="46">
        <f t="shared" ca="1" si="435"/>
        <v>0</v>
      </c>
      <c r="T605" s="46">
        <f t="shared" ca="1" si="426"/>
        <v>0</v>
      </c>
      <c r="U605" s="46">
        <f t="shared" ca="1" si="427"/>
        <v>0</v>
      </c>
    </row>
    <row r="606" spans="1:21" ht="18.75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48">
        <f ca="1">IFERROR(__xludf.DUMMYFUNCTION("IMPORTRANGE(""https://docs.google.com/spreadsheets/d/1jTcq05yEiRwXcBMLjiodW9e4biSGYWAHcDj22rKWQ3s/edit?usp=sharing"",""กำแพงเพชร!L606"")+IMPORTRANGE(""https://docs.google.com/spreadsheets/d/1KS0zmDSZPk8KnTAbGN-Xk6MtX1YRZD0ldgdt20K4CRk/edit?usp=sharing"","&amp;"""เชียงราย!L606"")+IMPORTRANGE(""https://docs.google.com/spreadsheets/d/1rEDxBtusbi64tE0zunoIbsTVV16HeL0oJ6trHQeQ7K8/edit?usp=sharing"",""เชียงใหม่!L606"")+IMPORTRANGE(""https://docs.google.com/spreadsheets/d/1W6MnUbDkMi6xHnHko_XkFDO9kkuL6Wqyc-6OCDFjW9I/e"&amp;"dit?usp=sharing"",""ตาก!L606"")+IMPORTRANGE(""https://docs.google.com/spreadsheets/d/1IQAWArduLkta9LpYo4a_ULsyqdta6-6aDDiwpUnQT6c/edit?usp=sharing"",""นครสวรรค์!L606"")+IMPORTRANGE(""https://docs.google.com/spreadsheets/d/10s13Sk5xrltsiR-Zkbmk5DwIaDIKO8Xl"&amp;"bJAfqyT7Gvg/edit?usp=sharing"",""น่าน!L606"")+IMPORTRANGE(""https://docs.google.com/spreadsheets/d/1uu4nAn4Dbi1XREnLKKotUANlKXa7yCgRcgq8HEzQYW8/edit?usp=sharing"",""พะเยา!L606"")+IMPORTRANGE(""https://docs.google.com/spreadsheets/d/1xfJKIQxVOaPDIICqsflNlL"&amp;"u3JacTDk1FP9RH4phX7mI/edit?usp=sharing"",""พิจิตร!L606"")+IMPORTRANGE(""https://docs.google.com/spreadsheets/d/1JtRfZkJMHtEhI5RdRHxYUG4FIZHqKDpNyIuN7A1Q0_k/edit?usp=sharing"",""พิษณุโลก!L606"")+IMPORTRANGE(""https://docs.google.com/spreadsheets/d/1xlcVZWU"&amp;"Nn6SuWm0c307h32SiGkd9BaeQWlAktfD3KO8/edit?usp=sharing"",""เพชรบูรณ์!L606"")+IMPORTRANGE(""https://docs.google.com/spreadsheets/d/1lOVebEIsI9qjGXl6EX66luk7wiuP2tBaryw-wKvv4e0/edit?usp=sharing"",""แพร่!L606"")+IMPORTRANGE(""https://docs.google.com/spreadshe"&amp;"ets/d/1dQrvX0vEcN7Gu0fnZ0B5S90AeR19zth4XlExFBeExMY/edit?usp=sharing"",""แม่ฮ่องสอน!L606"")+IMPORTRANGE(""https://docs.google.com/spreadsheets/d/1DY4XTNNwjluuxqdfdn6qvOSlMRrZqUtmYcZR0ttFiG4/edit?usp=sharing"",""ลำปาง!L606"")+IMPORTRANGE(""https://docs.goog"&amp;"le.com/spreadsheets/d/1ICwG78r0OFT8biBlxnBF8r7she7gNSzOvJ958PWT09c/edit?usp=sharing"",""ลำพูน!L606"")+IMPORTRANGE(""https://docs.google.com/spreadsheets/d/1B0f2xJpZUC6Z0xXnqKlZtEPzsf6L84eP1r1Q15seqRM/edit?usp=sharing"",""สุโขทัย!L606"")+IMPORTRANGE(""http"&amp;"s://docs.google.com/spreadsheets/d/1v0b9pFQCsKUVExMei7AgY2yQkdeNQvtOssygGsXbiKo/edit?usp=sharing"",""อุตรดิตถ์!L606"")+IMPORTRANGE(""https://docs.google.com/spreadsheets/d/1UsNK1e-WWiCo2PvGqdNfdme4m17_Ezd3J69EeeiQPD0/edit?usp=sharing"",""อุทัยธานี!L606"")"),0)</f>
        <v>0</v>
      </c>
      <c r="M606" s="48">
        <f ca="1">IFERROR(__xludf.DUMMYFUNCTION("IMPORTRANGE(""https://docs.google.com/spreadsheets/d/1jTcq05yEiRwXcBMLjiodW9e4biSGYWAHcDj22rKWQ3s/edit?usp=sharing"",""กำแพงเพชร!M606"")+IMPORTRANGE(""https://docs.google.com/spreadsheets/d/1KS0zmDSZPk8KnTAbGN-Xk6MtX1YRZD0ldgdt20K4CRk/edit?usp=sharing"","&amp;"""เชียงราย!M606"")+IMPORTRANGE(""https://docs.google.com/spreadsheets/d/1rEDxBtusbi64tE0zunoIbsTVV16HeL0oJ6trHQeQ7K8/edit?usp=sharing"",""เชียงใหม่!M606"")+IMPORTRANGE(""https://docs.google.com/spreadsheets/d/1W6MnUbDkMi6xHnHko_XkFDO9kkuL6Wqyc-6OCDFjW9I/e"&amp;"dit?usp=sharing"",""ตาก!M606"")+IMPORTRANGE(""https://docs.google.com/spreadsheets/d/1IQAWArduLkta9LpYo4a_ULsyqdta6-6aDDiwpUnQT6c/edit?usp=sharing"",""นครสวรรค์!M606"")+IMPORTRANGE(""https://docs.google.com/spreadsheets/d/10s13Sk5xrltsiR-Zkbmk5DwIaDIKO8Xl"&amp;"bJAfqyT7Gvg/edit?usp=sharing"",""น่าน!M606"")+IMPORTRANGE(""https://docs.google.com/spreadsheets/d/1uu4nAn4Dbi1XREnLKKotUANlKXa7yCgRcgq8HEzQYW8/edit?usp=sharing"",""พะเยา!M606"")+IMPORTRANGE(""https://docs.google.com/spreadsheets/d/1xfJKIQxVOaPDIICqsflNlL"&amp;"u3JacTDk1FP9RH4phX7mI/edit?usp=sharing"",""พิจิตร!M606"")+IMPORTRANGE(""https://docs.google.com/spreadsheets/d/1JtRfZkJMHtEhI5RdRHxYUG4FIZHqKDpNyIuN7A1Q0_k/edit?usp=sharing"",""พิษณุโลก!M606"")+IMPORTRANGE(""https://docs.google.com/spreadsheets/d/1xlcVZWU"&amp;"Nn6SuWm0c307h32SiGkd9BaeQWlAktfD3KO8/edit?usp=sharing"",""เพชรบูรณ์!M606"")+IMPORTRANGE(""https://docs.google.com/spreadsheets/d/1lOVebEIsI9qjGXl6EX66luk7wiuP2tBaryw-wKvv4e0/edit?usp=sharing"",""แพร่!M606"")+IMPORTRANGE(""https://docs.google.com/spreadshe"&amp;"ets/d/1dQrvX0vEcN7Gu0fnZ0B5S90AeR19zth4XlExFBeExMY/edit?usp=sharing"",""แม่ฮ่องสอน!M606"")+IMPORTRANGE(""https://docs.google.com/spreadsheets/d/1DY4XTNNwjluuxqdfdn6qvOSlMRrZqUtmYcZR0ttFiG4/edit?usp=sharing"",""ลำปาง!M606"")+IMPORTRANGE(""https://docs.goog"&amp;"le.com/spreadsheets/d/1ICwG78r0OFT8biBlxnBF8r7she7gNSzOvJ958PWT09c/edit?usp=sharing"",""ลำพูน!M606"")+IMPORTRANGE(""https://docs.google.com/spreadsheets/d/1B0f2xJpZUC6Z0xXnqKlZtEPzsf6L84eP1r1Q15seqRM/edit?usp=sharing"",""สุโขทัย!M606"")+IMPORTRANGE(""http"&amp;"s://docs.google.com/spreadsheets/d/1v0b9pFQCsKUVExMei7AgY2yQkdeNQvtOssygGsXbiKo/edit?usp=sharing"",""อุตรดิตถ์!M606"")+IMPORTRANGE(""https://docs.google.com/spreadsheets/d/1UsNK1e-WWiCo2PvGqdNfdme4m17_Ezd3J69EeeiQPD0/edit?usp=sharing"",""อุทัยธานี!M606"")"),0)</f>
        <v>0</v>
      </c>
      <c r="N606" s="48">
        <f ca="1">IFERROR(__xludf.DUMMYFUNCTION("IMPORTRANGE(""https://docs.google.com/spreadsheets/d/1jTcq05yEiRwXcBMLjiodW9e4biSGYWAHcDj22rKWQ3s/edit?usp=sharing"",""กำแพงเพชร!N606"")+IMPORTRANGE(""https://docs.google.com/spreadsheets/d/1KS0zmDSZPk8KnTAbGN-Xk6MtX1YRZD0ldgdt20K4CRk/edit?usp=sharing"","&amp;"""เชียงราย!N606"")+IMPORTRANGE(""https://docs.google.com/spreadsheets/d/1rEDxBtusbi64tE0zunoIbsTVV16HeL0oJ6trHQeQ7K8/edit?usp=sharing"",""เชียงใหม่!N606"")+IMPORTRANGE(""https://docs.google.com/spreadsheets/d/1W6MnUbDkMi6xHnHko_XkFDO9kkuL6Wqyc-6OCDFjW9I/e"&amp;"dit?usp=sharing"",""ตาก!N606"")+IMPORTRANGE(""https://docs.google.com/spreadsheets/d/1IQAWArduLkta9LpYo4a_ULsyqdta6-6aDDiwpUnQT6c/edit?usp=sharing"",""นครสวรรค์!N606"")+IMPORTRANGE(""https://docs.google.com/spreadsheets/d/10s13Sk5xrltsiR-Zkbmk5DwIaDIKO8Xl"&amp;"bJAfqyT7Gvg/edit?usp=sharing"",""น่าน!N606"")+IMPORTRANGE(""https://docs.google.com/spreadsheets/d/1uu4nAn4Dbi1XREnLKKotUANlKXa7yCgRcgq8HEzQYW8/edit?usp=sharing"",""พะเยา!N606"")+IMPORTRANGE(""https://docs.google.com/spreadsheets/d/1xfJKIQxVOaPDIICqsflNlL"&amp;"u3JacTDk1FP9RH4phX7mI/edit?usp=sharing"",""พิจิตร!N606"")+IMPORTRANGE(""https://docs.google.com/spreadsheets/d/1JtRfZkJMHtEhI5RdRHxYUG4FIZHqKDpNyIuN7A1Q0_k/edit?usp=sharing"",""พิษณุโลก!N606"")+IMPORTRANGE(""https://docs.google.com/spreadsheets/d/1xlcVZWU"&amp;"Nn6SuWm0c307h32SiGkd9BaeQWlAktfD3KO8/edit?usp=sharing"",""เพชรบูรณ์!N606"")+IMPORTRANGE(""https://docs.google.com/spreadsheets/d/1lOVebEIsI9qjGXl6EX66luk7wiuP2tBaryw-wKvv4e0/edit?usp=sharing"",""แพร่!N606"")+IMPORTRANGE(""https://docs.google.com/spreadshe"&amp;"ets/d/1dQrvX0vEcN7Gu0fnZ0B5S90AeR19zth4XlExFBeExMY/edit?usp=sharing"",""แม่ฮ่องสอน!N606"")+IMPORTRANGE(""https://docs.google.com/spreadsheets/d/1DY4XTNNwjluuxqdfdn6qvOSlMRrZqUtmYcZR0ttFiG4/edit?usp=sharing"",""ลำปาง!N606"")+IMPORTRANGE(""https://docs.goog"&amp;"le.com/spreadsheets/d/1ICwG78r0OFT8biBlxnBF8r7she7gNSzOvJ958PWT09c/edit?usp=sharing"",""ลำพูน!N606"")+IMPORTRANGE(""https://docs.google.com/spreadsheets/d/1B0f2xJpZUC6Z0xXnqKlZtEPzsf6L84eP1r1Q15seqRM/edit?usp=sharing"",""สุโขทัย!N606"")+IMPORTRANGE(""http"&amp;"s://docs.google.com/spreadsheets/d/1v0b9pFQCsKUVExMei7AgY2yQkdeNQvtOssygGsXbiKo/edit?usp=sharing"",""อุตรดิตถ์!N606"")+IMPORTRANGE(""https://docs.google.com/spreadsheets/d/1UsNK1e-WWiCo2PvGqdNfdme4m17_Ezd3J69EeeiQPD0/edit?usp=sharing"",""อุทัยธานี!N606"")"),0)</f>
        <v>0</v>
      </c>
      <c r="O606" s="48">
        <f t="shared" ca="1" si="423"/>
        <v>0</v>
      </c>
      <c r="P606" s="48">
        <f t="shared" ca="1" si="424"/>
        <v>0</v>
      </c>
      <c r="Q606" s="48">
        <f ca="1">IFERROR(__xludf.DUMMYFUNCTION("IMPORTRANGE(""https://docs.google.com/spreadsheets/d/1jTcq05yEiRwXcBMLjiodW9e4biSGYWAHcDj22rKWQ3s/edit?usp=sharing"",""กำแพงเพชร!Q606"")+IMPORTRANGE(""https://docs.google.com/spreadsheets/d/1KS0zmDSZPk8KnTAbGN-Xk6MtX1YRZD0ldgdt20K4CRk/edit?usp=sharing"","&amp;"""เชียงราย!Q606"")+IMPORTRANGE(""https://docs.google.com/spreadsheets/d/1rEDxBtusbi64tE0zunoIbsTVV16HeL0oJ6trHQeQ7K8/edit?usp=sharing"",""เชียงใหม่!Q606"")+IMPORTRANGE(""https://docs.google.com/spreadsheets/d/1W6MnUbDkMi6xHnHko_XkFDO9kkuL6Wqyc-6OCDFjW9I/e"&amp;"dit?usp=sharing"",""ตาก!Q606"")+IMPORTRANGE(""https://docs.google.com/spreadsheets/d/1IQAWArduLkta9LpYo4a_ULsyqdta6-6aDDiwpUnQT6c/edit?usp=sharing"",""นครสวรรค์!Q606"")+IMPORTRANGE(""https://docs.google.com/spreadsheets/d/10s13Sk5xrltsiR-Zkbmk5DwIaDIKO8Xl"&amp;"bJAfqyT7Gvg/edit?usp=sharing"",""น่าน!Q606"")+IMPORTRANGE(""https://docs.google.com/spreadsheets/d/1uu4nAn4Dbi1XREnLKKotUANlKXa7yCgRcgq8HEzQYW8/edit?usp=sharing"",""พะเยา!Q606"")+IMPORTRANGE(""https://docs.google.com/spreadsheets/d/1xfJKIQxVOaPDIICqsflNlL"&amp;"u3JacTDk1FP9RH4phX7mI/edit?usp=sharing"",""พิจิตร!Q606"")+IMPORTRANGE(""https://docs.google.com/spreadsheets/d/1JtRfZkJMHtEhI5RdRHxYUG4FIZHqKDpNyIuN7A1Q0_k/edit?usp=sharing"",""พิษณุโลก!Q606"")+IMPORTRANGE(""https://docs.google.com/spreadsheets/d/1xlcVZWU"&amp;"Nn6SuWm0c307h32SiGkd9BaeQWlAktfD3KO8/edit?usp=sharing"",""เพชรบูรณ์!Q606"")+IMPORTRANGE(""https://docs.google.com/spreadsheets/d/1lOVebEIsI9qjGXl6EX66luk7wiuP2tBaryw-wKvv4e0/edit?usp=sharing"",""แพร่!Q606"")+IMPORTRANGE(""https://docs.google.com/spreadshe"&amp;"ets/d/1dQrvX0vEcN7Gu0fnZ0B5S90AeR19zth4XlExFBeExMY/edit?usp=sharing"",""แม่ฮ่องสอน!Q606"")+IMPORTRANGE(""https://docs.google.com/spreadsheets/d/1DY4XTNNwjluuxqdfdn6qvOSlMRrZqUtmYcZR0ttFiG4/edit?usp=sharing"",""ลำปาง!Q606"")+IMPORTRANGE(""https://docs.goog"&amp;"le.com/spreadsheets/d/1ICwG78r0OFT8biBlxnBF8r7she7gNSzOvJ958PWT09c/edit?usp=sharing"",""ลำพูน!Q606"")+IMPORTRANGE(""https://docs.google.com/spreadsheets/d/1B0f2xJpZUC6Z0xXnqKlZtEPzsf6L84eP1r1Q15seqRM/edit?usp=sharing"",""สุโขทัย!Q606"")+IMPORTRANGE(""http"&amp;"s://docs.google.com/spreadsheets/d/1v0b9pFQCsKUVExMei7AgY2yQkdeNQvtOssygGsXbiKo/edit?usp=sharing"",""อุตรดิตถ์!Q606"")+IMPORTRANGE(""https://docs.google.com/spreadsheets/d/1UsNK1e-WWiCo2PvGqdNfdme4m17_Ezd3J69EeeiQPD0/edit?usp=sharing"",""อุทัยธานี!Q606"")"),0)</f>
        <v>0</v>
      </c>
      <c r="R606" s="48">
        <f ca="1">IFERROR(__xludf.DUMMYFUNCTION("IMPORTRANGE(""https://docs.google.com/spreadsheets/d/1jTcq05yEiRwXcBMLjiodW9e4biSGYWAHcDj22rKWQ3s/edit?usp=sharing"",""กำแพงเพชร!R606"")+IMPORTRANGE(""https://docs.google.com/spreadsheets/d/1KS0zmDSZPk8KnTAbGN-Xk6MtX1YRZD0ldgdt20K4CRk/edit?usp=sharing"","&amp;"""เชียงราย!R606"")+IMPORTRANGE(""https://docs.google.com/spreadsheets/d/1rEDxBtusbi64tE0zunoIbsTVV16HeL0oJ6trHQeQ7K8/edit?usp=sharing"",""เชียงใหม่!R606"")+IMPORTRANGE(""https://docs.google.com/spreadsheets/d/1W6MnUbDkMi6xHnHko_XkFDO9kkuL6Wqyc-6OCDFjW9I/e"&amp;"dit?usp=sharing"",""ตาก!R606"")+IMPORTRANGE(""https://docs.google.com/spreadsheets/d/1IQAWArduLkta9LpYo4a_ULsyqdta6-6aDDiwpUnQT6c/edit?usp=sharing"",""นครสวรรค์!R606"")+IMPORTRANGE(""https://docs.google.com/spreadsheets/d/10s13Sk5xrltsiR-Zkbmk5DwIaDIKO8Xl"&amp;"bJAfqyT7Gvg/edit?usp=sharing"",""น่าน!R606"")+IMPORTRANGE(""https://docs.google.com/spreadsheets/d/1uu4nAn4Dbi1XREnLKKotUANlKXa7yCgRcgq8HEzQYW8/edit?usp=sharing"",""พะเยา!R606"")+IMPORTRANGE(""https://docs.google.com/spreadsheets/d/1xfJKIQxVOaPDIICqsflNlL"&amp;"u3JacTDk1FP9RH4phX7mI/edit?usp=sharing"",""พิจิตร!R606"")+IMPORTRANGE(""https://docs.google.com/spreadsheets/d/1JtRfZkJMHtEhI5RdRHxYUG4FIZHqKDpNyIuN7A1Q0_k/edit?usp=sharing"",""พิษณุโลก!R606"")+IMPORTRANGE(""https://docs.google.com/spreadsheets/d/1xlcVZWU"&amp;"Nn6SuWm0c307h32SiGkd9BaeQWlAktfD3KO8/edit?usp=sharing"",""เพชรบูรณ์!R606"")+IMPORTRANGE(""https://docs.google.com/spreadsheets/d/1lOVebEIsI9qjGXl6EX66luk7wiuP2tBaryw-wKvv4e0/edit?usp=sharing"",""แพร่!R606"")+IMPORTRANGE(""https://docs.google.com/spreadshe"&amp;"ets/d/1dQrvX0vEcN7Gu0fnZ0B5S90AeR19zth4XlExFBeExMY/edit?usp=sharing"",""แม่ฮ่องสอน!R606"")+IMPORTRANGE(""https://docs.google.com/spreadsheets/d/1DY4XTNNwjluuxqdfdn6qvOSlMRrZqUtmYcZR0ttFiG4/edit?usp=sharing"",""ลำปาง!R606"")+IMPORTRANGE(""https://docs.goog"&amp;"le.com/spreadsheets/d/1ICwG78r0OFT8biBlxnBF8r7she7gNSzOvJ958PWT09c/edit?usp=sharing"",""ลำพูน!R606"")+IMPORTRANGE(""https://docs.google.com/spreadsheets/d/1B0f2xJpZUC6Z0xXnqKlZtEPzsf6L84eP1r1Q15seqRM/edit?usp=sharing"",""สุโขทัย!R606"")+IMPORTRANGE(""http"&amp;"s://docs.google.com/spreadsheets/d/1v0b9pFQCsKUVExMei7AgY2yQkdeNQvtOssygGsXbiKo/edit?usp=sharing"",""อุตรดิตถ์!R606"")+IMPORTRANGE(""https://docs.google.com/spreadsheets/d/1UsNK1e-WWiCo2PvGqdNfdme4m17_Ezd3J69EeeiQPD0/edit?usp=sharing"",""อุทัยธานี!R606"")"),0)</f>
        <v>0</v>
      </c>
      <c r="S606" s="48">
        <f ca="1">IFERROR(__xludf.DUMMYFUNCTION("IMPORTRANGE(""https://docs.google.com/spreadsheets/d/1jTcq05yEiRwXcBMLjiodW9e4biSGYWAHcDj22rKWQ3s/edit?usp=sharing"",""กำแพงเพชร!S606"")+IMPORTRANGE(""https://docs.google.com/spreadsheets/d/1KS0zmDSZPk8KnTAbGN-Xk6MtX1YRZD0ldgdt20K4CRk/edit?usp=sharing"","&amp;"""เชียงราย!S606"")+IMPORTRANGE(""https://docs.google.com/spreadsheets/d/1rEDxBtusbi64tE0zunoIbsTVV16HeL0oJ6trHQeQ7K8/edit?usp=sharing"",""เชียงใหม่!S606"")+IMPORTRANGE(""https://docs.google.com/spreadsheets/d/1W6MnUbDkMi6xHnHko_XkFDO9kkuL6Wqyc-6OCDFjW9I/e"&amp;"dit?usp=sharing"",""ตาก!S606"")+IMPORTRANGE(""https://docs.google.com/spreadsheets/d/1IQAWArduLkta9LpYo4a_ULsyqdta6-6aDDiwpUnQT6c/edit?usp=sharing"",""นครสวรรค์!S606"")+IMPORTRANGE(""https://docs.google.com/spreadsheets/d/10s13Sk5xrltsiR-Zkbmk5DwIaDIKO8Xl"&amp;"bJAfqyT7Gvg/edit?usp=sharing"",""น่าน!S606"")+IMPORTRANGE(""https://docs.google.com/spreadsheets/d/1uu4nAn4Dbi1XREnLKKotUANlKXa7yCgRcgq8HEzQYW8/edit?usp=sharing"",""พะเยา!S606"")+IMPORTRANGE(""https://docs.google.com/spreadsheets/d/1xfJKIQxVOaPDIICqsflNlL"&amp;"u3JacTDk1FP9RH4phX7mI/edit?usp=sharing"",""พิจิตร!S606"")+IMPORTRANGE(""https://docs.google.com/spreadsheets/d/1JtRfZkJMHtEhI5RdRHxYUG4FIZHqKDpNyIuN7A1Q0_k/edit?usp=sharing"",""พิษณุโลก!S606"")+IMPORTRANGE(""https://docs.google.com/spreadsheets/d/1xlcVZWU"&amp;"Nn6SuWm0c307h32SiGkd9BaeQWlAktfD3KO8/edit?usp=sharing"",""เพชรบูรณ์!S606"")+IMPORTRANGE(""https://docs.google.com/spreadsheets/d/1lOVebEIsI9qjGXl6EX66luk7wiuP2tBaryw-wKvv4e0/edit?usp=sharing"",""แพร่!S606"")+IMPORTRANGE(""https://docs.google.com/spreadshe"&amp;"ets/d/1dQrvX0vEcN7Gu0fnZ0B5S90AeR19zth4XlExFBeExMY/edit?usp=sharing"",""แม่ฮ่องสอน!S606"")+IMPORTRANGE(""https://docs.google.com/spreadsheets/d/1DY4XTNNwjluuxqdfdn6qvOSlMRrZqUtmYcZR0ttFiG4/edit?usp=sharing"",""ลำปาง!S606"")+IMPORTRANGE(""https://docs.goog"&amp;"le.com/spreadsheets/d/1ICwG78r0OFT8biBlxnBF8r7she7gNSzOvJ958PWT09c/edit?usp=sharing"",""ลำพูน!S606"")+IMPORTRANGE(""https://docs.google.com/spreadsheets/d/1B0f2xJpZUC6Z0xXnqKlZtEPzsf6L84eP1r1Q15seqRM/edit?usp=sharing"",""สุโขทัย!S606"")+IMPORTRANGE(""http"&amp;"s://docs.google.com/spreadsheets/d/1v0b9pFQCsKUVExMei7AgY2yQkdeNQvtOssygGsXbiKo/edit?usp=sharing"",""อุตรดิตถ์!S606"")+IMPORTRANGE(""https://docs.google.com/spreadsheets/d/1UsNK1e-WWiCo2PvGqdNfdme4m17_Ezd3J69EeeiQPD0/edit?usp=sharing"",""อุทัยธานี!S606"")"),0)</f>
        <v>0</v>
      </c>
      <c r="T606" s="48">
        <f t="shared" ca="1" si="426"/>
        <v>0</v>
      </c>
      <c r="U606" s="48">
        <f t="shared" ca="1" si="427"/>
        <v>0</v>
      </c>
    </row>
    <row r="607" spans="1:21" ht="18.75" x14ac:dyDescent="0.25">
      <c r="A607" s="128"/>
      <c r="B607" s="158"/>
      <c r="C607" s="158"/>
      <c r="D607" s="40"/>
      <c r="E607" s="314" t="s">
        <v>21</v>
      </c>
      <c r="F607" s="40"/>
      <c r="G607" s="42"/>
      <c r="H607" s="375" t="s">
        <v>14</v>
      </c>
      <c r="I607" s="135"/>
      <c r="J607" s="135"/>
      <c r="K607" s="136"/>
      <c r="L607" s="46">
        <f ca="1">IFERROR(__xludf.DUMMYFUNCTION("IMPORTRANGE(""https://docs.google.com/spreadsheets/d/1jTcq05yEiRwXcBMLjiodW9e4biSGYWAHcDj22rKWQ3s/edit?usp=sharing"",""กำแพงเพชร!L607"")+IMPORTRANGE(""https://docs.google.com/spreadsheets/d/1KS0zmDSZPk8KnTAbGN-Xk6MtX1YRZD0ldgdt20K4CRk/edit?usp=sharing"","&amp;"""เชียงราย!L607"")+IMPORTRANGE(""https://docs.google.com/spreadsheets/d/1rEDxBtusbi64tE0zunoIbsTVV16HeL0oJ6trHQeQ7K8/edit?usp=sharing"",""เชียงใหม่!L607"")+IMPORTRANGE(""https://docs.google.com/spreadsheets/d/1W6MnUbDkMi6xHnHko_XkFDO9kkuL6Wqyc-6OCDFjW9I/e"&amp;"dit?usp=sharing"",""ตาก!L607"")+IMPORTRANGE(""https://docs.google.com/spreadsheets/d/1IQAWArduLkta9LpYo4a_ULsyqdta6-6aDDiwpUnQT6c/edit?usp=sharing"",""นครสวรรค์!L607"")+IMPORTRANGE(""https://docs.google.com/spreadsheets/d/10s13Sk5xrltsiR-Zkbmk5DwIaDIKO8Xl"&amp;"bJAfqyT7Gvg/edit?usp=sharing"",""น่าน!L607"")+IMPORTRANGE(""https://docs.google.com/spreadsheets/d/1uu4nAn4Dbi1XREnLKKotUANlKXa7yCgRcgq8HEzQYW8/edit?usp=sharing"",""พะเยา!L607"")+IMPORTRANGE(""https://docs.google.com/spreadsheets/d/1xfJKIQxVOaPDIICqsflNlL"&amp;"u3JacTDk1FP9RH4phX7mI/edit?usp=sharing"",""พิจิตร!L607"")+IMPORTRANGE(""https://docs.google.com/spreadsheets/d/1JtRfZkJMHtEhI5RdRHxYUG4FIZHqKDpNyIuN7A1Q0_k/edit?usp=sharing"",""พิษณุโลก!L607"")+IMPORTRANGE(""https://docs.google.com/spreadsheets/d/1xlcVZWU"&amp;"Nn6SuWm0c307h32SiGkd9BaeQWlAktfD3KO8/edit?usp=sharing"",""เพชรบูรณ์!L607"")+IMPORTRANGE(""https://docs.google.com/spreadsheets/d/1lOVebEIsI9qjGXl6EX66luk7wiuP2tBaryw-wKvv4e0/edit?usp=sharing"",""แพร่!L607"")+IMPORTRANGE(""https://docs.google.com/spreadshe"&amp;"ets/d/1dQrvX0vEcN7Gu0fnZ0B5S90AeR19zth4XlExFBeExMY/edit?usp=sharing"",""แม่ฮ่องสอน!L607"")+IMPORTRANGE(""https://docs.google.com/spreadsheets/d/1DY4XTNNwjluuxqdfdn6qvOSlMRrZqUtmYcZR0ttFiG4/edit?usp=sharing"",""ลำปาง!L607"")+IMPORTRANGE(""https://docs.goog"&amp;"le.com/spreadsheets/d/1ICwG78r0OFT8biBlxnBF8r7she7gNSzOvJ958PWT09c/edit?usp=sharing"",""ลำพูน!L607"")+IMPORTRANGE(""https://docs.google.com/spreadsheets/d/1B0f2xJpZUC6Z0xXnqKlZtEPzsf6L84eP1r1Q15seqRM/edit?usp=sharing"",""สุโขทัย!L607"")+IMPORTRANGE(""http"&amp;"s://docs.google.com/spreadsheets/d/1v0b9pFQCsKUVExMei7AgY2yQkdeNQvtOssygGsXbiKo/edit?usp=sharing"",""อุตรดิตถ์!L607"")+IMPORTRANGE(""https://docs.google.com/spreadsheets/d/1UsNK1e-WWiCo2PvGqdNfdme4m17_Ezd3J69EeeiQPD0/edit?usp=sharing"",""อุทัยธานี!L607"")"),0)</f>
        <v>0</v>
      </c>
      <c r="M607" s="46">
        <f ca="1">IFERROR(__xludf.DUMMYFUNCTION("IMPORTRANGE(""https://docs.google.com/spreadsheets/d/1jTcq05yEiRwXcBMLjiodW9e4biSGYWAHcDj22rKWQ3s/edit?usp=sharing"",""กำแพงเพชร!M607"")+IMPORTRANGE(""https://docs.google.com/spreadsheets/d/1KS0zmDSZPk8KnTAbGN-Xk6MtX1YRZD0ldgdt20K4CRk/edit?usp=sharing"","&amp;"""เชียงราย!M607"")+IMPORTRANGE(""https://docs.google.com/spreadsheets/d/1rEDxBtusbi64tE0zunoIbsTVV16HeL0oJ6trHQeQ7K8/edit?usp=sharing"",""เชียงใหม่!M607"")+IMPORTRANGE(""https://docs.google.com/spreadsheets/d/1W6MnUbDkMi6xHnHko_XkFDO9kkuL6Wqyc-6OCDFjW9I/e"&amp;"dit?usp=sharing"",""ตาก!M607"")+IMPORTRANGE(""https://docs.google.com/spreadsheets/d/1IQAWArduLkta9LpYo4a_ULsyqdta6-6aDDiwpUnQT6c/edit?usp=sharing"",""นครสวรรค์!M607"")+IMPORTRANGE(""https://docs.google.com/spreadsheets/d/10s13Sk5xrltsiR-Zkbmk5DwIaDIKO8Xl"&amp;"bJAfqyT7Gvg/edit?usp=sharing"",""น่าน!M607"")+IMPORTRANGE(""https://docs.google.com/spreadsheets/d/1uu4nAn4Dbi1XREnLKKotUANlKXa7yCgRcgq8HEzQYW8/edit?usp=sharing"",""พะเยา!M607"")+IMPORTRANGE(""https://docs.google.com/spreadsheets/d/1xfJKIQxVOaPDIICqsflNlL"&amp;"u3JacTDk1FP9RH4phX7mI/edit?usp=sharing"",""พิจิตร!M607"")+IMPORTRANGE(""https://docs.google.com/spreadsheets/d/1JtRfZkJMHtEhI5RdRHxYUG4FIZHqKDpNyIuN7A1Q0_k/edit?usp=sharing"",""พิษณุโลก!M607"")+IMPORTRANGE(""https://docs.google.com/spreadsheets/d/1xlcVZWU"&amp;"Nn6SuWm0c307h32SiGkd9BaeQWlAktfD3KO8/edit?usp=sharing"",""เพชรบูรณ์!M607"")+IMPORTRANGE(""https://docs.google.com/spreadsheets/d/1lOVebEIsI9qjGXl6EX66luk7wiuP2tBaryw-wKvv4e0/edit?usp=sharing"",""แพร่!M607"")+IMPORTRANGE(""https://docs.google.com/spreadshe"&amp;"ets/d/1dQrvX0vEcN7Gu0fnZ0B5S90AeR19zth4XlExFBeExMY/edit?usp=sharing"",""แม่ฮ่องสอน!M607"")+IMPORTRANGE(""https://docs.google.com/spreadsheets/d/1DY4XTNNwjluuxqdfdn6qvOSlMRrZqUtmYcZR0ttFiG4/edit?usp=sharing"",""ลำปาง!M607"")+IMPORTRANGE(""https://docs.goog"&amp;"le.com/spreadsheets/d/1ICwG78r0OFT8biBlxnBF8r7she7gNSzOvJ958PWT09c/edit?usp=sharing"",""ลำพูน!M607"")+IMPORTRANGE(""https://docs.google.com/spreadsheets/d/1B0f2xJpZUC6Z0xXnqKlZtEPzsf6L84eP1r1Q15seqRM/edit?usp=sharing"",""สุโขทัย!M607"")+IMPORTRANGE(""http"&amp;"s://docs.google.com/spreadsheets/d/1v0b9pFQCsKUVExMei7AgY2yQkdeNQvtOssygGsXbiKo/edit?usp=sharing"",""อุตรดิตถ์!M607"")+IMPORTRANGE(""https://docs.google.com/spreadsheets/d/1UsNK1e-WWiCo2PvGqdNfdme4m17_Ezd3J69EeeiQPD0/edit?usp=sharing"",""อุทัยธานี!M607"")"),0)</f>
        <v>0</v>
      </c>
      <c r="N607" s="46">
        <f ca="1">IFERROR(__xludf.DUMMYFUNCTION("IMPORTRANGE(""https://docs.google.com/spreadsheets/d/1jTcq05yEiRwXcBMLjiodW9e4biSGYWAHcDj22rKWQ3s/edit?usp=sharing"",""กำแพงเพชร!N607"")+IMPORTRANGE(""https://docs.google.com/spreadsheets/d/1KS0zmDSZPk8KnTAbGN-Xk6MtX1YRZD0ldgdt20K4CRk/edit?usp=sharing"","&amp;"""เชียงราย!N607"")+IMPORTRANGE(""https://docs.google.com/spreadsheets/d/1rEDxBtusbi64tE0zunoIbsTVV16HeL0oJ6trHQeQ7K8/edit?usp=sharing"",""เชียงใหม่!N607"")+IMPORTRANGE(""https://docs.google.com/spreadsheets/d/1W6MnUbDkMi6xHnHko_XkFDO9kkuL6Wqyc-6OCDFjW9I/e"&amp;"dit?usp=sharing"",""ตาก!N607"")+IMPORTRANGE(""https://docs.google.com/spreadsheets/d/1IQAWArduLkta9LpYo4a_ULsyqdta6-6aDDiwpUnQT6c/edit?usp=sharing"",""นครสวรรค์!N607"")+IMPORTRANGE(""https://docs.google.com/spreadsheets/d/10s13Sk5xrltsiR-Zkbmk5DwIaDIKO8Xl"&amp;"bJAfqyT7Gvg/edit?usp=sharing"",""น่าน!N607"")+IMPORTRANGE(""https://docs.google.com/spreadsheets/d/1uu4nAn4Dbi1XREnLKKotUANlKXa7yCgRcgq8HEzQYW8/edit?usp=sharing"",""พะเยา!N607"")+IMPORTRANGE(""https://docs.google.com/spreadsheets/d/1xfJKIQxVOaPDIICqsflNlL"&amp;"u3JacTDk1FP9RH4phX7mI/edit?usp=sharing"",""พิจิตร!N607"")+IMPORTRANGE(""https://docs.google.com/spreadsheets/d/1JtRfZkJMHtEhI5RdRHxYUG4FIZHqKDpNyIuN7A1Q0_k/edit?usp=sharing"",""พิษณุโลก!N607"")+IMPORTRANGE(""https://docs.google.com/spreadsheets/d/1xlcVZWU"&amp;"Nn6SuWm0c307h32SiGkd9BaeQWlAktfD3KO8/edit?usp=sharing"",""เพชรบูรณ์!N607"")+IMPORTRANGE(""https://docs.google.com/spreadsheets/d/1lOVebEIsI9qjGXl6EX66luk7wiuP2tBaryw-wKvv4e0/edit?usp=sharing"",""แพร่!N607"")+IMPORTRANGE(""https://docs.google.com/spreadshe"&amp;"ets/d/1dQrvX0vEcN7Gu0fnZ0B5S90AeR19zth4XlExFBeExMY/edit?usp=sharing"",""แม่ฮ่องสอน!N607"")+IMPORTRANGE(""https://docs.google.com/spreadsheets/d/1DY4XTNNwjluuxqdfdn6qvOSlMRrZqUtmYcZR0ttFiG4/edit?usp=sharing"",""ลำปาง!N607"")+IMPORTRANGE(""https://docs.goog"&amp;"le.com/spreadsheets/d/1ICwG78r0OFT8biBlxnBF8r7she7gNSzOvJ958PWT09c/edit?usp=sharing"",""ลำพูน!N607"")+IMPORTRANGE(""https://docs.google.com/spreadsheets/d/1B0f2xJpZUC6Z0xXnqKlZtEPzsf6L84eP1r1Q15seqRM/edit?usp=sharing"",""สุโขทัย!N607"")+IMPORTRANGE(""http"&amp;"s://docs.google.com/spreadsheets/d/1v0b9pFQCsKUVExMei7AgY2yQkdeNQvtOssygGsXbiKo/edit?usp=sharing"",""อุตรดิตถ์!N607"")+IMPORTRANGE(""https://docs.google.com/spreadsheets/d/1UsNK1e-WWiCo2PvGqdNfdme4m17_Ezd3J69EeeiQPD0/edit?usp=sharing"",""อุทัยธานี!N607"")"),0)</f>
        <v>0</v>
      </c>
      <c r="O607" s="46">
        <f t="shared" ca="1" si="423"/>
        <v>0</v>
      </c>
      <c r="P607" s="46">
        <f t="shared" ca="1" si="424"/>
        <v>0</v>
      </c>
      <c r="Q607" s="46">
        <f ca="1">IFERROR(__xludf.DUMMYFUNCTION("IMPORTRANGE(""https://docs.google.com/spreadsheets/d/1jTcq05yEiRwXcBMLjiodW9e4biSGYWAHcDj22rKWQ3s/edit?usp=sharing"",""กำแพงเพชร!Q607"")+IMPORTRANGE(""https://docs.google.com/spreadsheets/d/1KS0zmDSZPk8KnTAbGN-Xk6MtX1YRZD0ldgdt20K4CRk/edit?usp=sharing"","&amp;"""เชียงราย!Q607"")+IMPORTRANGE(""https://docs.google.com/spreadsheets/d/1rEDxBtusbi64tE0zunoIbsTVV16HeL0oJ6trHQeQ7K8/edit?usp=sharing"",""เชียงใหม่!Q607"")+IMPORTRANGE(""https://docs.google.com/spreadsheets/d/1W6MnUbDkMi6xHnHko_XkFDO9kkuL6Wqyc-6OCDFjW9I/e"&amp;"dit?usp=sharing"",""ตาก!Q607"")+IMPORTRANGE(""https://docs.google.com/spreadsheets/d/1IQAWArduLkta9LpYo4a_ULsyqdta6-6aDDiwpUnQT6c/edit?usp=sharing"",""นครสวรรค์!Q607"")+IMPORTRANGE(""https://docs.google.com/spreadsheets/d/10s13Sk5xrltsiR-Zkbmk5DwIaDIKO8Xl"&amp;"bJAfqyT7Gvg/edit?usp=sharing"",""น่าน!Q607"")+IMPORTRANGE(""https://docs.google.com/spreadsheets/d/1uu4nAn4Dbi1XREnLKKotUANlKXa7yCgRcgq8HEzQYW8/edit?usp=sharing"",""พะเยา!Q607"")+IMPORTRANGE(""https://docs.google.com/spreadsheets/d/1xfJKIQxVOaPDIICqsflNlL"&amp;"u3JacTDk1FP9RH4phX7mI/edit?usp=sharing"",""พิจิตร!Q607"")+IMPORTRANGE(""https://docs.google.com/spreadsheets/d/1JtRfZkJMHtEhI5RdRHxYUG4FIZHqKDpNyIuN7A1Q0_k/edit?usp=sharing"",""พิษณุโลก!Q607"")+IMPORTRANGE(""https://docs.google.com/spreadsheets/d/1xlcVZWU"&amp;"Nn6SuWm0c307h32SiGkd9BaeQWlAktfD3KO8/edit?usp=sharing"",""เพชรบูรณ์!Q607"")+IMPORTRANGE(""https://docs.google.com/spreadsheets/d/1lOVebEIsI9qjGXl6EX66luk7wiuP2tBaryw-wKvv4e0/edit?usp=sharing"",""แพร่!Q607"")+IMPORTRANGE(""https://docs.google.com/spreadshe"&amp;"ets/d/1dQrvX0vEcN7Gu0fnZ0B5S90AeR19zth4XlExFBeExMY/edit?usp=sharing"",""แม่ฮ่องสอน!Q607"")+IMPORTRANGE(""https://docs.google.com/spreadsheets/d/1DY4XTNNwjluuxqdfdn6qvOSlMRrZqUtmYcZR0ttFiG4/edit?usp=sharing"",""ลำปาง!Q607"")+IMPORTRANGE(""https://docs.goog"&amp;"le.com/spreadsheets/d/1ICwG78r0OFT8biBlxnBF8r7she7gNSzOvJ958PWT09c/edit?usp=sharing"",""ลำพูน!Q607"")+IMPORTRANGE(""https://docs.google.com/spreadsheets/d/1B0f2xJpZUC6Z0xXnqKlZtEPzsf6L84eP1r1Q15seqRM/edit?usp=sharing"",""สุโขทัย!Q607"")+IMPORTRANGE(""http"&amp;"s://docs.google.com/spreadsheets/d/1v0b9pFQCsKUVExMei7AgY2yQkdeNQvtOssygGsXbiKo/edit?usp=sharing"",""อุตรดิตถ์!Q607"")+IMPORTRANGE(""https://docs.google.com/spreadsheets/d/1UsNK1e-WWiCo2PvGqdNfdme4m17_Ezd3J69EeeiQPD0/edit?usp=sharing"",""อุทัยธานี!Q607"")"),0)</f>
        <v>0</v>
      </c>
      <c r="R607" s="46">
        <f ca="1">IFERROR(__xludf.DUMMYFUNCTION("IMPORTRANGE(""https://docs.google.com/spreadsheets/d/1jTcq05yEiRwXcBMLjiodW9e4biSGYWAHcDj22rKWQ3s/edit?usp=sharing"",""กำแพงเพชร!R607"")+IMPORTRANGE(""https://docs.google.com/spreadsheets/d/1KS0zmDSZPk8KnTAbGN-Xk6MtX1YRZD0ldgdt20K4CRk/edit?usp=sharing"","&amp;"""เชียงราย!R607"")+IMPORTRANGE(""https://docs.google.com/spreadsheets/d/1rEDxBtusbi64tE0zunoIbsTVV16HeL0oJ6trHQeQ7K8/edit?usp=sharing"",""เชียงใหม่!R607"")+IMPORTRANGE(""https://docs.google.com/spreadsheets/d/1W6MnUbDkMi6xHnHko_XkFDO9kkuL6Wqyc-6OCDFjW9I/e"&amp;"dit?usp=sharing"",""ตาก!R607"")+IMPORTRANGE(""https://docs.google.com/spreadsheets/d/1IQAWArduLkta9LpYo4a_ULsyqdta6-6aDDiwpUnQT6c/edit?usp=sharing"",""นครสวรรค์!R607"")+IMPORTRANGE(""https://docs.google.com/spreadsheets/d/10s13Sk5xrltsiR-Zkbmk5DwIaDIKO8Xl"&amp;"bJAfqyT7Gvg/edit?usp=sharing"",""น่าน!R607"")+IMPORTRANGE(""https://docs.google.com/spreadsheets/d/1uu4nAn4Dbi1XREnLKKotUANlKXa7yCgRcgq8HEzQYW8/edit?usp=sharing"",""พะเยา!R607"")+IMPORTRANGE(""https://docs.google.com/spreadsheets/d/1xfJKIQxVOaPDIICqsflNlL"&amp;"u3JacTDk1FP9RH4phX7mI/edit?usp=sharing"",""พิจิตร!R607"")+IMPORTRANGE(""https://docs.google.com/spreadsheets/d/1JtRfZkJMHtEhI5RdRHxYUG4FIZHqKDpNyIuN7A1Q0_k/edit?usp=sharing"",""พิษณุโลก!R607"")+IMPORTRANGE(""https://docs.google.com/spreadsheets/d/1xlcVZWU"&amp;"Nn6SuWm0c307h32SiGkd9BaeQWlAktfD3KO8/edit?usp=sharing"",""เพชรบูรณ์!R607"")+IMPORTRANGE(""https://docs.google.com/spreadsheets/d/1lOVebEIsI9qjGXl6EX66luk7wiuP2tBaryw-wKvv4e0/edit?usp=sharing"",""แพร่!R607"")+IMPORTRANGE(""https://docs.google.com/spreadshe"&amp;"ets/d/1dQrvX0vEcN7Gu0fnZ0B5S90AeR19zth4XlExFBeExMY/edit?usp=sharing"",""แม่ฮ่องสอน!R607"")+IMPORTRANGE(""https://docs.google.com/spreadsheets/d/1DY4XTNNwjluuxqdfdn6qvOSlMRrZqUtmYcZR0ttFiG4/edit?usp=sharing"",""ลำปาง!R607"")+IMPORTRANGE(""https://docs.goog"&amp;"le.com/spreadsheets/d/1ICwG78r0OFT8biBlxnBF8r7she7gNSzOvJ958PWT09c/edit?usp=sharing"",""ลำพูน!R607"")+IMPORTRANGE(""https://docs.google.com/spreadsheets/d/1B0f2xJpZUC6Z0xXnqKlZtEPzsf6L84eP1r1Q15seqRM/edit?usp=sharing"",""สุโขทัย!R607"")+IMPORTRANGE(""http"&amp;"s://docs.google.com/spreadsheets/d/1v0b9pFQCsKUVExMei7AgY2yQkdeNQvtOssygGsXbiKo/edit?usp=sharing"",""อุตรดิตถ์!R607"")+IMPORTRANGE(""https://docs.google.com/spreadsheets/d/1UsNK1e-WWiCo2PvGqdNfdme4m17_Ezd3J69EeeiQPD0/edit?usp=sharing"",""อุทัยธานี!R607"")"),0)</f>
        <v>0</v>
      </c>
      <c r="S607" s="46">
        <f ca="1">IFERROR(__xludf.DUMMYFUNCTION("IMPORTRANGE(""https://docs.google.com/spreadsheets/d/1jTcq05yEiRwXcBMLjiodW9e4biSGYWAHcDj22rKWQ3s/edit?usp=sharing"",""กำแพงเพชร!S607"")+IMPORTRANGE(""https://docs.google.com/spreadsheets/d/1KS0zmDSZPk8KnTAbGN-Xk6MtX1YRZD0ldgdt20K4CRk/edit?usp=sharing"","&amp;"""เชียงราย!S607"")+IMPORTRANGE(""https://docs.google.com/spreadsheets/d/1rEDxBtusbi64tE0zunoIbsTVV16HeL0oJ6trHQeQ7K8/edit?usp=sharing"",""เชียงใหม่!S607"")+IMPORTRANGE(""https://docs.google.com/spreadsheets/d/1W6MnUbDkMi6xHnHko_XkFDO9kkuL6Wqyc-6OCDFjW9I/e"&amp;"dit?usp=sharing"",""ตาก!S607"")+IMPORTRANGE(""https://docs.google.com/spreadsheets/d/1IQAWArduLkta9LpYo4a_ULsyqdta6-6aDDiwpUnQT6c/edit?usp=sharing"",""นครสวรรค์!S607"")+IMPORTRANGE(""https://docs.google.com/spreadsheets/d/10s13Sk5xrltsiR-Zkbmk5DwIaDIKO8Xl"&amp;"bJAfqyT7Gvg/edit?usp=sharing"",""น่าน!S607"")+IMPORTRANGE(""https://docs.google.com/spreadsheets/d/1uu4nAn4Dbi1XREnLKKotUANlKXa7yCgRcgq8HEzQYW8/edit?usp=sharing"",""พะเยา!S607"")+IMPORTRANGE(""https://docs.google.com/spreadsheets/d/1xfJKIQxVOaPDIICqsflNlL"&amp;"u3JacTDk1FP9RH4phX7mI/edit?usp=sharing"",""พิจิตร!S607"")+IMPORTRANGE(""https://docs.google.com/spreadsheets/d/1JtRfZkJMHtEhI5RdRHxYUG4FIZHqKDpNyIuN7A1Q0_k/edit?usp=sharing"",""พิษณุโลก!S607"")+IMPORTRANGE(""https://docs.google.com/spreadsheets/d/1xlcVZWU"&amp;"Nn6SuWm0c307h32SiGkd9BaeQWlAktfD3KO8/edit?usp=sharing"",""เพชรบูรณ์!S607"")+IMPORTRANGE(""https://docs.google.com/spreadsheets/d/1lOVebEIsI9qjGXl6EX66luk7wiuP2tBaryw-wKvv4e0/edit?usp=sharing"",""แพร่!S607"")+IMPORTRANGE(""https://docs.google.com/spreadshe"&amp;"ets/d/1dQrvX0vEcN7Gu0fnZ0B5S90AeR19zth4XlExFBeExMY/edit?usp=sharing"",""แม่ฮ่องสอน!S607"")+IMPORTRANGE(""https://docs.google.com/spreadsheets/d/1DY4XTNNwjluuxqdfdn6qvOSlMRrZqUtmYcZR0ttFiG4/edit?usp=sharing"",""ลำปาง!S607"")+IMPORTRANGE(""https://docs.goog"&amp;"le.com/spreadsheets/d/1ICwG78r0OFT8biBlxnBF8r7she7gNSzOvJ958PWT09c/edit?usp=sharing"",""ลำพูน!S607"")+IMPORTRANGE(""https://docs.google.com/spreadsheets/d/1B0f2xJpZUC6Z0xXnqKlZtEPzsf6L84eP1r1Q15seqRM/edit?usp=sharing"",""สุโขทัย!S607"")+IMPORTRANGE(""http"&amp;"s://docs.google.com/spreadsheets/d/1v0b9pFQCsKUVExMei7AgY2yQkdeNQvtOssygGsXbiKo/edit?usp=sharing"",""อุตรดิตถ์!S607"")+IMPORTRANGE(""https://docs.google.com/spreadsheets/d/1UsNK1e-WWiCo2PvGqdNfdme4m17_Ezd3J69EeeiQPD0/edit?usp=sharing"",""อุทัยธานี!S607"")"),0)</f>
        <v>0</v>
      </c>
      <c r="T607" s="46">
        <f t="shared" ca="1" si="426"/>
        <v>0</v>
      </c>
      <c r="U607" s="46">
        <f t="shared" ca="1" si="427"/>
        <v>0</v>
      </c>
    </row>
    <row r="608" spans="1:21" ht="19.5" x14ac:dyDescent="0.3">
      <c r="A608" s="138"/>
      <c r="B608" s="139"/>
      <c r="C608" s="177" t="s">
        <v>18</v>
      </c>
      <c r="D608" s="376" t="s">
        <v>38</v>
      </c>
      <c r="E608" s="141"/>
      <c r="F608" s="141"/>
      <c r="G608" s="142"/>
      <c r="H608" s="178"/>
      <c r="I608" s="135"/>
      <c r="J608" s="135"/>
      <c r="K608" s="136"/>
      <c r="L608" s="45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x14ac:dyDescent="0.25">
      <c r="A609" s="138"/>
      <c r="B609" s="139"/>
      <c r="C609" s="139"/>
      <c r="D609" s="377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45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x14ac:dyDescent="0.3">
      <c r="A610" s="138"/>
      <c r="B610" s="139"/>
      <c r="C610" s="139"/>
      <c r="D610" s="377" t="s">
        <v>217</v>
      </c>
      <c r="E610" s="145"/>
      <c r="F610" s="145"/>
      <c r="G610" s="143"/>
      <c r="H610" s="372" t="s">
        <v>35</v>
      </c>
      <c r="I610" s="44"/>
      <c r="J610" s="44"/>
      <c r="K610" s="136"/>
      <c r="L610" s="45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x14ac:dyDescent="0.25">
      <c r="A611" s="138"/>
      <c r="B611" s="139"/>
      <c r="C611" s="139"/>
      <c r="D611" s="139"/>
      <c r="E611" s="377" t="s">
        <v>218</v>
      </c>
      <c r="F611" s="145"/>
      <c r="G611" s="143"/>
      <c r="H611" s="375" t="s">
        <v>35</v>
      </c>
      <c r="I611" s="44"/>
      <c r="J611" s="44"/>
      <c r="K611" s="136"/>
      <c r="L611" s="45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8.75" x14ac:dyDescent="0.25">
      <c r="A612" s="378"/>
      <c r="B612" s="379"/>
      <c r="C612" s="379"/>
      <c r="D612" s="379"/>
      <c r="E612" s="380" t="s">
        <v>219</v>
      </c>
      <c r="F612" s="381"/>
      <c r="G612" s="382"/>
      <c r="H612" s="383" t="s">
        <v>35</v>
      </c>
      <c r="I612" s="384"/>
      <c r="J612" s="384"/>
      <c r="K612" s="385"/>
      <c r="L612" s="386"/>
      <c r="M612" s="386"/>
      <c r="N612" s="386"/>
      <c r="O612" s="386"/>
      <c r="P612" s="386"/>
      <c r="Q612" s="386"/>
      <c r="R612" s="386"/>
      <c r="S612" s="386"/>
      <c r="T612" s="386"/>
      <c r="U612" s="386"/>
    </row>
    <row r="613" spans="1:21" ht="19.5" x14ac:dyDescent="0.3">
      <c r="A613" s="387" t="s">
        <v>220</v>
      </c>
      <c r="B613" s="388"/>
      <c r="C613" s="388"/>
      <c r="D613" s="389"/>
      <c r="E613" s="389"/>
      <c r="F613" s="389"/>
      <c r="G613" s="390"/>
      <c r="H613" s="391"/>
      <c r="I613" s="392"/>
      <c r="J613" s="392"/>
      <c r="K613" s="393"/>
      <c r="L613" s="393"/>
      <c r="M613" s="393"/>
      <c r="N613" s="393"/>
      <c r="O613" s="393"/>
      <c r="P613" s="393"/>
      <c r="Q613" s="393"/>
      <c r="R613" s="393"/>
      <c r="S613" s="393"/>
      <c r="T613" s="393"/>
      <c r="U613" s="393"/>
    </row>
    <row r="614" spans="1:21" ht="19.5" x14ac:dyDescent="0.3">
      <c r="A614" s="394"/>
      <c r="B614" s="395" t="s">
        <v>221</v>
      </c>
      <c r="C614" s="394"/>
      <c r="D614" s="396"/>
      <c r="E614" s="396"/>
      <c r="F614" s="396"/>
      <c r="G614" s="397"/>
      <c r="H614" s="398"/>
      <c r="I614" s="399"/>
      <c r="J614" s="399"/>
      <c r="K614" s="400"/>
      <c r="L614" s="400"/>
      <c r="M614" s="400"/>
      <c r="N614" s="400"/>
      <c r="O614" s="400"/>
      <c r="P614" s="400"/>
      <c r="Q614" s="400"/>
      <c r="R614" s="400"/>
      <c r="S614" s="400"/>
      <c r="T614" s="400"/>
      <c r="U614" s="400"/>
    </row>
    <row r="615" spans="1:21" ht="19.5" x14ac:dyDescent="0.3">
      <c r="A615" s="401"/>
      <c r="B615" s="402" t="s">
        <v>222</v>
      </c>
      <c r="C615" s="401"/>
      <c r="D615" s="403"/>
      <c r="E615" s="403"/>
      <c r="F615" s="403"/>
      <c r="G615" s="404"/>
      <c r="H615" s="405" t="s">
        <v>46</v>
      </c>
      <c r="I615" s="406">
        <f t="shared" ref="I615:J615" ca="1" si="436">I626</f>
        <v>700</v>
      </c>
      <c r="J615" s="406">
        <f t="shared" ca="1" si="436"/>
        <v>0</v>
      </c>
      <c r="K615" s="407">
        <f ca="1">IF(I615&gt;0,J615*100/I615,0)</f>
        <v>0</v>
      </c>
      <c r="L615" s="408"/>
      <c r="M615" s="408"/>
      <c r="N615" s="408"/>
      <c r="O615" s="408"/>
      <c r="P615" s="408"/>
      <c r="Q615" s="408"/>
      <c r="R615" s="408"/>
      <c r="S615" s="408"/>
      <c r="T615" s="408"/>
      <c r="U615" s="408"/>
    </row>
    <row r="616" spans="1:21" ht="19.5" x14ac:dyDescent="0.3">
      <c r="A616" s="128"/>
      <c r="B616" s="158"/>
      <c r="C616" s="177" t="s">
        <v>18</v>
      </c>
      <c r="D616" s="795" t="s">
        <v>19</v>
      </c>
      <c r="E616" s="793"/>
      <c r="F616" s="793"/>
      <c r="G616" s="794"/>
      <c r="H616" s="221" t="s">
        <v>14</v>
      </c>
      <c r="I616" s="44"/>
      <c r="J616" s="44"/>
      <c r="K616" s="45"/>
      <c r="L616" s="132">
        <f t="shared" ref="L616:N616" ca="1" si="437">L617+L618</f>
        <v>0</v>
      </c>
      <c r="M616" s="132">
        <f t="shared" ca="1" si="437"/>
        <v>0</v>
      </c>
      <c r="N616" s="132">
        <f t="shared" ca="1" si="437"/>
        <v>0</v>
      </c>
      <c r="O616" s="132">
        <f t="shared" ref="O616:O624" ca="1" si="438">IF(L616&gt;0,N616*100/L616,0)</f>
        <v>0</v>
      </c>
      <c r="P616" s="132">
        <f t="shared" ref="P616:P624" ca="1" si="439">IF(M616&gt;0,N616*100/M616,0)</f>
        <v>0</v>
      </c>
      <c r="Q616" s="132">
        <f t="shared" ref="Q616:S616" ca="1" si="440">Q617+Q618</f>
        <v>101100</v>
      </c>
      <c r="R616" s="132">
        <f t="shared" ca="1" si="440"/>
        <v>101100</v>
      </c>
      <c r="S616" s="132">
        <f t="shared" ca="1" si="440"/>
        <v>5839</v>
      </c>
      <c r="T616" s="132">
        <f t="shared" ref="T616:T624" ca="1" si="441">IF(Q616&gt;0,S616*100/Q616,0)</f>
        <v>5.7754698318496542</v>
      </c>
      <c r="U616" s="132">
        <f t="shared" ref="U616:U624" ca="1" si="442">IF(R616&gt;0,S616*100/R616,0)</f>
        <v>5.7754698318496542</v>
      </c>
    </row>
    <row r="617" spans="1:21" ht="18.75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48">
        <f t="shared" ref="L617:N617" ca="1" si="443">L620+L623</f>
        <v>0</v>
      </c>
      <c r="M617" s="48">
        <f t="shared" ca="1" si="443"/>
        <v>0</v>
      </c>
      <c r="N617" s="48">
        <f t="shared" ca="1" si="443"/>
        <v>0</v>
      </c>
      <c r="O617" s="48">
        <f t="shared" ca="1" si="438"/>
        <v>0</v>
      </c>
      <c r="P617" s="48">
        <f t="shared" ca="1" si="439"/>
        <v>0</v>
      </c>
      <c r="Q617" s="48">
        <f t="shared" ref="Q617:S617" ca="1" si="444">Q620+Q623</f>
        <v>0</v>
      </c>
      <c r="R617" s="48">
        <f t="shared" ca="1" si="444"/>
        <v>0</v>
      </c>
      <c r="S617" s="48">
        <f t="shared" ca="1" si="444"/>
        <v>0</v>
      </c>
      <c r="T617" s="48">
        <f t="shared" ca="1" si="441"/>
        <v>0</v>
      </c>
      <c r="U617" s="48">
        <f t="shared" ca="1" si="442"/>
        <v>0</v>
      </c>
    </row>
    <row r="618" spans="1:21" ht="18.75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46">
        <f t="shared" ref="L618:N618" ca="1" si="445">L621+L624</f>
        <v>0</v>
      </c>
      <c r="M618" s="46">
        <f t="shared" ca="1" si="445"/>
        <v>0</v>
      </c>
      <c r="N618" s="46">
        <f t="shared" ca="1" si="445"/>
        <v>0</v>
      </c>
      <c r="O618" s="46">
        <f t="shared" ca="1" si="438"/>
        <v>0</v>
      </c>
      <c r="P618" s="46">
        <f t="shared" ca="1" si="439"/>
        <v>0</v>
      </c>
      <c r="Q618" s="46">
        <f t="shared" ref="Q618:S618" ca="1" si="446">Q621+Q624</f>
        <v>101100</v>
      </c>
      <c r="R618" s="46">
        <f t="shared" ca="1" si="446"/>
        <v>101100</v>
      </c>
      <c r="S618" s="46">
        <f t="shared" ca="1" si="446"/>
        <v>5839</v>
      </c>
      <c r="T618" s="46">
        <f t="shared" ca="1" si="441"/>
        <v>5.7754698318496542</v>
      </c>
      <c r="U618" s="46">
        <f t="shared" ca="1" si="442"/>
        <v>5.7754698318496542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46">
        <f t="shared" ref="L619:N619" ca="1" si="447">L620+L621</f>
        <v>0</v>
      </c>
      <c r="M619" s="46">
        <f t="shared" ca="1" si="447"/>
        <v>0</v>
      </c>
      <c r="N619" s="46">
        <f t="shared" ca="1" si="447"/>
        <v>0</v>
      </c>
      <c r="O619" s="46">
        <f t="shared" ca="1" si="438"/>
        <v>0</v>
      </c>
      <c r="P619" s="46">
        <f t="shared" ca="1" si="439"/>
        <v>0</v>
      </c>
      <c r="Q619" s="46">
        <f t="shared" ref="Q619:S619" ca="1" si="448">Q620+Q621</f>
        <v>101100</v>
      </c>
      <c r="R619" s="46">
        <f t="shared" ca="1" si="448"/>
        <v>101100</v>
      </c>
      <c r="S619" s="46">
        <f t="shared" ca="1" si="448"/>
        <v>5839</v>
      </c>
      <c r="T619" s="46">
        <f t="shared" ca="1" si="441"/>
        <v>5.7754698318496542</v>
      </c>
      <c r="U619" s="46">
        <f t="shared" ca="1" si="442"/>
        <v>5.7754698318496542</v>
      </c>
    </row>
    <row r="620" spans="1:21" ht="18.75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48">
        <f ca="1">IFERROR(__xludf.DUMMYFUNCTION("IMPORTRANGE(""https://docs.google.com/spreadsheets/d/1jTcq05yEiRwXcBMLjiodW9e4biSGYWAHcDj22rKWQ3s/edit?usp=sharing"",""กำแพงเพชร!L620"")+IMPORTRANGE(""https://docs.google.com/spreadsheets/d/1KS0zmDSZPk8KnTAbGN-Xk6MtX1YRZD0ldgdt20K4CRk/edit?usp=sharing"","&amp;"""เชียงราย!L620"")+IMPORTRANGE(""https://docs.google.com/spreadsheets/d/1rEDxBtusbi64tE0zunoIbsTVV16HeL0oJ6trHQeQ7K8/edit?usp=sharing"",""เชียงใหม่!L620"")+IMPORTRANGE(""https://docs.google.com/spreadsheets/d/1W6MnUbDkMi6xHnHko_XkFDO9kkuL6Wqyc-6OCDFjW9I/e"&amp;"dit?usp=sharing"",""ตาก!L620"")+IMPORTRANGE(""https://docs.google.com/spreadsheets/d/1IQAWArduLkta9LpYo4a_ULsyqdta6-6aDDiwpUnQT6c/edit?usp=sharing"",""นครสวรรค์!L620"")+IMPORTRANGE(""https://docs.google.com/spreadsheets/d/10s13Sk5xrltsiR-Zkbmk5DwIaDIKO8Xl"&amp;"bJAfqyT7Gvg/edit?usp=sharing"",""น่าน!L620"")+IMPORTRANGE(""https://docs.google.com/spreadsheets/d/1uu4nAn4Dbi1XREnLKKotUANlKXa7yCgRcgq8HEzQYW8/edit?usp=sharing"",""พะเยา!L620"")+IMPORTRANGE(""https://docs.google.com/spreadsheets/d/1xfJKIQxVOaPDIICqsflNlL"&amp;"u3JacTDk1FP9RH4phX7mI/edit?usp=sharing"",""พิจิตร!L620"")+IMPORTRANGE(""https://docs.google.com/spreadsheets/d/1JtRfZkJMHtEhI5RdRHxYUG4FIZHqKDpNyIuN7A1Q0_k/edit?usp=sharing"",""พิษณุโลก!L620"")+IMPORTRANGE(""https://docs.google.com/spreadsheets/d/1xlcVZWU"&amp;"Nn6SuWm0c307h32SiGkd9BaeQWlAktfD3KO8/edit?usp=sharing"",""เพชรบูรณ์!L620"")+IMPORTRANGE(""https://docs.google.com/spreadsheets/d/1lOVebEIsI9qjGXl6EX66luk7wiuP2tBaryw-wKvv4e0/edit?usp=sharing"",""แพร่!L620"")+IMPORTRANGE(""https://docs.google.com/spreadshe"&amp;"ets/d/1dQrvX0vEcN7Gu0fnZ0B5S90AeR19zth4XlExFBeExMY/edit?usp=sharing"",""แม่ฮ่องสอน!L620"")+IMPORTRANGE(""https://docs.google.com/spreadsheets/d/1DY4XTNNwjluuxqdfdn6qvOSlMRrZqUtmYcZR0ttFiG4/edit?usp=sharing"",""ลำปาง!L620"")+IMPORTRANGE(""https://docs.goog"&amp;"le.com/spreadsheets/d/1ICwG78r0OFT8biBlxnBF8r7she7gNSzOvJ958PWT09c/edit?usp=sharing"",""ลำพูน!L620"")+IMPORTRANGE(""https://docs.google.com/spreadsheets/d/1B0f2xJpZUC6Z0xXnqKlZtEPzsf6L84eP1r1Q15seqRM/edit?usp=sharing"",""สุโขทัย!L620"")+IMPORTRANGE(""http"&amp;"s://docs.google.com/spreadsheets/d/1v0b9pFQCsKUVExMei7AgY2yQkdeNQvtOssygGsXbiKo/edit?usp=sharing"",""อุตรดิตถ์!L620"")+IMPORTRANGE(""https://docs.google.com/spreadsheets/d/1UsNK1e-WWiCo2PvGqdNfdme4m17_Ezd3J69EeeiQPD0/edit?usp=sharing"",""อุทัยธานี!L620"")"),0)</f>
        <v>0</v>
      </c>
      <c r="M620" s="48">
        <f ca="1">IFERROR(__xludf.DUMMYFUNCTION("IMPORTRANGE(""https://docs.google.com/spreadsheets/d/1jTcq05yEiRwXcBMLjiodW9e4biSGYWAHcDj22rKWQ3s/edit?usp=sharing"",""กำแพงเพชร!M620"")+IMPORTRANGE(""https://docs.google.com/spreadsheets/d/1KS0zmDSZPk8KnTAbGN-Xk6MtX1YRZD0ldgdt20K4CRk/edit?usp=sharing"","&amp;"""เชียงราย!M620"")+IMPORTRANGE(""https://docs.google.com/spreadsheets/d/1rEDxBtusbi64tE0zunoIbsTVV16HeL0oJ6trHQeQ7K8/edit?usp=sharing"",""เชียงใหม่!M620"")+IMPORTRANGE(""https://docs.google.com/spreadsheets/d/1W6MnUbDkMi6xHnHko_XkFDO9kkuL6Wqyc-6OCDFjW9I/e"&amp;"dit?usp=sharing"",""ตาก!M620"")+IMPORTRANGE(""https://docs.google.com/spreadsheets/d/1IQAWArduLkta9LpYo4a_ULsyqdta6-6aDDiwpUnQT6c/edit?usp=sharing"",""นครสวรรค์!M620"")+IMPORTRANGE(""https://docs.google.com/spreadsheets/d/10s13Sk5xrltsiR-Zkbmk5DwIaDIKO8Xl"&amp;"bJAfqyT7Gvg/edit?usp=sharing"",""น่าน!M620"")+IMPORTRANGE(""https://docs.google.com/spreadsheets/d/1uu4nAn4Dbi1XREnLKKotUANlKXa7yCgRcgq8HEzQYW8/edit?usp=sharing"",""พะเยา!M620"")+IMPORTRANGE(""https://docs.google.com/spreadsheets/d/1xfJKIQxVOaPDIICqsflNlL"&amp;"u3JacTDk1FP9RH4phX7mI/edit?usp=sharing"",""พิจิตร!M620"")+IMPORTRANGE(""https://docs.google.com/spreadsheets/d/1JtRfZkJMHtEhI5RdRHxYUG4FIZHqKDpNyIuN7A1Q0_k/edit?usp=sharing"",""พิษณุโลก!M620"")+IMPORTRANGE(""https://docs.google.com/spreadsheets/d/1xlcVZWU"&amp;"Nn6SuWm0c307h32SiGkd9BaeQWlAktfD3KO8/edit?usp=sharing"",""เพชรบูรณ์!M620"")+IMPORTRANGE(""https://docs.google.com/spreadsheets/d/1lOVebEIsI9qjGXl6EX66luk7wiuP2tBaryw-wKvv4e0/edit?usp=sharing"",""แพร่!M620"")+IMPORTRANGE(""https://docs.google.com/spreadshe"&amp;"ets/d/1dQrvX0vEcN7Gu0fnZ0B5S90AeR19zth4XlExFBeExMY/edit?usp=sharing"",""แม่ฮ่องสอน!M620"")+IMPORTRANGE(""https://docs.google.com/spreadsheets/d/1DY4XTNNwjluuxqdfdn6qvOSlMRrZqUtmYcZR0ttFiG4/edit?usp=sharing"",""ลำปาง!M620"")+IMPORTRANGE(""https://docs.goog"&amp;"le.com/spreadsheets/d/1ICwG78r0OFT8biBlxnBF8r7she7gNSzOvJ958PWT09c/edit?usp=sharing"",""ลำพูน!M620"")+IMPORTRANGE(""https://docs.google.com/spreadsheets/d/1B0f2xJpZUC6Z0xXnqKlZtEPzsf6L84eP1r1Q15seqRM/edit?usp=sharing"",""สุโขทัย!M620"")+IMPORTRANGE(""http"&amp;"s://docs.google.com/spreadsheets/d/1v0b9pFQCsKUVExMei7AgY2yQkdeNQvtOssygGsXbiKo/edit?usp=sharing"",""อุตรดิตถ์!M620"")+IMPORTRANGE(""https://docs.google.com/spreadsheets/d/1UsNK1e-WWiCo2PvGqdNfdme4m17_Ezd3J69EeeiQPD0/edit?usp=sharing"",""อุทัยธานี!M620"")"),0)</f>
        <v>0</v>
      </c>
      <c r="N620" s="48">
        <f ca="1">IFERROR(__xludf.DUMMYFUNCTION("IMPORTRANGE(""https://docs.google.com/spreadsheets/d/1jTcq05yEiRwXcBMLjiodW9e4biSGYWAHcDj22rKWQ3s/edit?usp=sharing"",""กำแพงเพชร!N620"")+IMPORTRANGE(""https://docs.google.com/spreadsheets/d/1KS0zmDSZPk8KnTAbGN-Xk6MtX1YRZD0ldgdt20K4CRk/edit?usp=sharing"","&amp;"""เชียงราย!N620"")+IMPORTRANGE(""https://docs.google.com/spreadsheets/d/1rEDxBtusbi64tE0zunoIbsTVV16HeL0oJ6trHQeQ7K8/edit?usp=sharing"",""เชียงใหม่!N620"")+IMPORTRANGE(""https://docs.google.com/spreadsheets/d/1W6MnUbDkMi6xHnHko_XkFDO9kkuL6Wqyc-6OCDFjW9I/e"&amp;"dit?usp=sharing"",""ตาก!N620"")+IMPORTRANGE(""https://docs.google.com/spreadsheets/d/1IQAWArduLkta9LpYo4a_ULsyqdta6-6aDDiwpUnQT6c/edit?usp=sharing"",""นครสวรรค์!N620"")+IMPORTRANGE(""https://docs.google.com/spreadsheets/d/10s13Sk5xrltsiR-Zkbmk5DwIaDIKO8Xl"&amp;"bJAfqyT7Gvg/edit?usp=sharing"",""น่าน!N620"")+IMPORTRANGE(""https://docs.google.com/spreadsheets/d/1uu4nAn4Dbi1XREnLKKotUANlKXa7yCgRcgq8HEzQYW8/edit?usp=sharing"",""พะเยา!N620"")+IMPORTRANGE(""https://docs.google.com/spreadsheets/d/1xfJKIQxVOaPDIICqsflNlL"&amp;"u3JacTDk1FP9RH4phX7mI/edit?usp=sharing"",""พิจิตร!N620"")+IMPORTRANGE(""https://docs.google.com/spreadsheets/d/1JtRfZkJMHtEhI5RdRHxYUG4FIZHqKDpNyIuN7A1Q0_k/edit?usp=sharing"",""พิษณุโลก!N620"")+IMPORTRANGE(""https://docs.google.com/spreadsheets/d/1xlcVZWU"&amp;"Nn6SuWm0c307h32SiGkd9BaeQWlAktfD3KO8/edit?usp=sharing"",""เพชรบูรณ์!N620"")+IMPORTRANGE(""https://docs.google.com/spreadsheets/d/1lOVebEIsI9qjGXl6EX66luk7wiuP2tBaryw-wKvv4e0/edit?usp=sharing"",""แพร่!N620"")+IMPORTRANGE(""https://docs.google.com/spreadshe"&amp;"ets/d/1dQrvX0vEcN7Gu0fnZ0B5S90AeR19zth4XlExFBeExMY/edit?usp=sharing"",""แม่ฮ่องสอน!N620"")+IMPORTRANGE(""https://docs.google.com/spreadsheets/d/1DY4XTNNwjluuxqdfdn6qvOSlMRrZqUtmYcZR0ttFiG4/edit?usp=sharing"",""ลำปาง!N620"")+IMPORTRANGE(""https://docs.goog"&amp;"le.com/spreadsheets/d/1ICwG78r0OFT8biBlxnBF8r7she7gNSzOvJ958PWT09c/edit?usp=sharing"",""ลำพูน!N620"")+IMPORTRANGE(""https://docs.google.com/spreadsheets/d/1B0f2xJpZUC6Z0xXnqKlZtEPzsf6L84eP1r1Q15seqRM/edit?usp=sharing"",""สุโขทัย!N620"")+IMPORTRANGE(""http"&amp;"s://docs.google.com/spreadsheets/d/1v0b9pFQCsKUVExMei7AgY2yQkdeNQvtOssygGsXbiKo/edit?usp=sharing"",""อุตรดิตถ์!N620"")+IMPORTRANGE(""https://docs.google.com/spreadsheets/d/1UsNK1e-WWiCo2PvGqdNfdme4m17_Ezd3J69EeeiQPD0/edit?usp=sharing"",""อุทัยธานี!N620"")"),0)</f>
        <v>0</v>
      </c>
      <c r="O620" s="48">
        <f t="shared" ca="1" si="438"/>
        <v>0</v>
      </c>
      <c r="P620" s="48">
        <f t="shared" ca="1" si="439"/>
        <v>0</v>
      </c>
      <c r="Q620" s="48">
        <f ca="1">IFERROR(__xludf.DUMMYFUNCTION("IMPORTRANGE(""https://docs.google.com/spreadsheets/d/1jTcq05yEiRwXcBMLjiodW9e4biSGYWAHcDj22rKWQ3s/edit?usp=sharing"",""กำแพงเพชร!Q620"")+IMPORTRANGE(""https://docs.google.com/spreadsheets/d/1KS0zmDSZPk8KnTAbGN-Xk6MtX1YRZD0ldgdt20K4CRk/edit?usp=sharing"","&amp;"""เชียงราย!Q620"")+IMPORTRANGE(""https://docs.google.com/spreadsheets/d/1rEDxBtusbi64tE0zunoIbsTVV16HeL0oJ6trHQeQ7K8/edit?usp=sharing"",""เชียงใหม่!Q620"")+IMPORTRANGE(""https://docs.google.com/spreadsheets/d/1W6MnUbDkMi6xHnHko_XkFDO9kkuL6Wqyc-6OCDFjW9I/e"&amp;"dit?usp=sharing"",""ตาก!Q620"")+IMPORTRANGE(""https://docs.google.com/spreadsheets/d/1IQAWArduLkta9LpYo4a_ULsyqdta6-6aDDiwpUnQT6c/edit?usp=sharing"",""นครสวรรค์!Q620"")+IMPORTRANGE(""https://docs.google.com/spreadsheets/d/10s13Sk5xrltsiR-Zkbmk5DwIaDIKO8Xl"&amp;"bJAfqyT7Gvg/edit?usp=sharing"",""น่าน!Q620"")+IMPORTRANGE(""https://docs.google.com/spreadsheets/d/1uu4nAn4Dbi1XREnLKKotUANlKXa7yCgRcgq8HEzQYW8/edit?usp=sharing"",""พะเยา!Q620"")+IMPORTRANGE(""https://docs.google.com/spreadsheets/d/1xfJKIQxVOaPDIICqsflNlL"&amp;"u3JacTDk1FP9RH4phX7mI/edit?usp=sharing"",""พิจิตร!Q620"")+IMPORTRANGE(""https://docs.google.com/spreadsheets/d/1JtRfZkJMHtEhI5RdRHxYUG4FIZHqKDpNyIuN7A1Q0_k/edit?usp=sharing"",""พิษณุโลก!Q620"")+IMPORTRANGE(""https://docs.google.com/spreadsheets/d/1xlcVZWU"&amp;"Nn6SuWm0c307h32SiGkd9BaeQWlAktfD3KO8/edit?usp=sharing"",""เพชรบูรณ์!Q620"")+IMPORTRANGE(""https://docs.google.com/spreadsheets/d/1lOVebEIsI9qjGXl6EX66luk7wiuP2tBaryw-wKvv4e0/edit?usp=sharing"",""แพร่!Q620"")+IMPORTRANGE(""https://docs.google.com/spreadshe"&amp;"ets/d/1dQrvX0vEcN7Gu0fnZ0B5S90AeR19zth4XlExFBeExMY/edit?usp=sharing"",""แม่ฮ่องสอน!Q620"")+IMPORTRANGE(""https://docs.google.com/spreadsheets/d/1DY4XTNNwjluuxqdfdn6qvOSlMRrZqUtmYcZR0ttFiG4/edit?usp=sharing"",""ลำปาง!Q620"")+IMPORTRANGE(""https://docs.goog"&amp;"le.com/spreadsheets/d/1ICwG78r0OFT8biBlxnBF8r7she7gNSzOvJ958PWT09c/edit?usp=sharing"",""ลำพูน!Q620"")+IMPORTRANGE(""https://docs.google.com/spreadsheets/d/1B0f2xJpZUC6Z0xXnqKlZtEPzsf6L84eP1r1Q15seqRM/edit?usp=sharing"",""สุโขทัย!Q620"")+IMPORTRANGE(""http"&amp;"s://docs.google.com/spreadsheets/d/1v0b9pFQCsKUVExMei7AgY2yQkdeNQvtOssygGsXbiKo/edit?usp=sharing"",""อุตรดิตถ์!Q620"")+IMPORTRANGE(""https://docs.google.com/spreadsheets/d/1UsNK1e-WWiCo2PvGqdNfdme4m17_Ezd3J69EeeiQPD0/edit?usp=sharing"",""อุทัยธานี!Q620"")"),0)</f>
        <v>0</v>
      </c>
      <c r="R620" s="48">
        <f ca="1">IFERROR(__xludf.DUMMYFUNCTION("IMPORTRANGE(""https://docs.google.com/spreadsheets/d/1jTcq05yEiRwXcBMLjiodW9e4biSGYWAHcDj22rKWQ3s/edit?usp=sharing"",""กำแพงเพชร!R620"")+IMPORTRANGE(""https://docs.google.com/spreadsheets/d/1KS0zmDSZPk8KnTAbGN-Xk6MtX1YRZD0ldgdt20K4CRk/edit?usp=sharing"","&amp;"""เชียงราย!R620"")+IMPORTRANGE(""https://docs.google.com/spreadsheets/d/1rEDxBtusbi64tE0zunoIbsTVV16HeL0oJ6trHQeQ7K8/edit?usp=sharing"",""เชียงใหม่!R620"")+IMPORTRANGE(""https://docs.google.com/spreadsheets/d/1W6MnUbDkMi6xHnHko_XkFDO9kkuL6Wqyc-6OCDFjW9I/e"&amp;"dit?usp=sharing"",""ตาก!R620"")+IMPORTRANGE(""https://docs.google.com/spreadsheets/d/1IQAWArduLkta9LpYo4a_ULsyqdta6-6aDDiwpUnQT6c/edit?usp=sharing"",""นครสวรรค์!R620"")+IMPORTRANGE(""https://docs.google.com/spreadsheets/d/10s13Sk5xrltsiR-Zkbmk5DwIaDIKO8Xl"&amp;"bJAfqyT7Gvg/edit?usp=sharing"",""น่าน!R620"")+IMPORTRANGE(""https://docs.google.com/spreadsheets/d/1uu4nAn4Dbi1XREnLKKotUANlKXa7yCgRcgq8HEzQYW8/edit?usp=sharing"",""พะเยา!R620"")+IMPORTRANGE(""https://docs.google.com/spreadsheets/d/1xfJKIQxVOaPDIICqsflNlL"&amp;"u3JacTDk1FP9RH4phX7mI/edit?usp=sharing"",""พิจิตร!R620"")+IMPORTRANGE(""https://docs.google.com/spreadsheets/d/1JtRfZkJMHtEhI5RdRHxYUG4FIZHqKDpNyIuN7A1Q0_k/edit?usp=sharing"",""พิษณุโลก!R620"")+IMPORTRANGE(""https://docs.google.com/spreadsheets/d/1xlcVZWU"&amp;"Nn6SuWm0c307h32SiGkd9BaeQWlAktfD3KO8/edit?usp=sharing"",""เพชรบูรณ์!R620"")+IMPORTRANGE(""https://docs.google.com/spreadsheets/d/1lOVebEIsI9qjGXl6EX66luk7wiuP2tBaryw-wKvv4e0/edit?usp=sharing"",""แพร่!R620"")+IMPORTRANGE(""https://docs.google.com/spreadshe"&amp;"ets/d/1dQrvX0vEcN7Gu0fnZ0B5S90AeR19zth4XlExFBeExMY/edit?usp=sharing"",""แม่ฮ่องสอน!R620"")+IMPORTRANGE(""https://docs.google.com/spreadsheets/d/1DY4XTNNwjluuxqdfdn6qvOSlMRrZqUtmYcZR0ttFiG4/edit?usp=sharing"",""ลำปาง!R620"")+IMPORTRANGE(""https://docs.goog"&amp;"le.com/spreadsheets/d/1ICwG78r0OFT8biBlxnBF8r7she7gNSzOvJ958PWT09c/edit?usp=sharing"",""ลำพูน!R620"")+IMPORTRANGE(""https://docs.google.com/spreadsheets/d/1B0f2xJpZUC6Z0xXnqKlZtEPzsf6L84eP1r1Q15seqRM/edit?usp=sharing"",""สุโขทัย!R620"")+IMPORTRANGE(""http"&amp;"s://docs.google.com/spreadsheets/d/1v0b9pFQCsKUVExMei7AgY2yQkdeNQvtOssygGsXbiKo/edit?usp=sharing"",""อุตรดิตถ์!R620"")+IMPORTRANGE(""https://docs.google.com/spreadsheets/d/1UsNK1e-WWiCo2PvGqdNfdme4m17_Ezd3J69EeeiQPD0/edit?usp=sharing"",""อุทัยธานี!R620"")"),0)</f>
        <v>0</v>
      </c>
      <c r="S620" s="48">
        <f ca="1">IFERROR(__xludf.DUMMYFUNCTION("IMPORTRANGE(""https://docs.google.com/spreadsheets/d/1jTcq05yEiRwXcBMLjiodW9e4biSGYWAHcDj22rKWQ3s/edit?usp=sharing"",""กำแพงเพชร!S620"")+IMPORTRANGE(""https://docs.google.com/spreadsheets/d/1KS0zmDSZPk8KnTAbGN-Xk6MtX1YRZD0ldgdt20K4CRk/edit?usp=sharing"","&amp;"""เชียงราย!S620"")+IMPORTRANGE(""https://docs.google.com/spreadsheets/d/1rEDxBtusbi64tE0zunoIbsTVV16HeL0oJ6trHQeQ7K8/edit?usp=sharing"",""เชียงใหม่!S620"")+IMPORTRANGE(""https://docs.google.com/spreadsheets/d/1W6MnUbDkMi6xHnHko_XkFDO9kkuL6Wqyc-6OCDFjW9I/e"&amp;"dit?usp=sharing"",""ตาก!S620"")+IMPORTRANGE(""https://docs.google.com/spreadsheets/d/1IQAWArduLkta9LpYo4a_ULsyqdta6-6aDDiwpUnQT6c/edit?usp=sharing"",""นครสวรรค์!S620"")+IMPORTRANGE(""https://docs.google.com/spreadsheets/d/10s13Sk5xrltsiR-Zkbmk5DwIaDIKO8Xl"&amp;"bJAfqyT7Gvg/edit?usp=sharing"",""น่าน!S620"")+IMPORTRANGE(""https://docs.google.com/spreadsheets/d/1uu4nAn4Dbi1XREnLKKotUANlKXa7yCgRcgq8HEzQYW8/edit?usp=sharing"",""พะเยา!S620"")+IMPORTRANGE(""https://docs.google.com/spreadsheets/d/1xfJKIQxVOaPDIICqsflNlL"&amp;"u3JacTDk1FP9RH4phX7mI/edit?usp=sharing"",""พิจิตร!S620"")+IMPORTRANGE(""https://docs.google.com/spreadsheets/d/1JtRfZkJMHtEhI5RdRHxYUG4FIZHqKDpNyIuN7A1Q0_k/edit?usp=sharing"",""พิษณุโลก!S620"")+IMPORTRANGE(""https://docs.google.com/spreadsheets/d/1xlcVZWU"&amp;"Nn6SuWm0c307h32SiGkd9BaeQWlAktfD3KO8/edit?usp=sharing"",""เพชรบูรณ์!S620"")+IMPORTRANGE(""https://docs.google.com/spreadsheets/d/1lOVebEIsI9qjGXl6EX66luk7wiuP2tBaryw-wKvv4e0/edit?usp=sharing"",""แพร่!S620"")+IMPORTRANGE(""https://docs.google.com/spreadshe"&amp;"ets/d/1dQrvX0vEcN7Gu0fnZ0B5S90AeR19zth4XlExFBeExMY/edit?usp=sharing"",""แม่ฮ่องสอน!S620"")+IMPORTRANGE(""https://docs.google.com/spreadsheets/d/1DY4XTNNwjluuxqdfdn6qvOSlMRrZqUtmYcZR0ttFiG4/edit?usp=sharing"",""ลำปาง!S620"")+IMPORTRANGE(""https://docs.goog"&amp;"le.com/spreadsheets/d/1ICwG78r0OFT8biBlxnBF8r7she7gNSzOvJ958PWT09c/edit?usp=sharing"",""ลำพูน!S620"")+IMPORTRANGE(""https://docs.google.com/spreadsheets/d/1B0f2xJpZUC6Z0xXnqKlZtEPzsf6L84eP1r1Q15seqRM/edit?usp=sharing"",""สุโขทัย!S620"")+IMPORTRANGE(""http"&amp;"s://docs.google.com/spreadsheets/d/1v0b9pFQCsKUVExMei7AgY2yQkdeNQvtOssygGsXbiKo/edit?usp=sharing"",""อุตรดิตถ์!S620"")+IMPORTRANGE(""https://docs.google.com/spreadsheets/d/1UsNK1e-WWiCo2PvGqdNfdme4m17_Ezd3J69EeeiQPD0/edit?usp=sharing"",""อุทัยธานี!S620"")"),0)</f>
        <v>0</v>
      </c>
      <c r="T620" s="48">
        <f t="shared" ca="1" si="441"/>
        <v>0</v>
      </c>
      <c r="U620" s="48">
        <f t="shared" ca="1" si="442"/>
        <v>0</v>
      </c>
    </row>
    <row r="621" spans="1:21" ht="18.75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46">
        <f ca="1">IFERROR(__xludf.DUMMYFUNCTION("IMPORTRANGE(""https://docs.google.com/spreadsheets/d/1jTcq05yEiRwXcBMLjiodW9e4biSGYWAHcDj22rKWQ3s/edit?usp=sharing"",""กำแพงเพชร!L621"")+IMPORTRANGE(""https://docs.google.com/spreadsheets/d/1KS0zmDSZPk8KnTAbGN-Xk6MtX1YRZD0ldgdt20K4CRk/edit?usp=sharing"","&amp;"""เชียงราย!L621"")+IMPORTRANGE(""https://docs.google.com/spreadsheets/d/1rEDxBtusbi64tE0zunoIbsTVV16HeL0oJ6trHQeQ7K8/edit?usp=sharing"",""เชียงใหม่!L621"")+IMPORTRANGE(""https://docs.google.com/spreadsheets/d/1W6MnUbDkMi6xHnHko_XkFDO9kkuL6Wqyc-6OCDFjW9I/e"&amp;"dit?usp=sharing"",""ตาก!L621"")+IMPORTRANGE(""https://docs.google.com/spreadsheets/d/1IQAWArduLkta9LpYo4a_ULsyqdta6-6aDDiwpUnQT6c/edit?usp=sharing"",""นครสวรรค์!L621"")+IMPORTRANGE(""https://docs.google.com/spreadsheets/d/10s13Sk5xrltsiR-Zkbmk5DwIaDIKO8Xl"&amp;"bJAfqyT7Gvg/edit?usp=sharing"",""น่าน!L621"")+IMPORTRANGE(""https://docs.google.com/spreadsheets/d/1uu4nAn4Dbi1XREnLKKotUANlKXa7yCgRcgq8HEzQYW8/edit?usp=sharing"",""พะเยา!L621"")+IMPORTRANGE(""https://docs.google.com/spreadsheets/d/1xfJKIQxVOaPDIICqsflNlL"&amp;"u3JacTDk1FP9RH4phX7mI/edit?usp=sharing"",""พิจิตร!L621"")+IMPORTRANGE(""https://docs.google.com/spreadsheets/d/1JtRfZkJMHtEhI5RdRHxYUG4FIZHqKDpNyIuN7A1Q0_k/edit?usp=sharing"",""พิษณุโลก!L621"")+IMPORTRANGE(""https://docs.google.com/spreadsheets/d/1xlcVZWU"&amp;"Nn6SuWm0c307h32SiGkd9BaeQWlAktfD3KO8/edit?usp=sharing"",""เพชรบูรณ์!L621"")+IMPORTRANGE(""https://docs.google.com/spreadsheets/d/1lOVebEIsI9qjGXl6EX66luk7wiuP2tBaryw-wKvv4e0/edit?usp=sharing"",""แพร่!L621"")+IMPORTRANGE(""https://docs.google.com/spreadshe"&amp;"ets/d/1dQrvX0vEcN7Gu0fnZ0B5S90AeR19zth4XlExFBeExMY/edit?usp=sharing"",""แม่ฮ่องสอน!L621"")+IMPORTRANGE(""https://docs.google.com/spreadsheets/d/1DY4XTNNwjluuxqdfdn6qvOSlMRrZqUtmYcZR0ttFiG4/edit?usp=sharing"",""ลำปาง!L621"")+IMPORTRANGE(""https://docs.goog"&amp;"le.com/spreadsheets/d/1ICwG78r0OFT8biBlxnBF8r7she7gNSzOvJ958PWT09c/edit?usp=sharing"",""ลำพูน!L621"")+IMPORTRANGE(""https://docs.google.com/spreadsheets/d/1B0f2xJpZUC6Z0xXnqKlZtEPzsf6L84eP1r1Q15seqRM/edit?usp=sharing"",""สุโขทัย!L621"")+IMPORTRANGE(""http"&amp;"s://docs.google.com/spreadsheets/d/1v0b9pFQCsKUVExMei7AgY2yQkdeNQvtOssygGsXbiKo/edit?usp=sharing"",""อุตรดิตถ์!L621"")+IMPORTRANGE(""https://docs.google.com/spreadsheets/d/1UsNK1e-WWiCo2PvGqdNfdme4m17_Ezd3J69EeeiQPD0/edit?usp=sharing"",""อุทัยธานี!L621"")"),0)</f>
        <v>0</v>
      </c>
      <c r="M621" s="46">
        <f ca="1">IFERROR(__xludf.DUMMYFUNCTION("IMPORTRANGE(""https://docs.google.com/spreadsheets/d/1jTcq05yEiRwXcBMLjiodW9e4biSGYWAHcDj22rKWQ3s/edit?usp=sharing"",""กำแพงเพชร!M621"")+IMPORTRANGE(""https://docs.google.com/spreadsheets/d/1KS0zmDSZPk8KnTAbGN-Xk6MtX1YRZD0ldgdt20K4CRk/edit?usp=sharing"","&amp;"""เชียงราย!M621"")+IMPORTRANGE(""https://docs.google.com/spreadsheets/d/1rEDxBtusbi64tE0zunoIbsTVV16HeL0oJ6trHQeQ7K8/edit?usp=sharing"",""เชียงใหม่!M621"")+IMPORTRANGE(""https://docs.google.com/spreadsheets/d/1W6MnUbDkMi6xHnHko_XkFDO9kkuL6Wqyc-6OCDFjW9I/e"&amp;"dit?usp=sharing"",""ตาก!M621"")+IMPORTRANGE(""https://docs.google.com/spreadsheets/d/1IQAWArduLkta9LpYo4a_ULsyqdta6-6aDDiwpUnQT6c/edit?usp=sharing"",""นครสวรรค์!M621"")+IMPORTRANGE(""https://docs.google.com/spreadsheets/d/10s13Sk5xrltsiR-Zkbmk5DwIaDIKO8Xl"&amp;"bJAfqyT7Gvg/edit?usp=sharing"",""น่าน!M621"")+IMPORTRANGE(""https://docs.google.com/spreadsheets/d/1uu4nAn4Dbi1XREnLKKotUANlKXa7yCgRcgq8HEzQYW8/edit?usp=sharing"",""พะเยา!M621"")+IMPORTRANGE(""https://docs.google.com/spreadsheets/d/1xfJKIQxVOaPDIICqsflNlL"&amp;"u3JacTDk1FP9RH4phX7mI/edit?usp=sharing"",""พิจิตร!M621"")+IMPORTRANGE(""https://docs.google.com/spreadsheets/d/1JtRfZkJMHtEhI5RdRHxYUG4FIZHqKDpNyIuN7A1Q0_k/edit?usp=sharing"",""พิษณุโลก!M621"")+IMPORTRANGE(""https://docs.google.com/spreadsheets/d/1xlcVZWU"&amp;"Nn6SuWm0c307h32SiGkd9BaeQWlAktfD3KO8/edit?usp=sharing"",""เพชรบูรณ์!M621"")+IMPORTRANGE(""https://docs.google.com/spreadsheets/d/1lOVebEIsI9qjGXl6EX66luk7wiuP2tBaryw-wKvv4e0/edit?usp=sharing"",""แพร่!M621"")+IMPORTRANGE(""https://docs.google.com/spreadshe"&amp;"ets/d/1dQrvX0vEcN7Gu0fnZ0B5S90AeR19zth4XlExFBeExMY/edit?usp=sharing"",""แม่ฮ่องสอน!M621"")+IMPORTRANGE(""https://docs.google.com/spreadsheets/d/1DY4XTNNwjluuxqdfdn6qvOSlMRrZqUtmYcZR0ttFiG4/edit?usp=sharing"",""ลำปาง!M621"")+IMPORTRANGE(""https://docs.goog"&amp;"le.com/spreadsheets/d/1ICwG78r0OFT8biBlxnBF8r7she7gNSzOvJ958PWT09c/edit?usp=sharing"",""ลำพูน!M621"")+IMPORTRANGE(""https://docs.google.com/spreadsheets/d/1B0f2xJpZUC6Z0xXnqKlZtEPzsf6L84eP1r1Q15seqRM/edit?usp=sharing"",""สุโขทัย!M621"")+IMPORTRANGE(""http"&amp;"s://docs.google.com/spreadsheets/d/1v0b9pFQCsKUVExMei7AgY2yQkdeNQvtOssygGsXbiKo/edit?usp=sharing"",""อุตรดิตถ์!M621"")+IMPORTRANGE(""https://docs.google.com/spreadsheets/d/1UsNK1e-WWiCo2PvGqdNfdme4m17_Ezd3J69EeeiQPD0/edit?usp=sharing"",""อุทัยธานี!M621"")"),0)</f>
        <v>0</v>
      </c>
      <c r="N621" s="46">
        <f ca="1">IFERROR(__xludf.DUMMYFUNCTION("IMPORTRANGE(""https://docs.google.com/spreadsheets/d/1jTcq05yEiRwXcBMLjiodW9e4biSGYWAHcDj22rKWQ3s/edit?usp=sharing"",""กำแพงเพชร!N621"")+IMPORTRANGE(""https://docs.google.com/spreadsheets/d/1KS0zmDSZPk8KnTAbGN-Xk6MtX1YRZD0ldgdt20K4CRk/edit?usp=sharing"","&amp;"""เชียงราย!N621"")+IMPORTRANGE(""https://docs.google.com/spreadsheets/d/1rEDxBtusbi64tE0zunoIbsTVV16HeL0oJ6trHQeQ7K8/edit?usp=sharing"",""เชียงใหม่!N621"")+IMPORTRANGE(""https://docs.google.com/spreadsheets/d/1W6MnUbDkMi6xHnHko_XkFDO9kkuL6Wqyc-6OCDFjW9I/e"&amp;"dit?usp=sharing"",""ตาก!N621"")+IMPORTRANGE(""https://docs.google.com/spreadsheets/d/1IQAWArduLkta9LpYo4a_ULsyqdta6-6aDDiwpUnQT6c/edit?usp=sharing"",""นครสวรรค์!N621"")+IMPORTRANGE(""https://docs.google.com/spreadsheets/d/10s13Sk5xrltsiR-Zkbmk5DwIaDIKO8Xl"&amp;"bJAfqyT7Gvg/edit?usp=sharing"",""น่าน!N621"")+IMPORTRANGE(""https://docs.google.com/spreadsheets/d/1uu4nAn4Dbi1XREnLKKotUANlKXa7yCgRcgq8HEzQYW8/edit?usp=sharing"",""พะเยา!N621"")+IMPORTRANGE(""https://docs.google.com/spreadsheets/d/1xfJKIQxVOaPDIICqsflNlL"&amp;"u3JacTDk1FP9RH4phX7mI/edit?usp=sharing"",""พิจิตร!N621"")+IMPORTRANGE(""https://docs.google.com/spreadsheets/d/1JtRfZkJMHtEhI5RdRHxYUG4FIZHqKDpNyIuN7A1Q0_k/edit?usp=sharing"",""พิษณุโลก!N621"")+IMPORTRANGE(""https://docs.google.com/spreadsheets/d/1xlcVZWU"&amp;"Nn6SuWm0c307h32SiGkd9BaeQWlAktfD3KO8/edit?usp=sharing"",""เพชรบูรณ์!N621"")+IMPORTRANGE(""https://docs.google.com/spreadsheets/d/1lOVebEIsI9qjGXl6EX66luk7wiuP2tBaryw-wKvv4e0/edit?usp=sharing"",""แพร่!N621"")+IMPORTRANGE(""https://docs.google.com/spreadshe"&amp;"ets/d/1dQrvX0vEcN7Gu0fnZ0B5S90AeR19zth4XlExFBeExMY/edit?usp=sharing"",""แม่ฮ่องสอน!N621"")+IMPORTRANGE(""https://docs.google.com/spreadsheets/d/1DY4XTNNwjluuxqdfdn6qvOSlMRrZqUtmYcZR0ttFiG4/edit?usp=sharing"",""ลำปาง!N621"")+IMPORTRANGE(""https://docs.goog"&amp;"le.com/spreadsheets/d/1ICwG78r0OFT8biBlxnBF8r7she7gNSzOvJ958PWT09c/edit?usp=sharing"",""ลำพูน!N621"")+IMPORTRANGE(""https://docs.google.com/spreadsheets/d/1B0f2xJpZUC6Z0xXnqKlZtEPzsf6L84eP1r1Q15seqRM/edit?usp=sharing"",""สุโขทัย!N621"")+IMPORTRANGE(""http"&amp;"s://docs.google.com/spreadsheets/d/1v0b9pFQCsKUVExMei7AgY2yQkdeNQvtOssygGsXbiKo/edit?usp=sharing"",""อุตรดิตถ์!N621"")+IMPORTRANGE(""https://docs.google.com/spreadsheets/d/1UsNK1e-WWiCo2PvGqdNfdme4m17_Ezd3J69EeeiQPD0/edit?usp=sharing"",""อุทัยธานี!N621"")"),0)</f>
        <v>0</v>
      </c>
      <c r="O621" s="46">
        <f t="shared" ca="1" si="438"/>
        <v>0</v>
      </c>
      <c r="P621" s="46">
        <f t="shared" ca="1" si="439"/>
        <v>0</v>
      </c>
      <c r="Q621" s="46">
        <f ca="1">IFERROR(__xludf.DUMMYFUNCTION("IMPORTRANGE(""https://docs.google.com/spreadsheets/d/1jTcq05yEiRwXcBMLjiodW9e4biSGYWAHcDj22rKWQ3s/edit?usp=sharing"",""กำแพงเพชร!Q621"")+IMPORTRANGE(""https://docs.google.com/spreadsheets/d/1KS0zmDSZPk8KnTAbGN-Xk6MtX1YRZD0ldgdt20K4CRk/edit?usp=sharing"","&amp;"""เชียงราย!Q621"")+IMPORTRANGE(""https://docs.google.com/spreadsheets/d/1rEDxBtusbi64tE0zunoIbsTVV16HeL0oJ6trHQeQ7K8/edit?usp=sharing"",""เชียงใหม่!Q621"")+IMPORTRANGE(""https://docs.google.com/spreadsheets/d/1W6MnUbDkMi6xHnHko_XkFDO9kkuL6Wqyc-6OCDFjW9I/e"&amp;"dit?usp=sharing"",""ตาก!Q621"")+IMPORTRANGE(""https://docs.google.com/spreadsheets/d/1IQAWArduLkta9LpYo4a_ULsyqdta6-6aDDiwpUnQT6c/edit?usp=sharing"",""นครสวรรค์!Q621"")+IMPORTRANGE(""https://docs.google.com/spreadsheets/d/10s13Sk5xrltsiR-Zkbmk5DwIaDIKO8Xl"&amp;"bJAfqyT7Gvg/edit?usp=sharing"",""น่าน!Q621"")+IMPORTRANGE(""https://docs.google.com/spreadsheets/d/1uu4nAn4Dbi1XREnLKKotUANlKXa7yCgRcgq8HEzQYW8/edit?usp=sharing"",""พะเยา!Q621"")+IMPORTRANGE(""https://docs.google.com/spreadsheets/d/1xfJKIQxVOaPDIICqsflNlL"&amp;"u3JacTDk1FP9RH4phX7mI/edit?usp=sharing"",""พิจิตร!Q621"")+IMPORTRANGE(""https://docs.google.com/spreadsheets/d/1JtRfZkJMHtEhI5RdRHxYUG4FIZHqKDpNyIuN7A1Q0_k/edit?usp=sharing"",""พิษณุโลก!Q621"")+IMPORTRANGE(""https://docs.google.com/spreadsheets/d/1xlcVZWU"&amp;"Nn6SuWm0c307h32SiGkd9BaeQWlAktfD3KO8/edit?usp=sharing"",""เพชรบูรณ์!Q621"")+IMPORTRANGE(""https://docs.google.com/spreadsheets/d/1lOVebEIsI9qjGXl6EX66luk7wiuP2tBaryw-wKvv4e0/edit?usp=sharing"",""แพร่!Q621"")+IMPORTRANGE(""https://docs.google.com/spreadshe"&amp;"ets/d/1dQrvX0vEcN7Gu0fnZ0B5S90AeR19zth4XlExFBeExMY/edit?usp=sharing"",""แม่ฮ่องสอน!Q621"")+IMPORTRANGE(""https://docs.google.com/spreadsheets/d/1DY4XTNNwjluuxqdfdn6qvOSlMRrZqUtmYcZR0ttFiG4/edit?usp=sharing"",""ลำปาง!Q621"")+IMPORTRANGE(""https://docs.goog"&amp;"le.com/spreadsheets/d/1ICwG78r0OFT8biBlxnBF8r7she7gNSzOvJ958PWT09c/edit?usp=sharing"",""ลำพูน!Q621"")+IMPORTRANGE(""https://docs.google.com/spreadsheets/d/1B0f2xJpZUC6Z0xXnqKlZtEPzsf6L84eP1r1Q15seqRM/edit?usp=sharing"",""สุโขทัย!Q621"")+IMPORTRANGE(""http"&amp;"s://docs.google.com/spreadsheets/d/1v0b9pFQCsKUVExMei7AgY2yQkdeNQvtOssygGsXbiKo/edit?usp=sharing"",""อุตรดิตถ์!Q621"")+IMPORTRANGE(""https://docs.google.com/spreadsheets/d/1UsNK1e-WWiCo2PvGqdNfdme4m17_Ezd3J69EeeiQPD0/edit?usp=sharing"",""อุทัยธานี!Q621"")"),101100)</f>
        <v>101100</v>
      </c>
      <c r="R621" s="46">
        <f ca="1">IFERROR(__xludf.DUMMYFUNCTION("IMPORTRANGE(""https://docs.google.com/spreadsheets/d/1jTcq05yEiRwXcBMLjiodW9e4biSGYWAHcDj22rKWQ3s/edit?usp=sharing"",""กำแพงเพชร!R621"")+IMPORTRANGE(""https://docs.google.com/spreadsheets/d/1KS0zmDSZPk8KnTAbGN-Xk6MtX1YRZD0ldgdt20K4CRk/edit?usp=sharing"","&amp;"""เชียงราย!R621"")+IMPORTRANGE(""https://docs.google.com/spreadsheets/d/1rEDxBtusbi64tE0zunoIbsTVV16HeL0oJ6trHQeQ7K8/edit?usp=sharing"",""เชียงใหม่!R621"")+IMPORTRANGE(""https://docs.google.com/spreadsheets/d/1W6MnUbDkMi6xHnHko_XkFDO9kkuL6Wqyc-6OCDFjW9I/e"&amp;"dit?usp=sharing"",""ตาก!R621"")+IMPORTRANGE(""https://docs.google.com/spreadsheets/d/1IQAWArduLkta9LpYo4a_ULsyqdta6-6aDDiwpUnQT6c/edit?usp=sharing"",""นครสวรรค์!R621"")+IMPORTRANGE(""https://docs.google.com/spreadsheets/d/10s13Sk5xrltsiR-Zkbmk5DwIaDIKO8Xl"&amp;"bJAfqyT7Gvg/edit?usp=sharing"",""น่าน!R621"")+IMPORTRANGE(""https://docs.google.com/spreadsheets/d/1uu4nAn4Dbi1XREnLKKotUANlKXa7yCgRcgq8HEzQYW8/edit?usp=sharing"",""พะเยา!R621"")+IMPORTRANGE(""https://docs.google.com/spreadsheets/d/1xfJKIQxVOaPDIICqsflNlL"&amp;"u3JacTDk1FP9RH4phX7mI/edit?usp=sharing"",""พิจิตร!R621"")+IMPORTRANGE(""https://docs.google.com/spreadsheets/d/1JtRfZkJMHtEhI5RdRHxYUG4FIZHqKDpNyIuN7A1Q0_k/edit?usp=sharing"",""พิษณุโลก!R621"")+IMPORTRANGE(""https://docs.google.com/spreadsheets/d/1xlcVZWU"&amp;"Nn6SuWm0c307h32SiGkd9BaeQWlAktfD3KO8/edit?usp=sharing"",""เพชรบูรณ์!R621"")+IMPORTRANGE(""https://docs.google.com/spreadsheets/d/1lOVebEIsI9qjGXl6EX66luk7wiuP2tBaryw-wKvv4e0/edit?usp=sharing"",""แพร่!R621"")+IMPORTRANGE(""https://docs.google.com/spreadshe"&amp;"ets/d/1dQrvX0vEcN7Gu0fnZ0B5S90AeR19zth4XlExFBeExMY/edit?usp=sharing"",""แม่ฮ่องสอน!R621"")+IMPORTRANGE(""https://docs.google.com/spreadsheets/d/1DY4XTNNwjluuxqdfdn6qvOSlMRrZqUtmYcZR0ttFiG4/edit?usp=sharing"",""ลำปาง!R621"")+IMPORTRANGE(""https://docs.goog"&amp;"le.com/spreadsheets/d/1ICwG78r0OFT8biBlxnBF8r7she7gNSzOvJ958PWT09c/edit?usp=sharing"",""ลำพูน!R621"")+IMPORTRANGE(""https://docs.google.com/spreadsheets/d/1B0f2xJpZUC6Z0xXnqKlZtEPzsf6L84eP1r1Q15seqRM/edit?usp=sharing"",""สุโขทัย!R621"")+IMPORTRANGE(""http"&amp;"s://docs.google.com/spreadsheets/d/1v0b9pFQCsKUVExMei7AgY2yQkdeNQvtOssygGsXbiKo/edit?usp=sharing"",""อุตรดิตถ์!R621"")+IMPORTRANGE(""https://docs.google.com/spreadsheets/d/1UsNK1e-WWiCo2PvGqdNfdme4m17_Ezd3J69EeeiQPD0/edit?usp=sharing"",""อุทัยธานี!R621"")"),101100)</f>
        <v>101100</v>
      </c>
      <c r="S621" s="46">
        <f ca="1">IFERROR(__xludf.DUMMYFUNCTION("IMPORTRANGE(""https://docs.google.com/spreadsheets/d/1jTcq05yEiRwXcBMLjiodW9e4biSGYWAHcDj22rKWQ3s/edit?usp=sharing"",""กำแพงเพชร!S621"")+IMPORTRANGE(""https://docs.google.com/spreadsheets/d/1KS0zmDSZPk8KnTAbGN-Xk6MtX1YRZD0ldgdt20K4CRk/edit?usp=sharing"","&amp;"""เชียงราย!S621"")+IMPORTRANGE(""https://docs.google.com/spreadsheets/d/1rEDxBtusbi64tE0zunoIbsTVV16HeL0oJ6trHQeQ7K8/edit?usp=sharing"",""เชียงใหม่!S621"")+IMPORTRANGE(""https://docs.google.com/spreadsheets/d/1W6MnUbDkMi6xHnHko_XkFDO9kkuL6Wqyc-6OCDFjW9I/e"&amp;"dit?usp=sharing"",""ตาก!S621"")+IMPORTRANGE(""https://docs.google.com/spreadsheets/d/1IQAWArduLkta9LpYo4a_ULsyqdta6-6aDDiwpUnQT6c/edit?usp=sharing"",""นครสวรรค์!S621"")+IMPORTRANGE(""https://docs.google.com/spreadsheets/d/10s13Sk5xrltsiR-Zkbmk5DwIaDIKO8Xl"&amp;"bJAfqyT7Gvg/edit?usp=sharing"",""น่าน!S621"")+IMPORTRANGE(""https://docs.google.com/spreadsheets/d/1uu4nAn4Dbi1XREnLKKotUANlKXa7yCgRcgq8HEzQYW8/edit?usp=sharing"",""พะเยา!S621"")+IMPORTRANGE(""https://docs.google.com/spreadsheets/d/1xfJKIQxVOaPDIICqsflNlL"&amp;"u3JacTDk1FP9RH4phX7mI/edit?usp=sharing"",""พิจิตร!S621"")+IMPORTRANGE(""https://docs.google.com/spreadsheets/d/1JtRfZkJMHtEhI5RdRHxYUG4FIZHqKDpNyIuN7A1Q0_k/edit?usp=sharing"",""พิษณุโลก!S621"")+IMPORTRANGE(""https://docs.google.com/spreadsheets/d/1xlcVZWU"&amp;"Nn6SuWm0c307h32SiGkd9BaeQWlAktfD3KO8/edit?usp=sharing"",""เพชรบูรณ์!S621"")+IMPORTRANGE(""https://docs.google.com/spreadsheets/d/1lOVebEIsI9qjGXl6EX66luk7wiuP2tBaryw-wKvv4e0/edit?usp=sharing"",""แพร่!S621"")+IMPORTRANGE(""https://docs.google.com/spreadshe"&amp;"ets/d/1dQrvX0vEcN7Gu0fnZ0B5S90AeR19zth4XlExFBeExMY/edit?usp=sharing"",""แม่ฮ่องสอน!S621"")+IMPORTRANGE(""https://docs.google.com/spreadsheets/d/1DY4XTNNwjluuxqdfdn6qvOSlMRrZqUtmYcZR0ttFiG4/edit?usp=sharing"",""ลำปาง!S621"")+IMPORTRANGE(""https://docs.goog"&amp;"le.com/spreadsheets/d/1ICwG78r0OFT8biBlxnBF8r7she7gNSzOvJ958PWT09c/edit?usp=sharing"",""ลำพูน!S621"")+IMPORTRANGE(""https://docs.google.com/spreadsheets/d/1B0f2xJpZUC6Z0xXnqKlZtEPzsf6L84eP1r1Q15seqRM/edit?usp=sharing"",""สุโขทัย!S621"")+IMPORTRANGE(""http"&amp;"s://docs.google.com/spreadsheets/d/1v0b9pFQCsKUVExMei7AgY2yQkdeNQvtOssygGsXbiKo/edit?usp=sharing"",""อุตรดิตถ์!S621"")+IMPORTRANGE(""https://docs.google.com/spreadsheets/d/1UsNK1e-WWiCo2PvGqdNfdme4m17_Ezd3J69EeeiQPD0/edit?usp=sharing"",""อุทัยธานี!S621"")"),5839)</f>
        <v>5839</v>
      </c>
      <c r="T621" s="46">
        <f t="shared" ca="1" si="441"/>
        <v>5.7754698318496542</v>
      </c>
      <c r="U621" s="46">
        <f t="shared" ca="1" si="442"/>
        <v>5.7754698318496542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46">
        <f t="shared" ref="L622:N622" ca="1" si="449">L623+L624</f>
        <v>0</v>
      </c>
      <c r="M622" s="46">
        <f t="shared" ca="1" si="449"/>
        <v>0</v>
      </c>
      <c r="N622" s="46">
        <f t="shared" ca="1" si="449"/>
        <v>0</v>
      </c>
      <c r="O622" s="46">
        <f t="shared" ca="1" si="438"/>
        <v>0</v>
      </c>
      <c r="P622" s="46">
        <f t="shared" ca="1" si="439"/>
        <v>0</v>
      </c>
      <c r="Q622" s="46">
        <f t="shared" ref="Q622:S622" ca="1" si="450">Q623+Q624</f>
        <v>0</v>
      </c>
      <c r="R622" s="46">
        <f t="shared" ca="1" si="450"/>
        <v>0</v>
      </c>
      <c r="S622" s="46">
        <f t="shared" ca="1" si="450"/>
        <v>0</v>
      </c>
      <c r="T622" s="46">
        <f t="shared" ca="1" si="441"/>
        <v>0</v>
      </c>
      <c r="U622" s="46">
        <f t="shared" ca="1" si="442"/>
        <v>0</v>
      </c>
    </row>
    <row r="623" spans="1:21" ht="18.75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48">
        <f ca="1">IFERROR(__xludf.DUMMYFUNCTION("IMPORTRANGE(""https://docs.google.com/spreadsheets/d/1jTcq05yEiRwXcBMLjiodW9e4biSGYWAHcDj22rKWQ3s/edit?usp=sharing"",""กำแพงเพชร!L623"")+IMPORTRANGE(""https://docs.google.com/spreadsheets/d/1KS0zmDSZPk8KnTAbGN-Xk6MtX1YRZD0ldgdt20K4CRk/edit?usp=sharing"","&amp;"""เชียงราย!L623"")+IMPORTRANGE(""https://docs.google.com/spreadsheets/d/1rEDxBtusbi64tE0zunoIbsTVV16HeL0oJ6trHQeQ7K8/edit?usp=sharing"",""เชียงใหม่!L623"")+IMPORTRANGE(""https://docs.google.com/spreadsheets/d/1W6MnUbDkMi6xHnHko_XkFDO9kkuL6Wqyc-6OCDFjW9I/e"&amp;"dit?usp=sharing"",""ตาก!L623"")+IMPORTRANGE(""https://docs.google.com/spreadsheets/d/1IQAWArduLkta9LpYo4a_ULsyqdta6-6aDDiwpUnQT6c/edit?usp=sharing"",""นครสวรรค์!L623"")+IMPORTRANGE(""https://docs.google.com/spreadsheets/d/10s13Sk5xrltsiR-Zkbmk5DwIaDIKO8Xl"&amp;"bJAfqyT7Gvg/edit?usp=sharing"",""น่าน!L623"")+IMPORTRANGE(""https://docs.google.com/spreadsheets/d/1uu4nAn4Dbi1XREnLKKotUANlKXa7yCgRcgq8HEzQYW8/edit?usp=sharing"",""พะเยา!L623"")+IMPORTRANGE(""https://docs.google.com/spreadsheets/d/1xfJKIQxVOaPDIICqsflNlL"&amp;"u3JacTDk1FP9RH4phX7mI/edit?usp=sharing"",""พิจิตร!L623"")+IMPORTRANGE(""https://docs.google.com/spreadsheets/d/1JtRfZkJMHtEhI5RdRHxYUG4FIZHqKDpNyIuN7A1Q0_k/edit?usp=sharing"",""พิษณุโลก!L623"")+IMPORTRANGE(""https://docs.google.com/spreadsheets/d/1xlcVZWU"&amp;"Nn6SuWm0c307h32SiGkd9BaeQWlAktfD3KO8/edit?usp=sharing"",""เพชรบูรณ์!L623"")+IMPORTRANGE(""https://docs.google.com/spreadsheets/d/1lOVebEIsI9qjGXl6EX66luk7wiuP2tBaryw-wKvv4e0/edit?usp=sharing"",""แพร่!L623"")+IMPORTRANGE(""https://docs.google.com/spreadshe"&amp;"ets/d/1dQrvX0vEcN7Gu0fnZ0B5S90AeR19zth4XlExFBeExMY/edit?usp=sharing"",""แม่ฮ่องสอน!L623"")+IMPORTRANGE(""https://docs.google.com/spreadsheets/d/1DY4XTNNwjluuxqdfdn6qvOSlMRrZqUtmYcZR0ttFiG4/edit?usp=sharing"",""ลำปาง!L623"")+IMPORTRANGE(""https://docs.goog"&amp;"le.com/spreadsheets/d/1ICwG78r0OFT8biBlxnBF8r7she7gNSzOvJ958PWT09c/edit?usp=sharing"",""ลำพูน!L623"")+IMPORTRANGE(""https://docs.google.com/spreadsheets/d/1B0f2xJpZUC6Z0xXnqKlZtEPzsf6L84eP1r1Q15seqRM/edit?usp=sharing"",""สุโขทัย!L623"")+IMPORTRANGE(""http"&amp;"s://docs.google.com/spreadsheets/d/1v0b9pFQCsKUVExMei7AgY2yQkdeNQvtOssygGsXbiKo/edit?usp=sharing"",""อุตรดิตถ์!L623"")+IMPORTRANGE(""https://docs.google.com/spreadsheets/d/1UsNK1e-WWiCo2PvGqdNfdme4m17_Ezd3J69EeeiQPD0/edit?usp=sharing"",""อุทัยธานี!L623"")"),0)</f>
        <v>0</v>
      </c>
      <c r="M623" s="48">
        <f ca="1">IFERROR(__xludf.DUMMYFUNCTION("IMPORTRANGE(""https://docs.google.com/spreadsheets/d/1jTcq05yEiRwXcBMLjiodW9e4biSGYWAHcDj22rKWQ3s/edit?usp=sharing"",""กำแพงเพชร!M623"")+IMPORTRANGE(""https://docs.google.com/spreadsheets/d/1KS0zmDSZPk8KnTAbGN-Xk6MtX1YRZD0ldgdt20K4CRk/edit?usp=sharing"","&amp;"""เชียงราย!M623"")+IMPORTRANGE(""https://docs.google.com/spreadsheets/d/1rEDxBtusbi64tE0zunoIbsTVV16HeL0oJ6trHQeQ7K8/edit?usp=sharing"",""เชียงใหม่!M623"")+IMPORTRANGE(""https://docs.google.com/spreadsheets/d/1W6MnUbDkMi6xHnHko_XkFDO9kkuL6Wqyc-6OCDFjW9I/e"&amp;"dit?usp=sharing"",""ตาก!M623"")+IMPORTRANGE(""https://docs.google.com/spreadsheets/d/1IQAWArduLkta9LpYo4a_ULsyqdta6-6aDDiwpUnQT6c/edit?usp=sharing"",""นครสวรรค์!M623"")+IMPORTRANGE(""https://docs.google.com/spreadsheets/d/10s13Sk5xrltsiR-Zkbmk5DwIaDIKO8Xl"&amp;"bJAfqyT7Gvg/edit?usp=sharing"",""น่าน!M623"")+IMPORTRANGE(""https://docs.google.com/spreadsheets/d/1uu4nAn4Dbi1XREnLKKotUANlKXa7yCgRcgq8HEzQYW8/edit?usp=sharing"",""พะเยา!M623"")+IMPORTRANGE(""https://docs.google.com/spreadsheets/d/1xfJKIQxVOaPDIICqsflNlL"&amp;"u3JacTDk1FP9RH4phX7mI/edit?usp=sharing"",""พิจิตร!M623"")+IMPORTRANGE(""https://docs.google.com/spreadsheets/d/1JtRfZkJMHtEhI5RdRHxYUG4FIZHqKDpNyIuN7A1Q0_k/edit?usp=sharing"",""พิษณุโลก!M623"")+IMPORTRANGE(""https://docs.google.com/spreadsheets/d/1xlcVZWU"&amp;"Nn6SuWm0c307h32SiGkd9BaeQWlAktfD3KO8/edit?usp=sharing"",""เพชรบูรณ์!M623"")+IMPORTRANGE(""https://docs.google.com/spreadsheets/d/1lOVebEIsI9qjGXl6EX66luk7wiuP2tBaryw-wKvv4e0/edit?usp=sharing"",""แพร่!M623"")+IMPORTRANGE(""https://docs.google.com/spreadshe"&amp;"ets/d/1dQrvX0vEcN7Gu0fnZ0B5S90AeR19zth4XlExFBeExMY/edit?usp=sharing"",""แม่ฮ่องสอน!M623"")+IMPORTRANGE(""https://docs.google.com/spreadsheets/d/1DY4XTNNwjluuxqdfdn6qvOSlMRrZqUtmYcZR0ttFiG4/edit?usp=sharing"",""ลำปาง!M623"")+IMPORTRANGE(""https://docs.goog"&amp;"le.com/spreadsheets/d/1ICwG78r0OFT8biBlxnBF8r7she7gNSzOvJ958PWT09c/edit?usp=sharing"",""ลำพูน!M623"")+IMPORTRANGE(""https://docs.google.com/spreadsheets/d/1B0f2xJpZUC6Z0xXnqKlZtEPzsf6L84eP1r1Q15seqRM/edit?usp=sharing"",""สุโขทัย!M623"")+IMPORTRANGE(""http"&amp;"s://docs.google.com/spreadsheets/d/1v0b9pFQCsKUVExMei7AgY2yQkdeNQvtOssygGsXbiKo/edit?usp=sharing"",""อุตรดิตถ์!M623"")+IMPORTRANGE(""https://docs.google.com/spreadsheets/d/1UsNK1e-WWiCo2PvGqdNfdme4m17_Ezd3J69EeeiQPD0/edit?usp=sharing"",""อุทัยธานี!M623"")"),0)</f>
        <v>0</v>
      </c>
      <c r="N623" s="48">
        <f ca="1">IFERROR(__xludf.DUMMYFUNCTION("IMPORTRANGE(""https://docs.google.com/spreadsheets/d/1jTcq05yEiRwXcBMLjiodW9e4biSGYWAHcDj22rKWQ3s/edit?usp=sharing"",""กำแพงเพชร!N623"")+IMPORTRANGE(""https://docs.google.com/spreadsheets/d/1KS0zmDSZPk8KnTAbGN-Xk6MtX1YRZD0ldgdt20K4CRk/edit?usp=sharing"","&amp;"""เชียงราย!N623"")+IMPORTRANGE(""https://docs.google.com/spreadsheets/d/1rEDxBtusbi64tE0zunoIbsTVV16HeL0oJ6trHQeQ7K8/edit?usp=sharing"",""เชียงใหม่!N623"")+IMPORTRANGE(""https://docs.google.com/spreadsheets/d/1W6MnUbDkMi6xHnHko_XkFDO9kkuL6Wqyc-6OCDFjW9I/e"&amp;"dit?usp=sharing"",""ตาก!N623"")+IMPORTRANGE(""https://docs.google.com/spreadsheets/d/1IQAWArduLkta9LpYo4a_ULsyqdta6-6aDDiwpUnQT6c/edit?usp=sharing"",""นครสวรรค์!N623"")+IMPORTRANGE(""https://docs.google.com/spreadsheets/d/10s13Sk5xrltsiR-Zkbmk5DwIaDIKO8Xl"&amp;"bJAfqyT7Gvg/edit?usp=sharing"",""น่าน!N623"")+IMPORTRANGE(""https://docs.google.com/spreadsheets/d/1uu4nAn4Dbi1XREnLKKotUANlKXa7yCgRcgq8HEzQYW8/edit?usp=sharing"",""พะเยา!N623"")+IMPORTRANGE(""https://docs.google.com/spreadsheets/d/1xfJKIQxVOaPDIICqsflNlL"&amp;"u3JacTDk1FP9RH4phX7mI/edit?usp=sharing"",""พิจิตร!N623"")+IMPORTRANGE(""https://docs.google.com/spreadsheets/d/1JtRfZkJMHtEhI5RdRHxYUG4FIZHqKDpNyIuN7A1Q0_k/edit?usp=sharing"",""พิษณุโลก!N623"")+IMPORTRANGE(""https://docs.google.com/spreadsheets/d/1xlcVZWU"&amp;"Nn6SuWm0c307h32SiGkd9BaeQWlAktfD3KO8/edit?usp=sharing"",""เพชรบูรณ์!N623"")+IMPORTRANGE(""https://docs.google.com/spreadsheets/d/1lOVebEIsI9qjGXl6EX66luk7wiuP2tBaryw-wKvv4e0/edit?usp=sharing"",""แพร่!N623"")+IMPORTRANGE(""https://docs.google.com/spreadshe"&amp;"ets/d/1dQrvX0vEcN7Gu0fnZ0B5S90AeR19zth4XlExFBeExMY/edit?usp=sharing"",""แม่ฮ่องสอน!N623"")+IMPORTRANGE(""https://docs.google.com/spreadsheets/d/1DY4XTNNwjluuxqdfdn6qvOSlMRrZqUtmYcZR0ttFiG4/edit?usp=sharing"",""ลำปาง!N623"")+IMPORTRANGE(""https://docs.goog"&amp;"le.com/spreadsheets/d/1ICwG78r0OFT8biBlxnBF8r7she7gNSzOvJ958PWT09c/edit?usp=sharing"",""ลำพูน!N623"")+IMPORTRANGE(""https://docs.google.com/spreadsheets/d/1B0f2xJpZUC6Z0xXnqKlZtEPzsf6L84eP1r1Q15seqRM/edit?usp=sharing"",""สุโขทัย!N623"")+IMPORTRANGE(""http"&amp;"s://docs.google.com/spreadsheets/d/1v0b9pFQCsKUVExMei7AgY2yQkdeNQvtOssygGsXbiKo/edit?usp=sharing"",""อุตรดิตถ์!N623"")+IMPORTRANGE(""https://docs.google.com/spreadsheets/d/1UsNK1e-WWiCo2PvGqdNfdme4m17_Ezd3J69EeeiQPD0/edit?usp=sharing"",""อุทัยธานี!N623"")"),0)</f>
        <v>0</v>
      </c>
      <c r="O623" s="48">
        <f t="shared" ca="1" si="438"/>
        <v>0</v>
      </c>
      <c r="P623" s="48">
        <f t="shared" ca="1" si="439"/>
        <v>0</v>
      </c>
      <c r="Q623" s="48">
        <f ca="1">IFERROR(__xludf.DUMMYFUNCTION("IMPORTRANGE(""https://docs.google.com/spreadsheets/d/1jTcq05yEiRwXcBMLjiodW9e4biSGYWAHcDj22rKWQ3s/edit?usp=sharing"",""กำแพงเพชร!Q623"")+IMPORTRANGE(""https://docs.google.com/spreadsheets/d/1KS0zmDSZPk8KnTAbGN-Xk6MtX1YRZD0ldgdt20K4CRk/edit?usp=sharing"","&amp;"""เชียงราย!Q623"")+IMPORTRANGE(""https://docs.google.com/spreadsheets/d/1rEDxBtusbi64tE0zunoIbsTVV16HeL0oJ6trHQeQ7K8/edit?usp=sharing"",""เชียงใหม่!Q623"")+IMPORTRANGE(""https://docs.google.com/spreadsheets/d/1W6MnUbDkMi6xHnHko_XkFDO9kkuL6Wqyc-6OCDFjW9I/e"&amp;"dit?usp=sharing"",""ตาก!Q623"")+IMPORTRANGE(""https://docs.google.com/spreadsheets/d/1IQAWArduLkta9LpYo4a_ULsyqdta6-6aDDiwpUnQT6c/edit?usp=sharing"",""นครสวรรค์!Q623"")+IMPORTRANGE(""https://docs.google.com/spreadsheets/d/10s13Sk5xrltsiR-Zkbmk5DwIaDIKO8Xl"&amp;"bJAfqyT7Gvg/edit?usp=sharing"",""น่าน!Q623"")+IMPORTRANGE(""https://docs.google.com/spreadsheets/d/1uu4nAn4Dbi1XREnLKKotUANlKXa7yCgRcgq8HEzQYW8/edit?usp=sharing"",""พะเยา!Q623"")+IMPORTRANGE(""https://docs.google.com/spreadsheets/d/1xfJKIQxVOaPDIICqsflNlL"&amp;"u3JacTDk1FP9RH4phX7mI/edit?usp=sharing"",""พิจิตร!Q623"")+IMPORTRANGE(""https://docs.google.com/spreadsheets/d/1JtRfZkJMHtEhI5RdRHxYUG4FIZHqKDpNyIuN7A1Q0_k/edit?usp=sharing"",""พิษณุโลก!Q623"")+IMPORTRANGE(""https://docs.google.com/spreadsheets/d/1xlcVZWU"&amp;"Nn6SuWm0c307h32SiGkd9BaeQWlAktfD3KO8/edit?usp=sharing"",""เพชรบูรณ์!Q623"")+IMPORTRANGE(""https://docs.google.com/spreadsheets/d/1lOVebEIsI9qjGXl6EX66luk7wiuP2tBaryw-wKvv4e0/edit?usp=sharing"",""แพร่!Q623"")+IMPORTRANGE(""https://docs.google.com/spreadshe"&amp;"ets/d/1dQrvX0vEcN7Gu0fnZ0B5S90AeR19zth4XlExFBeExMY/edit?usp=sharing"",""แม่ฮ่องสอน!Q623"")+IMPORTRANGE(""https://docs.google.com/spreadsheets/d/1DY4XTNNwjluuxqdfdn6qvOSlMRrZqUtmYcZR0ttFiG4/edit?usp=sharing"",""ลำปาง!Q623"")+IMPORTRANGE(""https://docs.goog"&amp;"le.com/spreadsheets/d/1ICwG78r0OFT8biBlxnBF8r7she7gNSzOvJ958PWT09c/edit?usp=sharing"",""ลำพูน!Q623"")+IMPORTRANGE(""https://docs.google.com/spreadsheets/d/1B0f2xJpZUC6Z0xXnqKlZtEPzsf6L84eP1r1Q15seqRM/edit?usp=sharing"",""สุโขทัย!Q623"")+IMPORTRANGE(""http"&amp;"s://docs.google.com/spreadsheets/d/1v0b9pFQCsKUVExMei7AgY2yQkdeNQvtOssygGsXbiKo/edit?usp=sharing"",""อุตรดิตถ์!Q623"")+IMPORTRANGE(""https://docs.google.com/spreadsheets/d/1UsNK1e-WWiCo2PvGqdNfdme4m17_Ezd3J69EeeiQPD0/edit?usp=sharing"",""อุทัยธานี!Q623"")"),0)</f>
        <v>0</v>
      </c>
      <c r="R623" s="48">
        <f ca="1">IFERROR(__xludf.DUMMYFUNCTION("IMPORTRANGE(""https://docs.google.com/spreadsheets/d/1jTcq05yEiRwXcBMLjiodW9e4biSGYWAHcDj22rKWQ3s/edit?usp=sharing"",""กำแพงเพชร!R623"")+IMPORTRANGE(""https://docs.google.com/spreadsheets/d/1KS0zmDSZPk8KnTAbGN-Xk6MtX1YRZD0ldgdt20K4CRk/edit?usp=sharing"","&amp;"""เชียงราย!R623"")+IMPORTRANGE(""https://docs.google.com/spreadsheets/d/1rEDxBtusbi64tE0zunoIbsTVV16HeL0oJ6trHQeQ7K8/edit?usp=sharing"",""เชียงใหม่!R623"")+IMPORTRANGE(""https://docs.google.com/spreadsheets/d/1W6MnUbDkMi6xHnHko_XkFDO9kkuL6Wqyc-6OCDFjW9I/e"&amp;"dit?usp=sharing"",""ตาก!R623"")+IMPORTRANGE(""https://docs.google.com/spreadsheets/d/1IQAWArduLkta9LpYo4a_ULsyqdta6-6aDDiwpUnQT6c/edit?usp=sharing"",""นครสวรรค์!R623"")+IMPORTRANGE(""https://docs.google.com/spreadsheets/d/10s13Sk5xrltsiR-Zkbmk5DwIaDIKO8Xl"&amp;"bJAfqyT7Gvg/edit?usp=sharing"",""น่าน!R623"")+IMPORTRANGE(""https://docs.google.com/spreadsheets/d/1uu4nAn4Dbi1XREnLKKotUANlKXa7yCgRcgq8HEzQYW8/edit?usp=sharing"",""พะเยา!R623"")+IMPORTRANGE(""https://docs.google.com/spreadsheets/d/1xfJKIQxVOaPDIICqsflNlL"&amp;"u3JacTDk1FP9RH4phX7mI/edit?usp=sharing"",""พิจิตร!R623"")+IMPORTRANGE(""https://docs.google.com/spreadsheets/d/1JtRfZkJMHtEhI5RdRHxYUG4FIZHqKDpNyIuN7A1Q0_k/edit?usp=sharing"",""พิษณุโลก!R623"")+IMPORTRANGE(""https://docs.google.com/spreadsheets/d/1xlcVZWU"&amp;"Nn6SuWm0c307h32SiGkd9BaeQWlAktfD3KO8/edit?usp=sharing"",""เพชรบูรณ์!R623"")+IMPORTRANGE(""https://docs.google.com/spreadsheets/d/1lOVebEIsI9qjGXl6EX66luk7wiuP2tBaryw-wKvv4e0/edit?usp=sharing"",""แพร่!R623"")+IMPORTRANGE(""https://docs.google.com/spreadshe"&amp;"ets/d/1dQrvX0vEcN7Gu0fnZ0B5S90AeR19zth4XlExFBeExMY/edit?usp=sharing"",""แม่ฮ่องสอน!R623"")+IMPORTRANGE(""https://docs.google.com/spreadsheets/d/1DY4XTNNwjluuxqdfdn6qvOSlMRrZqUtmYcZR0ttFiG4/edit?usp=sharing"",""ลำปาง!R623"")+IMPORTRANGE(""https://docs.goog"&amp;"le.com/spreadsheets/d/1ICwG78r0OFT8biBlxnBF8r7she7gNSzOvJ958PWT09c/edit?usp=sharing"",""ลำพูน!R623"")+IMPORTRANGE(""https://docs.google.com/spreadsheets/d/1B0f2xJpZUC6Z0xXnqKlZtEPzsf6L84eP1r1Q15seqRM/edit?usp=sharing"",""สุโขทัย!R623"")+IMPORTRANGE(""http"&amp;"s://docs.google.com/spreadsheets/d/1v0b9pFQCsKUVExMei7AgY2yQkdeNQvtOssygGsXbiKo/edit?usp=sharing"",""อุตรดิตถ์!R623"")+IMPORTRANGE(""https://docs.google.com/spreadsheets/d/1UsNK1e-WWiCo2PvGqdNfdme4m17_Ezd3J69EeeiQPD0/edit?usp=sharing"",""อุทัยธานี!R623"")"),0)</f>
        <v>0</v>
      </c>
      <c r="S623" s="48">
        <f ca="1">IFERROR(__xludf.DUMMYFUNCTION("IMPORTRANGE(""https://docs.google.com/spreadsheets/d/1jTcq05yEiRwXcBMLjiodW9e4biSGYWAHcDj22rKWQ3s/edit?usp=sharing"",""กำแพงเพชร!S623"")+IMPORTRANGE(""https://docs.google.com/spreadsheets/d/1KS0zmDSZPk8KnTAbGN-Xk6MtX1YRZD0ldgdt20K4CRk/edit?usp=sharing"","&amp;"""เชียงราย!S623"")+IMPORTRANGE(""https://docs.google.com/spreadsheets/d/1rEDxBtusbi64tE0zunoIbsTVV16HeL0oJ6trHQeQ7K8/edit?usp=sharing"",""เชียงใหม่!S623"")+IMPORTRANGE(""https://docs.google.com/spreadsheets/d/1W6MnUbDkMi6xHnHko_XkFDO9kkuL6Wqyc-6OCDFjW9I/e"&amp;"dit?usp=sharing"",""ตาก!S623"")+IMPORTRANGE(""https://docs.google.com/spreadsheets/d/1IQAWArduLkta9LpYo4a_ULsyqdta6-6aDDiwpUnQT6c/edit?usp=sharing"",""นครสวรรค์!S623"")+IMPORTRANGE(""https://docs.google.com/spreadsheets/d/10s13Sk5xrltsiR-Zkbmk5DwIaDIKO8Xl"&amp;"bJAfqyT7Gvg/edit?usp=sharing"",""น่าน!S623"")+IMPORTRANGE(""https://docs.google.com/spreadsheets/d/1uu4nAn4Dbi1XREnLKKotUANlKXa7yCgRcgq8HEzQYW8/edit?usp=sharing"",""พะเยา!S623"")+IMPORTRANGE(""https://docs.google.com/spreadsheets/d/1xfJKIQxVOaPDIICqsflNlL"&amp;"u3JacTDk1FP9RH4phX7mI/edit?usp=sharing"",""พิจิตร!S623"")+IMPORTRANGE(""https://docs.google.com/spreadsheets/d/1JtRfZkJMHtEhI5RdRHxYUG4FIZHqKDpNyIuN7A1Q0_k/edit?usp=sharing"",""พิษณุโลก!S623"")+IMPORTRANGE(""https://docs.google.com/spreadsheets/d/1xlcVZWU"&amp;"Nn6SuWm0c307h32SiGkd9BaeQWlAktfD3KO8/edit?usp=sharing"",""เพชรบูรณ์!S623"")+IMPORTRANGE(""https://docs.google.com/spreadsheets/d/1lOVebEIsI9qjGXl6EX66luk7wiuP2tBaryw-wKvv4e0/edit?usp=sharing"",""แพร่!S623"")+IMPORTRANGE(""https://docs.google.com/spreadshe"&amp;"ets/d/1dQrvX0vEcN7Gu0fnZ0B5S90AeR19zth4XlExFBeExMY/edit?usp=sharing"",""แม่ฮ่องสอน!S623"")+IMPORTRANGE(""https://docs.google.com/spreadsheets/d/1DY4XTNNwjluuxqdfdn6qvOSlMRrZqUtmYcZR0ttFiG4/edit?usp=sharing"",""ลำปาง!S623"")+IMPORTRANGE(""https://docs.goog"&amp;"le.com/spreadsheets/d/1ICwG78r0OFT8biBlxnBF8r7she7gNSzOvJ958PWT09c/edit?usp=sharing"",""ลำพูน!S623"")+IMPORTRANGE(""https://docs.google.com/spreadsheets/d/1B0f2xJpZUC6Z0xXnqKlZtEPzsf6L84eP1r1Q15seqRM/edit?usp=sharing"",""สุโขทัย!S623"")+IMPORTRANGE(""http"&amp;"s://docs.google.com/spreadsheets/d/1v0b9pFQCsKUVExMei7AgY2yQkdeNQvtOssygGsXbiKo/edit?usp=sharing"",""อุตรดิตถ์!S623"")+IMPORTRANGE(""https://docs.google.com/spreadsheets/d/1UsNK1e-WWiCo2PvGqdNfdme4m17_Ezd3J69EeeiQPD0/edit?usp=sharing"",""อุทัยธานี!S623"")"),0)</f>
        <v>0</v>
      </c>
      <c r="T623" s="48">
        <f t="shared" ca="1" si="441"/>
        <v>0</v>
      </c>
      <c r="U623" s="48">
        <f t="shared" ca="1" si="442"/>
        <v>0</v>
      </c>
    </row>
    <row r="624" spans="1:21" ht="18.75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46">
        <f ca="1">IFERROR(__xludf.DUMMYFUNCTION("IMPORTRANGE(""https://docs.google.com/spreadsheets/d/1jTcq05yEiRwXcBMLjiodW9e4biSGYWAHcDj22rKWQ3s/edit?usp=sharing"",""กำแพงเพชร!L624"")+IMPORTRANGE(""https://docs.google.com/spreadsheets/d/1KS0zmDSZPk8KnTAbGN-Xk6MtX1YRZD0ldgdt20K4CRk/edit?usp=sharing"","&amp;"""เชียงราย!L624"")+IMPORTRANGE(""https://docs.google.com/spreadsheets/d/1rEDxBtusbi64tE0zunoIbsTVV16HeL0oJ6trHQeQ7K8/edit?usp=sharing"",""เชียงใหม่!L624"")+IMPORTRANGE(""https://docs.google.com/spreadsheets/d/1W6MnUbDkMi6xHnHko_XkFDO9kkuL6Wqyc-6OCDFjW9I/e"&amp;"dit?usp=sharing"",""ตาก!L624"")+IMPORTRANGE(""https://docs.google.com/spreadsheets/d/1IQAWArduLkta9LpYo4a_ULsyqdta6-6aDDiwpUnQT6c/edit?usp=sharing"",""นครสวรรค์!L624"")+IMPORTRANGE(""https://docs.google.com/spreadsheets/d/10s13Sk5xrltsiR-Zkbmk5DwIaDIKO8Xl"&amp;"bJAfqyT7Gvg/edit?usp=sharing"",""น่าน!L624"")+IMPORTRANGE(""https://docs.google.com/spreadsheets/d/1uu4nAn4Dbi1XREnLKKotUANlKXa7yCgRcgq8HEzQYW8/edit?usp=sharing"",""พะเยา!L624"")+IMPORTRANGE(""https://docs.google.com/spreadsheets/d/1xfJKIQxVOaPDIICqsflNlL"&amp;"u3JacTDk1FP9RH4phX7mI/edit?usp=sharing"",""พิจิตร!L624"")+IMPORTRANGE(""https://docs.google.com/spreadsheets/d/1JtRfZkJMHtEhI5RdRHxYUG4FIZHqKDpNyIuN7A1Q0_k/edit?usp=sharing"",""พิษณุโลก!L624"")+IMPORTRANGE(""https://docs.google.com/spreadsheets/d/1xlcVZWU"&amp;"Nn6SuWm0c307h32SiGkd9BaeQWlAktfD3KO8/edit?usp=sharing"",""เพชรบูรณ์!L624"")+IMPORTRANGE(""https://docs.google.com/spreadsheets/d/1lOVebEIsI9qjGXl6EX66luk7wiuP2tBaryw-wKvv4e0/edit?usp=sharing"",""แพร่!L624"")+IMPORTRANGE(""https://docs.google.com/spreadshe"&amp;"ets/d/1dQrvX0vEcN7Gu0fnZ0B5S90AeR19zth4XlExFBeExMY/edit?usp=sharing"",""แม่ฮ่องสอน!L624"")+IMPORTRANGE(""https://docs.google.com/spreadsheets/d/1DY4XTNNwjluuxqdfdn6qvOSlMRrZqUtmYcZR0ttFiG4/edit?usp=sharing"",""ลำปาง!L624"")+IMPORTRANGE(""https://docs.goog"&amp;"le.com/spreadsheets/d/1ICwG78r0OFT8biBlxnBF8r7she7gNSzOvJ958PWT09c/edit?usp=sharing"",""ลำพูน!L624"")+IMPORTRANGE(""https://docs.google.com/spreadsheets/d/1B0f2xJpZUC6Z0xXnqKlZtEPzsf6L84eP1r1Q15seqRM/edit?usp=sharing"",""สุโขทัย!L624"")+IMPORTRANGE(""http"&amp;"s://docs.google.com/spreadsheets/d/1v0b9pFQCsKUVExMei7AgY2yQkdeNQvtOssygGsXbiKo/edit?usp=sharing"",""อุตรดิตถ์!L624"")+IMPORTRANGE(""https://docs.google.com/spreadsheets/d/1UsNK1e-WWiCo2PvGqdNfdme4m17_Ezd3J69EeeiQPD0/edit?usp=sharing"",""อุทัยธานี!L624"")"),0)</f>
        <v>0</v>
      </c>
      <c r="M624" s="46">
        <f ca="1">IFERROR(__xludf.DUMMYFUNCTION("IMPORTRANGE(""https://docs.google.com/spreadsheets/d/1jTcq05yEiRwXcBMLjiodW9e4biSGYWAHcDj22rKWQ3s/edit?usp=sharing"",""กำแพงเพชร!M624"")+IMPORTRANGE(""https://docs.google.com/spreadsheets/d/1KS0zmDSZPk8KnTAbGN-Xk6MtX1YRZD0ldgdt20K4CRk/edit?usp=sharing"","&amp;"""เชียงราย!M624"")+IMPORTRANGE(""https://docs.google.com/spreadsheets/d/1rEDxBtusbi64tE0zunoIbsTVV16HeL0oJ6trHQeQ7K8/edit?usp=sharing"",""เชียงใหม่!M624"")+IMPORTRANGE(""https://docs.google.com/spreadsheets/d/1W6MnUbDkMi6xHnHko_XkFDO9kkuL6Wqyc-6OCDFjW9I/e"&amp;"dit?usp=sharing"",""ตาก!M624"")+IMPORTRANGE(""https://docs.google.com/spreadsheets/d/1IQAWArduLkta9LpYo4a_ULsyqdta6-6aDDiwpUnQT6c/edit?usp=sharing"",""นครสวรรค์!M624"")+IMPORTRANGE(""https://docs.google.com/spreadsheets/d/10s13Sk5xrltsiR-Zkbmk5DwIaDIKO8Xl"&amp;"bJAfqyT7Gvg/edit?usp=sharing"",""น่าน!M624"")+IMPORTRANGE(""https://docs.google.com/spreadsheets/d/1uu4nAn4Dbi1XREnLKKotUANlKXa7yCgRcgq8HEzQYW8/edit?usp=sharing"",""พะเยา!M624"")+IMPORTRANGE(""https://docs.google.com/spreadsheets/d/1xfJKIQxVOaPDIICqsflNlL"&amp;"u3JacTDk1FP9RH4phX7mI/edit?usp=sharing"",""พิจิตร!M624"")+IMPORTRANGE(""https://docs.google.com/spreadsheets/d/1JtRfZkJMHtEhI5RdRHxYUG4FIZHqKDpNyIuN7A1Q0_k/edit?usp=sharing"",""พิษณุโลก!M624"")+IMPORTRANGE(""https://docs.google.com/spreadsheets/d/1xlcVZWU"&amp;"Nn6SuWm0c307h32SiGkd9BaeQWlAktfD3KO8/edit?usp=sharing"",""เพชรบูรณ์!M624"")+IMPORTRANGE(""https://docs.google.com/spreadsheets/d/1lOVebEIsI9qjGXl6EX66luk7wiuP2tBaryw-wKvv4e0/edit?usp=sharing"",""แพร่!M624"")+IMPORTRANGE(""https://docs.google.com/spreadshe"&amp;"ets/d/1dQrvX0vEcN7Gu0fnZ0B5S90AeR19zth4XlExFBeExMY/edit?usp=sharing"",""แม่ฮ่องสอน!M624"")+IMPORTRANGE(""https://docs.google.com/spreadsheets/d/1DY4XTNNwjluuxqdfdn6qvOSlMRrZqUtmYcZR0ttFiG4/edit?usp=sharing"",""ลำปาง!M624"")+IMPORTRANGE(""https://docs.goog"&amp;"le.com/spreadsheets/d/1ICwG78r0OFT8biBlxnBF8r7she7gNSzOvJ958PWT09c/edit?usp=sharing"",""ลำพูน!M624"")+IMPORTRANGE(""https://docs.google.com/spreadsheets/d/1B0f2xJpZUC6Z0xXnqKlZtEPzsf6L84eP1r1Q15seqRM/edit?usp=sharing"",""สุโขทัย!M624"")+IMPORTRANGE(""http"&amp;"s://docs.google.com/spreadsheets/d/1v0b9pFQCsKUVExMei7AgY2yQkdeNQvtOssygGsXbiKo/edit?usp=sharing"",""อุตรดิตถ์!M624"")+IMPORTRANGE(""https://docs.google.com/spreadsheets/d/1UsNK1e-WWiCo2PvGqdNfdme4m17_Ezd3J69EeeiQPD0/edit?usp=sharing"",""อุทัยธานี!M624"")"),0)</f>
        <v>0</v>
      </c>
      <c r="N624" s="46">
        <f ca="1">IFERROR(__xludf.DUMMYFUNCTION("IMPORTRANGE(""https://docs.google.com/spreadsheets/d/1jTcq05yEiRwXcBMLjiodW9e4biSGYWAHcDj22rKWQ3s/edit?usp=sharing"",""กำแพงเพชร!N624"")+IMPORTRANGE(""https://docs.google.com/spreadsheets/d/1KS0zmDSZPk8KnTAbGN-Xk6MtX1YRZD0ldgdt20K4CRk/edit?usp=sharing"","&amp;"""เชียงราย!N624"")+IMPORTRANGE(""https://docs.google.com/spreadsheets/d/1rEDxBtusbi64tE0zunoIbsTVV16HeL0oJ6trHQeQ7K8/edit?usp=sharing"",""เชียงใหม่!N624"")+IMPORTRANGE(""https://docs.google.com/spreadsheets/d/1W6MnUbDkMi6xHnHko_XkFDO9kkuL6Wqyc-6OCDFjW9I/e"&amp;"dit?usp=sharing"",""ตาก!N624"")+IMPORTRANGE(""https://docs.google.com/spreadsheets/d/1IQAWArduLkta9LpYo4a_ULsyqdta6-6aDDiwpUnQT6c/edit?usp=sharing"",""นครสวรรค์!N624"")+IMPORTRANGE(""https://docs.google.com/spreadsheets/d/10s13Sk5xrltsiR-Zkbmk5DwIaDIKO8Xl"&amp;"bJAfqyT7Gvg/edit?usp=sharing"",""น่าน!N624"")+IMPORTRANGE(""https://docs.google.com/spreadsheets/d/1uu4nAn4Dbi1XREnLKKotUANlKXa7yCgRcgq8HEzQYW8/edit?usp=sharing"",""พะเยา!N624"")+IMPORTRANGE(""https://docs.google.com/spreadsheets/d/1xfJKIQxVOaPDIICqsflNlL"&amp;"u3JacTDk1FP9RH4phX7mI/edit?usp=sharing"",""พิจิตร!N624"")+IMPORTRANGE(""https://docs.google.com/spreadsheets/d/1JtRfZkJMHtEhI5RdRHxYUG4FIZHqKDpNyIuN7A1Q0_k/edit?usp=sharing"",""พิษณุโลก!N624"")+IMPORTRANGE(""https://docs.google.com/spreadsheets/d/1xlcVZWU"&amp;"Nn6SuWm0c307h32SiGkd9BaeQWlAktfD3KO8/edit?usp=sharing"",""เพชรบูรณ์!N624"")+IMPORTRANGE(""https://docs.google.com/spreadsheets/d/1lOVebEIsI9qjGXl6EX66luk7wiuP2tBaryw-wKvv4e0/edit?usp=sharing"",""แพร่!N624"")+IMPORTRANGE(""https://docs.google.com/spreadshe"&amp;"ets/d/1dQrvX0vEcN7Gu0fnZ0B5S90AeR19zth4XlExFBeExMY/edit?usp=sharing"",""แม่ฮ่องสอน!N624"")+IMPORTRANGE(""https://docs.google.com/spreadsheets/d/1DY4XTNNwjluuxqdfdn6qvOSlMRrZqUtmYcZR0ttFiG4/edit?usp=sharing"",""ลำปาง!N624"")+IMPORTRANGE(""https://docs.goog"&amp;"le.com/spreadsheets/d/1ICwG78r0OFT8biBlxnBF8r7she7gNSzOvJ958PWT09c/edit?usp=sharing"",""ลำพูน!N624"")+IMPORTRANGE(""https://docs.google.com/spreadsheets/d/1B0f2xJpZUC6Z0xXnqKlZtEPzsf6L84eP1r1Q15seqRM/edit?usp=sharing"",""สุโขทัย!N624"")+IMPORTRANGE(""http"&amp;"s://docs.google.com/spreadsheets/d/1v0b9pFQCsKUVExMei7AgY2yQkdeNQvtOssygGsXbiKo/edit?usp=sharing"",""อุตรดิตถ์!N624"")+IMPORTRANGE(""https://docs.google.com/spreadsheets/d/1UsNK1e-WWiCo2PvGqdNfdme4m17_Ezd3J69EeeiQPD0/edit?usp=sharing"",""อุทัยธานี!N624"")"),0)</f>
        <v>0</v>
      </c>
      <c r="O624" s="46">
        <f t="shared" ca="1" si="438"/>
        <v>0</v>
      </c>
      <c r="P624" s="46">
        <f t="shared" ca="1" si="439"/>
        <v>0</v>
      </c>
      <c r="Q624" s="46">
        <f ca="1">IFERROR(__xludf.DUMMYFUNCTION("IMPORTRANGE(""https://docs.google.com/spreadsheets/d/1jTcq05yEiRwXcBMLjiodW9e4biSGYWAHcDj22rKWQ3s/edit?usp=sharing"",""กำแพงเพชร!Q624"")+IMPORTRANGE(""https://docs.google.com/spreadsheets/d/1KS0zmDSZPk8KnTAbGN-Xk6MtX1YRZD0ldgdt20K4CRk/edit?usp=sharing"","&amp;"""เชียงราย!Q624"")+IMPORTRANGE(""https://docs.google.com/spreadsheets/d/1rEDxBtusbi64tE0zunoIbsTVV16HeL0oJ6trHQeQ7K8/edit?usp=sharing"",""เชียงใหม่!Q624"")+IMPORTRANGE(""https://docs.google.com/spreadsheets/d/1W6MnUbDkMi6xHnHko_XkFDO9kkuL6Wqyc-6OCDFjW9I/e"&amp;"dit?usp=sharing"",""ตาก!Q624"")+IMPORTRANGE(""https://docs.google.com/spreadsheets/d/1IQAWArduLkta9LpYo4a_ULsyqdta6-6aDDiwpUnQT6c/edit?usp=sharing"",""นครสวรรค์!Q624"")+IMPORTRANGE(""https://docs.google.com/spreadsheets/d/10s13Sk5xrltsiR-Zkbmk5DwIaDIKO8Xl"&amp;"bJAfqyT7Gvg/edit?usp=sharing"",""น่าน!Q624"")+IMPORTRANGE(""https://docs.google.com/spreadsheets/d/1uu4nAn4Dbi1XREnLKKotUANlKXa7yCgRcgq8HEzQYW8/edit?usp=sharing"",""พะเยา!Q624"")+IMPORTRANGE(""https://docs.google.com/spreadsheets/d/1xfJKIQxVOaPDIICqsflNlL"&amp;"u3JacTDk1FP9RH4phX7mI/edit?usp=sharing"",""พิจิตร!Q624"")+IMPORTRANGE(""https://docs.google.com/spreadsheets/d/1JtRfZkJMHtEhI5RdRHxYUG4FIZHqKDpNyIuN7A1Q0_k/edit?usp=sharing"",""พิษณุโลก!Q624"")+IMPORTRANGE(""https://docs.google.com/spreadsheets/d/1xlcVZWU"&amp;"Nn6SuWm0c307h32SiGkd9BaeQWlAktfD3KO8/edit?usp=sharing"",""เพชรบูรณ์!Q624"")+IMPORTRANGE(""https://docs.google.com/spreadsheets/d/1lOVebEIsI9qjGXl6EX66luk7wiuP2tBaryw-wKvv4e0/edit?usp=sharing"",""แพร่!Q624"")+IMPORTRANGE(""https://docs.google.com/spreadshe"&amp;"ets/d/1dQrvX0vEcN7Gu0fnZ0B5S90AeR19zth4XlExFBeExMY/edit?usp=sharing"",""แม่ฮ่องสอน!Q624"")+IMPORTRANGE(""https://docs.google.com/spreadsheets/d/1DY4XTNNwjluuxqdfdn6qvOSlMRrZqUtmYcZR0ttFiG4/edit?usp=sharing"",""ลำปาง!Q624"")+IMPORTRANGE(""https://docs.goog"&amp;"le.com/spreadsheets/d/1ICwG78r0OFT8biBlxnBF8r7she7gNSzOvJ958PWT09c/edit?usp=sharing"",""ลำพูน!Q624"")+IMPORTRANGE(""https://docs.google.com/spreadsheets/d/1B0f2xJpZUC6Z0xXnqKlZtEPzsf6L84eP1r1Q15seqRM/edit?usp=sharing"",""สุโขทัย!Q624"")+IMPORTRANGE(""http"&amp;"s://docs.google.com/spreadsheets/d/1v0b9pFQCsKUVExMei7AgY2yQkdeNQvtOssygGsXbiKo/edit?usp=sharing"",""อุตรดิตถ์!Q624"")+IMPORTRANGE(""https://docs.google.com/spreadsheets/d/1UsNK1e-WWiCo2PvGqdNfdme4m17_Ezd3J69EeeiQPD0/edit?usp=sharing"",""อุทัยธานี!Q624"")"),0)</f>
        <v>0</v>
      </c>
      <c r="R624" s="46">
        <f ca="1">IFERROR(__xludf.DUMMYFUNCTION("IMPORTRANGE(""https://docs.google.com/spreadsheets/d/1jTcq05yEiRwXcBMLjiodW9e4biSGYWAHcDj22rKWQ3s/edit?usp=sharing"",""กำแพงเพชร!R624"")+IMPORTRANGE(""https://docs.google.com/spreadsheets/d/1KS0zmDSZPk8KnTAbGN-Xk6MtX1YRZD0ldgdt20K4CRk/edit?usp=sharing"","&amp;"""เชียงราย!R624"")+IMPORTRANGE(""https://docs.google.com/spreadsheets/d/1rEDxBtusbi64tE0zunoIbsTVV16HeL0oJ6trHQeQ7K8/edit?usp=sharing"",""เชียงใหม่!R624"")+IMPORTRANGE(""https://docs.google.com/spreadsheets/d/1W6MnUbDkMi6xHnHko_XkFDO9kkuL6Wqyc-6OCDFjW9I/e"&amp;"dit?usp=sharing"",""ตาก!R624"")+IMPORTRANGE(""https://docs.google.com/spreadsheets/d/1IQAWArduLkta9LpYo4a_ULsyqdta6-6aDDiwpUnQT6c/edit?usp=sharing"",""นครสวรรค์!R624"")+IMPORTRANGE(""https://docs.google.com/spreadsheets/d/10s13Sk5xrltsiR-Zkbmk5DwIaDIKO8Xl"&amp;"bJAfqyT7Gvg/edit?usp=sharing"",""น่าน!R624"")+IMPORTRANGE(""https://docs.google.com/spreadsheets/d/1uu4nAn4Dbi1XREnLKKotUANlKXa7yCgRcgq8HEzQYW8/edit?usp=sharing"",""พะเยา!R624"")+IMPORTRANGE(""https://docs.google.com/spreadsheets/d/1xfJKIQxVOaPDIICqsflNlL"&amp;"u3JacTDk1FP9RH4phX7mI/edit?usp=sharing"",""พิจิตร!R624"")+IMPORTRANGE(""https://docs.google.com/spreadsheets/d/1JtRfZkJMHtEhI5RdRHxYUG4FIZHqKDpNyIuN7A1Q0_k/edit?usp=sharing"",""พิษณุโลก!R624"")+IMPORTRANGE(""https://docs.google.com/spreadsheets/d/1xlcVZWU"&amp;"Nn6SuWm0c307h32SiGkd9BaeQWlAktfD3KO8/edit?usp=sharing"",""เพชรบูรณ์!R624"")+IMPORTRANGE(""https://docs.google.com/spreadsheets/d/1lOVebEIsI9qjGXl6EX66luk7wiuP2tBaryw-wKvv4e0/edit?usp=sharing"",""แพร่!R624"")+IMPORTRANGE(""https://docs.google.com/spreadshe"&amp;"ets/d/1dQrvX0vEcN7Gu0fnZ0B5S90AeR19zth4XlExFBeExMY/edit?usp=sharing"",""แม่ฮ่องสอน!R624"")+IMPORTRANGE(""https://docs.google.com/spreadsheets/d/1DY4XTNNwjluuxqdfdn6qvOSlMRrZqUtmYcZR0ttFiG4/edit?usp=sharing"",""ลำปาง!R624"")+IMPORTRANGE(""https://docs.goog"&amp;"le.com/spreadsheets/d/1ICwG78r0OFT8biBlxnBF8r7she7gNSzOvJ958PWT09c/edit?usp=sharing"",""ลำพูน!R624"")+IMPORTRANGE(""https://docs.google.com/spreadsheets/d/1B0f2xJpZUC6Z0xXnqKlZtEPzsf6L84eP1r1Q15seqRM/edit?usp=sharing"",""สุโขทัย!R624"")+IMPORTRANGE(""http"&amp;"s://docs.google.com/spreadsheets/d/1v0b9pFQCsKUVExMei7AgY2yQkdeNQvtOssygGsXbiKo/edit?usp=sharing"",""อุตรดิตถ์!R624"")+IMPORTRANGE(""https://docs.google.com/spreadsheets/d/1UsNK1e-WWiCo2PvGqdNfdme4m17_Ezd3J69EeeiQPD0/edit?usp=sharing"",""อุทัยธานี!R624"")"),0)</f>
        <v>0</v>
      </c>
      <c r="S624" s="46">
        <f ca="1">IFERROR(__xludf.DUMMYFUNCTION("IMPORTRANGE(""https://docs.google.com/spreadsheets/d/1jTcq05yEiRwXcBMLjiodW9e4biSGYWAHcDj22rKWQ3s/edit?usp=sharing"",""กำแพงเพชร!S624"")+IMPORTRANGE(""https://docs.google.com/spreadsheets/d/1KS0zmDSZPk8KnTAbGN-Xk6MtX1YRZD0ldgdt20K4CRk/edit?usp=sharing"","&amp;"""เชียงราย!S624"")+IMPORTRANGE(""https://docs.google.com/spreadsheets/d/1rEDxBtusbi64tE0zunoIbsTVV16HeL0oJ6trHQeQ7K8/edit?usp=sharing"",""เชียงใหม่!S624"")+IMPORTRANGE(""https://docs.google.com/spreadsheets/d/1W6MnUbDkMi6xHnHko_XkFDO9kkuL6Wqyc-6OCDFjW9I/e"&amp;"dit?usp=sharing"",""ตาก!S624"")+IMPORTRANGE(""https://docs.google.com/spreadsheets/d/1IQAWArduLkta9LpYo4a_ULsyqdta6-6aDDiwpUnQT6c/edit?usp=sharing"",""นครสวรรค์!S624"")+IMPORTRANGE(""https://docs.google.com/spreadsheets/d/10s13Sk5xrltsiR-Zkbmk5DwIaDIKO8Xl"&amp;"bJAfqyT7Gvg/edit?usp=sharing"",""น่าน!S624"")+IMPORTRANGE(""https://docs.google.com/spreadsheets/d/1uu4nAn4Dbi1XREnLKKotUANlKXa7yCgRcgq8HEzQYW8/edit?usp=sharing"",""พะเยา!S624"")+IMPORTRANGE(""https://docs.google.com/spreadsheets/d/1xfJKIQxVOaPDIICqsflNlL"&amp;"u3JacTDk1FP9RH4phX7mI/edit?usp=sharing"",""พิจิตร!S624"")+IMPORTRANGE(""https://docs.google.com/spreadsheets/d/1JtRfZkJMHtEhI5RdRHxYUG4FIZHqKDpNyIuN7A1Q0_k/edit?usp=sharing"",""พิษณุโลก!S624"")+IMPORTRANGE(""https://docs.google.com/spreadsheets/d/1xlcVZWU"&amp;"Nn6SuWm0c307h32SiGkd9BaeQWlAktfD3KO8/edit?usp=sharing"",""เพชรบูรณ์!S624"")+IMPORTRANGE(""https://docs.google.com/spreadsheets/d/1lOVebEIsI9qjGXl6EX66luk7wiuP2tBaryw-wKvv4e0/edit?usp=sharing"",""แพร่!S624"")+IMPORTRANGE(""https://docs.google.com/spreadshe"&amp;"ets/d/1dQrvX0vEcN7Gu0fnZ0B5S90AeR19zth4XlExFBeExMY/edit?usp=sharing"",""แม่ฮ่องสอน!S624"")+IMPORTRANGE(""https://docs.google.com/spreadsheets/d/1DY4XTNNwjluuxqdfdn6qvOSlMRrZqUtmYcZR0ttFiG4/edit?usp=sharing"",""ลำปาง!S624"")+IMPORTRANGE(""https://docs.goog"&amp;"le.com/spreadsheets/d/1ICwG78r0OFT8biBlxnBF8r7she7gNSzOvJ958PWT09c/edit?usp=sharing"",""ลำพูน!S624"")+IMPORTRANGE(""https://docs.google.com/spreadsheets/d/1B0f2xJpZUC6Z0xXnqKlZtEPzsf6L84eP1r1Q15seqRM/edit?usp=sharing"",""สุโขทัย!S624"")+IMPORTRANGE(""http"&amp;"s://docs.google.com/spreadsheets/d/1v0b9pFQCsKUVExMei7AgY2yQkdeNQvtOssygGsXbiKo/edit?usp=sharing"",""อุตรดิตถ์!S624"")+IMPORTRANGE(""https://docs.google.com/spreadsheets/d/1UsNK1e-WWiCo2PvGqdNfdme4m17_Ezd3J69EeeiQPD0/edit?usp=sharing"",""อุทัยธานี!S624"")"),0)</f>
        <v>0</v>
      </c>
      <c r="T624" s="46">
        <f t="shared" ca="1" si="441"/>
        <v>0</v>
      </c>
      <c r="U624" s="46">
        <f t="shared" ca="1" si="442"/>
        <v>0</v>
      </c>
    </row>
    <row r="625" spans="1:21" ht="19.5" x14ac:dyDescent="0.3">
      <c r="A625" s="138"/>
      <c r="B625" s="139"/>
      <c r="C625" s="177" t="s">
        <v>18</v>
      </c>
      <c r="D625" s="409" t="s">
        <v>38</v>
      </c>
      <c r="E625" s="141"/>
      <c r="F625" s="141"/>
      <c r="G625" s="142"/>
      <c r="H625" s="178"/>
      <c r="I625" s="135"/>
      <c r="J625" s="135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10" t="s">
        <v>223</v>
      </c>
      <c r="E626" s="145"/>
      <c r="F626" s="145"/>
      <c r="G626" s="143"/>
      <c r="H626" s="411" t="s">
        <v>46</v>
      </c>
      <c r="I626" s="147">
        <f ca="1">IFERROR(__xludf.DUMMYFUNCTION("IMPORTRANGE(""https://docs.google.com/spreadsheets/d/1jTcq05yEiRwXcBMLjiodW9e4biSGYWAHcDj22rKWQ3s/edit?usp=sharing"",""กำแพงเพชร!I626"")+IMPORTRANGE(""https://docs.google.com/spreadsheets/d/1KS0zmDSZPk8KnTAbGN-Xk6MtX1YRZD0ldgdt20K4CRk/edit?usp=sharing"","&amp;"""เชียงราย!I626"")+IMPORTRANGE(""https://docs.google.com/spreadsheets/d/1rEDxBtusbi64tE0zunoIbsTVV16HeL0oJ6trHQeQ7K8/edit?usp=sharing"",""เชียงใหม่!I626"")+IMPORTRANGE(""https://docs.google.com/spreadsheets/d/1W6MnUbDkMi6xHnHko_XkFDO9kkuL6Wqyc-6OCDFjW9I/e"&amp;"dit?usp=sharing"",""ตาก!I626"")+IMPORTRANGE(""https://docs.google.com/spreadsheets/d/1IQAWArduLkta9LpYo4a_ULsyqdta6-6aDDiwpUnQT6c/edit?usp=sharing"",""นครสวรรค์!I626"")+IMPORTRANGE(""https://docs.google.com/spreadsheets/d/10s13Sk5xrltsiR-Zkbmk5DwIaDIKO8Xl"&amp;"bJAfqyT7Gvg/edit?usp=sharing"",""น่าน!I626"")+IMPORTRANGE(""https://docs.google.com/spreadsheets/d/1uu4nAn4Dbi1XREnLKKotUANlKXa7yCgRcgq8HEzQYW8/edit?usp=sharing"",""พะเยา!I626"")+IMPORTRANGE(""https://docs.google.com/spreadsheets/d/1xfJKIQxVOaPDIICqsflNlL"&amp;"u3JacTDk1FP9RH4phX7mI/edit?usp=sharing"",""พิจิตร!I626"")+IMPORTRANGE(""https://docs.google.com/spreadsheets/d/1JtRfZkJMHtEhI5RdRHxYUG4FIZHqKDpNyIuN7A1Q0_k/edit?usp=sharing"",""พิษณุโลก!I626"")+IMPORTRANGE(""https://docs.google.com/spreadsheets/d/1xlcVZWU"&amp;"Nn6SuWm0c307h32SiGkd9BaeQWlAktfD3KO8/edit?usp=sharing"",""เพชรบูรณ์!I626"")+IMPORTRANGE(""https://docs.google.com/spreadsheets/d/1lOVebEIsI9qjGXl6EX66luk7wiuP2tBaryw-wKvv4e0/edit?usp=sharing"",""แพร่!I626"")+IMPORTRANGE(""https://docs.google.com/spreadshe"&amp;"ets/d/1dQrvX0vEcN7Gu0fnZ0B5S90AeR19zth4XlExFBeExMY/edit?usp=sharing"",""แม่ฮ่องสอน!I626"")+IMPORTRANGE(""https://docs.google.com/spreadsheets/d/1DY4XTNNwjluuxqdfdn6qvOSlMRrZqUtmYcZR0ttFiG4/edit?usp=sharing"",""ลำปาง!I626"")+IMPORTRANGE(""https://docs.goog"&amp;"le.com/spreadsheets/d/1ICwG78r0OFT8biBlxnBF8r7she7gNSzOvJ958PWT09c/edit?usp=sharing"",""ลำพูน!I626"")+IMPORTRANGE(""https://docs.google.com/spreadsheets/d/1B0f2xJpZUC6Z0xXnqKlZtEPzsf6L84eP1r1Q15seqRM/edit?usp=sharing"",""สุโขทัย!I626"")+IMPORTRANGE(""http"&amp;"s://docs.google.com/spreadsheets/d/1v0b9pFQCsKUVExMei7AgY2yQkdeNQvtOssygGsXbiKo/edit?usp=sharing"",""อุตรดิตถ์!I626"")+IMPORTRANGE(""https://docs.google.com/spreadsheets/d/1UsNK1e-WWiCo2PvGqdNfdme4m17_Ezd3J69EeeiQPD0/edit?usp=sharing"",""อุทัยธานี!I626"")"),700)</f>
        <v>700</v>
      </c>
      <c r="J626" s="147">
        <f ca="1">J632</f>
        <v>0</v>
      </c>
      <c r="K626" s="132">
        <f ca="1">IF(I626&gt;0,J626*100/I626,0)</f>
        <v>0</v>
      </c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66">
        <f ca="1">IFERROR(__xludf.DUMMYFUNCTION("IMPORTRANGE(""https://docs.google.com/spreadsheets/d/1jTcq05yEiRwXcBMLjiodW9e4biSGYWAHcDj22rKWQ3s/edit?usp=sharing"",""กำแพงเพชร!I627"")+IMPORTRANGE(""https://docs.google.com/spreadsheets/d/1KS0zmDSZPk8KnTAbGN-Xk6MtX1YRZD0ldgdt20K4CRk/edit?usp=sharing"","&amp;"""เชียงราย!I627"")+IMPORTRANGE(""https://docs.google.com/spreadsheets/d/1rEDxBtusbi64tE0zunoIbsTVV16HeL0oJ6trHQeQ7K8/edit?usp=sharing"",""เชียงใหม่!I627"")+IMPORTRANGE(""https://docs.google.com/spreadsheets/d/1W6MnUbDkMi6xHnHko_XkFDO9kkuL6Wqyc-6OCDFjW9I/e"&amp;"dit?usp=sharing"",""ตาก!I627"")+IMPORTRANGE(""https://docs.google.com/spreadsheets/d/1IQAWArduLkta9LpYo4a_ULsyqdta6-6aDDiwpUnQT6c/edit?usp=sharing"",""นครสวรรค์!I627"")+IMPORTRANGE(""https://docs.google.com/spreadsheets/d/10s13Sk5xrltsiR-Zkbmk5DwIaDIKO8Xl"&amp;"bJAfqyT7Gvg/edit?usp=sharing"",""น่าน!I627"")+IMPORTRANGE(""https://docs.google.com/spreadsheets/d/1uu4nAn4Dbi1XREnLKKotUANlKXa7yCgRcgq8HEzQYW8/edit?usp=sharing"",""พะเยา!I627"")+IMPORTRANGE(""https://docs.google.com/spreadsheets/d/1xfJKIQxVOaPDIICqsflNlL"&amp;"u3JacTDk1FP9RH4phX7mI/edit?usp=sharing"",""พิจิตร!I627"")+IMPORTRANGE(""https://docs.google.com/spreadsheets/d/1JtRfZkJMHtEhI5RdRHxYUG4FIZHqKDpNyIuN7A1Q0_k/edit?usp=sharing"",""พิษณุโลก!I627"")+IMPORTRANGE(""https://docs.google.com/spreadsheets/d/1xlcVZWU"&amp;"Nn6SuWm0c307h32SiGkd9BaeQWlAktfD3KO8/edit?usp=sharing"",""เพชรบูรณ์!I627"")+IMPORTRANGE(""https://docs.google.com/spreadsheets/d/1lOVebEIsI9qjGXl6EX66luk7wiuP2tBaryw-wKvv4e0/edit?usp=sharing"",""แพร่!I627"")+IMPORTRANGE(""https://docs.google.com/spreadshe"&amp;"ets/d/1dQrvX0vEcN7Gu0fnZ0B5S90AeR19zth4XlExFBeExMY/edit?usp=sharing"",""แม่ฮ่องสอน!I627"")+IMPORTRANGE(""https://docs.google.com/spreadsheets/d/1DY4XTNNwjluuxqdfdn6qvOSlMRrZqUtmYcZR0ttFiG4/edit?usp=sharing"",""ลำปาง!I627"")+IMPORTRANGE(""https://docs.goog"&amp;"le.com/spreadsheets/d/1ICwG78r0OFT8biBlxnBF8r7she7gNSzOvJ958PWT09c/edit?usp=sharing"",""ลำพูน!I627"")+IMPORTRANGE(""https://docs.google.com/spreadsheets/d/1B0f2xJpZUC6Z0xXnqKlZtEPzsf6L84eP1r1Q15seqRM/edit?usp=sharing"",""สุโขทัย!I627"")+IMPORTRANGE(""http"&amp;"s://docs.google.com/spreadsheets/d/1v0b9pFQCsKUVExMei7AgY2yQkdeNQvtOssygGsXbiKo/edit?usp=sharing"",""อุตรดิตถ์!I627"")+IMPORTRANGE(""https://docs.google.com/spreadsheets/d/1UsNK1e-WWiCo2PvGqdNfdme4m17_Ezd3J69EeeiQPD0/edit?usp=sharing"",""อุทัยธานี!I627"")"),7)</f>
        <v>7</v>
      </c>
      <c r="J627" s="167">
        <f ca="1">IFERROR(__xludf.DUMMYFUNCTION("IMPORTRANGE(""https://docs.google.com/spreadsheets/d/1jTcq05yEiRwXcBMLjiodW9e4biSGYWAHcDj22rKWQ3s/edit?usp=sharing"",""กำแพงเพชร!J627"")+IMPORTRANGE(""https://docs.google.com/spreadsheets/d/1KS0zmDSZPk8KnTAbGN-Xk6MtX1YRZD0ldgdt20K4CRk/edit?usp=sharing"","&amp;"""เชียงราย!J627"")+IMPORTRANGE(""https://docs.google.com/spreadsheets/d/1rEDxBtusbi64tE0zunoIbsTVV16HeL0oJ6trHQeQ7K8/edit?usp=sharing"",""เชียงใหม่!J627"")+IMPORTRANGE(""https://docs.google.com/spreadsheets/d/1W6MnUbDkMi6xHnHko_XkFDO9kkuL6Wqyc-6OCDFjW9I/e"&amp;"dit?usp=sharing"",""ตาก!J627"")+IMPORTRANGE(""https://docs.google.com/spreadsheets/d/1IQAWArduLkta9LpYo4a_ULsyqdta6-6aDDiwpUnQT6c/edit?usp=sharing"",""นครสวรรค์!J627"")+IMPORTRANGE(""https://docs.google.com/spreadsheets/d/10s13Sk5xrltsiR-Zkbmk5DwIaDIKO8Xl"&amp;"bJAfqyT7Gvg/edit?usp=sharing"",""น่าน!J627"")+IMPORTRANGE(""https://docs.google.com/spreadsheets/d/1uu4nAn4Dbi1XREnLKKotUANlKXa7yCgRcgq8HEzQYW8/edit?usp=sharing"",""พะเยา!J627"")+IMPORTRANGE(""https://docs.google.com/spreadsheets/d/1xfJKIQxVOaPDIICqsflNlL"&amp;"u3JacTDk1FP9RH4phX7mI/edit?usp=sharing"",""พิจิตร!J627"")+IMPORTRANGE(""https://docs.google.com/spreadsheets/d/1JtRfZkJMHtEhI5RdRHxYUG4FIZHqKDpNyIuN7A1Q0_k/edit?usp=sharing"",""พิษณุโลก!J627"")+IMPORTRANGE(""https://docs.google.com/spreadsheets/d/1xlcVZWU"&amp;"Nn6SuWm0c307h32SiGkd9BaeQWlAktfD3KO8/edit?usp=sharing"",""เพชรบูรณ์!J627"")+IMPORTRANGE(""https://docs.google.com/spreadsheets/d/1lOVebEIsI9qjGXl6EX66luk7wiuP2tBaryw-wKvv4e0/edit?usp=sharing"",""แพร่!J627"")+IMPORTRANGE(""https://docs.google.com/spreadshe"&amp;"ets/d/1dQrvX0vEcN7Gu0fnZ0B5S90AeR19zth4XlExFBeExMY/edit?usp=sharing"",""แม่ฮ่องสอน!J627"")+IMPORTRANGE(""https://docs.google.com/spreadsheets/d/1DY4XTNNwjluuxqdfdn6qvOSlMRrZqUtmYcZR0ttFiG4/edit?usp=sharing"",""ลำปาง!J627"")+IMPORTRANGE(""https://docs.goog"&amp;"le.com/spreadsheets/d/1ICwG78r0OFT8biBlxnBF8r7she7gNSzOvJ958PWT09c/edit?usp=sharing"",""ลำพูน!J627"")+IMPORTRANGE(""https://docs.google.com/spreadsheets/d/1B0f2xJpZUC6Z0xXnqKlZtEPzsf6L84eP1r1Q15seqRM/edit?usp=sharing"",""สุโขทัย!J627"")+IMPORTRANGE(""http"&amp;"s://docs.google.com/spreadsheets/d/1v0b9pFQCsKUVExMei7AgY2yQkdeNQvtOssygGsXbiKo/edit?usp=sharing"",""อุตรดิตถ์!J627"")+IMPORTRANGE(""https://docs.google.com/spreadsheets/d/1UsNK1e-WWiCo2PvGqdNfdme4m17_Ezd3J69EeeiQPD0/edit?usp=sharing"",""อุทัยธานี!J627"")"),3)</f>
        <v>3</v>
      </c>
      <c r="K627" s="46">
        <f t="shared" ref="K627:K628" ca="1" si="451">IF(I627&gt;0,(J627*100)/I627,0)</f>
        <v>42.857142857142854</v>
      </c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66">
        <f ca="1">IFERROR(__xludf.DUMMYFUNCTION("IMPORTRANGE(""https://docs.google.com/spreadsheets/d/1jTcq05yEiRwXcBMLjiodW9e4biSGYWAHcDj22rKWQ3s/edit?usp=sharing"",""กำแพงเพชร!I628"")+IMPORTRANGE(""https://docs.google.com/spreadsheets/d/1KS0zmDSZPk8KnTAbGN-Xk6MtX1YRZD0ldgdt20K4CRk/edit?usp=sharing"","&amp;"""เชียงราย!I628"")+IMPORTRANGE(""https://docs.google.com/spreadsheets/d/1rEDxBtusbi64tE0zunoIbsTVV16HeL0oJ6trHQeQ7K8/edit?usp=sharing"",""เชียงใหม่!I628"")+IMPORTRANGE(""https://docs.google.com/spreadsheets/d/1W6MnUbDkMi6xHnHko_XkFDO9kkuL6Wqyc-6OCDFjW9I/e"&amp;"dit?usp=sharing"",""ตาก!I628"")+IMPORTRANGE(""https://docs.google.com/spreadsheets/d/1IQAWArduLkta9LpYo4a_ULsyqdta6-6aDDiwpUnQT6c/edit?usp=sharing"",""นครสวรรค์!I628"")+IMPORTRANGE(""https://docs.google.com/spreadsheets/d/10s13Sk5xrltsiR-Zkbmk5DwIaDIKO8Xl"&amp;"bJAfqyT7Gvg/edit?usp=sharing"",""น่าน!I628"")+IMPORTRANGE(""https://docs.google.com/spreadsheets/d/1uu4nAn4Dbi1XREnLKKotUANlKXa7yCgRcgq8HEzQYW8/edit?usp=sharing"",""พะเยา!I628"")+IMPORTRANGE(""https://docs.google.com/spreadsheets/d/1xfJKIQxVOaPDIICqsflNlL"&amp;"u3JacTDk1FP9RH4phX7mI/edit?usp=sharing"",""พิจิตร!I628"")+IMPORTRANGE(""https://docs.google.com/spreadsheets/d/1JtRfZkJMHtEhI5RdRHxYUG4FIZHqKDpNyIuN7A1Q0_k/edit?usp=sharing"",""พิษณุโลก!I628"")+IMPORTRANGE(""https://docs.google.com/spreadsheets/d/1xlcVZWU"&amp;"Nn6SuWm0c307h32SiGkd9BaeQWlAktfD3KO8/edit?usp=sharing"",""เพชรบูรณ์!I628"")+IMPORTRANGE(""https://docs.google.com/spreadsheets/d/1lOVebEIsI9qjGXl6EX66luk7wiuP2tBaryw-wKvv4e0/edit?usp=sharing"",""แพร่!I628"")+IMPORTRANGE(""https://docs.google.com/spreadshe"&amp;"ets/d/1dQrvX0vEcN7Gu0fnZ0B5S90AeR19zth4XlExFBeExMY/edit?usp=sharing"",""แม่ฮ่องสอน!I628"")+IMPORTRANGE(""https://docs.google.com/spreadsheets/d/1DY4XTNNwjluuxqdfdn6qvOSlMRrZqUtmYcZR0ttFiG4/edit?usp=sharing"",""ลำปาง!I628"")+IMPORTRANGE(""https://docs.goog"&amp;"le.com/spreadsheets/d/1ICwG78r0OFT8biBlxnBF8r7she7gNSzOvJ958PWT09c/edit?usp=sharing"",""ลำพูน!I628"")+IMPORTRANGE(""https://docs.google.com/spreadsheets/d/1B0f2xJpZUC6Z0xXnqKlZtEPzsf6L84eP1r1Q15seqRM/edit?usp=sharing"",""สุโขทัย!I628"")+IMPORTRANGE(""http"&amp;"s://docs.google.com/spreadsheets/d/1v0b9pFQCsKUVExMei7AgY2yQkdeNQvtOssygGsXbiKo/edit?usp=sharing"",""อุตรดิตถ์!I628"")+IMPORTRANGE(""https://docs.google.com/spreadsheets/d/1UsNK1e-WWiCo2PvGqdNfdme4m17_Ezd3J69EeeiQPD0/edit?usp=sharing"",""อุทัยธานี!I628"")"),7)</f>
        <v>7</v>
      </c>
      <c r="J628" s="167">
        <f ca="1">IFERROR(__xludf.DUMMYFUNCTION("IMPORTRANGE(""https://docs.google.com/spreadsheets/d/1jTcq05yEiRwXcBMLjiodW9e4biSGYWAHcDj22rKWQ3s/edit?usp=sharing"",""กำแพงเพชร!J628"")+IMPORTRANGE(""https://docs.google.com/spreadsheets/d/1KS0zmDSZPk8KnTAbGN-Xk6MtX1YRZD0ldgdt20K4CRk/edit?usp=sharing"","&amp;"""เชียงราย!J628"")+IMPORTRANGE(""https://docs.google.com/spreadsheets/d/1rEDxBtusbi64tE0zunoIbsTVV16HeL0oJ6trHQeQ7K8/edit?usp=sharing"",""เชียงใหม่!J628"")+IMPORTRANGE(""https://docs.google.com/spreadsheets/d/1W6MnUbDkMi6xHnHko_XkFDO9kkuL6Wqyc-6OCDFjW9I/e"&amp;"dit?usp=sharing"",""ตาก!J628"")+IMPORTRANGE(""https://docs.google.com/spreadsheets/d/1IQAWArduLkta9LpYo4a_ULsyqdta6-6aDDiwpUnQT6c/edit?usp=sharing"",""นครสวรรค์!J628"")+IMPORTRANGE(""https://docs.google.com/spreadsheets/d/10s13Sk5xrltsiR-Zkbmk5DwIaDIKO8Xl"&amp;"bJAfqyT7Gvg/edit?usp=sharing"",""น่าน!J628"")+IMPORTRANGE(""https://docs.google.com/spreadsheets/d/1uu4nAn4Dbi1XREnLKKotUANlKXa7yCgRcgq8HEzQYW8/edit?usp=sharing"",""พะเยา!J628"")+IMPORTRANGE(""https://docs.google.com/spreadsheets/d/1xfJKIQxVOaPDIICqsflNlL"&amp;"u3JacTDk1FP9RH4phX7mI/edit?usp=sharing"",""พิจิตร!J628"")+IMPORTRANGE(""https://docs.google.com/spreadsheets/d/1JtRfZkJMHtEhI5RdRHxYUG4FIZHqKDpNyIuN7A1Q0_k/edit?usp=sharing"",""พิษณุโลก!J628"")+IMPORTRANGE(""https://docs.google.com/spreadsheets/d/1xlcVZWU"&amp;"Nn6SuWm0c307h32SiGkd9BaeQWlAktfD3KO8/edit?usp=sharing"",""เพชรบูรณ์!J628"")+IMPORTRANGE(""https://docs.google.com/spreadsheets/d/1lOVebEIsI9qjGXl6EX66luk7wiuP2tBaryw-wKvv4e0/edit?usp=sharing"",""แพร่!J628"")+IMPORTRANGE(""https://docs.google.com/spreadshe"&amp;"ets/d/1dQrvX0vEcN7Gu0fnZ0B5S90AeR19zth4XlExFBeExMY/edit?usp=sharing"",""แม่ฮ่องสอน!J628"")+IMPORTRANGE(""https://docs.google.com/spreadsheets/d/1DY4XTNNwjluuxqdfdn6qvOSlMRrZqUtmYcZR0ttFiG4/edit?usp=sharing"",""ลำปาง!J628"")+IMPORTRANGE(""https://docs.goog"&amp;"le.com/spreadsheets/d/1ICwG78r0OFT8biBlxnBF8r7she7gNSzOvJ958PWT09c/edit?usp=sharing"",""ลำพูน!J628"")+IMPORTRANGE(""https://docs.google.com/spreadsheets/d/1B0f2xJpZUC6Z0xXnqKlZtEPzsf6L84eP1r1Q15seqRM/edit?usp=sharing"",""สุโขทัย!J628"")+IMPORTRANGE(""http"&amp;"s://docs.google.com/spreadsheets/d/1v0b9pFQCsKUVExMei7AgY2yQkdeNQvtOssygGsXbiKo/edit?usp=sharing"",""อุตรดิตถ์!J628"")+IMPORTRANGE(""https://docs.google.com/spreadsheets/d/1UsNK1e-WWiCo2PvGqdNfdme4m17_Ezd3J69EeeiQPD0/edit?usp=sharing"",""อุทัยธานี!J628"")"),3)</f>
        <v>3</v>
      </c>
      <c r="K628" s="46">
        <f t="shared" ca="1" si="451"/>
        <v>42.857142857142854</v>
      </c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167">
        <f ca="1">IFERROR(__xludf.DUMMYFUNCTION("IMPORTRANGE(""https://docs.google.com/spreadsheets/d/1jTcq05yEiRwXcBMLjiodW9e4biSGYWAHcDj22rKWQ3s/edit?usp=sharing"",""กำแพงเพชร!J629"")+IMPORTRANGE(""https://docs.google.com/spreadsheets/d/1KS0zmDSZPk8KnTAbGN-Xk6MtX1YRZD0ldgdt20K4CRk/edit?usp=sharing"","&amp;"""เชียงราย!J629"")+IMPORTRANGE(""https://docs.google.com/spreadsheets/d/1rEDxBtusbi64tE0zunoIbsTVV16HeL0oJ6trHQeQ7K8/edit?usp=sharing"",""เชียงใหม่!J629"")+IMPORTRANGE(""https://docs.google.com/spreadsheets/d/1W6MnUbDkMi6xHnHko_XkFDO9kkuL6Wqyc-6OCDFjW9I/e"&amp;"dit?usp=sharing"",""ตาก!J629"")+IMPORTRANGE(""https://docs.google.com/spreadsheets/d/1IQAWArduLkta9LpYo4a_ULsyqdta6-6aDDiwpUnQT6c/edit?usp=sharing"",""นครสวรรค์!J629"")+IMPORTRANGE(""https://docs.google.com/spreadsheets/d/10s13Sk5xrltsiR-Zkbmk5DwIaDIKO8Xl"&amp;"bJAfqyT7Gvg/edit?usp=sharing"",""น่าน!J629"")+IMPORTRANGE(""https://docs.google.com/spreadsheets/d/1uu4nAn4Dbi1XREnLKKotUANlKXa7yCgRcgq8HEzQYW8/edit?usp=sharing"",""พะเยา!J629"")+IMPORTRANGE(""https://docs.google.com/spreadsheets/d/1xfJKIQxVOaPDIICqsflNlL"&amp;"u3JacTDk1FP9RH4phX7mI/edit?usp=sharing"",""พิจิตร!J629"")+IMPORTRANGE(""https://docs.google.com/spreadsheets/d/1JtRfZkJMHtEhI5RdRHxYUG4FIZHqKDpNyIuN7A1Q0_k/edit?usp=sharing"",""พิษณุโลก!J629"")+IMPORTRANGE(""https://docs.google.com/spreadsheets/d/1xlcVZWU"&amp;"Nn6SuWm0c307h32SiGkd9BaeQWlAktfD3KO8/edit?usp=sharing"",""เพชรบูรณ์!J629"")+IMPORTRANGE(""https://docs.google.com/spreadsheets/d/1lOVebEIsI9qjGXl6EX66luk7wiuP2tBaryw-wKvv4e0/edit?usp=sharing"",""แพร่!J629"")+IMPORTRANGE(""https://docs.google.com/spreadshe"&amp;"ets/d/1dQrvX0vEcN7Gu0fnZ0B5S90AeR19zth4XlExFBeExMY/edit?usp=sharing"",""แม่ฮ่องสอน!J629"")+IMPORTRANGE(""https://docs.google.com/spreadsheets/d/1DY4XTNNwjluuxqdfdn6qvOSlMRrZqUtmYcZR0ttFiG4/edit?usp=sharing"",""ลำปาง!J629"")+IMPORTRANGE(""https://docs.goog"&amp;"le.com/spreadsheets/d/1ICwG78r0OFT8biBlxnBF8r7she7gNSzOvJ958PWT09c/edit?usp=sharing"",""ลำพูน!J629"")+IMPORTRANGE(""https://docs.google.com/spreadsheets/d/1B0f2xJpZUC6Z0xXnqKlZtEPzsf6L84eP1r1Q15seqRM/edit?usp=sharing"",""สุโขทัย!J629"")+IMPORTRANGE(""http"&amp;"s://docs.google.com/spreadsheets/d/1v0b9pFQCsKUVExMei7AgY2yQkdeNQvtOssygGsXbiKo/edit?usp=sharing"",""อุตรดิตถ์!J629"")+IMPORTRANGE(""https://docs.google.com/spreadsheets/d/1UsNK1e-WWiCo2PvGqdNfdme4m17_Ezd3J69EeeiQPD0/edit?usp=sharing"",""อุทัยธานี!J629"")"),117.96)</f>
        <v>117.96</v>
      </c>
      <c r="K629" s="46">
        <f t="shared" ref="K629:K631" ca="1" si="452">IF(I$626&gt;0,J629*100/I$626,0)</f>
        <v>16.851428571428571</v>
      </c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167">
        <f ca="1">IFERROR(__xludf.DUMMYFUNCTION("IMPORTRANGE(""https://docs.google.com/spreadsheets/d/1jTcq05yEiRwXcBMLjiodW9e4biSGYWAHcDj22rKWQ3s/edit?usp=sharing"",""กำแพงเพชร!J630"")+IMPORTRANGE(""https://docs.google.com/spreadsheets/d/1KS0zmDSZPk8KnTAbGN-Xk6MtX1YRZD0ldgdt20K4CRk/edit?usp=sharing"","&amp;"""เชียงราย!J630"")+IMPORTRANGE(""https://docs.google.com/spreadsheets/d/1rEDxBtusbi64tE0zunoIbsTVV16HeL0oJ6trHQeQ7K8/edit?usp=sharing"",""เชียงใหม่!J630"")+IMPORTRANGE(""https://docs.google.com/spreadsheets/d/1W6MnUbDkMi6xHnHko_XkFDO9kkuL6Wqyc-6OCDFjW9I/e"&amp;"dit?usp=sharing"",""ตาก!J630"")+IMPORTRANGE(""https://docs.google.com/spreadsheets/d/1IQAWArduLkta9LpYo4a_ULsyqdta6-6aDDiwpUnQT6c/edit?usp=sharing"",""นครสวรรค์!J630"")+IMPORTRANGE(""https://docs.google.com/spreadsheets/d/10s13Sk5xrltsiR-Zkbmk5DwIaDIKO8Xl"&amp;"bJAfqyT7Gvg/edit?usp=sharing"",""น่าน!J630"")+IMPORTRANGE(""https://docs.google.com/spreadsheets/d/1uu4nAn4Dbi1XREnLKKotUANlKXa7yCgRcgq8HEzQYW8/edit?usp=sharing"",""พะเยา!J630"")+IMPORTRANGE(""https://docs.google.com/spreadsheets/d/1xfJKIQxVOaPDIICqsflNlL"&amp;"u3JacTDk1FP9RH4phX7mI/edit?usp=sharing"",""พิจิตร!J630"")+IMPORTRANGE(""https://docs.google.com/spreadsheets/d/1JtRfZkJMHtEhI5RdRHxYUG4FIZHqKDpNyIuN7A1Q0_k/edit?usp=sharing"",""พิษณุโลก!J630"")+IMPORTRANGE(""https://docs.google.com/spreadsheets/d/1xlcVZWU"&amp;"Nn6SuWm0c307h32SiGkd9BaeQWlAktfD3KO8/edit?usp=sharing"",""เพชรบูรณ์!J630"")+IMPORTRANGE(""https://docs.google.com/spreadsheets/d/1lOVebEIsI9qjGXl6EX66luk7wiuP2tBaryw-wKvv4e0/edit?usp=sharing"",""แพร่!J630"")+IMPORTRANGE(""https://docs.google.com/spreadshe"&amp;"ets/d/1dQrvX0vEcN7Gu0fnZ0B5S90AeR19zth4XlExFBeExMY/edit?usp=sharing"",""แม่ฮ่องสอน!J630"")+IMPORTRANGE(""https://docs.google.com/spreadsheets/d/1DY4XTNNwjluuxqdfdn6qvOSlMRrZqUtmYcZR0ttFiG4/edit?usp=sharing"",""ลำปาง!J630"")+IMPORTRANGE(""https://docs.goog"&amp;"le.com/spreadsheets/d/1ICwG78r0OFT8biBlxnBF8r7she7gNSzOvJ958PWT09c/edit?usp=sharing"",""ลำพูน!J630"")+IMPORTRANGE(""https://docs.google.com/spreadsheets/d/1B0f2xJpZUC6Z0xXnqKlZtEPzsf6L84eP1r1Q15seqRM/edit?usp=sharing"",""สุโขทัย!J630"")+IMPORTRANGE(""http"&amp;"s://docs.google.com/spreadsheets/d/1v0b9pFQCsKUVExMei7AgY2yQkdeNQvtOssygGsXbiKo/edit?usp=sharing"",""อุตรดิตถ์!J630"")+IMPORTRANGE(""https://docs.google.com/spreadsheets/d/1UsNK1e-WWiCo2PvGqdNfdme4m17_Ezd3J69EeeiQPD0/edit?usp=sharing"",""อุทัยธานี!J630"")"),0)</f>
        <v>0</v>
      </c>
      <c r="K630" s="46">
        <f t="shared" ca="1" si="452"/>
        <v>0</v>
      </c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167">
        <f ca="1">IFERROR(__xludf.DUMMYFUNCTION("IMPORTRANGE(""https://docs.google.com/spreadsheets/d/1jTcq05yEiRwXcBMLjiodW9e4biSGYWAHcDj22rKWQ3s/edit?usp=sharing"",""กำแพงเพชร!J631"")+IMPORTRANGE(""https://docs.google.com/spreadsheets/d/1KS0zmDSZPk8KnTAbGN-Xk6MtX1YRZD0ldgdt20K4CRk/edit?usp=sharing"","&amp;"""เชียงราย!J631"")+IMPORTRANGE(""https://docs.google.com/spreadsheets/d/1rEDxBtusbi64tE0zunoIbsTVV16HeL0oJ6trHQeQ7K8/edit?usp=sharing"",""เชียงใหม่!J631"")+IMPORTRANGE(""https://docs.google.com/spreadsheets/d/1W6MnUbDkMi6xHnHko_XkFDO9kkuL6Wqyc-6OCDFjW9I/e"&amp;"dit?usp=sharing"",""ตาก!J631"")+IMPORTRANGE(""https://docs.google.com/spreadsheets/d/1IQAWArduLkta9LpYo4a_ULsyqdta6-6aDDiwpUnQT6c/edit?usp=sharing"",""นครสวรรค์!J631"")+IMPORTRANGE(""https://docs.google.com/spreadsheets/d/10s13Sk5xrltsiR-Zkbmk5DwIaDIKO8Xl"&amp;"bJAfqyT7Gvg/edit?usp=sharing"",""น่าน!J631"")+IMPORTRANGE(""https://docs.google.com/spreadsheets/d/1uu4nAn4Dbi1XREnLKKotUANlKXa7yCgRcgq8HEzQYW8/edit?usp=sharing"",""พะเยา!J631"")+IMPORTRANGE(""https://docs.google.com/spreadsheets/d/1xfJKIQxVOaPDIICqsflNlL"&amp;"u3JacTDk1FP9RH4phX7mI/edit?usp=sharing"",""พิจิตร!J631"")+IMPORTRANGE(""https://docs.google.com/spreadsheets/d/1JtRfZkJMHtEhI5RdRHxYUG4FIZHqKDpNyIuN7A1Q0_k/edit?usp=sharing"",""พิษณุโลก!J631"")+IMPORTRANGE(""https://docs.google.com/spreadsheets/d/1xlcVZWU"&amp;"Nn6SuWm0c307h32SiGkd9BaeQWlAktfD3KO8/edit?usp=sharing"",""เพชรบูรณ์!J631"")+IMPORTRANGE(""https://docs.google.com/spreadsheets/d/1lOVebEIsI9qjGXl6EX66luk7wiuP2tBaryw-wKvv4e0/edit?usp=sharing"",""แพร่!J631"")+IMPORTRANGE(""https://docs.google.com/spreadshe"&amp;"ets/d/1dQrvX0vEcN7Gu0fnZ0B5S90AeR19zth4XlExFBeExMY/edit?usp=sharing"",""แม่ฮ่องสอน!J631"")+IMPORTRANGE(""https://docs.google.com/spreadsheets/d/1DY4XTNNwjluuxqdfdn6qvOSlMRrZqUtmYcZR0ttFiG4/edit?usp=sharing"",""ลำปาง!J631"")+IMPORTRANGE(""https://docs.goog"&amp;"le.com/spreadsheets/d/1ICwG78r0OFT8biBlxnBF8r7she7gNSzOvJ958PWT09c/edit?usp=sharing"",""ลำพูน!J631"")+IMPORTRANGE(""https://docs.google.com/spreadsheets/d/1B0f2xJpZUC6Z0xXnqKlZtEPzsf6L84eP1r1Q15seqRM/edit?usp=sharing"",""สุโขทัย!J631"")+IMPORTRANGE(""http"&amp;"s://docs.google.com/spreadsheets/d/1v0b9pFQCsKUVExMei7AgY2yQkdeNQvtOssygGsXbiKo/edit?usp=sharing"",""อุตรดิตถ์!J631"")+IMPORTRANGE(""https://docs.google.com/spreadsheets/d/1UsNK1e-WWiCo2PvGqdNfdme4m17_Ezd3J69EeeiQPD0/edit?usp=sharing"",""อุทัยธานี!J631"")"),0)</f>
        <v>0</v>
      </c>
      <c r="K631" s="46">
        <f t="shared" ca="1" si="452"/>
        <v>0</v>
      </c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147">
        <f ca="1">J633+J634</f>
        <v>0</v>
      </c>
      <c r="K632" s="132">
        <f ca="1">IF(I626&gt;0,J632*100/I626,0)</f>
        <v>0</v>
      </c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167">
        <f ca="1">IFERROR(__xludf.DUMMYFUNCTION("IMPORTRANGE(""https://docs.google.com/spreadsheets/d/1jTcq05yEiRwXcBMLjiodW9e4biSGYWAHcDj22rKWQ3s/edit?usp=sharing"",""กำแพงเพชร!J633"")+IMPORTRANGE(""https://docs.google.com/spreadsheets/d/1KS0zmDSZPk8KnTAbGN-Xk6MtX1YRZD0ldgdt20K4CRk/edit?usp=sharing"","&amp;"""เชียงราย!J633"")+IMPORTRANGE(""https://docs.google.com/spreadsheets/d/1rEDxBtusbi64tE0zunoIbsTVV16HeL0oJ6trHQeQ7K8/edit?usp=sharing"",""เชียงใหม่!J633"")+IMPORTRANGE(""https://docs.google.com/spreadsheets/d/1W6MnUbDkMi6xHnHko_XkFDO9kkuL6Wqyc-6OCDFjW9I/e"&amp;"dit?usp=sharing"",""ตาก!J633"")+IMPORTRANGE(""https://docs.google.com/spreadsheets/d/1IQAWArduLkta9LpYo4a_ULsyqdta6-6aDDiwpUnQT6c/edit?usp=sharing"",""นครสวรรค์!J633"")+IMPORTRANGE(""https://docs.google.com/spreadsheets/d/10s13Sk5xrltsiR-Zkbmk5DwIaDIKO8Xl"&amp;"bJAfqyT7Gvg/edit?usp=sharing"",""น่าน!J633"")+IMPORTRANGE(""https://docs.google.com/spreadsheets/d/1uu4nAn4Dbi1XREnLKKotUANlKXa7yCgRcgq8HEzQYW8/edit?usp=sharing"",""พะเยา!J633"")+IMPORTRANGE(""https://docs.google.com/spreadsheets/d/1xfJKIQxVOaPDIICqsflNlL"&amp;"u3JacTDk1FP9RH4phX7mI/edit?usp=sharing"",""พิจิตร!J633"")+IMPORTRANGE(""https://docs.google.com/spreadsheets/d/1JtRfZkJMHtEhI5RdRHxYUG4FIZHqKDpNyIuN7A1Q0_k/edit?usp=sharing"",""พิษณุโลก!J633"")+IMPORTRANGE(""https://docs.google.com/spreadsheets/d/1xlcVZWU"&amp;"Nn6SuWm0c307h32SiGkd9BaeQWlAktfD3KO8/edit?usp=sharing"",""เพชรบูรณ์!J633"")+IMPORTRANGE(""https://docs.google.com/spreadsheets/d/1lOVebEIsI9qjGXl6EX66luk7wiuP2tBaryw-wKvv4e0/edit?usp=sharing"",""แพร่!J633"")+IMPORTRANGE(""https://docs.google.com/spreadshe"&amp;"ets/d/1dQrvX0vEcN7Gu0fnZ0B5S90AeR19zth4XlExFBeExMY/edit?usp=sharing"",""แม่ฮ่องสอน!J633"")+IMPORTRANGE(""https://docs.google.com/spreadsheets/d/1DY4XTNNwjluuxqdfdn6qvOSlMRrZqUtmYcZR0ttFiG4/edit?usp=sharing"",""ลำปาง!J633"")+IMPORTRANGE(""https://docs.goog"&amp;"le.com/spreadsheets/d/1ICwG78r0OFT8biBlxnBF8r7she7gNSzOvJ958PWT09c/edit?usp=sharing"",""ลำพูน!J633"")+IMPORTRANGE(""https://docs.google.com/spreadsheets/d/1B0f2xJpZUC6Z0xXnqKlZtEPzsf6L84eP1r1Q15seqRM/edit?usp=sharing"",""สุโขทัย!J633"")+IMPORTRANGE(""http"&amp;"s://docs.google.com/spreadsheets/d/1v0b9pFQCsKUVExMei7AgY2yQkdeNQvtOssygGsXbiKo/edit?usp=sharing"",""อุตรดิตถ์!J633"")+IMPORTRANGE(""https://docs.google.com/spreadsheets/d/1UsNK1e-WWiCo2PvGqdNfdme4m17_Ezd3J69EeeiQPD0/edit?usp=sharing"",""อุทัยธานี!J633"")"),0)</f>
        <v>0</v>
      </c>
      <c r="K633" s="45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167">
        <f ca="1">IFERROR(__xludf.DUMMYFUNCTION("IMPORTRANGE(""https://docs.google.com/spreadsheets/d/1jTcq05yEiRwXcBMLjiodW9e4biSGYWAHcDj22rKWQ3s/edit?usp=sharing"",""กำแพงเพชร!J634"")+IMPORTRANGE(""https://docs.google.com/spreadsheets/d/1KS0zmDSZPk8KnTAbGN-Xk6MtX1YRZD0ldgdt20K4CRk/edit?usp=sharing"","&amp;"""เชียงราย!J634"")+IMPORTRANGE(""https://docs.google.com/spreadsheets/d/1rEDxBtusbi64tE0zunoIbsTVV16HeL0oJ6trHQeQ7K8/edit?usp=sharing"",""เชียงใหม่!J634"")+IMPORTRANGE(""https://docs.google.com/spreadsheets/d/1W6MnUbDkMi6xHnHko_XkFDO9kkuL6Wqyc-6OCDFjW9I/e"&amp;"dit?usp=sharing"",""ตาก!J634"")+IMPORTRANGE(""https://docs.google.com/spreadsheets/d/1IQAWArduLkta9LpYo4a_ULsyqdta6-6aDDiwpUnQT6c/edit?usp=sharing"",""นครสวรรค์!J634"")+IMPORTRANGE(""https://docs.google.com/spreadsheets/d/10s13Sk5xrltsiR-Zkbmk5DwIaDIKO8Xl"&amp;"bJAfqyT7Gvg/edit?usp=sharing"",""น่าน!J634"")+IMPORTRANGE(""https://docs.google.com/spreadsheets/d/1uu4nAn4Dbi1XREnLKKotUANlKXa7yCgRcgq8HEzQYW8/edit?usp=sharing"",""พะเยา!J634"")+IMPORTRANGE(""https://docs.google.com/spreadsheets/d/1xfJKIQxVOaPDIICqsflNlL"&amp;"u3JacTDk1FP9RH4phX7mI/edit?usp=sharing"",""พิจิตร!J634"")+IMPORTRANGE(""https://docs.google.com/spreadsheets/d/1JtRfZkJMHtEhI5RdRHxYUG4FIZHqKDpNyIuN7A1Q0_k/edit?usp=sharing"",""พิษณุโลก!J634"")+IMPORTRANGE(""https://docs.google.com/spreadsheets/d/1xlcVZWU"&amp;"Nn6SuWm0c307h32SiGkd9BaeQWlAktfD3KO8/edit?usp=sharing"",""เพชรบูรณ์!J634"")+IMPORTRANGE(""https://docs.google.com/spreadsheets/d/1lOVebEIsI9qjGXl6EX66luk7wiuP2tBaryw-wKvv4e0/edit?usp=sharing"",""แพร่!J634"")+IMPORTRANGE(""https://docs.google.com/spreadshe"&amp;"ets/d/1dQrvX0vEcN7Gu0fnZ0B5S90AeR19zth4XlExFBeExMY/edit?usp=sharing"",""แม่ฮ่องสอน!J634"")+IMPORTRANGE(""https://docs.google.com/spreadsheets/d/1DY4XTNNwjluuxqdfdn6qvOSlMRrZqUtmYcZR0ttFiG4/edit?usp=sharing"",""ลำปาง!J634"")+IMPORTRANGE(""https://docs.goog"&amp;"le.com/spreadsheets/d/1ICwG78r0OFT8biBlxnBF8r7she7gNSzOvJ958PWT09c/edit?usp=sharing"",""ลำพูน!J634"")+IMPORTRANGE(""https://docs.google.com/spreadsheets/d/1B0f2xJpZUC6Z0xXnqKlZtEPzsf6L84eP1r1Q15seqRM/edit?usp=sharing"",""สุโขทัย!J634"")+IMPORTRANGE(""http"&amp;"s://docs.google.com/spreadsheets/d/1v0b9pFQCsKUVExMei7AgY2yQkdeNQvtOssygGsXbiKo/edit?usp=sharing"",""อุตรดิตถ์!J634"")+IMPORTRANGE(""https://docs.google.com/spreadsheets/d/1UsNK1e-WWiCo2PvGqdNfdme4m17_Ezd3J69EeeiQPD0/edit?usp=sharing"",""อุทัยธานี!J634"")"),0)</f>
        <v>0</v>
      </c>
      <c r="K634" s="45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10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jTcq05yEiRwXcBMLjiodW9e4biSGYWAHcDj22rKWQ3s/edit?usp=sharing"",""กำแพงเพชร!I635"")+IMPORTRANGE(""https://docs.google.com/spreadsheets/d/1KS0zmDSZPk8KnTAbGN-Xk6MtX1YRZD0ldgdt20K4CRk/edit?usp=sharing"","&amp;"""เชียงราย!I635"")+IMPORTRANGE(""https://docs.google.com/spreadsheets/d/1rEDxBtusbi64tE0zunoIbsTVV16HeL0oJ6trHQeQ7K8/edit?usp=sharing"",""เชียงใหม่!I635"")+IMPORTRANGE(""https://docs.google.com/spreadsheets/d/1W6MnUbDkMi6xHnHko_XkFDO9kkuL6Wqyc-6OCDFjW9I/e"&amp;"dit?usp=sharing"",""ตาก!I635"")+IMPORTRANGE(""https://docs.google.com/spreadsheets/d/1IQAWArduLkta9LpYo4a_ULsyqdta6-6aDDiwpUnQT6c/edit?usp=sharing"",""นครสวรรค์!I635"")+IMPORTRANGE(""https://docs.google.com/spreadsheets/d/10s13Sk5xrltsiR-Zkbmk5DwIaDIKO8Xl"&amp;"bJAfqyT7Gvg/edit?usp=sharing"",""น่าน!I635"")+IMPORTRANGE(""https://docs.google.com/spreadsheets/d/1uu4nAn4Dbi1XREnLKKotUANlKXa7yCgRcgq8HEzQYW8/edit?usp=sharing"",""พะเยา!I635"")+IMPORTRANGE(""https://docs.google.com/spreadsheets/d/1xfJKIQxVOaPDIICqsflNlL"&amp;"u3JacTDk1FP9RH4phX7mI/edit?usp=sharing"",""พิจิตร!I635"")+IMPORTRANGE(""https://docs.google.com/spreadsheets/d/1JtRfZkJMHtEhI5RdRHxYUG4FIZHqKDpNyIuN7A1Q0_k/edit?usp=sharing"",""พิษณุโลก!I635"")+IMPORTRANGE(""https://docs.google.com/spreadsheets/d/1xlcVZWU"&amp;"Nn6SuWm0c307h32SiGkd9BaeQWlAktfD3KO8/edit?usp=sharing"",""เพชรบูรณ์!I635"")+IMPORTRANGE(""https://docs.google.com/spreadsheets/d/1lOVebEIsI9qjGXl6EX66luk7wiuP2tBaryw-wKvv4e0/edit?usp=sharing"",""แพร่!I635"")+IMPORTRANGE(""https://docs.google.com/spreadshe"&amp;"ets/d/1dQrvX0vEcN7Gu0fnZ0B5S90AeR19zth4XlExFBeExMY/edit?usp=sharing"",""แม่ฮ่องสอน!I635"")+IMPORTRANGE(""https://docs.google.com/spreadsheets/d/1DY4XTNNwjluuxqdfdn6qvOSlMRrZqUtmYcZR0ttFiG4/edit?usp=sharing"",""ลำปาง!I635"")+IMPORTRANGE(""https://docs.goog"&amp;"le.com/spreadsheets/d/1ICwG78r0OFT8biBlxnBF8r7she7gNSzOvJ958PWT09c/edit?usp=sharing"",""ลำพูน!I635"")+IMPORTRANGE(""https://docs.google.com/spreadsheets/d/1B0f2xJpZUC6Z0xXnqKlZtEPzsf6L84eP1r1Q15seqRM/edit?usp=sharing"",""สุโขทัย!I635"")+IMPORTRANGE(""http"&amp;"s://docs.google.com/spreadsheets/d/1v0b9pFQCsKUVExMei7AgY2yQkdeNQvtOssygGsXbiKo/edit?usp=sharing"",""อุตรดิตถ์!I635"")+IMPORTRANGE(""https://docs.google.com/spreadsheets/d/1UsNK1e-WWiCo2PvGqdNfdme4m17_Ezd3J69EeeiQPD0/edit?usp=sharing"",""อุทัยธานี!I635"")"),0)</f>
        <v>0</v>
      </c>
      <c r="J635" s="147">
        <f ca="1">J636</f>
        <v>0</v>
      </c>
      <c r="K635" s="132">
        <f ca="1">IF(I635&gt;0,J635*100/I635,0)</f>
        <v>0</v>
      </c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66">
        <f ca="1">J637+J638</f>
        <v>0</v>
      </c>
      <c r="K636" s="45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167">
        <f ca="1">IFERROR(__xludf.DUMMYFUNCTION("IMPORTRANGE(""https://docs.google.com/spreadsheets/d/1jTcq05yEiRwXcBMLjiodW9e4biSGYWAHcDj22rKWQ3s/edit?usp=sharing"",""กำแพงเพชร!J637"")+IMPORTRANGE(""https://docs.google.com/spreadsheets/d/1KS0zmDSZPk8KnTAbGN-Xk6MtX1YRZD0ldgdt20K4CRk/edit?usp=sharing"","&amp;"""เชียงราย!J637"")+IMPORTRANGE(""https://docs.google.com/spreadsheets/d/1rEDxBtusbi64tE0zunoIbsTVV16HeL0oJ6trHQeQ7K8/edit?usp=sharing"",""เชียงใหม่!J637"")+IMPORTRANGE(""https://docs.google.com/spreadsheets/d/1W6MnUbDkMi6xHnHko_XkFDO9kkuL6Wqyc-6OCDFjW9I/e"&amp;"dit?usp=sharing"",""ตาก!J637"")+IMPORTRANGE(""https://docs.google.com/spreadsheets/d/1IQAWArduLkta9LpYo4a_ULsyqdta6-6aDDiwpUnQT6c/edit?usp=sharing"",""นครสวรรค์!J637"")+IMPORTRANGE(""https://docs.google.com/spreadsheets/d/10s13Sk5xrltsiR-Zkbmk5DwIaDIKO8Xl"&amp;"bJAfqyT7Gvg/edit?usp=sharing"",""น่าน!J637"")+IMPORTRANGE(""https://docs.google.com/spreadsheets/d/1uu4nAn4Dbi1XREnLKKotUANlKXa7yCgRcgq8HEzQYW8/edit?usp=sharing"",""พะเยา!J637"")+IMPORTRANGE(""https://docs.google.com/spreadsheets/d/1xfJKIQxVOaPDIICqsflNlL"&amp;"u3JacTDk1FP9RH4phX7mI/edit?usp=sharing"",""พิจิตร!J637"")+IMPORTRANGE(""https://docs.google.com/spreadsheets/d/1JtRfZkJMHtEhI5RdRHxYUG4FIZHqKDpNyIuN7A1Q0_k/edit?usp=sharing"",""พิษณุโลก!J637"")+IMPORTRANGE(""https://docs.google.com/spreadsheets/d/1xlcVZWU"&amp;"Nn6SuWm0c307h32SiGkd9BaeQWlAktfD3KO8/edit?usp=sharing"",""เพชรบูรณ์!J637"")+IMPORTRANGE(""https://docs.google.com/spreadsheets/d/1lOVebEIsI9qjGXl6EX66luk7wiuP2tBaryw-wKvv4e0/edit?usp=sharing"",""แพร่!J637"")+IMPORTRANGE(""https://docs.google.com/spreadshe"&amp;"ets/d/1dQrvX0vEcN7Gu0fnZ0B5S90AeR19zth4XlExFBeExMY/edit?usp=sharing"",""แม่ฮ่องสอน!J637"")+IMPORTRANGE(""https://docs.google.com/spreadsheets/d/1DY4XTNNwjluuxqdfdn6qvOSlMRrZqUtmYcZR0ttFiG4/edit?usp=sharing"",""ลำปาง!J637"")+IMPORTRANGE(""https://docs.goog"&amp;"le.com/spreadsheets/d/1ICwG78r0OFT8biBlxnBF8r7she7gNSzOvJ958PWT09c/edit?usp=sharing"",""ลำพูน!J637"")+IMPORTRANGE(""https://docs.google.com/spreadsheets/d/1B0f2xJpZUC6Z0xXnqKlZtEPzsf6L84eP1r1Q15seqRM/edit?usp=sharing"",""สุโขทัย!J637"")+IMPORTRANGE(""http"&amp;"s://docs.google.com/spreadsheets/d/1v0b9pFQCsKUVExMei7AgY2yQkdeNQvtOssygGsXbiKo/edit?usp=sharing"",""อุตรดิตถ์!J637"")+IMPORTRANGE(""https://docs.google.com/spreadsheets/d/1UsNK1e-WWiCo2PvGqdNfdme4m17_Ezd3J69EeeiQPD0/edit?usp=sharing"",""อุทัยธานี!J637"")"),0)</f>
        <v>0</v>
      </c>
      <c r="K637" s="45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167">
        <f ca="1">IFERROR(__xludf.DUMMYFUNCTION("IMPORTRANGE(""https://docs.google.com/spreadsheets/d/1jTcq05yEiRwXcBMLjiodW9e4biSGYWAHcDj22rKWQ3s/edit?usp=sharing"",""กำแพงเพชร!J638"")+IMPORTRANGE(""https://docs.google.com/spreadsheets/d/1KS0zmDSZPk8KnTAbGN-Xk6MtX1YRZD0ldgdt20K4CRk/edit?usp=sharing"","&amp;"""เชียงราย!J638"")+IMPORTRANGE(""https://docs.google.com/spreadsheets/d/1rEDxBtusbi64tE0zunoIbsTVV16HeL0oJ6trHQeQ7K8/edit?usp=sharing"",""เชียงใหม่!J638"")+IMPORTRANGE(""https://docs.google.com/spreadsheets/d/1W6MnUbDkMi6xHnHko_XkFDO9kkuL6Wqyc-6OCDFjW9I/e"&amp;"dit?usp=sharing"",""ตาก!J638"")+IMPORTRANGE(""https://docs.google.com/spreadsheets/d/1IQAWArduLkta9LpYo4a_ULsyqdta6-6aDDiwpUnQT6c/edit?usp=sharing"",""นครสวรรค์!J638"")+IMPORTRANGE(""https://docs.google.com/spreadsheets/d/10s13Sk5xrltsiR-Zkbmk5DwIaDIKO8Xl"&amp;"bJAfqyT7Gvg/edit?usp=sharing"",""น่าน!J638"")+IMPORTRANGE(""https://docs.google.com/spreadsheets/d/1uu4nAn4Dbi1XREnLKKotUANlKXa7yCgRcgq8HEzQYW8/edit?usp=sharing"",""พะเยา!J638"")+IMPORTRANGE(""https://docs.google.com/spreadsheets/d/1xfJKIQxVOaPDIICqsflNlL"&amp;"u3JacTDk1FP9RH4phX7mI/edit?usp=sharing"",""พิจิตร!J638"")+IMPORTRANGE(""https://docs.google.com/spreadsheets/d/1JtRfZkJMHtEhI5RdRHxYUG4FIZHqKDpNyIuN7A1Q0_k/edit?usp=sharing"",""พิษณุโลก!J638"")+IMPORTRANGE(""https://docs.google.com/spreadsheets/d/1xlcVZWU"&amp;"Nn6SuWm0c307h32SiGkd9BaeQWlAktfD3KO8/edit?usp=sharing"",""เพชรบูรณ์!J638"")+IMPORTRANGE(""https://docs.google.com/spreadsheets/d/1lOVebEIsI9qjGXl6EX66luk7wiuP2tBaryw-wKvv4e0/edit?usp=sharing"",""แพร่!J638"")+IMPORTRANGE(""https://docs.google.com/spreadshe"&amp;"ets/d/1dQrvX0vEcN7Gu0fnZ0B5S90AeR19zth4XlExFBeExMY/edit?usp=sharing"",""แม่ฮ่องสอน!J638"")+IMPORTRANGE(""https://docs.google.com/spreadsheets/d/1DY4XTNNwjluuxqdfdn6qvOSlMRrZqUtmYcZR0ttFiG4/edit?usp=sharing"",""ลำปาง!J638"")+IMPORTRANGE(""https://docs.goog"&amp;"le.com/spreadsheets/d/1ICwG78r0OFT8biBlxnBF8r7she7gNSzOvJ958PWT09c/edit?usp=sharing"",""ลำพูน!J638"")+IMPORTRANGE(""https://docs.google.com/spreadsheets/d/1B0f2xJpZUC6Z0xXnqKlZtEPzsf6L84eP1r1Q15seqRM/edit?usp=sharing"",""สุโขทัย!J638"")+IMPORTRANGE(""http"&amp;"s://docs.google.com/spreadsheets/d/1v0b9pFQCsKUVExMei7AgY2yQkdeNQvtOssygGsXbiKo/edit?usp=sharing"",""อุตรดิตถ์!J638"")+IMPORTRANGE(""https://docs.google.com/spreadsheets/d/1UsNK1e-WWiCo2PvGqdNfdme4m17_Ezd3J69EeeiQPD0/edit?usp=sharing"",""อุทัยธานี!J638"")"),0)</f>
        <v>0</v>
      </c>
      <c r="K638" s="45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167">
        <f ca="1">IFERROR(__xludf.DUMMYFUNCTION("IMPORTRANGE(""https://docs.google.com/spreadsheets/d/1jTcq05yEiRwXcBMLjiodW9e4biSGYWAHcDj22rKWQ3s/edit?usp=sharing"",""กำแพงเพชร!J639"")+IMPORTRANGE(""https://docs.google.com/spreadsheets/d/1KS0zmDSZPk8KnTAbGN-Xk6MtX1YRZD0ldgdt20K4CRk/edit?usp=sharing"","&amp;"""เชียงราย!J639"")+IMPORTRANGE(""https://docs.google.com/spreadsheets/d/1rEDxBtusbi64tE0zunoIbsTVV16HeL0oJ6trHQeQ7K8/edit?usp=sharing"",""เชียงใหม่!J639"")+IMPORTRANGE(""https://docs.google.com/spreadsheets/d/1W6MnUbDkMi6xHnHko_XkFDO9kkuL6Wqyc-6OCDFjW9I/e"&amp;"dit?usp=sharing"",""ตาก!J639"")+IMPORTRANGE(""https://docs.google.com/spreadsheets/d/1IQAWArduLkta9LpYo4a_ULsyqdta6-6aDDiwpUnQT6c/edit?usp=sharing"",""นครสวรรค์!J639"")+IMPORTRANGE(""https://docs.google.com/spreadsheets/d/10s13Sk5xrltsiR-Zkbmk5DwIaDIKO8Xl"&amp;"bJAfqyT7Gvg/edit?usp=sharing"",""น่าน!J639"")+IMPORTRANGE(""https://docs.google.com/spreadsheets/d/1uu4nAn4Dbi1XREnLKKotUANlKXa7yCgRcgq8HEzQYW8/edit?usp=sharing"",""พะเยา!J639"")+IMPORTRANGE(""https://docs.google.com/spreadsheets/d/1xfJKIQxVOaPDIICqsflNlL"&amp;"u3JacTDk1FP9RH4phX7mI/edit?usp=sharing"",""พิจิตร!J639"")+IMPORTRANGE(""https://docs.google.com/spreadsheets/d/1JtRfZkJMHtEhI5RdRHxYUG4FIZHqKDpNyIuN7A1Q0_k/edit?usp=sharing"",""พิษณุโลก!J639"")+IMPORTRANGE(""https://docs.google.com/spreadsheets/d/1xlcVZWU"&amp;"Nn6SuWm0c307h32SiGkd9BaeQWlAktfD3KO8/edit?usp=sharing"",""เพชรบูรณ์!J639"")+IMPORTRANGE(""https://docs.google.com/spreadsheets/d/1lOVebEIsI9qjGXl6EX66luk7wiuP2tBaryw-wKvv4e0/edit?usp=sharing"",""แพร่!J639"")+IMPORTRANGE(""https://docs.google.com/spreadshe"&amp;"ets/d/1dQrvX0vEcN7Gu0fnZ0B5S90AeR19zth4XlExFBeExMY/edit?usp=sharing"",""แม่ฮ่องสอน!J639"")+IMPORTRANGE(""https://docs.google.com/spreadsheets/d/1DY4XTNNwjluuxqdfdn6qvOSlMRrZqUtmYcZR0ttFiG4/edit?usp=sharing"",""ลำปาง!J639"")+IMPORTRANGE(""https://docs.goog"&amp;"le.com/spreadsheets/d/1ICwG78r0OFT8biBlxnBF8r7she7gNSzOvJ958PWT09c/edit?usp=sharing"",""ลำพูน!J639"")+IMPORTRANGE(""https://docs.google.com/spreadsheets/d/1B0f2xJpZUC6Z0xXnqKlZtEPzsf6L84eP1r1Q15seqRM/edit?usp=sharing"",""สุโขทัย!J639"")+IMPORTRANGE(""http"&amp;"s://docs.google.com/spreadsheets/d/1v0b9pFQCsKUVExMei7AgY2yQkdeNQvtOssygGsXbiKo/edit?usp=sharing"",""อุตรดิตถ์!J639"")+IMPORTRANGE(""https://docs.google.com/spreadsheets/d/1UsNK1e-WWiCo2PvGqdNfdme4m17_Ezd3J69EeeiQPD0/edit?usp=sharing"",""อุทัยธานี!J639"")"),0)</f>
        <v>0</v>
      </c>
      <c r="K639" s="45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167">
        <f ca="1">IFERROR(__xludf.DUMMYFUNCTION("IMPORTRANGE(""https://docs.google.com/spreadsheets/d/1jTcq05yEiRwXcBMLjiodW9e4biSGYWAHcDj22rKWQ3s/edit?usp=sharing"",""กำแพงเพชร!J640"")+IMPORTRANGE(""https://docs.google.com/spreadsheets/d/1KS0zmDSZPk8KnTAbGN-Xk6MtX1YRZD0ldgdt20K4CRk/edit?usp=sharing"","&amp;"""เชียงราย!J640"")+IMPORTRANGE(""https://docs.google.com/spreadsheets/d/1rEDxBtusbi64tE0zunoIbsTVV16HeL0oJ6trHQeQ7K8/edit?usp=sharing"",""เชียงใหม่!J640"")+IMPORTRANGE(""https://docs.google.com/spreadsheets/d/1W6MnUbDkMi6xHnHko_XkFDO9kkuL6Wqyc-6OCDFjW9I/e"&amp;"dit?usp=sharing"",""ตาก!J640"")+IMPORTRANGE(""https://docs.google.com/spreadsheets/d/1IQAWArduLkta9LpYo4a_ULsyqdta6-6aDDiwpUnQT6c/edit?usp=sharing"",""นครสวรรค์!J640"")+IMPORTRANGE(""https://docs.google.com/spreadsheets/d/10s13Sk5xrltsiR-Zkbmk5DwIaDIKO8Xl"&amp;"bJAfqyT7Gvg/edit?usp=sharing"",""น่าน!J640"")+IMPORTRANGE(""https://docs.google.com/spreadsheets/d/1uu4nAn4Dbi1XREnLKKotUANlKXa7yCgRcgq8HEzQYW8/edit?usp=sharing"",""พะเยา!J640"")+IMPORTRANGE(""https://docs.google.com/spreadsheets/d/1xfJKIQxVOaPDIICqsflNlL"&amp;"u3JacTDk1FP9RH4phX7mI/edit?usp=sharing"",""พิจิตร!J640"")+IMPORTRANGE(""https://docs.google.com/spreadsheets/d/1JtRfZkJMHtEhI5RdRHxYUG4FIZHqKDpNyIuN7A1Q0_k/edit?usp=sharing"",""พิษณุโลก!J640"")+IMPORTRANGE(""https://docs.google.com/spreadsheets/d/1xlcVZWU"&amp;"Nn6SuWm0c307h32SiGkd9BaeQWlAktfD3KO8/edit?usp=sharing"",""เพชรบูรณ์!J640"")+IMPORTRANGE(""https://docs.google.com/spreadsheets/d/1lOVebEIsI9qjGXl6EX66luk7wiuP2tBaryw-wKvv4e0/edit?usp=sharing"",""แพร่!J640"")+IMPORTRANGE(""https://docs.google.com/spreadshe"&amp;"ets/d/1dQrvX0vEcN7Gu0fnZ0B5S90AeR19zth4XlExFBeExMY/edit?usp=sharing"",""แม่ฮ่องสอน!J640"")+IMPORTRANGE(""https://docs.google.com/spreadsheets/d/1DY4XTNNwjluuxqdfdn6qvOSlMRrZqUtmYcZR0ttFiG4/edit?usp=sharing"",""ลำปาง!J640"")+IMPORTRANGE(""https://docs.goog"&amp;"le.com/spreadsheets/d/1ICwG78r0OFT8biBlxnBF8r7she7gNSzOvJ958PWT09c/edit?usp=sharing"",""ลำพูน!J640"")+IMPORTRANGE(""https://docs.google.com/spreadsheets/d/1B0f2xJpZUC6Z0xXnqKlZtEPzsf6L84eP1r1Q15seqRM/edit?usp=sharing"",""สุโขทัย!J640"")+IMPORTRANGE(""http"&amp;"s://docs.google.com/spreadsheets/d/1v0b9pFQCsKUVExMei7AgY2yQkdeNQvtOssygGsXbiKo/edit?usp=sharing"",""อุตรดิตถ์!J640"")+IMPORTRANGE(""https://docs.google.com/spreadsheets/d/1UsNK1e-WWiCo2PvGqdNfdme4m17_Ezd3J69EeeiQPD0/edit?usp=sharing"",""อุทัยธานี!J640"")"),0)</f>
        <v>0</v>
      </c>
      <c r="K640" s="45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01"/>
      <c r="B641" s="402" t="s">
        <v>236</v>
      </c>
      <c r="C641" s="401"/>
      <c r="D641" s="403"/>
      <c r="E641" s="403"/>
      <c r="F641" s="403"/>
      <c r="G641" s="404"/>
      <c r="H641" s="412"/>
      <c r="I641" s="413"/>
      <c r="J641" s="413"/>
      <c r="K641" s="408"/>
      <c r="L641" s="408"/>
      <c r="M641" s="408"/>
      <c r="N641" s="408"/>
      <c r="O641" s="408"/>
      <c r="P641" s="408"/>
      <c r="Q641" s="408"/>
      <c r="R641" s="408"/>
      <c r="S641" s="408"/>
      <c r="T641" s="408"/>
      <c r="U641" s="408"/>
    </row>
    <row r="642" spans="1:21" ht="19.5" x14ac:dyDescent="0.3">
      <c r="A642" s="128"/>
      <c r="B642" s="158"/>
      <c r="C642" s="209" t="s">
        <v>18</v>
      </c>
      <c r="D642" s="795" t="s">
        <v>19</v>
      </c>
      <c r="E642" s="793"/>
      <c r="F642" s="793"/>
      <c r="G642" s="794"/>
      <c r="H642" s="221" t="s">
        <v>14</v>
      </c>
      <c r="I642" s="44"/>
      <c r="J642" s="44"/>
      <c r="K642" s="45"/>
      <c r="L642" s="132">
        <f t="shared" ref="L642:N642" ca="1" si="453">L643+L644</f>
        <v>0</v>
      </c>
      <c r="M642" s="132">
        <f t="shared" ca="1" si="453"/>
        <v>0</v>
      </c>
      <c r="N642" s="132">
        <f t="shared" ca="1" si="453"/>
        <v>0</v>
      </c>
      <c r="O642" s="132">
        <f t="shared" ref="O642:O650" ca="1" si="454">IF(L642&gt;0,N642*100/L642,0)</f>
        <v>0</v>
      </c>
      <c r="P642" s="132">
        <f t="shared" ref="P642:P650" ca="1" si="455">IF(M642&gt;0,N642*100/M642,0)</f>
        <v>0</v>
      </c>
      <c r="Q642" s="132">
        <f t="shared" ref="Q642:S642" ca="1" si="456">Q643+Q644</f>
        <v>389440</v>
      </c>
      <c r="R642" s="132">
        <f t="shared" ca="1" si="456"/>
        <v>389440</v>
      </c>
      <c r="S642" s="132">
        <f t="shared" ca="1" si="456"/>
        <v>16225</v>
      </c>
      <c r="T642" s="132">
        <f t="shared" ref="T642:T650" ca="1" si="457">IF(Q642&gt;0,S642*100/Q642,0)</f>
        <v>4.1662387017255549</v>
      </c>
      <c r="U642" s="132">
        <f t="shared" ref="U642:U650" ca="1" si="458">IF(R642&gt;0,S642*100/R642,0)</f>
        <v>4.1662387017255549</v>
      </c>
    </row>
    <row r="643" spans="1:21" ht="18.75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48">
        <f t="shared" ref="L643:N643" ca="1" si="459">L646+L649</f>
        <v>0</v>
      </c>
      <c r="M643" s="48">
        <f t="shared" ca="1" si="459"/>
        <v>0</v>
      </c>
      <c r="N643" s="48">
        <f t="shared" ca="1" si="459"/>
        <v>0</v>
      </c>
      <c r="O643" s="48">
        <f t="shared" ca="1" si="454"/>
        <v>0</v>
      </c>
      <c r="P643" s="48">
        <f t="shared" ca="1" si="455"/>
        <v>0</v>
      </c>
      <c r="Q643" s="48">
        <f t="shared" ref="Q643:S643" ca="1" si="460">Q646+Q649</f>
        <v>0</v>
      </c>
      <c r="R643" s="48">
        <f t="shared" ca="1" si="460"/>
        <v>0</v>
      </c>
      <c r="S643" s="48">
        <f t="shared" ca="1" si="460"/>
        <v>0</v>
      </c>
      <c r="T643" s="48">
        <f t="shared" ca="1" si="457"/>
        <v>0</v>
      </c>
      <c r="U643" s="48">
        <f t="shared" ca="1" si="458"/>
        <v>0</v>
      </c>
    </row>
    <row r="644" spans="1:21" ht="18.75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46">
        <f t="shared" ref="L644:N644" ca="1" si="461">L647+L650</f>
        <v>0</v>
      </c>
      <c r="M644" s="46">
        <f t="shared" ca="1" si="461"/>
        <v>0</v>
      </c>
      <c r="N644" s="46">
        <f t="shared" ca="1" si="461"/>
        <v>0</v>
      </c>
      <c r="O644" s="46">
        <f t="shared" ca="1" si="454"/>
        <v>0</v>
      </c>
      <c r="P644" s="46">
        <f t="shared" ca="1" si="455"/>
        <v>0</v>
      </c>
      <c r="Q644" s="46">
        <f t="shared" ref="Q644:S644" ca="1" si="462">Q647+Q650</f>
        <v>389440</v>
      </c>
      <c r="R644" s="46">
        <f t="shared" ca="1" si="462"/>
        <v>389440</v>
      </c>
      <c r="S644" s="46">
        <f t="shared" ca="1" si="462"/>
        <v>16225</v>
      </c>
      <c r="T644" s="46">
        <f t="shared" ca="1" si="457"/>
        <v>4.1662387017255549</v>
      </c>
      <c r="U644" s="46">
        <f t="shared" ca="1" si="458"/>
        <v>4.1662387017255549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46">
        <f t="shared" ref="L645:N645" ca="1" si="463">L646+L647</f>
        <v>0</v>
      </c>
      <c r="M645" s="46">
        <f t="shared" ca="1" si="463"/>
        <v>0</v>
      </c>
      <c r="N645" s="46">
        <f t="shared" ca="1" si="463"/>
        <v>0</v>
      </c>
      <c r="O645" s="46">
        <f t="shared" ca="1" si="454"/>
        <v>0</v>
      </c>
      <c r="P645" s="46">
        <f t="shared" ca="1" si="455"/>
        <v>0</v>
      </c>
      <c r="Q645" s="46">
        <f t="shared" ref="Q645:S645" ca="1" si="464">Q646+Q647</f>
        <v>389440</v>
      </c>
      <c r="R645" s="46">
        <f t="shared" ca="1" si="464"/>
        <v>389440</v>
      </c>
      <c r="S645" s="46">
        <f t="shared" ca="1" si="464"/>
        <v>16225</v>
      </c>
      <c r="T645" s="46">
        <f t="shared" ca="1" si="457"/>
        <v>4.1662387017255549</v>
      </c>
      <c r="U645" s="46">
        <f t="shared" ca="1" si="458"/>
        <v>4.1662387017255549</v>
      </c>
    </row>
    <row r="646" spans="1:21" ht="18.75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48">
        <f ca="1">IFERROR(__xludf.DUMMYFUNCTION("IMPORTRANGE(""https://docs.google.com/spreadsheets/d/1jTcq05yEiRwXcBMLjiodW9e4biSGYWAHcDj22rKWQ3s/edit?usp=sharing"",""กำแพงเพชร!L646"")+IMPORTRANGE(""https://docs.google.com/spreadsheets/d/1KS0zmDSZPk8KnTAbGN-Xk6MtX1YRZD0ldgdt20K4CRk/edit?usp=sharing"","&amp;"""เชียงราย!L646"")+IMPORTRANGE(""https://docs.google.com/spreadsheets/d/1rEDxBtusbi64tE0zunoIbsTVV16HeL0oJ6trHQeQ7K8/edit?usp=sharing"",""เชียงใหม่!L646"")+IMPORTRANGE(""https://docs.google.com/spreadsheets/d/1W6MnUbDkMi6xHnHko_XkFDO9kkuL6Wqyc-6OCDFjW9I/e"&amp;"dit?usp=sharing"",""ตาก!L646"")+IMPORTRANGE(""https://docs.google.com/spreadsheets/d/1IQAWArduLkta9LpYo4a_ULsyqdta6-6aDDiwpUnQT6c/edit?usp=sharing"",""นครสวรรค์!L646"")+IMPORTRANGE(""https://docs.google.com/spreadsheets/d/10s13Sk5xrltsiR-Zkbmk5DwIaDIKO8Xl"&amp;"bJAfqyT7Gvg/edit?usp=sharing"",""น่าน!L646"")+IMPORTRANGE(""https://docs.google.com/spreadsheets/d/1uu4nAn4Dbi1XREnLKKotUANlKXa7yCgRcgq8HEzQYW8/edit?usp=sharing"",""พะเยา!L646"")+IMPORTRANGE(""https://docs.google.com/spreadsheets/d/1xfJKIQxVOaPDIICqsflNlL"&amp;"u3JacTDk1FP9RH4phX7mI/edit?usp=sharing"",""พิจิตร!L646"")+IMPORTRANGE(""https://docs.google.com/spreadsheets/d/1JtRfZkJMHtEhI5RdRHxYUG4FIZHqKDpNyIuN7A1Q0_k/edit?usp=sharing"",""พิษณุโลก!L646"")+IMPORTRANGE(""https://docs.google.com/spreadsheets/d/1xlcVZWU"&amp;"Nn6SuWm0c307h32SiGkd9BaeQWlAktfD3KO8/edit?usp=sharing"",""เพชรบูรณ์!L646"")+IMPORTRANGE(""https://docs.google.com/spreadsheets/d/1lOVebEIsI9qjGXl6EX66luk7wiuP2tBaryw-wKvv4e0/edit?usp=sharing"",""แพร่!L646"")+IMPORTRANGE(""https://docs.google.com/spreadshe"&amp;"ets/d/1dQrvX0vEcN7Gu0fnZ0B5S90AeR19zth4XlExFBeExMY/edit?usp=sharing"",""แม่ฮ่องสอน!L646"")+IMPORTRANGE(""https://docs.google.com/spreadsheets/d/1DY4XTNNwjluuxqdfdn6qvOSlMRrZqUtmYcZR0ttFiG4/edit?usp=sharing"",""ลำปาง!L646"")+IMPORTRANGE(""https://docs.goog"&amp;"le.com/spreadsheets/d/1ICwG78r0OFT8biBlxnBF8r7she7gNSzOvJ958PWT09c/edit?usp=sharing"",""ลำพูน!L646"")+IMPORTRANGE(""https://docs.google.com/spreadsheets/d/1B0f2xJpZUC6Z0xXnqKlZtEPzsf6L84eP1r1Q15seqRM/edit?usp=sharing"",""สุโขทัย!L646"")+IMPORTRANGE(""http"&amp;"s://docs.google.com/spreadsheets/d/1v0b9pFQCsKUVExMei7AgY2yQkdeNQvtOssygGsXbiKo/edit?usp=sharing"",""อุตรดิตถ์!L646"")+IMPORTRANGE(""https://docs.google.com/spreadsheets/d/1UsNK1e-WWiCo2PvGqdNfdme4m17_Ezd3J69EeeiQPD0/edit?usp=sharing"",""อุทัยธานี!L646"")"),0)</f>
        <v>0</v>
      </c>
      <c r="M646" s="48">
        <f ca="1">IFERROR(__xludf.DUMMYFUNCTION("IMPORTRANGE(""https://docs.google.com/spreadsheets/d/1jTcq05yEiRwXcBMLjiodW9e4biSGYWAHcDj22rKWQ3s/edit?usp=sharing"",""กำแพงเพชร!M646"")+IMPORTRANGE(""https://docs.google.com/spreadsheets/d/1KS0zmDSZPk8KnTAbGN-Xk6MtX1YRZD0ldgdt20K4CRk/edit?usp=sharing"","&amp;"""เชียงราย!M646"")+IMPORTRANGE(""https://docs.google.com/spreadsheets/d/1rEDxBtusbi64tE0zunoIbsTVV16HeL0oJ6trHQeQ7K8/edit?usp=sharing"",""เชียงใหม่!M646"")+IMPORTRANGE(""https://docs.google.com/spreadsheets/d/1W6MnUbDkMi6xHnHko_XkFDO9kkuL6Wqyc-6OCDFjW9I/e"&amp;"dit?usp=sharing"",""ตาก!M646"")+IMPORTRANGE(""https://docs.google.com/spreadsheets/d/1IQAWArduLkta9LpYo4a_ULsyqdta6-6aDDiwpUnQT6c/edit?usp=sharing"",""นครสวรรค์!M646"")+IMPORTRANGE(""https://docs.google.com/spreadsheets/d/10s13Sk5xrltsiR-Zkbmk5DwIaDIKO8Xl"&amp;"bJAfqyT7Gvg/edit?usp=sharing"",""น่าน!M646"")+IMPORTRANGE(""https://docs.google.com/spreadsheets/d/1uu4nAn4Dbi1XREnLKKotUANlKXa7yCgRcgq8HEzQYW8/edit?usp=sharing"",""พะเยา!M646"")+IMPORTRANGE(""https://docs.google.com/spreadsheets/d/1xfJKIQxVOaPDIICqsflNlL"&amp;"u3JacTDk1FP9RH4phX7mI/edit?usp=sharing"",""พิจิตร!M646"")+IMPORTRANGE(""https://docs.google.com/spreadsheets/d/1JtRfZkJMHtEhI5RdRHxYUG4FIZHqKDpNyIuN7A1Q0_k/edit?usp=sharing"",""พิษณุโลก!M646"")+IMPORTRANGE(""https://docs.google.com/spreadsheets/d/1xlcVZWU"&amp;"Nn6SuWm0c307h32SiGkd9BaeQWlAktfD3KO8/edit?usp=sharing"",""เพชรบูรณ์!M646"")+IMPORTRANGE(""https://docs.google.com/spreadsheets/d/1lOVebEIsI9qjGXl6EX66luk7wiuP2tBaryw-wKvv4e0/edit?usp=sharing"",""แพร่!M646"")+IMPORTRANGE(""https://docs.google.com/spreadshe"&amp;"ets/d/1dQrvX0vEcN7Gu0fnZ0B5S90AeR19zth4XlExFBeExMY/edit?usp=sharing"",""แม่ฮ่องสอน!M646"")+IMPORTRANGE(""https://docs.google.com/spreadsheets/d/1DY4XTNNwjluuxqdfdn6qvOSlMRrZqUtmYcZR0ttFiG4/edit?usp=sharing"",""ลำปาง!M646"")+IMPORTRANGE(""https://docs.goog"&amp;"le.com/spreadsheets/d/1ICwG78r0OFT8biBlxnBF8r7she7gNSzOvJ958PWT09c/edit?usp=sharing"",""ลำพูน!M646"")+IMPORTRANGE(""https://docs.google.com/spreadsheets/d/1B0f2xJpZUC6Z0xXnqKlZtEPzsf6L84eP1r1Q15seqRM/edit?usp=sharing"",""สุโขทัย!M646"")+IMPORTRANGE(""http"&amp;"s://docs.google.com/spreadsheets/d/1v0b9pFQCsKUVExMei7AgY2yQkdeNQvtOssygGsXbiKo/edit?usp=sharing"",""อุตรดิตถ์!M646"")+IMPORTRANGE(""https://docs.google.com/spreadsheets/d/1UsNK1e-WWiCo2PvGqdNfdme4m17_Ezd3J69EeeiQPD0/edit?usp=sharing"",""อุทัยธานี!M646"")"),0)</f>
        <v>0</v>
      </c>
      <c r="N646" s="48">
        <f ca="1">IFERROR(__xludf.DUMMYFUNCTION("IMPORTRANGE(""https://docs.google.com/spreadsheets/d/1jTcq05yEiRwXcBMLjiodW9e4biSGYWAHcDj22rKWQ3s/edit?usp=sharing"",""กำแพงเพชร!N646"")+IMPORTRANGE(""https://docs.google.com/spreadsheets/d/1KS0zmDSZPk8KnTAbGN-Xk6MtX1YRZD0ldgdt20K4CRk/edit?usp=sharing"","&amp;"""เชียงราย!N646"")+IMPORTRANGE(""https://docs.google.com/spreadsheets/d/1rEDxBtusbi64tE0zunoIbsTVV16HeL0oJ6trHQeQ7K8/edit?usp=sharing"",""เชียงใหม่!N646"")+IMPORTRANGE(""https://docs.google.com/spreadsheets/d/1W6MnUbDkMi6xHnHko_XkFDO9kkuL6Wqyc-6OCDFjW9I/e"&amp;"dit?usp=sharing"",""ตาก!N646"")+IMPORTRANGE(""https://docs.google.com/spreadsheets/d/1IQAWArduLkta9LpYo4a_ULsyqdta6-6aDDiwpUnQT6c/edit?usp=sharing"",""นครสวรรค์!N646"")+IMPORTRANGE(""https://docs.google.com/spreadsheets/d/10s13Sk5xrltsiR-Zkbmk5DwIaDIKO8Xl"&amp;"bJAfqyT7Gvg/edit?usp=sharing"",""น่าน!N646"")+IMPORTRANGE(""https://docs.google.com/spreadsheets/d/1uu4nAn4Dbi1XREnLKKotUANlKXa7yCgRcgq8HEzQYW8/edit?usp=sharing"",""พะเยา!N646"")+IMPORTRANGE(""https://docs.google.com/spreadsheets/d/1xfJKIQxVOaPDIICqsflNlL"&amp;"u3JacTDk1FP9RH4phX7mI/edit?usp=sharing"",""พิจิตร!N646"")+IMPORTRANGE(""https://docs.google.com/spreadsheets/d/1JtRfZkJMHtEhI5RdRHxYUG4FIZHqKDpNyIuN7A1Q0_k/edit?usp=sharing"",""พิษณุโลก!N646"")+IMPORTRANGE(""https://docs.google.com/spreadsheets/d/1xlcVZWU"&amp;"Nn6SuWm0c307h32SiGkd9BaeQWlAktfD3KO8/edit?usp=sharing"",""เพชรบูรณ์!N646"")+IMPORTRANGE(""https://docs.google.com/spreadsheets/d/1lOVebEIsI9qjGXl6EX66luk7wiuP2tBaryw-wKvv4e0/edit?usp=sharing"",""แพร่!N646"")+IMPORTRANGE(""https://docs.google.com/spreadshe"&amp;"ets/d/1dQrvX0vEcN7Gu0fnZ0B5S90AeR19zth4XlExFBeExMY/edit?usp=sharing"",""แม่ฮ่องสอน!N646"")+IMPORTRANGE(""https://docs.google.com/spreadsheets/d/1DY4XTNNwjluuxqdfdn6qvOSlMRrZqUtmYcZR0ttFiG4/edit?usp=sharing"",""ลำปาง!N646"")+IMPORTRANGE(""https://docs.goog"&amp;"le.com/spreadsheets/d/1ICwG78r0OFT8biBlxnBF8r7she7gNSzOvJ958PWT09c/edit?usp=sharing"",""ลำพูน!N646"")+IMPORTRANGE(""https://docs.google.com/spreadsheets/d/1B0f2xJpZUC6Z0xXnqKlZtEPzsf6L84eP1r1Q15seqRM/edit?usp=sharing"",""สุโขทัย!N646"")+IMPORTRANGE(""http"&amp;"s://docs.google.com/spreadsheets/d/1v0b9pFQCsKUVExMei7AgY2yQkdeNQvtOssygGsXbiKo/edit?usp=sharing"",""อุตรดิตถ์!N646"")+IMPORTRANGE(""https://docs.google.com/spreadsheets/d/1UsNK1e-WWiCo2PvGqdNfdme4m17_Ezd3J69EeeiQPD0/edit?usp=sharing"",""อุทัยธานี!N646"")"),0)</f>
        <v>0</v>
      </c>
      <c r="O646" s="48">
        <f t="shared" ca="1" si="454"/>
        <v>0</v>
      </c>
      <c r="P646" s="48">
        <f t="shared" ca="1" si="455"/>
        <v>0</v>
      </c>
      <c r="Q646" s="48">
        <f ca="1">IFERROR(__xludf.DUMMYFUNCTION("IMPORTRANGE(""https://docs.google.com/spreadsheets/d/1jTcq05yEiRwXcBMLjiodW9e4biSGYWAHcDj22rKWQ3s/edit?usp=sharing"",""กำแพงเพชร!Q646"")+IMPORTRANGE(""https://docs.google.com/spreadsheets/d/1KS0zmDSZPk8KnTAbGN-Xk6MtX1YRZD0ldgdt20K4CRk/edit?usp=sharing"","&amp;"""เชียงราย!Q646"")+IMPORTRANGE(""https://docs.google.com/spreadsheets/d/1rEDxBtusbi64tE0zunoIbsTVV16HeL0oJ6trHQeQ7K8/edit?usp=sharing"",""เชียงใหม่!Q646"")+IMPORTRANGE(""https://docs.google.com/spreadsheets/d/1W6MnUbDkMi6xHnHko_XkFDO9kkuL6Wqyc-6OCDFjW9I/e"&amp;"dit?usp=sharing"",""ตาก!Q646"")+IMPORTRANGE(""https://docs.google.com/spreadsheets/d/1IQAWArduLkta9LpYo4a_ULsyqdta6-6aDDiwpUnQT6c/edit?usp=sharing"",""นครสวรรค์!Q646"")+IMPORTRANGE(""https://docs.google.com/spreadsheets/d/10s13Sk5xrltsiR-Zkbmk5DwIaDIKO8Xl"&amp;"bJAfqyT7Gvg/edit?usp=sharing"",""น่าน!Q646"")+IMPORTRANGE(""https://docs.google.com/spreadsheets/d/1uu4nAn4Dbi1XREnLKKotUANlKXa7yCgRcgq8HEzQYW8/edit?usp=sharing"",""พะเยา!Q646"")+IMPORTRANGE(""https://docs.google.com/spreadsheets/d/1xfJKIQxVOaPDIICqsflNlL"&amp;"u3JacTDk1FP9RH4phX7mI/edit?usp=sharing"",""พิจิตร!Q646"")+IMPORTRANGE(""https://docs.google.com/spreadsheets/d/1JtRfZkJMHtEhI5RdRHxYUG4FIZHqKDpNyIuN7A1Q0_k/edit?usp=sharing"",""พิษณุโลก!Q646"")+IMPORTRANGE(""https://docs.google.com/spreadsheets/d/1xlcVZWU"&amp;"Nn6SuWm0c307h32SiGkd9BaeQWlAktfD3KO8/edit?usp=sharing"",""เพชรบูรณ์!Q646"")+IMPORTRANGE(""https://docs.google.com/spreadsheets/d/1lOVebEIsI9qjGXl6EX66luk7wiuP2tBaryw-wKvv4e0/edit?usp=sharing"",""แพร่!Q646"")+IMPORTRANGE(""https://docs.google.com/spreadshe"&amp;"ets/d/1dQrvX0vEcN7Gu0fnZ0B5S90AeR19zth4XlExFBeExMY/edit?usp=sharing"",""แม่ฮ่องสอน!Q646"")+IMPORTRANGE(""https://docs.google.com/spreadsheets/d/1DY4XTNNwjluuxqdfdn6qvOSlMRrZqUtmYcZR0ttFiG4/edit?usp=sharing"",""ลำปาง!Q646"")+IMPORTRANGE(""https://docs.goog"&amp;"le.com/spreadsheets/d/1ICwG78r0OFT8biBlxnBF8r7she7gNSzOvJ958PWT09c/edit?usp=sharing"",""ลำพูน!Q646"")+IMPORTRANGE(""https://docs.google.com/spreadsheets/d/1B0f2xJpZUC6Z0xXnqKlZtEPzsf6L84eP1r1Q15seqRM/edit?usp=sharing"",""สุโขทัย!Q646"")+IMPORTRANGE(""http"&amp;"s://docs.google.com/spreadsheets/d/1v0b9pFQCsKUVExMei7AgY2yQkdeNQvtOssygGsXbiKo/edit?usp=sharing"",""อุตรดิตถ์!Q646"")+IMPORTRANGE(""https://docs.google.com/spreadsheets/d/1UsNK1e-WWiCo2PvGqdNfdme4m17_Ezd3J69EeeiQPD0/edit?usp=sharing"",""อุทัยธานี!Q646"")"),0)</f>
        <v>0</v>
      </c>
      <c r="R646" s="48">
        <f ca="1">IFERROR(__xludf.DUMMYFUNCTION("IMPORTRANGE(""https://docs.google.com/spreadsheets/d/1jTcq05yEiRwXcBMLjiodW9e4biSGYWAHcDj22rKWQ3s/edit?usp=sharing"",""กำแพงเพชร!R646"")+IMPORTRANGE(""https://docs.google.com/spreadsheets/d/1KS0zmDSZPk8KnTAbGN-Xk6MtX1YRZD0ldgdt20K4CRk/edit?usp=sharing"","&amp;"""เชียงราย!R646"")+IMPORTRANGE(""https://docs.google.com/spreadsheets/d/1rEDxBtusbi64tE0zunoIbsTVV16HeL0oJ6trHQeQ7K8/edit?usp=sharing"",""เชียงใหม่!R646"")+IMPORTRANGE(""https://docs.google.com/spreadsheets/d/1W6MnUbDkMi6xHnHko_XkFDO9kkuL6Wqyc-6OCDFjW9I/e"&amp;"dit?usp=sharing"",""ตาก!R646"")+IMPORTRANGE(""https://docs.google.com/spreadsheets/d/1IQAWArduLkta9LpYo4a_ULsyqdta6-6aDDiwpUnQT6c/edit?usp=sharing"",""นครสวรรค์!R646"")+IMPORTRANGE(""https://docs.google.com/spreadsheets/d/10s13Sk5xrltsiR-Zkbmk5DwIaDIKO8Xl"&amp;"bJAfqyT7Gvg/edit?usp=sharing"",""น่าน!R646"")+IMPORTRANGE(""https://docs.google.com/spreadsheets/d/1uu4nAn4Dbi1XREnLKKotUANlKXa7yCgRcgq8HEzQYW8/edit?usp=sharing"",""พะเยา!R646"")+IMPORTRANGE(""https://docs.google.com/spreadsheets/d/1xfJKIQxVOaPDIICqsflNlL"&amp;"u3JacTDk1FP9RH4phX7mI/edit?usp=sharing"",""พิจิตร!R646"")+IMPORTRANGE(""https://docs.google.com/spreadsheets/d/1JtRfZkJMHtEhI5RdRHxYUG4FIZHqKDpNyIuN7A1Q0_k/edit?usp=sharing"",""พิษณุโลก!R646"")+IMPORTRANGE(""https://docs.google.com/spreadsheets/d/1xlcVZWU"&amp;"Nn6SuWm0c307h32SiGkd9BaeQWlAktfD3KO8/edit?usp=sharing"",""เพชรบูรณ์!R646"")+IMPORTRANGE(""https://docs.google.com/spreadsheets/d/1lOVebEIsI9qjGXl6EX66luk7wiuP2tBaryw-wKvv4e0/edit?usp=sharing"",""แพร่!R646"")+IMPORTRANGE(""https://docs.google.com/spreadshe"&amp;"ets/d/1dQrvX0vEcN7Gu0fnZ0B5S90AeR19zth4XlExFBeExMY/edit?usp=sharing"",""แม่ฮ่องสอน!R646"")+IMPORTRANGE(""https://docs.google.com/spreadsheets/d/1DY4XTNNwjluuxqdfdn6qvOSlMRrZqUtmYcZR0ttFiG4/edit?usp=sharing"",""ลำปาง!R646"")+IMPORTRANGE(""https://docs.goog"&amp;"le.com/spreadsheets/d/1ICwG78r0OFT8biBlxnBF8r7she7gNSzOvJ958PWT09c/edit?usp=sharing"",""ลำพูน!R646"")+IMPORTRANGE(""https://docs.google.com/spreadsheets/d/1B0f2xJpZUC6Z0xXnqKlZtEPzsf6L84eP1r1Q15seqRM/edit?usp=sharing"",""สุโขทัย!R646"")+IMPORTRANGE(""http"&amp;"s://docs.google.com/spreadsheets/d/1v0b9pFQCsKUVExMei7AgY2yQkdeNQvtOssygGsXbiKo/edit?usp=sharing"",""อุตรดิตถ์!R646"")+IMPORTRANGE(""https://docs.google.com/spreadsheets/d/1UsNK1e-WWiCo2PvGqdNfdme4m17_Ezd3J69EeeiQPD0/edit?usp=sharing"",""อุทัยธานี!R646"")"),0)</f>
        <v>0</v>
      </c>
      <c r="S646" s="48">
        <f ca="1">IFERROR(__xludf.DUMMYFUNCTION("IMPORTRANGE(""https://docs.google.com/spreadsheets/d/1jTcq05yEiRwXcBMLjiodW9e4biSGYWAHcDj22rKWQ3s/edit?usp=sharing"",""กำแพงเพชร!S646"")+IMPORTRANGE(""https://docs.google.com/spreadsheets/d/1KS0zmDSZPk8KnTAbGN-Xk6MtX1YRZD0ldgdt20K4CRk/edit?usp=sharing"","&amp;"""เชียงราย!S646"")+IMPORTRANGE(""https://docs.google.com/spreadsheets/d/1rEDxBtusbi64tE0zunoIbsTVV16HeL0oJ6trHQeQ7K8/edit?usp=sharing"",""เชียงใหม่!S646"")+IMPORTRANGE(""https://docs.google.com/spreadsheets/d/1W6MnUbDkMi6xHnHko_XkFDO9kkuL6Wqyc-6OCDFjW9I/e"&amp;"dit?usp=sharing"",""ตาก!S646"")+IMPORTRANGE(""https://docs.google.com/spreadsheets/d/1IQAWArduLkta9LpYo4a_ULsyqdta6-6aDDiwpUnQT6c/edit?usp=sharing"",""นครสวรรค์!S646"")+IMPORTRANGE(""https://docs.google.com/spreadsheets/d/10s13Sk5xrltsiR-Zkbmk5DwIaDIKO8Xl"&amp;"bJAfqyT7Gvg/edit?usp=sharing"",""น่าน!S646"")+IMPORTRANGE(""https://docs.google.com/spreadsheets/d/1uu4nAn4Dbi1XREnLKKotUANlKXa7yCgRcgq8HEzQYW8/edit?usp=sharing"",""พะเยา!S646"")+IMPORTRANGE(""https://docs.google.com/spreadsheets/d/1xfJKIQxVOaPDIICqsflNlL"&amp;"u3JacTDk1FP9RH4phX7mI/edit?usp=sharing"",""พิจิตร!S646"")+IMPORTRANGE(""https://docs.google.com/spreadsheets/d/1JtRfZkJMHtEhI5RdRHxYUG4FIZHqKDpNyIuN7A1Q0_k/edit?usp=sharing"",""พิษณุโลก!S646"")+IMPORTRANGE(""https://docs.google.com/spreadsheets/d/1xlcVZWU"&amp;"Nn6SuWm0c307h32SiGkd9BaeQWlAktfD3KO8/edit?usp=sharing"",""เพชรบูรณ์!S646"")+IMPORTRANGE(""https://docs.google.com/spreadsheets/d/1lOVebEIsI9qjGXl6EX66luk7wiuP2tBaryw-wKvv4e0/edit?usp=sharing"",""แพร่!S646"")+IMPORTRANGE(""https://docs.google.com/spreadshe"&amp;"ets/d/1dQrvX0vEcN7Gu0fnZ0B5S90AeR19zth4XlExFBeExMY/edit?usp=sharing"",""แม่ฮ่องสอน!S646"")+IMPORTRANGE(""https://docs.google.com/spreadsheets/d/1DY4XTNNwjluuxqdfdn6qvOSlMRrZqUtmYcZR0ttFiG4/edit?usp=sharing"",""ลำปาง!S646"")+IMPORTRANGE(""https://docs.goog"&amp;"le.com/spreadsheets/d/1ICwG78r0OFT8biBlxnBF8r7she7gNSzOvJ958PWT09c/edit?usp=sharing"",""ลำพูน!S646"")+IMPORTRANGE(""https://docs.google.com/spreadsheets/d/1B0f2xJpZUC6Z0xXnqKlZtEPzsf6L84eP1r1Q15seqRM/edit?usp=sharing"",""สุโขทัย!S646"")+IMPORTRANGE(""http"&amp;"s://docs.google.com/spreadsheets/d/1v0b9pFQCsKUVExMei7AgY2yQkdeNQvtOssygGsXbiKo/edit?usp=sharing"",""อุตรดิตถ์!S646"")+IMPORTRANGE(""https://docs.google.com/spreadsheets/d/1UsNK1e-WWiCo2PvGqdNfdme4m17_Ezd3J69EeeiQPD0/edit?usp=sharing"",""อุทัยธานี!S646"")"),0)</f>
        <v>0</v>
      </c>
      <c r="T646" s="48">
        <f t="shared" ca="1" si="457"/>
        <v>0</v>
      </c>
      <c r="U646" s="48">
        <f t="shared" ca="1" si="458"/>
        <v>0</v>
      </c>
    </row>
    <row r="647" spans="1:21" ht="18.75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46">
        <f ca="1">IFERROR(__xludf.DUMMYFUNCTION("IMPORTRANGE(""https://docs.google.com/spreadsheets/d/1jTcq05yEiRwXcBMLjiodW9e4biSGYWAHcDj22rKWQ3s/edit?usp=sharing"",""กำแพงเพชร!L647"")+IMPORTRANGE(""https://docs.google.com/spreadsheets/d/1KS0zmDSZPk8KnTAbGN-Xk6MtX1YRZD0ldgdt20K4CRk/edit?usp=sharing"","&amp;"""เชียงราย!L647"")+IMPORTRANGE(""https://docs.google.com/spreadsheets/d/1rEDxBtusbi64tE0zunoIbsTVV16HeL0oJ6trHQeQ7K8/edit?usp=sharing"",""เชียงใหม่!L647"")+IMPORTRANGE(""https://docs.google.com/spreadsheets/d/1W6MnUbDkMi6xHnHko_XkFDO9kkuL6Wqyc-6OCDFjW9I/e"&amp;"dit?usp=sharing"",""ตาก!L647"")+IMPORTRANGE(""https://docs.google.com/spreadsheets/d/1IQAWArduLkta9LpYo4a_ULsyqdta6-6aDDiwpUnQT6c/edit?usp=sharing"",""นครสวรรค์!L647"")+IMPORTRANGE(""https://docs.google.com/spreadsheets/d/10s13Sk5xrltsiR-Zkbmk5DwIaDIKO8Xl"&amp;"bJAfqyT7Gvg/edit?usp=sharing"",""น่าน!L647"")+IMPORTRANGE(""https://docs.google.com/spreadsheets/d/1uu4nAn4Dbi1XREnLKKotUANlKXa7yCgRcgq8HEzQYW8/edit?usp=sharing"",""พะเยา!L647"")+IMPORTRANGE(""https://docs.google.com/spreadsheets/d/1xfJKIQxVOaPDIICqsflNlL"&amp;"u3JacTDk1FP9RH4phX7mI/edit?usp=sharing"",""พิจิตร!L647"")+IMPORTRANGE(""https://docs.google.com/spreadsheets/d/1JtRfZkJMHtEhI5RdRHxYUG4FIZHqKDpNyIuN7A1Q0_k/edit?usp=sharing"",""พิษณุโลก!L647"")+IMPORTRANGE(""https://docs.google.com/spreadsheets/d/1xlcVZWU"&amp;"Nn6SuWm0c307h32SiGkd9BaeQWlAktfD3KO8/edit?usp=sharing"",""เพชรบูรณ์!L647"")+IMPORTRANGE(""https://docs.google.com/spreadsheets/d/1lOVebEIsI9qjGXl6EX66luk7wiuP2tBaryw-wKvv4e0/edit?usp=sharing"",""แพร่!L647"")+IMPORTRANGE(""https://docs.google.com/spreadshe"&amp;"ets/d/1dQrvX0vEcN7Gu0fnZ0B5S90AeR19zth4XlExFBeExMY/edit?usp=sharing"",""แม่ฮ่องสอน!L647"")+IMPORTRANGE(""https://docs.google.com/spreadsheets/d/1DY4XTNNwjluuxqdfdn6qvOSlMRrZqUtmYcZR0ttFiG4/edit?usp=sharing"",""ลำปาง!L647"")+IMPORTRANGE(""https://docs.goog"&amp;"le.com/spreadsheets/d/1ICwG78r0OFT8biBlxnBF8r7she7gNSzOvJ958PWT09c/edit?usp=sharing"",""ลำพูน!L647"")+IMPORTRANGE(""https://docs.google.com/spreadsheets/d/1B0f2xJpZUC6Z0xXnqKlZtEPzsf6L84eP1r1Q15seqRM/edit?usp=sharing"",""สุโขทัย!L647"")+IMPORTRANGE(""http"&amp;"s://docs.google.com/spreadsheets/d/1v0b9pFQCsKUVExMei7AgY2yQkdeNQvtOssygGsXbiKo/edit?usp=sharing"",""อุตรดิตถ์!L647"")+IMPORTRANGE(""https://docs.google.com/spreadsheets/d/1UsNK1e-WWiCo2PvGqdNfdme4m17_Ezd3J69EeeiQPD0/edit?usp=sharing"",""อุทัยธานี!L647"")"),0)</f>
        <v>0</v>
      </c>
      <c r="M647" s="46">
        <f ca="1">IFERROR(__xludf.DUMMYFUNCTION("IMPORTRANGE(""https://docs.google.com/spreadsheets/d/1jTcq05yEiRwXcBMLjiodW9e4biSGYWAHcDj22rKWQ3s/edit?usp=sharing"",""กำแพงเพชร!M647"")+IMPORTRANGE(""https://docs.google.com/spreadsheets/d/1KS0zmDSZPk8KnTAbGN-Xk6MtX1YRZD0ldgdt20K4CRk/edit?usp=sharing"","&amp;"""เชียงราย!M647"")+IMPORTRANGE(""https://docs.google.com/spreadsheets/d/1rEDxBtusbi64tE0zunoIbsTVV16HeL0oJ6trHQeQ7K8/edit?usp=sharing"",""เชียงใหม่!M647"")+IMPORTRANGE(""https://docs.google.com/spreadsheets/d/1W6MnUbDkMi6xHnHko_XkFDO9kkuL6Wqyc-6OCDFjW9I/e"&amp;"dit?usp=sharing"",""ตาก!M647"")+IMPORTRANGE(""https://docs.google.com/spreadsheets/d/1IQAWArduLkta9LpYo4a_ULsyqdta6-6aDDiwpUnQT6c/edit?usp=sharing"",""นครสวรรค์!M647"")+IMPORTRANGE(""https://docs.google.com/spreadsheets/d/10s13Sk5xrltsiR-Zkbmk5DwIaDIKO8Xl"&amp;"bJAfqyT7Gvg/edit?usp=sharing"",""น่าน!M647"")+IMPORTRANGE(""https://docs.google.com/spreadsheets/d/1uu4nAn4Dbi1XREnLKKotUANlKXa7yCgRcgq8HEzQYW8/edit?usp=sharing"",""พะเยา!M647"")+IMPORTRANGE(""https://docs.google.com/spreadsheets/d/1xfJKIQxVOaPDIICqsflNlL"&amp;"u3JacTDk1FP9RH4phX7mI/edit?usp=sharing"",""พิจิตร!M647"")+IMPORTRANGE(""https://docs.google.com/spreadsheets/d/1JtRfZkJMHtEhI5RdRHxYUG4FIZHqKDpNyIuN7A1Q0_k/edit?usp=sharing"",""พิษณุโลก!M647"")+IMPORTRANGE(""https://docs.google.com/spreadsheets/d/1xlcVZWU"&amp;"Nn6SuWm0c307h32SiGkd9BaeQWlAktfD3KO8/edit?usp=sharing"",""เพชรบูรณ์!M647"")+IMPORTRANGE(""https://docs.google.com/spreadsheets/d/1lOVebEIsI9qjGXl6EX66luk7wiuP2tBaryw-wKvv4e0/edit?usp=sharing"",""แพร่!M647"")+IMPORTRANGE(""https://docs.google.com/spreadshe"&amp;"ets/d/1dQrvX0vEcN7Gu0fnZ0B5S90AeR19zth4XlExFBeExMY/edit?usp=sharing"",""แม่ฮ่องสอน!M647"")+IMPORTRANGE(""https://docs.google.com/spreadsheets/d/1DY4XTNNwjluuxqdfdn6qvOSlMRrZqUtmYcZR0ttFiG4/edit?usp=sharing"",""ลำปาง!M647"")+IMPORTRANGE(""https://docs.goog"&amp;"le.com/spreadsheets/d/1ICwG78r0OFT8biBlxnBF8r7she7gNSzOvJ958PWT09c/edit?usp=sharing"",""ลำพูน!M647"")+IMPORTRANGE(""https://docs.google.com/spreadsheets/d/1B0f2xJpZUC6Z0xXnqKlZtEPzsf6L84eP1r1Q15seqRM/edit?usp=sharing"",""สุโขทัย!M647"")+IMPORTRANGE(""http"&amp;"s://docs.google.com/spreadsheets/d/1v0b9pFQCsKUVExMei7AgY2yQkdeNQvtOssygGsXbiKo/edit?usp=sharing"",""อุตรดิตถ์!M647"")+IMPORTRANGE(""https://docs.google.com/spreadsheets/d/1UsNK1e-WWiCo2PvGqdNfdme4m17_Ezd3J69EeeiQPD0/edit?usp=sharing"",""อุทัยธานี!M647"")"),0)</f>
        <v>0</v>
      </c>
      <c r="N647" s="46">
        <f ca="1">IFERROR(__xludf.DUMMYFUNCTION("IMPORTRANGE(""https://docs.google.com/spreadsheets/d/1jTcq05yEiRwXcBMLjiodW9e4biSGYWAHcDj22rKWQ3s/edit?usp=sharing"",""กำแพงเพชร!N647"")+IMPORTRANGE(""https://docs.google.com/spreadsheets/d/1KS0zmDSZPk8KnTAbGN-Xk6MtX1YRZD0ldgdt20K4CRk/edit?usp=sharing"","&amp;"""เชียงราย!N647"")+IMPORTRANGE(""https://docs.google.com/spreadsheets/d/1rEDxBtusbi64tE0zunoIbsTVV16HeL0oJ6trHQeQ7K8/edit?usp=sharing"",""เชียงใหม่!N647"")+IMPORTRANGE(""https://docs.google.com/spreadsheets/d/1W6MnUbDkMi6xHnHko_XkFDO9kkuL6Wqyc-6OCDFjW9I/e"&amp;"dit?usp=sharing"",""ตาก!N647"")+IMPORTRANGE(""https://docs.google.com/spreadsheets/d/1IQAWArduLkta9LpYo4a_ULsyqdta6-6aDDiwpUnQT6c/edit?usp=sharing"",""นครสวรรค์!N647"")+IMPORTRANGE(""https://docs.google.com/spreadsheets/d/10s13Sk5xrltsiR-Zkbmk5DwIaDIKO8Xl"&amp;"bJAfqyT7Gvg/edit?usp=sharing"",""น่าน!N647"")+IMPORTRANGE(""https://docs.google.com/spreadsheets/d/1uu4nAn4Dbi1XREnLKKotUANlKXa7yCgRcgq8HEzQYW8/edit?usp=sharing"",""พะเยา!N647"")+IMPORTRANGE(""https://docs.google.com/spreadsheets/d/1xfJKIQxVOaPDIICqsflNlL"&amp;"u3JacTDk1FP9RH4phX7mI/edit?usp=sharing"",""พิจิตร!N647"")+IMPORTRANGE(""https://docs.google.com/spreadsheets/d/1JtRfZkJMHtEhI5RdRHxYUG4FIZHqKDpNyIuN7A1Q0_k/edit?usp=sharing"",""พิษณุโลก!N647"")+IMPORTRANGE(""https://docs.google.com/spreadsheets/d/1xlcVZWU"&amp;"Nn6SuWm0c307h32SiGkd9BaeQWlAktfD3KO8/edit?usp=sharing"",""เพชรบูรณ์!N647"")+IMPORTRANGE(""https://docs.google.com/spreadsheets/d/1lOVebEIsI9qjGXl6EX66luk7wiuP2tBaryw-wKvv4e0/edit?usp=sharing"",""แพร่!N647"")+IMPORTRANGE(""https://docs.google.com/spreadshe"&amp;"ets/d/1dQrvX0vEcN7Gu0fnZ0B5S90AeR19zth4XlExFBeExMY/edit?usp=sharing"",""แม่ฮ่องสอน!N647"")+IMPORTRANGE(""https://docs.google.com/spreadsheets/d/1DY4XTNNwjluuxqdfdn6qvOSlMRrZqUtmYcZR0ttFiG4/edit?usp=sharing"",""ลำปาง!N647"")+IMPORTRANGE(""https://docs.goog"&amp;"le.com/spreadsheets/d/1ICwG78r0OFT8biBlxnBF8r7she7gNSzOvJ958PWT09c/edit?usp=sharing"",""ลำพูน!N647"")+IMPORTRANGE(""https://docs.google.com/spreadsheets/d/1B0f2xJpZUC6Z0xXnqKlZtEPzsf6L84eP1r1Q15seqRM/edit?usp=sharing"",""สุโขทัย!N647"")+IMPORTRANGE(""http"&amp;"s://docs.google.com/spreadsheets/d/1v0b9pFQCsKUVExMei7AgY2yQkdeNQvtOssygGsXbiKo/edit?usp=sharing"",""อุตรดิตถ์!N647"")+IMPORTRANGE(""https://docs.google.com/spreadsheets/d/1UsNK1e-WWiCo2PvGqdNfdme4m17_Ezd3J69EeeiQPD0/edit?usp=sharing"",""อุทัยธานี!N647"")"),0)</f>
        <v>0</v>
      </c>
      <c r="O647" s="46">
        <f t="shared" ca="1" si="454"/>
        <v>0</v>
      </c>
      <c r="P647" s="46">
        <f t="shared" ca="1" si="455"/>
        <v>0</v>
      </c>
      <c r="Q647" s="46">
        <f ca="1">IFERROR(__xludf.DUMMYFUNCTION("IMPORTRANGE(""https://docs.google.com/spreadsheets/d/1jTcq05yEiRwXcBMLjiodW9e4biSGYWAHcDj22rKWQ3s/edit?usp=sharing"",""กำแพงเพชร!Q647"")+IMPORTRANGE(""https://docs.google.com/spreadsheets/d/1KS0zmDSZPk8KnTAbGN-Xk6MtX1YRZD0ldgdt20K4CRk/edit?usp=sharing"","&amp;"""เชียงราย!Q647"")+IMPORTRANGE(""https://docs.google.com/spreadsheets/d/1rEDxBtusbi64tE0zunoIbsTVV16HeL0oJ6trHQeQ7K8/edit?usp=sharing"",""เชียงใหม่!Q647"")+IMPORTRANGE(""https://docs.google.com/spreadsheets/d/1W6MnUbDkMi6xHnHko_XkFDO9kkuL6Wqyc-6OCDFjW9I/e"&amp;"dit?usp=sharing"",""ตาก!Q647"")+IMPORTRANGE(""https://docs.google.com/spreadsheets/d/1IQAWArduLkta9LpYo4a_ULsyqdta6-6aDDiwpUnQT6c/edit?usp=sharing"",""นครสวรรค์!Q647"")+IMPORTRANGE(""https://docs.google.com/spreadsheets/d/10s13Sk5xrltsiR-Zkbmk5DwIaDIKO8Xl"&amp;"bJAfqyT7Gvg/edit?usp=sharing"",""น่าน!Q647"")+IMPORTRANGE(""https://docs.google.com/spreadsheets/d/1uu4nAn4Dbi1XREnLKKotUANlKXa7yCgRcgq8HEzQYW8/edit?usp=sharing"",""พะเยา!Q647"")+IMPORTRANGE(""https://docs.google.com/spreadsheets/d/1xfJKIQxVOaPDIICqsflNlL"&amp;"u3JacTDk1FP9RH4phX7mI/edit?usp=sharing"",""พิจิตร!Q647"")+IMPORTRANGE(""https://docs.google.com/spreadsheets/d/1JtRfZkJMHtEhI5RdRHxYUG4FIZHqKDpNyIuN7A1Q0_k/edit?usp=sharing"",""พิษณุโลก!Q647"")+IMPORTRANGE(""https://docs.google.com/spreadsheets/d/1xlcVZWU"&amp;"Nn6SuWm0c307h32SiGkd9BaeQWlAktfD3KO8/edit?usp=sharing"",""เพชรบูรณ์!Q647"")+IMPORTRANGE(""https://docs.google.com/spreadsheets/d/1lOVebEIsI9qjGXl6EX66luk7wiuP2tBaryw-wKvv4e0/edit?usp=sharing"",""แพร่!Q647"")+IMPORTRANGE(""https://docs.google.com/spreadshe"&amp;"ets/d/1dQrvX0vEcN7Gu0fnZ0B5S90AeR19zth4XlExFBeExMY/edit?usp=sharing"",""แม่ฮ่องสอน!Q647"")+IMPORTRANGE(""https://docs.google.com/spreadsheets/d/1DY4XTNNwjluuxqdfdn6qvOSlMRrZqUtmYcZR0ttFiG4/edit?usp=sharing"",""ลำปาง!Q647"")+IMPORTRANGE(""https://docs.goog"&amp;"le.com/spreadsheets/d/1ICwG78r0OFT8biBlxnBF8r7she7gNSzOvJ958PWT09c/edit?usp=sharing"",""ลำพูน!Q647"")+IMPORTRANGE(""https://docs.google.com/spreadsheets/d/1B0f2xJpZUC6Z0xXnqKlZtEPzsf6L84eP1r1Q15seqRM/edit?usp=sharing"",""สุโขทัย!Q647"")+IMPORTRANGE(""http"&amp;"s://docs.google.com/spreadsheets/d/1v0b9pFQCsKUVExMei7AgY2yQkdeNQvtOssygGsXbiKo/edit?usp=sharing"",""อุตรดิตถ์!Q647"")+IMPORTRANGE(""https://docs.google.com/spreadsheets/d/1UsNK1e-WWiCo2PvGqdNfdme4m17_Ezd3J69EeeiQPD0/edit?usp=sharing"",""อุทัยธานี!Q647"")"),389440)</f>
        <v>389440</v>
      </c>
      <c r="R647" s="46">
        <f ca="1">IFERROR(__xludf.DUMMYFUNCTION("IMPORTRANGE(""https://docs.google.com/spreadsheets/d/1jTcq05yEiRwXcBMLjiodW9e4biSGYWAHcDj22rKWQ3s/edit?usp=sharing"",""กำแพงเพชร!R647"")+IMPORTRANGE(""https://docs.google.com/spreadsheets/d/1KS0zmDSZPk8KnTAbGN-Xk6MtX1YRZD0ldgdt20K4CRk/edit?usp=sharing"","&amp;"""เชียงราย!R647"")+IMPORTRANGE(""https://docs.google.com/spreadsheets/d/1rEDxBtusbi64tE0zunoIbsTVV16HeL0oJ6trHQeQ7K8/edit?usp=sharing"",""เชียงใหม่!R647"")+IMPORTRANGE(""https://docs.google.com/spreadsheets/d/1W6MnUbDkMi6xHnHko_XkFDO9kkuL6Wqyc-6OCDFjW9I/e"&amp;"dit?usp=sharing"",""ตาก!R647"")+IMPORTRANGE(""https://docs.google.com/spreadsheets/d/1IQAWArduLkta9LpYo4a_ULsyqdta6-6aDDiwpUnQT6c/edit?usp=sharing"",""นครสวรรค์!R647"")+IMPORTRANGE(""https://docs.google.com/spreadsheets/d/10s13Sk5xrltsiR-Zkbmk5DwIaDIKO8Xl"&amp;"bJAfqyT7Gvg/edit?usp=sharing"",""น่าน!R647"")+IMPORTRANGE(""https://docs.google.com/spreadsheets/d/1uu4nAn4Dbi1XREnLKKotUANlKXa7yCgRcgq8HEzQYW8/edit?usp=sharing"",""พะเยา!R647"")+IMPORTRANGE(""https://docs.google.com/spreadsheets/d/1xfJKIQxVOaPDIICqsflNlL"&amp;"u3JacTDk1FP9RH4phX7mI/edit?usp=sharing"",""พิจิตร!R647"")+IMPORTRANGE(""https://docs.google.com/spreadsheets/d/1JtRfZkJMHtEhI5RdRHxYUG4FIZHqKDpNyIuN7A1Q0_k/edit?usp=sharing"",""พิษณุโลก!R647"")+IMPORTRANGE(""https://docs.google.com/spreadsheets/d/1xlcVZWU"&amp;"Nn6SuWm0c307h32SiGkd9BaeQWlAktfD3KO8/edit?usp=sharing"",""เพชรบูรณ์!R647"")+IMPORTRANGE(""https://docs.google.com/spreadsheets/d/1lOVebEIsI9qjGXl6EX66luk7wiuP2tBaryw-wKvv4e0/edit?usp=sharing"",""แพร่!R647"")+IMPORTRANGE(""https://docs.google.com/spreadshe"&amp;"ets/d/1dQrvX0vEcN7Gu0fnZ0B5S90AeR19zth4XlExFBeExMY/edit?usp=sharing"",""แม่ฮ่องสอน!R647"")+IMPORTRANGE(""https://docs.google.com/spreadsheets/d/1DY4XTNNwjluuxqdfdn6qvOSlMRrZqUtmYcZR0ttFiG4/edit?usp=sharing"",""ลำปาง!R647"")+IMPORTRANGE(""https://docs.goog"&amp;"le.com/spreadsheets/d/1ICwG78r0OFT8biBlxnBF8r7she7gNSzOvJ958PWT09c/edit?usp=sharing"",""ลำพูน!R647"")+IMPORTRANGE(""https://docs.google.com/spreadsheets/d/1B0f2xJpZUC6Z0xXnqKlZtEPzsf6L84eP1r1Q15seqRM/edit?usp=sharing"",""สุโขทัย!R647"")+IMPORTRANGE(""http"&amp;"s://docs.google.com/spreadsheets/d/1v0b9pFQCsKUVExMei7AgY2yQkdeNQvtOssygGsXbiKo/edit?usp=sharing"",""อุตรดิตถ์!R647"")+IMPORTRANGE(""https://docs.google.com/spreadsheets/d/1UsNK1e-WWiCo2PvGqdNfdme4m17_Ezd3J69EeeiQPD0/edit?usp=sharing"",""อุทัยธานี!R647"")"),389440)</f>
        <v>389440</v>
      </c>
      <c r="S647" s="46">
        <f ca="1">IFERROR(__xludf.DUMMYFUNCTION("IMPORTRANGE(""https://docs.google.com/spreadsheets/d/1jTcq05yEiRwXcBMLjiodW9e4biSGYWAHcDj22rKWQ3s/edit?usp=sharing"",""กำแพงเพชร!S647"")+IMPORTRANGE(""https://docs.google.com/spreadsheets/d/1KS0zmDSZPk8KnTAbGN-Xk6MtX1YRZD0ldgdt20K4CRk/edit?usp=sharing"","&amp;"""เชียงราย!S647"")+IMPORTRANGE(""https://docs.google.com/spreadsheets/d/1rEDxBtusbi64tE0zunoIbsTVV16HeL0oJ6trHQeQ7K8/edit?usp=sharing"",""เชียงใหม่!S647"")+IMPORTRANGE(""https://docs.google.com/spreadsheets/d/1W6MnUbDkMi6xHnHko_XkFDO9kkuL6Wqyc-6OCDFjW9I/e"&amp;"dit?usp=sharing"",""ตาก!S647"")+IMPORTRANGE(""https://docs.google.com/spreadsheets/d/1IQAWArduLkta9LpYo4a_ULsyqdta6-6aDDiwpUnQT6c/edit?usp=sharing"",""นครสวรรค์!S647"")+IMPORTRANGE(""https://docs.google.com/spreadsheets/d/10s13Sk5xrltsiR-Zkbmk5DwIaDIKO8Xl"&amp;"bJAfqyT7Gvg/edit?usp=sharing"",""น่าน!S647"")+IMPORTRANGE(""https://docs.google.com/spreadsheets/d/1uu4nAn4Dbi1XREnLKKotUANlKXa7yCgRcgq8HEzQYW8/edit?usp=sharing"",""พะเยา!S647"")+IMPORTRANGE(""https://docs.google.com/spreadsheets/d/1xfJKIQxVOaPDIICqsflNlL"&amp;"u3JacTDk1FP9RH4phX7mI/edit?usp=sharing"",""พิจิตร!S647"")+IMPORTRANGE(""https://docs.google.com/spreadsheets/d/1JtRfZkJMHtEhI5RdRHxYUG4FIZHqKDpNyIuN7A1Q0_k/edit?usp=sharing"",""พิษณุโลก!S647"")+IMPORTRANGE(""https://docs.google.com/spreadsheets/d/1xlcVZWU"&amp;"Nn6SuWm0c307h32SiGkd9BaeQWlAktfD3KO8/edit?usp=sharing"",""เพชรบูรณ์!S647"")+IMPORTRANGE(""https://docs.google.com/spreadsheets/d/1lOVebEIsI9qjGXl6EX66luk7wiuP2tBaryw-wKvv4e0/edit?usp=sharing"",""แพร่!S647"")+IMPORTRANGE(""https://docs.google.com/spreadshe"&amp;"ets/d/1dQrvX0vEcN7Gu0fnZ0B5S90AeR19zth4XlExFBeExMY/edit?usp=sharing"",""แม่ฮ่องสอน!S647"")+IMPORTRANGE(""https://docs.google.com/spreadsheets/d/1DY4XTNNwjluuxqdfdn6qvOSlMRrZqUtmYcZR0ttFiG4/edit?usp=sharing"",""ลำปาง!S647"")+IMPORTRANGE(""https://docs.goog"&amp;"le.com/spreadsheets/d/1ICwG78r0OFT8biBlxnBF8r7she7gNSzOvJ958PWT09c/edit?usp=sharing"",""ลำพูน!S647"")+IMPORTRANGE(""https://docs.google.com/spreadsheets/d/1B0f2xJpZUC6Z0xXnqKlZtEPzsf6L84eP1r1Q15seqRM/edit?usp=sharing"",""สุโขทัย!S647"")+IMPORTRANGE(""http"&amp;"s://docs.google.com/spreadsheets/d/1v0b9pFQCsKUVExMei7AgY2yQkdeNQvtOssygGsXbiKo/edit?usp=sharing"",""อุตรดิตถ์!S647"")+IMPORTRANGE(""https://docs.google.com/spreadsheets/d/1UsNK1e-WWiCo2PvGqdNfdme4m17_Ezd3J69EeeiQPD0/edit?usp=sharing"",""อุทัยธานี!S647"")"),16225)</f>
        <v>16225</v>
      </c>
      <c r="T647" s="46">
        <f t="shared" ca="1" si="457"/>
        <v>4.1662387017255549</v>
      </c>
      <c r="U647" s="46">
        <f t="shared" ca="1" si="458"/>
        <v>4.1662387017255549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46">
        <f t="shared" ref="L648:N648" ca="1" si="465">L649+L650</f>
        <v>0</v>
      </c>
      <c r="M648" s="46">
        <f t="shared" ca="1" si="465"/>
        <v>0</v>
      </c>
      <c r="N648" s="46">
        <f t="shared" ca="1" si="465"/>
        <v>0</v>
      </c>
      <c r="O648" s="46">
        <f t="shared" ca="1" si="454"/>
        <v>0</v>
      </c>
      <c r="P648" s="46">
        <f t="shared" ca="1" si="455"/>
        <v>0</v>
      </c>
      <c r="Q648" s="46">
        <f t="shared" ref="Q648:S648" ca="1" si="466">Q649+Q650</f>
        <v>0</v>
      </c>
      <c r="R648" s="46">
        <f t="shared" ca="1" si="466"/>
        <v>0</v>
      </c>
      <c r="S648" s="46">
        <f t="shared" ca="1" si="466"/>
        <v>0</v>
      </c>
      <c r="T648" s="46">
        <f t="shared" ca="1" si="457"/>
        <v>0</v>
      </c>
      <c r="U648" s="46">
        <f t="shared" ca="1" si="458"/>
        <v>0</v>
      </c>
    </row>
    <row r="649" spans="1:21" ht="18.75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48">
        <f ca="1">IFERROR(__xludf.DUMMYFUNCTION("IMPORTRANGE(""https://docs.google.com/spreadsheets/d/1jTcq05yEiRwXcBMLjiodW9e4biSGYWAHcDj22rKWQ3s/edit?usp=sharing"",""กำแพงเพชร!L649"")+IMPORTRANGE(""https://docs.google.com/spreadsheets/d/1KS0zmDSZPk8KnTAbGN-Xk6MtX1YRZD0ldgdt20K4CRk/edit?usp=sharing"","&amp;"""เชียงราย!L649"")+IMPORTRANGE(""https://docs.google.com/spreadsheets/d/1rEDxBtusbi64tE0zunoIbsTVV16HeL0oJ6trHQeQ7K8/edit?usp=sharing"",""เชียงใหม่!L649"")+IMPORTRANGE(""https://docs.google.com/spreadsheets/d/1W6MnUbDkMi6xHnHko_XkFDO9kkuL6Wqyc-6OCDFjW9I/e"&amp;"dit?usp=sharing"",""ตาก!L649"")+IMPORTRANGE(""https://docs.google.com/spreadsheets/d/1IQAWArduLkta9LpYo4a_ULsyqdta6-6aDDiwpUnQT6c/edit?usp=sharing"",""นครสวรรค์!L649"")+IMPORTRANGE(""https://docs.google.com/spreadsheets/d/10s13Sk5xrltsiR-Zkbmk5DwIaDIKO8Xl"&amp;"bJAfqyT7Gvg/edit?usp=sharing"",""น่าน!L649"")+IMPORTRANGE(""https://docs.google.com/spreadsheets/d/1uu4nAn4Dbi1XREnLKKotUANlKXa7yCgRcgq8HEzQYW8/edit?usp=sharing"",""พะเยา!L649"")+IMPORTRANGE(""https://docs.google.com/spreadsheets/d/1xfJKIQxVOaPDIICqsflNlL"&amp;"u3JacTDk1FP9RH4phX7mI/edit?usp=sharing"",""พิจิตร!L649"")+IMPORTRANGE(""https://docs.google.com/spreadsheets/d/1JtRfZkJMHtEhI5RdRHxYUG4FIZHqKDpNyIuN7A1Q0_k/edit?usp=sharing"",""พิษณุโลก!L649"")+IMPORTRANGE(""https://docs.google.com/spreadsheets/d/1xlcVZWU"&amp;"Nn6SuWm0c307h32SiGkd9BaeQWlAktfD3KO8/edit?usp=sharing"",""เพชรบูรณ์!L649"")+IMPORTRANGE(""https://docs.google.com/spreadsheets/d/1lOVebEIsI9qjGXl6EX66luk7wiuP2tBaryw-wKvv4e0/edit?usp=sharing"",""แพร่!L649"")+IMPORTRANGE(""https://docs.google.com/spreadshe"&amp;"ets/d/1dQrvX0vEcN7Gu0fnZ0B5S90AeR19zth4XlExFBeExMY/edit?usp=sharing"",""แม่ฮ่องสอน!L649"")+IMPORTRANGE(""https://docs.google.com/spreadsheets/d/1DY4XTNNwjluuxqdfdn6qvOSlMRrZqUtmYcZR0ttFiG4/edit?usp=sharing"",""ลำปาง!L649"")+IMPORTRANGE(""https://docs.goog"&amp;"le.com/spreadsheets/d/1ICwG78r0OFT8biBlxnBF8r7she7gNSzOvJ958PWT09c/edit?usp=sharing"",""ลำพูน!L649"")+IMPORTRANGE(""https://docs.google.com/spreadsheets/d/1B0f2xJpZUC6Z0xXnqKlZtEPzsf6L84eP1r1Q15seqRM/edit?usp=sharing"",""สุโขทัย!L649"")+IMPORTRANGE(""http"&amp;"s://docs.google.com/spreadsheets/d/1v0b9pFQCsKUVExMei7AgY2yQkdeNQvtOssygGsXbiKo/edit?usp=sharing"",""อุตรดิตถ์!L649"")+IMPORTRANGE(""https://docs.google.com/spreadsheets/d/1UsNK1e-WWiCo2PvGqdNfdme4m17_Ezd3J69EeeiQPD0/edit?usp=sharing"",""อุทัยธานี!L649"")"),0)</f>
        <v>0</v>
      </c>
      <c r="M649" s="48">
        <f ca="1">IFERROR(__xludf.DUMMYFUNCTION("IMPORTRANGE(""https://docs.google.com/spreadsheets/d/1jTcq05yEiRwXcBMLjiodW9e4biSGYWAHcDj22rKWQ3s/edit?usp=sharing"",""กำแพงเพชร!M649"")+IMPORTRANGE(""https://docs.google.com/spreadsheets/d/1KS0zmDSZPk8KnTAbGN-Xk6MtX1YRZD0ldgdt20K4CRk/edit?usp=sharing"","&amp;"""เชียงราย!M649"")+IMPORTRANGE(""https://docs.google.com/spreadsheets/d/1rEDxBtusbi64tE0zunoIbsTVV16HeL0oJ6trHQeQ7K8/edit?usp=sharing"",""เชียงใหม่!M649"")+IMPORTRANGE(""https://docs.google.com/spreadsheets/d/1W6MnUbDkMi6xHnHko_XkFDO9kkuL6Wqyc-6OCDFjW9I/e"&amp;"dit?usp=sharing"",""ตาก!M649"")+IMPORTRANGE(""https://docs.google.com/spreadsheets/d/1IQAWArduLkta9LpYo4a_ULsyqdta6-6aDDiwpUnQT6c/edit?usp=sharing"",""นครสวรรค์!M649"")+IMPORTRANGE(""https://docs.google.com/spreadsheets/d/10s13Sk5xrltsiR-Zkbmk5DwIaDIKO8Xl"&amp;"bJAfqyT7Gvg/edit?usp=sharing"",""น่าน!M649"")+IMPORTRANGE(""https://docs.google.com/spreadsheets/d/1uu4nAn4Dbi1XREnLKKotUANlKXa7yCgRcgq8HEzQYW8/edit?usp=sharing"",""พะเยา!M649"")+IMPORTRANGE(""https://docs.google.com/spreadsheets/d/1xfJKIQxVOaPDIICqsflNlL"&amp;"u3JacTDk1FP9RH4phX7mI/edit?usp=sharing"",""พิจิตร!M649"")+IMPORTRANGE(""https://docs.google.com/spreadsheets/d/1JtRfZkJMHtEhI5RdRHxYUG4FIZHqKDpNyIuN7A1Q0_k/edit?usp=sharing"",""พิษณุโลก!M649"")+IMPORTRANGE(""https://docs.google.com/spreadsheets/d/1xlcVZWU"&amp;"Nn6SuWm0c307h32SiGkd9BaeQWlAktfD3KO8/edit?usp=sharing"",""เพชรบูรณ์!M649"")+IMPORTRANGE(""https://docs.google.com/spreadsheets/d/1lOVebEIsI9qjGXl6EX66luk7wiuP2tBaryw-wKvv4e0/edit?usp=sharing"",""แพร่!M649"")+IMPORTRANGE(""https://docs.google.com/spreadshe"&amp;"ets/d/1dQrvX0vEcN7Gu0fnZ0B5S90AeR19zth4XlExFBeExMY/edit?usp=sharing"",""แม่ฮ่องสอน!M649"")+IMPORTRANGE(""https://docs.google.com/spreadsheets/d/1DY4XTNNwjluuxqdfdn6qvOSlMRrZqUtmYcZR0ttFiG4/edit?usp=sharing"",""ลำปาง!M649"")+IMPORTRANGE(""https://docs.goog"&amp;"le.com/spreadsheets/d/1ICwG78r0OFT8biBlxnBF8r7she7gNSzOvJ958PWT09c/edit?usp=sharing"",""ลำพูน!M649"")+IMPORTRANGE(""https://docs.google.com/spreadsheets/d/1B0f2xJpZUC6Z0xXnqKlZtEPzsf6L84eP1r1Q15seqRM/edit?usp=sharing"",""สุโขทัย!M649"")+IMPORTRANGE(""http"&amp;"s://docs.google.com/spreadsheets/d/1v0b9pFQCsKUVExMei7AgY2yQkdeNQvtOssygGsXbiKo/edit?usp=sharing"",""อุตรดิตถ์!M649"")+IMPORTRANGE(""https://docs.google.com/spreadsheets/d/1UsNK1e-WWiCo2PvGqdNfdme4m17_Ezd3J69EeeiQPD0/edit?usp=sharing"",""อุทัยธานี!M649"")"),0)</f>
        <v>0</v>
      </c>
      <c r="N649" s="48">
        <f ca="1">IFERROR(__xludf.DUMMYFUNCTION("IMPORTRANGE(""https://docs.google.com/spreadsheets/d/1jTcq05yEiRwXcBMLjiodW9e4biSGYWAHcDj22rKWQ3s/edit?usp=sharing"",""กำแพงเพชร!N649"")+IMPORTRANGE(""https://docs.google.com/spreadsheets/d/1KS0zmDSZPk8KnTAbGN-Xk6MtX1YRZD0ldgdt20K4CRk/edit?usp=sharing"","&amp;"""เชียงราย!N649"")+IMPORTRANGE(""https://docs.google.com/spreadsheets/d/1rEDxBtusbi64tE0zunoIbsTVV16HeL0oJ6trHQeQ7K8/edit?usp=sharing"",""เชียงใหม่!N649"")+IMPORTRANGE(""https://docs.google.com/spreadsheets/d/1W6MnUbDkMi6xHnHko_XkFDO9kkuL6Wqyc-6OCDFjW9I/e"&amp;"dit?usp=sharing"",""ตาก!N649"")+IMPORTRANGE(""https://docs.google.com/spreadsheets/d/1IQAWArduLkta9LpYo4a_ULsyqdta6-6aDDiwpUnQT6c/edit?usp=sharing"",""นครสวรรค์!N649"")+IMPORTRANGE(""https://docs.google.com/spreadsheets/d/10s13Sk5xrltsiR-Zkbmk5DwIaDIKO8Xl"&amp;"bJAfqyT7Gvg/edit?usp=sharing"",""น่าน!N649"")+IMPORTRANGE(""https://docs.google.com/spreadsheets/d/1uu4nAn4Dbi1XREnLKKotUANlKXa7yCgRcgq8HEzQYW8/edit?usp=sharing"",""พะเยา!N649"")+IMPORTRANGE(""https://docs.google.com/spreadsheets/d/1xfJKIQxVOaPDIICqsflNlL"&amp;"u3JacTDk1FP9RH4phX7mI/edit?usp=sharing"",""พิจิตร!N649"")+IMPORTRANGE(""https://docs.google.com/spreadsheets/d/1JtRfZkJMHtEhI5RdRHxYUG4FIZHqKDpNyIuN7A1Q0_k/edit?usp=sharing"",""พิษณุโลก!N649"")+IMPORTRANGE(""https://docs.google.com/spreadsheets/d/1xlcVZWU"&amp;"Nn6SuWm0c307h32SiGkd9BaeQWlAktfD3KO8/edit?usp=sharing"",""เพชรบูรณ์!N649"")+IMPORTRANGE(""https://docs.google.com/spreadsheets/d/1lOVebEIsI9qjGXl6EX66luk7wiuP2tBaryw-wKvv4e0/edit?usp=sharing"",""แพร่!N649"")+IMPORTRANGE(""https://docs.google.com/spreadshe"&amp;"ets/d/1dQrvX0vEcN7Gu0fnZ0B5S90AeR19zth4XlExFBeExMY/edit?usp=sharing"",""แม่ฮ่องสอน!N649"")+IMPORTRANGE(""https://docs.google.com/spreadsheets/d/1DY4XTNNwjluuxqdfdn6qvOSlMRrZqUtmYcZR0ttFiG4/edit?usp=sharing"",""ลำปาง!N649"")+IMPORTRANGE(""https://docs.goog"&amp;"le.com/spreadsheets/d/1ICwG78r0OFT8biBlxnBF8r7she7gNSzOvJ958PWT09c/edit?usp=sharing"",""ลำพูน!N649"")+IMPORTRANGE(""https://docs.google.com/spreadsheets/d/1B0f2xJpZUC6Z0xXnqKlZtEPzsf6L84eP1r1Q15seqRM/edit?usp=sharing"",""สุโขทัย!N649"")+IMPORTRANGE(""http"&amp;"s://docs.google.com/spreadsheets/d/1v0b9pFQCsKUVExMei7AgY2yQkdeNQvtOssygGsXbiKo/edit?usp=sharing"",""อุตรดิตถ์!N649"")+IMPORTRANGE(""https://docs.google.com/spreadsheets/d/1UsNK1e-WWiCo2PvGqdNfdme4m17_Ezd3J69EeeiQPD0/edit?usp=sharing"",""อุทัยธานี!N649"")"),0)</f>
        <v>0</v>
      </c>
      <c r="O649" s="48">
        <f t="shared" ca="1" si="454"/>
        <v>0</v>
      </c>
      <c r="P649" s="48">
        <f t="shared" ca="1" si="455"/>
        <v>0</v>
      </c>
      <c r="Q649" s="48">
        <f ca="1">IFERROR(__xludf.DUMMYFUNCTION("IMPORTRANGE(""https://docs.google.com/spreadsheets/d/1jTcq05yEiRwXcBMLjiodW9e4biSGYWAHcDj22rKWQ3s/edit?usp=sharing"",""กำแพงเพชร!Q649"")+IMPORTRANGE(""https://docs.google.com/spreadsheets/d/1KS0zmDSZPk8KnTAbGN-Xk6MtX1YRZD0ldgdt20K4CRk/edit?usp=sharing"","&amp;"""เชียงราย!Q649"")+IMPORTRANGE(""https://docs.google.com/spreadsheets/d/1rEDxBtusbi64tE0zunoIbsTVV16HeL0oJ6trHQeQ7K8/edit?usp=sharing"",""เชียงใหม่!Q649"")+IMPORTRANGE(""https://docs.google.com/spreadsheets/d/1W6MnUbDkMi6xHnHko_XkFDO9kkuL6Wqyc-6OCDFjW9I/e"&amp;"dit?usp=sharing"",""ตาก!Q649"")+IMPORTRANGE(""https://docs.google.com/spreadsheets/d/1IQAWArduLkta9LpYo4a_ULsyqdta6-6aDDiwpUnQT6c/edit?usp=sharing"",""นครสวรรค์!Q649"")+IMPORTRANGE(""https://docs.google.com/spreadsheets/d/10s13Sk5xrltsiR-Zkbmk5DwIaDIKO8Xl"&amp;"bJAfqyT7Gvg/edit?usp=sharing"",""น่าน!Q649"")+IMPORTRANGE(""https://docs.google.com/spreadsheets/d/1uu4nAn4Dbi1XREnLKKotUANlKXa7yCgRcgq8HEzQYW8/edit?usp=sharing"",""พะเยา!Q649"")+IMPORTRANGE(""https://docs.google.com/spreadsheets/d/1xfJKIQxVOaPDIICqsflNlL"&amp;"u3JacTDk1FP9RH4phX7mI/edit?usp=sharing"",""พิจิตร!Q649"")+IMPORTRANGE(""https://docs.google.com/spreadsheets/d/1JtRfZkJMHtEhI5RdRHxYUG4FIZHqKDpNyIuN7A1Q0_k/edit?usp=sharing"",""พิษณุโลก!Q649"")+IMPORTRANGE(""https://docs.google.com/spreadsheets/d/1xlcVZWU"&amp;"Nn6SuWm0c307h32SiGkd9BaeQWlAktfD3KO8/edit?usp=sharing"",""เพชรบูรณ์!Q649"")+IMPORTRANGE(""https://docs.google.com/spreadsheets/d/1lOVebEIsI9qjGXl6EX66luk7wiuP2tBaryw-wKvv4e0/edit?usp=sharing"",""แพร่!Q649"")+IMPORTRANGE(""https://docs.google.com/spreadshe"&amp;"ets/d/1dQrvX0vEcN7Gu0fnZ0B5S90AeR19zth4XlExFBeExMY/edit?usp=sharing"",""แม่ฮ่องสอน!Q649"")+IMPORTRANGE(""https://docs.google.com/spreadsheets/d/1DY4XTNNwjluuxqdfdn6qvOSlMRrZqUtmYcZR0ttFiG4/edit?usp=sharing"",""ลำปาง!Q649"")+IMPORTRANGE(""https://docs.goog"&amp;"le.com/spreadsheets/d/1ICwG78r0OFT8biBlxnBF8r7she7gNSzOvJ958PWT09c/edit?usp=sharing"",""ลำพูน!Q649"")+IMPORTRANGE(""https://docs.google.com/spreadsheets/d/1B0f2xJpZUC6Z0xXnqKlZtEPzsf6L84eP1r1Q15seqRM/edit?usp=sharing"",""สุโขทัย!Q649"")+IMPORTRANGE(""http"&amp;"s://docs.google.com/spreadsheets/d/1v0b9pFQCsKUVExMei7AgY2yQkdeNQvtOssygGsXbiKo/edit?usp=sharing"",""อุตรดิตถ์!Q649"")+IMPORTRANGE(""https://docs.google.com/spreadsheets/d/1UsNK1e-WWiCo2PvGqdNfdme4m17_Ezd3J69EeeiQPD0/edit?usp=sharing"",""อุทัยธานี!Q649"")"),0)</f>
        <v>0</v>
      </c>
      <c r="R649" s="48">
        <f ca="1">IFERROR(__xludf.DUMMYFUNCTION("IMPORTRANGE(""https://docs.google.com/spreadsheets/d/1jTcq05yEiRwXcBMLjiodW9e4biSGYWAHcDj22rKWQ3s/edit?usp=sharing"",""กำแพงเพชร!R649"")+IMPORTRANGE(""https://docs.google.com/spreadsheets/d/1KS0zmDSZPk8KnTAbGN-Xk6MtX1YRZD0ldgdt20K4CRk/edit?usp=sharing"","&amp;"""เชียงราย!R649"")+IMPORTRANGE(""https://docs.google.com/spreadsheets/d/1rEDxBtusbi64tE0zunoIbsTVV16HeL0oJ6trHQeQ7K8/edit?usp=sharing"",""เชียงใหม่!R649"")+IMPORTRANGE(""https://docs.google.com/spreadsheets/d/1W6MnUbDkMi6xHnHko_XkFDO9kkuL6Wqyc-6OCDFjW9I/e"&amp;"dit?usp=sharing"",""ตาก!R649"")+IMPORTRANGE(""https://docs.google.com/spreadsheets/d/1IQAWArduLkta9LpYo4a_ULsyqdta6-6aDDiwpUnQT6c/edit?usp=sharing"",""นครสวรรค์!R649"")+IMPORTRANGE(""https://docs.google.com/spreadsheets/d/10s13Sk5xrltsiR-Zkbmk5DwIaDIKO8Xl"&amp;"bJAfqyT7Gvg/edit?usp=sharing"",""น่าน!R649"")+IMPORTRANGE(""https://docs.google.com/spreadsheets/d/1uu4nAn4Dbi1XREnLKKotUANlKXa7yCgRcgq8HEzQYW8/edit?usp=sharing"",""พะเยา!R649"")+IMPORTRANGE(""https://docs.google.com/spreadsheets/d/1xfJKIQxVOaPDIICqsflNlL"&amp;"u3JacTDk1FP9RH4phX7mI/edit?usp=sharing"",""พิจิตร!R649"")+IMPORTRANGE(""https://docs.google.com/spreadsheets/d/1JtRfZkJMHtEhI5RdRHxYUG4FIZHqKDpNyIuN7A1Q0_k/edit?usp=sharing"",""พิษณุโลก!R649"")+IMPORTRANGE(""https://docs.google.com/spreadsheets/d/1xlcVZWU"&amp;"Nn6SuWm0c307h32SiGkd9BaeQWlAktfD3KO8/edit?usp=sharing"",""เพชรบูรณ์!R649"")+IMPORTRANGE(""https://docs.google.com/spreadsheets/d/1lOVebEIsI9qjGXl6EX66luk7wiuP2tBaryw-wKvv4e0/edit?usp=sharing"",""แพร่!R649"")+IMPORTRANGE(""https://docs.google.com/spreadshe"&amp;"ets/d/1dQrvX0vEcN7Gu0fnZ0B5S90AeR19zth4XlExFBeExMY/edit?usp=sharing"",""แม่ฮ่องสอน!R649"")+IMPORTRANGE(""https://docs.google.com/spreadsheets/d/1DY4XTNNwjluuxqdfdn6qvOSlMRrZqUtmYcZR0ttFiG4/edit?usp=sharing"",""ลำปาง!R649"")+IMPORTRANGE(""https://docs.goog"&amp;"le.com/spreadsheets/d/1ICwG78r0OFT8biBlxnBF8r7she7gNSzOvJ958PWT09c/edit?usp=sharing"",""ลำพูน!R649"")+IMPORTRANGE(""https://docs.google.com/spreadsheets/d/1B0f2xJpZUC6Z0xXnqKlZtEPzsf6L84eP1r1Q15seqRM/edit?usp=sharing"",""สุโขทัย!R649"")+IMPORTRANGE(""http"&amp;"s://docs.google.com/spreadsheets/d/1v0b9pFQCsKUVExMei7AgY2yQkdeNQvtOssygGsXbiKo/edit?usp=sharing"",""อุตรดิตถ์!R649"")+IMPORTRANGE(""https://docs.google.com/spreadsheets/d/1UsNK1e-WWiCo2PvGqdNfdme4m17_Ezd3J69EeeiQPD0/edit?usp=sharing"",""อุทัยธานี!R649"")"),0)</f>
        <v>0</v>
      </c>
      <c r="S649" s="48">
        <f ca="1">IFERROR(__xludf.DUMMYFUNCTION("IMPORTRANGE(""https://docs.google.com/spreadsheets/d/1jTcq05yEiRwXcBMLjiodW9e4biSGYWAHcDj22rKWQ3s/edit?usp=sharing"",""กำแพงเพชร!S649"")+IMPORTRANGE(""https://docs.google.com/spreadsheets/d/1KS0zmDSZPk8KnTAbGN-Xk6MtX1YRZD0ldgdt20K4CRk/edit?usp=sharing"","&amp;"""เชียงราย!S649"")+IMPORTRANGE(""https://docs.google.com/spreadsheets/d/1rEDxBtusbi64tE0zunoIbsTVV16HeL0oJ6trHQeQ7K8/edit?usp=sharing"",""เชียงใหม่!S649"")+IMPORTRANGE(""https://docs.google.com/spreadsheets/d/1W6MnUbDkMi6xHnHko_XkFDO9kkuL6Wqyc-6OCDFjW9I/e"&amp;"dit?usp=sharing"",""ตาก!S649"")+IMPORTRANGE(""https://docs.google.com/spreadsheets/d/1IQAWArduLkta9LpYo4a_ULsyqdta6-6aDDiwpUnQT6c/edit?usp=sharing"",""นครสวรรค์!S649"")+IMPORTRANGE(""https://docs.google.com/spreadsheets/d/10s13Sk5xrltsiR-Zkbmk5DwIaDIKO8Xl"&amp;"bJAfqyT7Gvg/edit?usp=sharing"",""น่าน!S649"")+IMPORTRANGE(""https://docs.google.com/spreadsheets/d/1uu4nAn4Dbi1XREnLKKotUANlKXa7yCgRcgq8HEzQYW8/edit?usp=sharing"",""พะเยา!S649"")+IMPORTRANGE(""https://docs.google.com/spreadsheets/d/1xfJKIQxVOaPDIICqsflNlL"&amp;"u3JacTDk1FP9RH4phX7mI/edit?usp=sharing"",""พิจิตร!S649"")+IMPORTRANGE(""https://docs.google.com/spreadsheets/d/1JtRfZkJMHtEhI5RdRHxYUG4FIZHqKDpNyIuN7A1Q0_k/edit?usp=sharing"",""พิษณุโลก!S649"")+IMPORTRANGE(""https://docs.google.com/spreadsheets/d/1xlcVZWU"&amp;"Nn6SuWm0c307h32SiGkd9BaeQWlAktfD3KO8/edit?usp=sharing"",""เพชรบูรณ์!S649"")+IMPORTRANGE(""https://docs.google.com/spreadsheets/d/1lOVebEIsI9qjGXl6EX66luk7wiuP2tBaryw-wKvv4e0/edit?usp=sharing"",""แพร่!S649"")+IMPORTRANGE(""https://docs.google.com/spreadshe"&amp;"ets/d/1dQrvX0vEcN7Gu0fnZ0B5S90AeR19zth4XlExFBeExMY/edit?usp=sharing"",""แม่ฮ่องสอน!S649"")+IMPORTRANGE(""https://docs.google.com/spreadsheets/d/1DY4XTNNwjluuxqdfdn6qvOSlMRrZqUtmYcZR0ttFiG4/edit?usp=sharing"",""ลำปาง!S649"")+IMPORTRANGE(""https://docs.goog"&amp;"le.com/spreadsheets/d/1ICwG78r0OFT8biBlxnBF8r7she7gNSzOvJ958PWT09c/edit?usp=sharing"",""ลำพูน!S649"")+IMPORTRANGE(""https://docs.google.com/spreadsheets/d/1B0f2xJpZUC6Z0xXnqKlZtEPzsf6L84eP1r1Q15seqRM/edit?usp=sharing"",""สุโขทัย!S649"")+IMPORTRANGE(""http"&amp;"s://docs.google.com/spreadsheets/d/1v0b9pFQCsKUVExMei7AgY2yQkdeNQvtOssygGsXbiKo/edit?usp=sharing"",""อุตรดิตถ์!S649"")+IMPORTRANGE(""https://docs.google.com/spreadsheets/d/1UsNK1e-WWiCo2PvGqdNfdme4m17_Ezd3J69EeeiQPD0/edit?usp=sharing"",""อุทัยธานี!S649"")"),0)</f>
        <v>0</v>
      </c>
      <c r="T649" s="48">
        <f t="shared" ca="1" si="457"/>
        <v>0</v>
      </c>
      <c r="U649" s="48">
        <f t="shared" ca="1" si="458"/>
        <v>0</v>
      </c>
    </row>
    <row r="650" spans="1:21" ht="18.75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46">
        <f ca="1">IFERROR(__xludf.DUMMYFUNCTION("IMPORTRANGE(""https://docs.google.com/spreadsheets/d/1jTcq05yEiRwXcBMLjiodW9e4biSGYWAHcDj22rKWQ3s/edit?usp=sharing"",""กำแพงเพชร!L650"")+IMPORTRANGE(""https://docs.google.com/spreadsheets/d/1KS0zmDSZPk8KnTAbGN-Xk6MtX1YRZD0ldgdt20K4CRk/edit?usp=sharing"","&amp;"""เชียงราย!L650"")+IMPORTRANGE(""https://docs.google.com/spreadsheets/d/1rEDxBtusbi64tE0zunoIbsTVV16HeL0oJ6trHQeQ7K8/edit?usp=sharing"",""เชียงใหม่!L650"")+IMPORTRANGE(""https://docs.google.com/spreadsheets/d/1W6MnUbDkMi6xHnHko_XkFDO9kkuL6Wqyc-6OCDFjW9I/e"&amp;"dit?usp=sharing"",""ตาก!L650"")+IMPORTRANGE(""https://docs.google.com/spreadsheets/d/1IQAWArduLkta9LpYo4a_ULsyqdta6-6aDDiwpUnQT6c/edit?usp=sharing"",""นครสวรรค์!L650"")+IMPORTRANGE(""https://docs.google.com/spreadsheets/d/10s13Sk5xrltsiR-Zkbmk5DwIaDIKO8Xl"&amp;"bJAfqyT7Gvg/edit?usp=sharing"",""น่าน!L650"")+IMPORTRANGE(""https://docs.google.com/spreadsheets/d/1uu4nAn4Dbi1XREnLKKotUANlKXa7yCgRcgq8HEzQYW8/edit?usp=sharing"",""พะเยา!L650"")+IMPORTRANGE(""https://docs.google.com/spreadsheets/d/1xfJKIQxVOaPDIICqsflNlL"&amp;"u3JacTDk1FP9RH4phX7mI/edit?usp=sharing"",""พิจิตร!L650"")+IMPORTRANGE(""https://docs.google.com/spreadsheets/d/1JtRfZkJMHtEhI5RdRHxYUG4FIZHqKDpNyIuN7A1Q0_k/edit?usp=sharing"",""พิษณุโลก!L650"")+IMPORTRANGE(""https://docs.google.com/spreadsheets/d/1xlcVZWU"&amp;"Nn6SuWm0c307h32SiGkd9BaeQWlAktfD3KO8/edit?usp=sharing"",""เพชรบูรณ์!L650"")+IMPORTRANGE(""https://docs.google.com/spreadsheets/d/1lOVebEIsI9qjGXl6EX66luk7wiuP2tBaryw-wKvv4e0/edit?usp=sharing"",""แพร่!L650"")+IMPORTRANGE(""https://docs.google.com/spreadshe"&amp;"ets/d/1dQrvX0vEcN7Gu0fnZ0B5S90AeR19zth4XlExFBeExMY/edit?usp=sharing"",""แม่ฮ่องสอน!L650"")+IMPORTRANGE(""https://docs.google.com/spreadsheets/d/1DY4XTNNwjluuxqdfdn6qvOSlMRrZqUtmYcZR0ttFiG4/edit?usp=sharing"",""ลำปาง!L650"")+IMPORTRANGE(""https://docs.goog"&amp;"le.com/spreadsheets/d/1ICwG78r0OFT8biBlxnBF8r7she7gNSzOvJ958PWT09c/edit?usp=sharing"",""ลำพูน!L650"")+IMPORTRANGE(""https://docs.google.com/spreadsheets/d/1B0f2xJpZUC6Z0xXnqKlZtEPzsf6L84eP1r1Q15seqRM/edit?usp=sharing"",""สุโขทัย!L650"")+IMPORTRANGE(""http"&amp;"s://docs.google.com/spreadsheets/d/1v0b9pFQCsKUVExMei7AgY2yQkdeNQvtOssygGsXbiKo/edit?usp=sharing"",""อุตรดิตถ์!L650"")+IMPORTRANGE(""https://docs.google.com/spreadsheets/d/1UsNK1e-WWiCo2PvGqdNfdme4m17_Ezd3J69EeeiQPD0/edit?usp=sharing"",""อุทัยธานี!L650"")"),0)</f>
        <v>0</v>
      </c>
      <c r="M650" s="46">
        <f ca="1">IFERROR(__xludf.DUMMYFUNCTION("IMPORTRANGE(""https://docs.google.com/spreadsheets/d/1jTcq05yEiRwXcBMLjiodW9e4biSGYWAHcDj22rKWQ3s/edit?usp=sharing"",""กำแพงเพชร!M650"")+IMPORTRANGE(""https://docs.google.com/spreadsheets/d/1KS0zmDSZPk8KnTAbGN-Xk6MtX1YRZD0ldgdt20K4CRk/edit?usp=sharing"","&amp;"""เชียงราย!M650"")+IMPORTRANGE(""https://docs.google.com/spreadsheets/d/1rEDxBtusbi64tE0zunoIbsTVV16HeL0oJ6trHQeQ7K8/edit?usp=sharing"",""เชียงใหม่!M650"")+IMPORTRANGE(""https://docs.google.com/spreadsheets/d/1W6MnUbDkMi6xHnHko_XkFDO9kkuL6Wqyc-6OCDFjW9I/e"&amp;"dit?usp=sharing"",""ตาก!M650"")+IMPORTRANGE(""https://docs.google.com/spreadsheets/d/1IQAWArduLkta9LpYo4a_ULsyqdta6-6aDDiwpUnQT6c/edit?usp=sharing"",""นครสวรรค์!M650"")+IMPORTRANGE(""https://docs.google.com/spreadsheets/d/10s13Sk5xrltsiR-Zkbmk5DwIaDIKO8Xl"&amp;"bJAfqyT7Gvg/edit?usp=sharing"",""น่าน!M650"")+IMPORTRANGE(""https://docs.google.com/spreadsheets/d/1uu4nAn4Dbi1XREnLKKotUANlKXa7yCgRcgq8HEzQYW8/edit?usp=sharing"",""พะเยา!M650"")+IMPORTRANGE(""https://docs.google.com/spreadsheets/d/1xfJKIQxVOaPDIICqsflNlL"&amp;"u3JacTDk1FP9RH4phX7mI/edit?usp=sharing"",""พิจิตร!M650"")+IMPORTRANGE(""https://docs.google.com/spreadsheets/d/1JtRfZkJMHtEhI5RdRHxYUG4FIZHqKDpNyIuN7A1Q0_k/edit?usp=sharing"",""พิษณุโลก!M650"")+IMPORTRANGE(""https://docs.google.com/spreadsheets/d/1xlcVZWU"&amp;"Nn6SuWm0c307h32SiGkd9BaeQWlAktfD3KO8/edit?usp=sharing"",""เพชรบูรณ์!M650"")+IMPORTRANGE(""https://docs.google.com/spreadsheets/d/1lOVebEIsI9qjGXl6EX66luk7wiuP2tBaryw-wKvv4e0/edit?usp=sharing"",""แพร่!M650"")+IMPORTRANGE(""https://docs.google.com/spreadshe"&amp;"ets/d/1dQrvX0vEcN7Gu0fnZ0B5S90AeR19zth4XlExFBeExMY/edit?usp=sharing"",""แม่ฮ่องสอน!M650"")+IMPORTRANGE(""https://docs.google.com/spreadsheets/d/1DY4XTNNwjluuxqdfdn6qvOSlMRrZqUtmYcZR0ttFiG4/edit?usp=sharing"",""ลำปาง!M650"")+IMPORTRANGE(""https://docs.goog"&amp;"le.com/spreadsheets/d/1ICwG78r0OFT8biBlxnBF8r7she7gNSzOvJ958PWT09c/edit?usp=sharing"",""ลำพูน!M650"")+IMPORTRANGE(""https://docs.google.com/spreadsheets/d/1B0f2xJpZUC6Z0xXnqKlZtEPzsf6L84eP1r1Q15seqRM/edit?usp=sharing"",""สุโขทัย!M650"")+IMPORTRANGE(""http"&amp;"s://docs.google.com/spreadsheets/d/1v0b9pFQCsKUVExMei7AgY2yQkdeNQvtOssygGsXbiKo/edit?usp=sharing"",""อุตรดิตถ์!M650"")+IMPORTRANGE(""https://docs.google.com/spreadsheets/d/1UsNK1e-WWiCo2PvGqdNfdme4m17_Ezd3J69EeeiQPD0/edit?usp=sharing"",""อุทัยธานี!M650"")"),0)</f>
        <v>0</v>
      </c>
      <c r="N650" s="46">
        <f ca="1">IFERROR(__xludf.DUMMYFUNCTION("IMPORTRANGE(""https://docs.google.com/spreadsheets/d/1jTcq05yEiRwXcBMLjiodW9e4biSGYWAHcDj22rKWQ3s/edit?usp=sharing"",""กำแพงเพชร!N650"")+IMPORTRANGE(""https://docs.google.com/spreadsheets/d/1KS0zmDSZPk8KnTAbGN-Xk6MtX1YRZD0ldgdt20K4CRk/edit?usp=sharing"","&amp;"""เชียงราย!N650"")+IMPORTRANGE(""https://docs.google.com/spreadsheets/d/1rEDxBtusbi64tE0zunoIbsTVV16HeL0oJ6trHQeQ7K8/edit?usp=sharing"",""เชียงใหม่!N650"")+IMPORTRANGE(""https://docs.google.com/spreadsheets/d/1W6MnUbDkMi6xHnHko_XkFDO9kkuL6Wqyc-6OCDFjW9I/e"&amp;"dit?usp=sharing"",""ตาก!N650"")+IMPORTRANGE(""https://docs.google.com/spreadsheets/d/1IQAWArduLkta9LpYo4a_ULsyqdta6-6aDDiwpUnQT6c/edit?usp=sharing"",""นครสวรรค์!N650"")+IMPORTRANGE(""https://docs.google.com/spreadsheets/d/10s13Sk5xrltsiR-Zkbmk5DwIaDIKO8Xl"&amp;"bJAfqyT7Gvg/edit?usp=sharing"",""น่าน!N650"")+IMPORTRANGE(""https://docs.google.com/spreadsheets/d/1uu4nAn4Dbi1XREnLKKotUANlKXa7yCgRcgq8HEzQYW8/edit?usp=sharing"",""พะเยา!N650"")+IMPORTRANGE(""https://docs.google.com/spreadsheets/d/1xfJKIQxVOaPDIICqsflNlL"&amp;"u3JacTDk1FP9RH4phX7mI/edit?usp=sharing"",""พิจิตร!N650"")+IMPORTRANGE(""https://docs.google.com/spreadsheets/d/1JtRfZkJMHtEhI5RdRHxYUG4FIZHqKDpNyIuN7A1Q0_k/edit?usp=sharing"",""พิษณุโลก!N650"")+IMPORTRANGE(""https://docs.google.com/spreadsheets/d/1xlcVZWU"&amp;"Nn6SuWm0c307h32SiGkd9BaeQWlAktfD3KO8/edit?usp=sharing"",""เพชรบูรณ์!N650"")+IMPORTRANGE(""https://docs.google.com/spreadsheets/d/1lOVebEIsI9qjGXl6EX66luk7wiuP2tBaryw-wKvv4e0/edit?usp=sharing"",""แพร่!N650"")+IMPORTRANGE(""https://docs.google.com/spreadshe"&amp;"ets/d/1dQrvX0vEcN7Gu0fnZ0B5S90AeR19zth4XlExFBeExMY/edit?usp=sharing"",""แม่ฮ่องสอน!N650"")+IMPORTRANGE(""https://docs.google.com/spreadsheets/d/1DY4XTNNwjluuxqdfdn6qvOSlMRrZqUtmYcZR0ttFiG4/edit?usp=sharing"",""ลำปาง!N650"")+IMPORTRANGE(""https://docs.goog"&amp;"le.com/spreadsheets/d/1ICwG78r0OFT8biBlxnBF8r7she7gNSzOvJ958PWT09c/edit?usp=sharing"",""ลำพูน!N650"")+IMPORTRANGE(""https://docs.google.com/spreadsheets/d/1B0f2xJpZUC6Z0xXnqKlZtEPzsf6L84eP1r1Q15seqRM/edit?usp=sharing"",""สุโขทัย!N650"")+IMPORTRANGE(""http"&amp;"s://docs.google.com/spreadsheets/d/1v0b9pFQCsKUVExMei7AgY2yQkdeNQvtOssygGsXbiKo/edit?usp=sharing"",""อุตรดิตถ์!N650"")+IMPORTRANGE(""https://docs.google.com/spreadsheets/d/1UsNK1e-WWiCo2PvGqdNfdme4m17_Ezd3J69EeeiQPD0/edit?usp=sharing"",""อุทัยธานี!N650"")"),0)</f>
        <v>0</v>
      </c>
      <c r="O650" s="46">
        <f t="shared" ca="1" si="454"/>
        <v>0</v>
      </c>
      <c r="P650" s="46">
        <f t="shared" ca="1" si="455"/>
        <v>0</v>
      </c>
      <c r="Q650" s="46">
        <f ca="1">IFERROR(__xludf.DUMMYFUNCTION("IMPORTRANGE(""https://docs.google.com/spreadsheets/d/1jTcq05yEiRwXcBMLjiodW9e4biSGYWAHcDj22rKWQ3s/edit?usp=sharing"",""กำแพงเพชร!Q650"")+IMPORTRANGE(""https://docs.google.com/spreadsheets/d/1KS0zmDSZPk8KnTAbGN-Xk6MtX1YRZD0ldgdt20K4CRk/edit?usp=sharing"","&amp;"""เชียงราย!Q650"")+IMPORTRANGE(""https://docs.google.com/spreadsheets/d/1rEDxBtusbi64tE0zunoIbsTVV16HeL0oJ6trHQeQ7K8/edit?usp=sharing"",""เชียงใหม่!Q650"")+IMPORTRANGE(""https://docs.google.com/spreadsheets/d/1W6MnUbDkMi6xHnHko_XkFDO9kkuL6Wqyc-6OCDFjW9I/e"&amp;"dit?usp=sharing"",""ตาก!Q650"")+IMPORTRANGE(""https://docs.google.com/spreadsheets/d/1IQAWArduLkta9LpYo4a_ULsyqdta6-6aDDiwpUnQT6c/edit?usp=sharing"",""นครสวรรค์!Q650"")+IMPORTRANGE(""https://docs.google.com/spreadsheets/d/10s13Sk5xrltsiR-Zkbmk5DwIaDIKO8Xl"&amp;"bJAfqyT7Gvg/edit?usp=sharing"",""น่าน!Q650"")+IMPORTRANGE(""https://docs.google.com/spreadsheets/d/1uu4nAn4Dbi1XREnLKKotUANlKXa7yCgRcgq8HEzQYW8/edit?usp=sharing"",""พะเยา!Q650"")+IMPORTRANGE(""https://docs.google.com/spreadsheets/d/1xfJKIQxVOaPDIICqsflNlL"&amp;"u3JacTDk1FP9RH4phX7mI/edit?usp=sharing"",""พิจิตร!Q650"")+IMPORTRANGE(""https://docs.google.com/spreadsheets/d/1JtRfZkJMHtEhI5RdRHxYUG4FIZHqKDpNyIuN7A1Q0_k/edit?usp=sharing"",""พิษณุโลก!Q650"")+IMPORTRANGE(""https://docs.google.com/spreadsheets/d/1xlcVZWU"&amp;"Nn6SuWm0c307h32SiGkd9BaeQWlAktfD3KO8/edit?usp=sharing"",""เพชรบูรณ์!Q650"")+IMPORTRANGE(""https://docs.google.com/spreadsheets/d/1lOVebEIsI9qjGXl6EX66luk7wiuP2tBaryw-wKvv4e0/edit?usp=sharing"",""แพร่!Q650"")+IMPORTRANGE(""https://docs.google.com/spreadshe"&amp;"ets/d/1dQrvX0vEcN7Gu0fnZ0B5S90AeR19zth4XlExFBeExMY/edit?usp=sharing"",""แม่ฮ่องสอน!Q650"")+IMPORTRANGE(""https://docs.google.com/spreadsheets/d/1DY4XTNNwjluuxqdfdn6qvOSlMRrZqUtmYcZR0ttFiG4/edit?usp=sharing"",""ลำปาง!Q650"")+IMPORTRANGE(""https://docs.goog"&amp;"le.com/spreadsheets/d/1ICwG78r0OFT8biBlxnBF8r7she7gNSzOvJ958PWT09c/edit?usp=sharing"",""ลำพูน!Q650"")+IMPORTRANGE(""https://docs.google.com/spreadsheets/d/1B0f2xJpZUC6Z0xXnqKlZtEPzsf6L84eP1r1Q15seqRM/edit?usp=sharing"",""สุโขทัย!Q650"")+IMPORTRANGE(""http"&amp;"s://docs.google.com/spreadsheets/d/1v0b9pFQCsKUVExMei7AgY2yQkdeNQvtOssygGsXbiKo/edit?usp=sharing"",""อุตรดิตถ์!Q650"")+IMPORTRANGE(""https://docs.google.com/spreadsheets/d/1UsNK1e-WWiCo2PvGqdNfdme4m17_Ezd3J69EeeiQPD0/edit?usp=sharing"",""อุทัยธานี!Q650"")"),0)</f>
        <v>0</v>
      </c>
      <c r="R650" s="46">
        <f ca="1">IFERROR(__xludf.DUMMYFUNCTION("IMPORTRANGE(""https://docs.google.com/spreadsheets/d/1jTcq05yEiRwXcBMLjiodW9e4biSGYWAHcDj22rKWQ3s/edit?usp=sharing"",""กำแพงเพชร!R650"")+IMPORTRANGE(""https://docs.google.com/spreadsheets/d/1KS0zmDSZPk8KnTAbGN-Xk6MtX1YRZD0ldgdt20K4CRk/edit?usp=sharing"","&amp;"""เชียงราย!R650"")+IMPORTRANGE(""https://docs.google.com/spreadsheets/d/1rEDxBtusbi64tE0zunoIbsTVV16HeL0oJ6trHQeQ7K8/edit?usp=sharing"",""เชียงใหม่!R650"")+IMPORTRANGE(""https://docs.google.com/spreadsheets/d/1W6MnUbDkMi6xHnHko_XkFDO9kkuL6Wqyc-6OCDFjW9I/e"&amp;"dit?usp=sharing"",""ตาก!R650"")+IMPORTRANGE(""https://docs.google.com/spreadsheets/d/1IQAWArduLkta9LpYo4a_ULsyqdta6-6aDDiwpUnQT6c/edit?usp=sharing"",""นครสวรรค์!R650"")+IMPORTRANGE(""https://docs.google.com/spreadsheets/d/10s13Sk5xrltsiR-Zkbmk5DwIaDIKO8Xl"&amp;"bJAfqyT7Gvg/edit?usp=sharing"",""น่าน!R650"")+IMPORTRANGE(""https://docs.google.com/spreadsheets/d/1uu4nAn4Dbi1XREnLKKotUANlKXa7yCgRcgq8HEzQYW8/edit?usp=sharing"",""พะเยา!R650"")+IMPORTRANGE(""https://docs.google.com/spreadsheets/d/1xfJKIQxVOaPDIICqsflNlL"&amp;"u3JacTDk1FP9RH4phX7mI/edit?usp=sharing"",""พิจิตร!R650"")+IMPORTRANGE(""https://docs.google.com/spreadsheets/d/1JtRfZkJMHtEhI5RdRHxYUG4FIZHqKDpNyIuN7A1Q0_k/edit?usp=sharing"",""พิษณุโลก!R650"")+IMPORTRANGE(""https://docs.google.com/spreadsheets/d/1xlcVZWU"&amp;"Nn6SuWm0c307h32SiGkd9BaeQWlAktfD3KO8/edit?usp=sharing"",""เพชรบูรณ์!R650"")+IMPORTRANGE(""https://docs.google.com/spreadsheets/d/1lOVebEIsI9qjGXl6EX66luk7wiuP2tBaryw-wKvv4e0/edit?usp=sharing"",""แพร่!R650"")+IMPORTRANGE(""https://docs.google.com/spreadshe"&amp;"ets/d/1dQrvX0vEcN7Gu0fnZ0B5S90AeR19zth4XlExFBeExMY/edit?usp=sharing"",""แม่ฮ่องสอน!R650"")+IMPORTRANGE(""https://docs.google.com/spreadsheets/d/1DY4XTNNwjluuxqdfdn6qvOSlMRrZqUtmYcZR0ttFiG4/edit?usp=sharing"",""ลำปาง!R650"")+IMPORTRANGE(""https://docs.goog"&amp;"le.com/spreadsheets/d/1ICwG78r0OFT8biBlxnBF8r7she7gNSzOvJ958PWT09c/edit?usp=sharing"",""ลำพูน!R650"")+IMPORTRANGE(""https://docs.google.com/spreadsheets/d/1B0f2xJpZUC6Z0xXnqKlZtEPzsf6L84eP1r1Q15seqRM/edit?usp=sharing"",""สุโขทัย!R650"")+IMPORTRANGE(""http"&amp;"s://docs.google.com/spreadsheets/d/1v0b9pFQCsKUVExMei7AgY2yQkdeNQvtOssygGsXbiKo/edit?usp=sharing"",""อุตรดิตถ์!R650"")+IMPORTRANGE(""https://docs.google.com/spreadsheets/d/1UsNK1e-WWiCo2PvGqdNfdme4m17_Ezd3J69EeeiQPD0/edit?usp=sharing"",""อุทัยธานี!R650"")"),0)</f>
        <v>0</v>
      </c>
      <c r="S650" s="46">
        <f ca="1">IFERROR(__xludf.DUMMYFUNCTION("IMPORTRANGE(""https://docs.google.com/spreadsheets/d/1jTcq05yEiRwXcBMLjiodW9e4biSGYWAHcDj22rKWQ3s/edit?usp=sharing"",""กำแพงเพชร!S650"")+IMPORTRANGE(""https://docs.google.com/spreadsheets/d/1KS0zmDSZPk8KnTAbGN-Xk6MtX1YRZD0ldgdt20K4CRk/edit?usp=sharing"","&amp;"""เชียงราย!S650"")+IMPORTRANGE(""https://docs.google.com/spreadsheets/d/1rEDxBtusbi64tE0zunoIbsTVV16HeL0oJ6trHQeQ7K8/edit?usp=sharing"",""เชียงใหม่!S650"")+IMPORTRANGE(""https://docs.google.com/spreadsheets/d/1W6MnUbDkMi6xHnHko_XkFDO9kkuL6Wqyc-6OCDFjW9I/e"&amp;"dit?usp=sharing"",""ตาก!S650"")+IMPORTRANGE(""https://docs.google.com/spreadsheets/d/1IQAWArduLkta9LpYo4a_ULsyqdta6-6aDDiwpUnQT6c/edit?usp=sharing"",""นครสวรรค์!S650"")+IMPORTRANGE(""https://docs.google.com/spreadsheets/d/10s13Sk5xrltsiR-Zkbmk5DwIaDIKO8Xl"&amp;"bJAfqyT7Gvg/edit?usp=sharing"",""น่าน!S650"")+IMPORTRANGE(""https://docs.google.com/spreadsheets/d/1uu4nAn4Dbi1XREnLKKotUANlKXa7yCgRcgq8HEzQYW8/edit?usp=sharing"",""พะเยา!S650"")+IMPORTRANGE(""https://docs.google.com/spreadsheets/d/1xfJKIQxVOaPDIICqsflNlL"&amp;"u3JacTDk1FP9RH4phX7mI/edit?usp=sharing"",""พิจิตร!S650"")+IMPORTRANGE(""https://docs.google.com/spreadsheets/d/1JtRfZkJMHtEhI5RdRHxYUG4FIZHqKDpNyIuN7A1Q0_k/edit?usp=sharing"",""พิษณุโลก!S650"")+IMPORTRANGE(""https://docs.google.com/spreadsheets/d/1xlcVZWU"&amp;"Nn6SuWm0c307h32SiGkd9BaeQWlAktfD3KO8/edit?usp=sharing"",""เพชรบูรณ์!S650"")+IMPORTRANGE(""https://docs.google.com/spreadsheets/d/1lOVebEIsI9qjGXl6EX66luk7wiuP2tBaryw-wKvv4e0/edit?usp=sharing"",""แพร่!S650"")+IMPORTRANGE(""https://docs.google.com/spreadshe"&amp;"ets/d/1dQrvX0vEcN7Gu0fnZ0B5S90AeR19zth4XlExFBeExMY/edit?usp=sharing"",""แม่ฮ่องสอน!S650"")+IMPORTRANGE(""https://docs.google.com/spreadsheets/d/1DY4XTNNwjluuxqdfdn6qvOSlMRrZqUtmYcZR0ttFiG4/edit?usp=sharing"",""ลำปาง!S650"")+IMPORTRANGE(""https://docs.goog"&amp;"le.com/spreadsheets/d/1ICwG78r0OFT8biBlxnBF8r7she7gNSzOvJ958PWT09c/edit?usp=sharing"",""ลำพูน!S650"")+IMPORTRANGE(""https://docs.google.com/spreadsheets/d/1B0f2xJpZUC6Z0xXnqKlZtEPzsf6L84eP1r1Q15seqRM/edit?usp=sharing"",""สุโขทัย!S650"")+IMPORTRANGE(""http"&amp;"s://docs.google.com/spreadsheets/d/1v0b9pFQCsKUVExMei7AgY2yQkdeNQvtOssygGsXbiKo/edit?usp=sharing"",""อุตรดิตถ์!S650"")+IMPORTRANGE(""https://docs.google.com/spreadsheets/d/1UsNK1e-WWiCo2PvGqdNfdme4m17_Ezd3J69EeeiQPD0/edit?usp=sharing"",""อุทัยธานี!S650"")"),0)</f>
        <v>0</v>
      </c>
      <c r="T650" s="46">
        <f t="shared" ca="1" si="457"/>
        <v>0</v>
      </c>
      <c r="U650" s="46">
        <f t="shared" ca="1" si="458"/>
        <v>0</v>
      </c>
    </row>
    <row r="651" spans="1:21" ht="19.5" x14ac:dyDescent="0.3">
      <c r="A651" s="138"/>
      <c r="B651" s="139"/>
      <c r="C651" s="209" t="s">
        <v>18</v>
      </c>
      <c r="D651" s="414" t="s">
        <v>38</v>
      </c>
      <c r="E651" s="141"/>
      <c r="F651" s="141"/>
      <c r="G651" s="142"/>
      <c r="H651" s="178"/>
      <c r="I651" s="135"/>
      <c r="J651" s="135"/>
      <c r="K651" s="136"/>
      <c r="L651" s="136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415">
        <f ca="1">IFERROR(__xludf.DUMMYFUNCTION("IMPORTRANGE(""https://docs.google.com/spreadsheets/d/1jTcq05yEiRwXcBMLjiodW9e4biSGYWAHcDj22rKWQ3s/edit?usp=sharing"",""กำแพงเพชร!I652"")+IMPORTRANGE(""https://docs.google.com/spreadsheets/d/1KS0zmDSZPk8KnTAbGN-Xk6MtX1YRZD0ldgdt20K4CRk/edit?usp=sharing"","&amp;"""เชียงราย!I652"")+IMPORTRANGE(""https://docs.google.com/spreadsheets/d/1rEDxBtusbi64tE0zunoIbsTVV16HeL0oJ6trHQeQ7K8/edit?usp=sharing"",""เชียงใหม่!I652"")+IMPORTRANGE(""https://docs.google.com/spreadsheets/d/1W6MnUbDkMi6xHnHko_XkFDO9kkuL6Wqyc-6OCDFjW9I/e"&amp;"dit?usp=sharing"",""ตาก!I652"")+IMPORTRANGE(""https://docs.google.com/spreadsheets/d/1IQAWArduLkta9LpYo4a_ULsyqdta6-6aDDiwpUnQT6c/edit?usp=sharing"",""นครสวรรค์!I652"")+IMPORTRANGE(""https://docs.google.com/spreadsheets/d/10s13Sk5xrltsiR-Zkbmk5DwIaDIKO8Xl"&amp;"bJAfqyT7Gvg/edit?usp=sharing"",""น่าน!I652"")+IMPORTRANGE(""https://docs.google.com/spreadsheets/d/1uu4nAn4Dbi1XREnLKKotUANlKXa7yCgRcgq8HEzQYW8/edit?usp=sharing"",""พะเยา!I652"")+IMPORTRANGE(""https://docs.google.com/spreadsheets/d/1xfJKIQxVOaPDIICqsflNlL"&amp;"u3JacTDk1FP9RH4phX7mI/edit?usp=sharing"",""พิจิตร!I652"")+IMPORTRANGE(""https://docs.google.com/spreadsheets/d/1JtRfZkJMHtEhI5RdRHxYUG4FIZHqKDpNyIuN7A1Q0_k/edit?usp=sharing"",""พิษณุโลก!I652"")+IMPORTRANGE(""https://docs.google.com/spreadsheets/d/1xlcVZWU"&amp;"Nn6SuWm0c307h32SiGkd9BaeQWlAktfD3KO8/edit?usp=sharing"",""เพชรบูรณ์!I652"")+IMPORTRANGE(""https://docs.google.com/spreadsheets/d/1lOVebEIsI9qjGXl6EX66luk7wiuP2tBaryw-wKvv4e0/edit?usp=sharing"",""แพร่!I652"")+IMPORTRANGE(""https://docs.google.com/spreadshe"&amp;"ets/d/1dQrvX0vEcN7Gu0fnZ0B5S90AeR19zth4XlExFBeExMY/edit?usp=sharing"",""แม่ฮ่องสอน!I652"")+IMPORTRANGE(""https://docs.google.com/spreadsheets/d/1DY4XTNNwjluuxqdfdn6qvOSlMRrZqUtmYcZR0ttFiG4/edit?usp=sharing"",""ลำปาง!I652"")+IMPORTRANGE(""https://docs.goog"&amp;"le.com/spreadsheets/d/1ICwG78r0OFT8biBlxnBF8r7she7gNSzOvJ958PWT09c/edit?usp=sharing"",""ลำพูน!I652"")+IMPORTRANGE(""https://docs.google.com/spreadsheets/d/1B0f2xJpZUC6Z0xXnqKlZtEPzsf6L84eP1r1Q15seqRM/edit?usp=sharing"",""สุโขทัย!I652"")+IMPORTRANGE(""http"&amp;"s://docs.google.com/spreadsheets/d/1v0b9pFQCsKUVExMei7AgY2yQkdeNQvtOssygGsXbiKo/edit?usp=sharing"",""อุตรดิตถ์!I652"")+IMPORTRANGE(""https://docs.google.com/spreadsheets/d/1UsNK1e-WWiCo2PvGqdNfdme4m17_Ezd3J69EeeiQPD0/edit?usp=sharing"",""อุทัยธานี!I652"")"),0)</f>
        <v>0</v>
      </c>
      <c r="J652" s="415">
        <f ca="1">IFERROR(__xludf.DUMMYFUNCTION("IMPORTRANGE(""https://docs.google.com/spreadsheets/d/1jTcq05yEiRwXcBMLjiodW9e4biSGYWAHcDj22rKWQ3s/edit?usp=sharing"",""กำแพงเพชร!J652"")+IMPORTRANGE(""https://docs.google.com/spreadsheets/d/1KS0zmDSZPk8KnTAbGN-Xk6MtX1YRZD0ldgdt20K4CRk/edit?usp=sharing"","&amp;"""เชียงราย!J652"")+IMPORTRANGE(""https://docs.google.com/spreadsheets/d/1rEDxBtusbi64tE0zunoIbsTVV16HeL0oJ6trHQeQ7K8/edit?usp=sharing"",""เชียงใหม่!J652"")+IMPORTRANGE(""https://docs.google.com/spreadsheets/d/1W6MnUbDkMi6xHnHko_XkFDO9kkuL6Wqyc-6OCDFjW9I/e"&amp;"dit?usp=sharing"",""ตาก!J652"")+IMPORTRANGE(""https://docs.google.com/spreadsheets/d/1IQAWArduLkta9LpYo4a_ULsyqdta6-6aDDiwpUnQT6c/edit?usp=sharing"",""นครสวรรค์!J652"")+IMPORTRANGE(""https://docs.google.com/spreadsheets/d/10s13Sk5xrltsiR-Zkbmk5DwIaDIKO8Xl"&amp;"bJAfqyT7Gvg/edit?usp=sharing"",""น่าน!J652"")+IMPORTRANGE(""https://docs.google.com/spreadsheets/d/1uu4nAn4Dbi1XREnLKKotUANlKXa7yCgRcgq8HEzQYW8/edit?usp=sharing"",""พะเยา!J652"")+IMPORTRANGE(""https://docs.google.com/spreadsheets/d/1xfJKIQxVOaPDIICqsflNlL"&amp;"u3JacTDk1FP9RH4phX7mI/edit?usp=sharing"",""พิจิตร!J652"")+IMPORTRANGE(""https://docs.google.com/spreadsheets/d/1JtRfZkJMHtEhI5RdRHxYUG4FIZHqKDpNyIuN7A1Q0_k/edit?usp=sharing"",""พิษณุโลก!J652"")+IMPORTRANGE(""https://docs.google.com/spreadsheets/d/1xlcVZWU"&amp;"Nn6SuWm0c307h32SiGkd9BaeQWlAktfD3KO8/edit?usp=sharing"",""เพชรบูรณ์!J652"")+IMPORTRANGE(""https://docs.google.com/spreadsheets/d/1lOVebEIsI9qjGXl6EX66luk7wiuP2tBaryw-wKvv4e0/edit?usp=sharing"",""แพร่!J652"")+IMPORTRANGE(""https://docs.google.com/spreadshe"&amp;"ets/d/1dQrvX0vEcN7Gu0fnZ0B5S90AeR19zth4XlExFBeExMY/edit?usp=sharing"",""แม่ฮ่องสอน!J652"")+IMPORTRANGE(""https://docs.google.com/spreadsheets/d/1DY4XTNNwjluuxqdfdn6qvOSlMRrZqUtmYcZR0ttFiG4/edit?usp=sharing"",""ลำปาง!J652"")+IMPORTRANGE(""https://docs.goog"&amp;"le.com/spreadsheets/d/1ICwG78r0OFT8biBlxnBF8r7she7gNSzOvJ958PWT09c/edit?usp=sharing"",""ลำพูน!J652"")+IMPORTRANGE(""https://docs.google.com/spreadsheets/d/1B0f2xJpZUC6Z0xXnqKlZtEPzsf6L84eP1r1Q15seqRM/edit?usp=sharing"",""สุโขทัย!J652"")+IMPORTRANGE(""http"&amp;"s://docs.google.com/spreadsheets/d/1v0b9pFQCsKUVExMei7AgY2yQkdeNQvtOssygGsXbiKo/edit?usp=sharing"",""อุตรดิตถ์!J652"")+IMPORTRANGE(""https://docs.google.com/spreadsheets/d/1UsNK1e-WWiCo2PvGqdNfdme4m17_Ezd3J69EeeiQPD0/edit?usp=sharing"",""อุทัยธานี!J652"")"),0)</f>
        <v>0</v>
      </c>
      <c r="K652" s="46">
        <f t="shared" ref="K652:K654" ca="1" si="467">IF(I652&gt;0,J652*100/I652,0)</f>
        <v>0</v>
      </c>
      <c r="L652" s="45"/>
      <c r="M652" s="45"/>
      <c r="N652" s="416"/>
      <c r="O652" s="45"/>
      <c r="P652" s="45"/>
      <c r="Q652" s="45"/>
      <c r="R652" s="45"/>
      <c r="S652" s="45"/>
      <c r="T652" s="45"/>
      <c r="U652" s="45"/>
    </row>
    <row r="653" spans="1:21" ht="18.75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415">
        <f ca="1">IFERROR(__xludf.DUMMYFUNCTION("IMPORTRANGE(""https://docs.google.com/spreadsheets/d/1jTcq05yEiRwXcBMLjiodW9e4biSGYWAHcDj22rKWQ3s/edit?usp=sharing"",""กำแพงเพชร!I653"")+IMPORTRANGE(""https://docs.google.com/spreadsheets/d/1KS0zmDSZPk8KnTAbGN-Xk6MtX1YRZD0ldgdt20K4CRk/edit?usp=sharing"","&amp;"""เชียงราย!I653"")+IMPORTRANGE(""https://docs.google.com/spreadsheets/d/1rEDxBtusbi64tE0zunoIbsTVV16HeL0oJ6trHQeQ7K8/edit?usp=sharing"",""เชียงใหม่!I653"")+IMPORTRANGE(""https://docs.google.com/spreadsheets/d/1W6MnUbDkMi6xHnHko_XkFDO9kkuL6Wqyc-6OCDFjW9I/e"&amp;"dit?usp=sharing"",""ตาก!I653"")+IMPORTRANGE(""https://docs.google.com/spreadsheets/d/1IQAWArduLkta9LpYo4a_ULsyqdta6-6aDDiwpUnQT6c/edit?usp=sharing"",""นครสวรรค์!I653"")+IMPORTRANGE(""https://docs.google.com/spreadsheets/d/10s13Sk5xrltsiR-Zkbmk5DwIaDIKO8Xl"&amp;"bJAfqyT7Gvg/edit?usp=sharing"",""น่าน!I653"")+IMPORTRANGE(""https://docs.google.com/spreadsheets/d/1uu4nAn4Dbi1XREnLKKotUANlKXa7yCgRcgq8HEzQYW8/edit?usp=sharing"",""พะเยา!I653"")+IMPORTRANGE(""https://docs.google.com/spreadsheets/d/1xfJKIQxVOaPDIICqsflNlL"&amp;"u3JacTDk1FP9RH4phX7mI/edit?usp=sharing"",""พิจิตร!I653"")+IMPORTRANGE(""https://docs.google.com/spreadsheets/d/1JtRfZkJMHtEhI5RdRHxYUG4FIZHqKDpNyIuN7A1Q0_k/edit?usp=sharing"",""พิษณุโลก!I653"")+IMPORTRANGE(""https://docs.google.com/spreadsheets/d/1xlcVZWU"&amp;"Nn6SuWm0c307h32SiGkd9BaeQWlAktfD3KO8/edit?usp=sharing"",""เพชรบูรณ์!I653"")+IMPORTRANGE(""https://docs.google.com/spreadsheets/d/1lOVebEIsI9qjGXl6EX66luk7wiuP2tBaryw-wKvv4e0/edit?usp=sharing"",""แพร่!I653"")+IMPORTRANGE(""https://docs.google.com/spreadshe"&amp;"ets/d/1dQrvX0vEcN7Gu0fnZ0B5S90AeR19zth4XlExFBeExMY/edit?usp=sharing"",""แม่ฮ่องสอน!I653"")+IMPORTRANGE(""https://docs.google.com/spreadsheets/d/1DY4XTNNwjluuxqdfdn6qvOSlMRrZqUtmYcZR0ttFiG4/edit?usp=sharing"",""ลำปาง!I653"")+IMPORTRANGE(""https://docs.goog"&amp;"le.com/spreadsheets/d/1ICwG78r0OFT8biBlxnBF8r7she7gNSzOvJ958PWT09c/edit?usp=sharing"",""ลำพูน!I653"")+IMPORTRANGE(""https://docs.google.com/spreadsheets/d/1B0f2xJpZUC6Z0xXnqKlZtEPzsf6L84eP1r1Q15seqRM/edit?usp=sharing"",""สุโขทัย!I653"")+IMPORTRANGE(""http"&amp;"s://docs.google.com/spreadsheets/d/1v0b9pFQCsKUVExMei7AgY2yQkdeNQvtOssygGsXbiKo/edit?usp=sharing"",""อุตรดิตถ์!I653"")+IMPORTRANGE(""https://docs.google.com/spreadsheets/d/1UsNK1e-WWiCo2PvGqdNfdme4m17_Ezd3J69EeeiQPD0/edit?usp=sharing"",""อุทัยธานี!I653"")"),103)</f>
        <v>103</v>
      </c>
      <c r="J653" s="415">
        <f ca="1">IFERROR(__xludf.DUMMYFUNCTION("IMPORTRANGE(""https://docs.google.com/spreadsheets/d/1jTcq05yEiRwXcBMLjiodW9e4biSGYWAHcDj22rKWQ3s/edit?usp=sharing"",""กำแพงเพชร!J653"")+IMPORTRANGE(""https://docs.google.com/spreadsheets/d/1KS0zmDSZPk8KnTAbGN-Xk6MtX1YRZD0ldgdt20K4CRk/edit?usp=sharing"","&amp;"""เชียงราย!J653"")+IMPORTRANGE(""https://docs.google.com/spreadsheets/d/1rEDxBtusbi64tE0zunoIbsTVV16HeL0oJ6trHQeQ7K8/edit?usp=sharing"",""เชียงใหม่!J653"")+IMPORTRANGE(""https://docs.google.com/spreadsheets/d/1W6MnUbDkMi6xHnHko_XkFDO9kkuL6Wqyc-6OCDFjW9I/e"&amp;"dit?usp=sharing"",""ตาก!J653"")+IMPORTRANGE(""https://docs.google.com/spreadsheets/d/1IQAWArduLkta9LpYo4a_ULsyqdta6-6aDDiwpUnQT6c/edit?usp=sharing"",""นครสวรรค์!J653"")+IMPORTRANGE(""https://docs.google.com/spreadsheets/d/10s13Sk5xrltsiR-Zkbmk5DwIaDIKO8Xl"&amp;"bJAfqyT7Gvg/edit?usp=sharing"",""น่าน!J653"")+IMPORTRANGE(""https://docs.google.com/spreadsheets/d/1uu4nAn4Dbi1XREnLKKotUANlKXa7yCgRcgq8HEzQYW8/edit?usp=sharing"",""พะเยา!J653"")+IMPORTRANGE(""https://docs.google.com/spreadsheets/d/1xfJKIQxVOaPDIICqsflNlL"&amp;"u3JacTDk1FP9RH4phX7mI/edit?usp=sharing"",""พิจิตร!J653"")+IMPORTRANGE(""https://docs.google.com/spreadsheets/d/1JtRfZkJMHtEhI5RdRHxYUG4FIZHqKDpNyIuN7A1Q0_k/edit?usp=sharing"",""พิษณุโลก!J653"")+IMPORTRANGE(""https://docs.google.com/spreadsheets/d/1xlcVZWU"&amp;"Nn6SuWm0c307h32SiGkd9BaeQWlAktfD3KO8/edit?usp=sharing"",""เพชรบูรณ์!J653"")+IMPORTRANGE(""https://docs.google.com/spreadsheets/d/1lOVebEIsI9qjGXl6EX66luk7wiuP2tBaryw-wKvv4e0/edit?usp=sharing"",""แพร่!J653"")+IMPORTRANGE(""https://docs.google.com/spreadshe"&amp;"ets/d/1dQrvX0vEcN7Gu0fnZ0B5S90AeR19zth4XlExFBeExMY/edit?usp=sharing"",""แม่ฮ่องสอน!J653"")+IMPORTRANGE(""https://docs.google.com/spreadsheets/d/1DY4XTNNwjluuxqdfdn6qvOSlMRrZqUtmYcZR0ttFiG4/edit?usp=sharing"",""ลำปาง!J653"")+IMPORTRANGE(""https://docs.goog"&amp;"le.com/spreadsheets/d/1ICwG78r0OFT8biBlxnBF8r7she7gNSzOvJ958PWT09c/edit?usp=sharing"",""ลำพูน!J653"")+IMPORTRANGE(""https://docs.google.com/spreadsheets/d/1B0f2xJpZUC6Z0xXnqKlZtEPzsf6L84eP1r1Q15seqRM/edit?usp=sharing"",""สุโขทัย!J653"")+IMPORTRANGE(""http"&amp;"s://docs.google.com/spreadsheets/d/1v0b9pFQCsKUVExMei7AgY2yQkdeNQvtOssygGsXbiKo/edit?usp=sharing"",""อุตรดิตถ์!J653"")+IMPORTRANGE(""https://docs.google.com/spreadsheets/d/1UsNK1e-WWiCo2PvGqdNfdme4m17_Ezd3J69EeeiQPD0/edit?usp=sharing"",""อุทัยธานี!J653"")"),0)</f>
        <v>0</v>
      </c>
      <c r="K653" s="46">
        <f t="shared" ca="1" si="467"/>
        <v>0</v>
      </c>
      <c r="L653" s="45"/>
      <c r="M653" s="45"/>
      <c r="N653" s="416"/>
      <c r="O653" s="45"/>
      <c r="P653" s="45"/>
      <c r="Q653" s="45"/>
      <c r="R653" s="45"/>
      <c r="S653" s="45"/>
      <c r="T653" s="45"/>
      <c r="U653" s="45"/>
    </row>
    <row r="654" spans="1:21" ht="19.5" x14ac:dyDescent="0.3">
      <c r="A654" s="208"/>
      <c r="B654" s="158"/>
      <c r="C654" s="158"/>
      <c r="D654" s="47" t="s">
        <v>239</v>
      </c>
      <c r="E654" s="40"/>
      <c r="F654" s="40"/>
      <c r="G654" s="42"/>
      <c r="H654" s="411" t="s">
        <v>46</v>
      </c>
      <c r="I654" s="417">
        <f ca="1">IFERROR(__xludf.DUMMYFUNCTION("IMPORTRANGE(""https://docs.google.com/spreadsheets/d/1jTcq05yEiRwXcBMLjiodW9e4biSGYWAHcDj22rKWQ3s/edit?usp=sharing"",""กำแพงเพชร!I654"")+IMPORTRANGE(""https://docs.google.com/spreadsheets/d/1KS0zmDSZPk8KnTAbGN-Xk6MtX1YRZD0ldgdt20K4CRk/edit?usp=sharing"","&amp;"""เชียงราย!I654"")+IMPORTRANGE(""https://docs.google.com/spreadsheets/d/1rEDxBtusbi64tE0zunoIbsTVV16HeL0oJ6trHQeQ7K8/edit?usp=sharing"",""เชียงใหม่!I654"")+IMPORTRANGE(""https://docs.google.com/spreadsheets/d/1W6MnUbDkMi6xHnHko_XkFDO9kkuL6Wqyc-6OCDFjW9I/e"&amp;"dit?usp=sharing"",""ตาก!I654"")+IMPORTRANGE(""https://docs.google.com/spreadsheets/d/1IQAWArduLkta9LpYo4a_ULsyqdta6-6aDDiwpUnQT6c/edit?usp=sharing"",""นครสวรรค์!I654"")+IMPORTRANGE(""https://docs.google.com/spreadsheets/d/10s13Sk5xrltsiR-Zkbmk5DwIaDIKO8Xl"&amp;"bJAfqyT7Gvg/edit?usp=sharing"",""น่าน!I654"")+IMPORTRANGE(""https://docs.google.com/spreadsheets/d/1uu4nAn4Dbi1XREnLKKotUANlKXa7yCgRcgq8HEzQYW8/edit?usp=sharing"",""พะเยา!I654"")+IMPORTRANGE(""https://docs.google.com/spreadsheets/d/1xfJKIQxVOaPDIICqsflNlL"&amp;"u3JacTDk1FP9RH4phX7mI/edit?usp=sharing"",""พิจิตร!I654"")+IMPORTRANGE(""https://docs.google.com/spreadsheets/d/1JtRfZkJMHtEhI5RdRHxYUG4FIZHqKDpNyIuN7A1Q0_k/edit?usp=sharing"",""พิษณุโลก!I654"")+IMPORTRANGE(""https://docs.google.com/spreadsheets/d/1xlcVZWU"&amp;"Nn6SuWm0c307h32SiGkd9BaeQWlAktfD3KO8/edit?usp=sharing"",""เพชรบูรณ์!I654"")+IMPORTRANGE(""https://docs.google.com/spreadsheets/d/1lOVebEIsI9qjGXl6EX66luk7wiuP2tBaryw-wKvv4e0/edit?usp=sharing"",""แพร่!I654"")+IMPORTRANGE(""https://docs.google.com/spreadshe"&amp;"ets/d/1dQrvX0vEcN7Gu0fnZ0B5S90AeR19zth4XlExFBeExMY/edit?usp=sharing"",""แม่ฮ่องสอน!I654"")+IMPORTRANGE(""https://docs.google.com/spreadsheets/d/1DY4XTNNwjluuxqdfdn6qvOSlMRrZqUtmYcZR0ttFiG4/edit?usp=sharing"",""ลำปาง!I654"")+IMPORTRANGE(""https://docs.goog"&amp;"le.com/spreadsheets/d/1ICwG78r0OFT8biBlxnBF8r7she7gNSzOvJ958PWT09c/edit?usp=sharing"",""ลำพูน!I654"")+IMPORTRANGE(""https://docs.google.com/spreadsheets/d/1B0f2xJpZUC6Z0xXnqKlZtEPzsf6L84eP1r1Q15seqRM/edit?usp=sharing"",""สุโขทัย!I654"")+IMPORTRANGE(""http"&amp;"s://docs.google.com/spreadsheets/d/1v0b9pFQCsKUVExMei7AgY2yQkdeNQvtOssygGsXbiKo/edit?usp=sharing"",""อุตรดิตถ์!I654"")+IMPORTRANGE(""https://docs.google.com/spreadsheets/d/1UsNK1e-WWiCo2PvGqdNfdme4m17_Ezd3J69EeeiQPD0/edit?usp=sharing"",""อุทัยธานี!I654"")"),2370)</f>
        <v>2370</v>
      </c>
      <c r="J654" s="147">
        <f ca="1">J657+J660</f>
        <v>478.44</v>
      </c>
      <c r="K654" s="132">
        <f t="shared" ca="1" si="467"/>
        <v>20.1873417721519</v>
      </c>
      <c r="L654" s="45"/>
      <c r="M654" s="45"/>
      <c r="N654" s="416"/>
      <c r="O654" s="45"/>
      <c r="P654" s="45"/>
      <c r="Q654" s="45"/>
      <c r="R654" s="45"/>
      <c r="S654" s="45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167">
        <f ca="1">IFERROR(__xludf.DUMMYFUNCTION("IMPORTRANGE(""https://docs.google.com/spreadsheets/d/1jTcq05yEiRwXcBMLjiodW9e4biSGYWAHcDj22rKWQ3s/edit?usp=sharing"",""กำแพงเพชร!J655"")+IMPORTRANGE(""https://docs.google.com/spreadsheets/d/1KS0zmDSZPk8KnTAbGN-Xk6MtX1YRZD0ldgdt20K4CRk/edit?usp=sharing"","&amp;"""เชียงราย!J655"")+IMPORTRANGE(""https://docs.google.com/spreadsheets/d/1rEDxBtusbi64tE0zunoIbsTVV16HeL0oJ6trHQeQ7K8/edit?usp=sharing"",""เชียงใหม่!J655"")+IMPORTRANGE(""https://docs.google.com/spreadsheets/d/1W6MnUbDkMi6xHnHko_XkFDO9kkuL6Wqyc-6OCDFjW9I/e"&amp;"dit?usp=sharing"",""ตาก!J655"")+IMPORTRANGE(""https://docs.google.com/spreadsheets/d/1IQAWArduLkta9LpYo4a_ULsyqdta6-6aDDiwpUnQT6c/edit?usp=sharing"",""นครสวรรค์!J655"")+IMPORTRANGE(""https://docs.google.com/spreadsheets/d/10s13Sk5xrltsiR-Zkbmk5DwIaDIKO8Xl"&amp;"bJAfqyT7Gvg/edit?usp=sharing"",""น่าน!J655"")+IMPORTRANGE(""https://docs.google.com/spreadsheets/d/1uu4nAn4Dbi1XREnLKKotUANlKXa7yCgRcgq8HEzQYW8/edit?usp=sharing"",""พะเยา!J655"")+IMPORTRANGE(""https://docs.google.com/spreadsheets/d/1xfJKIQxVOaPDIICqsflNlL"&amp;"u3JacTDk1FP9RH4phX7mI/edit?usp=sharing"",""พิจิตร!J655"")+IMPORTRANGE(""https://docs.google.com/spreadsheets/d/1JtRfZkJMHtEhI5RdRHxYUG4FIZHqKDpNyIuN7A1Q0_k/edit?usp=sharing"",""พิษณุโลก!J655"")+IMPORTRANGE(""https://docs.google.com/spreadsheets/d/1xlcVZWU"&amp;"Nn6SuWm0c307h32SiGkd9BaeQWlAktfD3KO8/edit?usp=sharing"",""เพชรบูรณ์!J655"")+IMPORTRANGE(""https://docs.google.com/spreadsheets/d/1lOVebEIsI9qjGXl6EX66luk7wiuP2tBaryw-wKvv4e0/edit?usp=sharing"",""แพร่!J655"")+IMPORTRANGE(""https://docs.google.com/spreadshe"&amp;"ets/d/1dQrvX0vEcN7Gu0fnZ0B5S90AeR19zth4XlExFBeExMY/edit?usp=sharing"",""แม่ฮ่องสอน!J655"")+IMPORTRANGE(""https://docs.google.com/spreadsheets/d/1DY4XTNNwjluuxqdfdn6qvOSlMRrZqUtmYcZR0ttFiG4/edit?usp=sharing"",""ลำปาง!J655"")+IMPORTRANGE(""https://docs.goog"&amp;"le.com/spreadsheets/d/1ICwG78r0OFT8biBlxnBF8r7she7gNSzOvJ958PWT09c/edit?usp=sharing"",""ลำพูน!J655"")+IMPORTRANGE(""https://docs.google.com/spreadsheets/d/1B0f2xJpZUC6Z0xXnqKlZtEPzsf6L84eP1r1Q15seqRM/edit?usp=sharing"",""สุโขทัย!J655"")+IMPORTRANGE(""http"&amp;"s://docs.google.com/spreadsheets/d/1v0b9pFQCsKUVExMei7AgY2yQkdeNQvtOssygGsXbiKo/edit?usp=sharing"",""อุตรดิตถ์!J655"")+IMPORTRANGE(""https://docs.google.com/spreadsheets/d/1UsNK1e-WWiCo2PvGqdNfdme4m17_Ezd3J69EeeiQPD0/edit?usp=sharing"",""อุทัยธานี!J655"")"),94)</f>
        <v>94</v>
      </c>
      <c r="K655" s="45"/>
      <c r="L655" s="45"/>
      <c r="M655" s="45"/>
      <c r="N655" s="416"/>
      <c r="O655" s="45"/>
      <c r="P655" s="45"/>
      <c r="Q655" s="45"/>
      <c r="R655" s="45"/>
      <c r="S655" s="45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167">
        <f ca="1">IFERROR(__xludf.DUMMYFUNCTION("IMPORTRANGE(""https://docs.google.com/spreadsheets/d/1jTcq05yEiRwXcBMLjiodW9e4biSGYWAHcDj22rKWQ3s/edit?usp=sharing"",""กำแพงเพชร!J656"")+IMPORTRANGE(""https://docs.google.com/spreadsheets/d/1KS0zmDSZPk8KnTAbGN-Xk6MtX1YRZD0ldgdt20K4CRk/edit?usp=sharing"","&amp;"""เชียงราย!J656"")+IMPORTRANGE(""https://docs.google.com/spreadsheets/d/1rEDxBtusbi64tE0zunoIbsTVV16HeL0oJ6trHQeQ7K8/edit?usp=sharing"",""เชียงใหม่!J656"")+IMPORTRANGE(""https://docs.google.com/spreadsheets/d/1W6MnUbDkMi6xHnHko_XkFDO9kkuL6Wqyc-6OCDFjW9I/e"&amp;"dit?usp=sharing"",""ตาก!J656"")+IMPORTRANGE(""https://docs.google.com/spreadsheets/d/1IQAWArduLkta9LpYo4a_ULsyqdta6-6aDDiwpUnQT6c/edit?usp=sharing"",""นครสวรรค์!J656"")+IMPORTRANGE(""https://docs.google.com/spreadsheets/d/10s13Sk5xrltsiR-Zkbmk5DwIaDIKO8Xl"&amp;"bJAfqyT7Gvg/edit?usp=sharing"",""น่าน!J656"")+IMPORTRANGE(""https://docs.google.com/spreadsheets/d/1uu4nAn4Dbi1XREnLKKotUANlKXa7yCgRcgq8HEzQYW8/edit?usp=sharing"",""พะเยา!J656"")+IMPORTRANGE(""https://docs.google.com/spreadsheets/d/1xfJKIQxVOaPDIICqsflNlL"&amp;"u3JacTDk1FP9RH4phX7mI/edit?usp=sharing"",""พิจิตร!J656"")+IMPORTRANGE(""https://docs.google.com/spreadsheets/d/1JtRfZkJMHtEhI5RdRHxYUG4FIZHqKDpNyIuN7A1Q0_k/edit?usp=sharing"",""พิษณุโลก!J656"")+IMPORTRANGE(""https://docs.google.com/spreadsheets/d/1xlcVZWU"&amp;"Nn6SuWm0c307h32SiGkd9BaeQWlAktfD3KO8/edit?usp=sharing"",""เพชรบูรณ์!J656"")+IMPORTRANGE(""https://docs.google.com/spreadsheets/d/1lOVebEIsI9qjGXl6EX66luk7wiuP2tBaryw-wKvv4e0/edit?usp=sharing"",""แพร่!J656"")+IMPORTRANGE(""https://docs.google.com/spreadshe"&amp;"ets/d/1dQrvX0vEcN7Gu0fnZ0B5S90AeR19zth4XlExFBeExMY/edit?usp=sharing"",""แม่ฮ่องสอน!J656"")+IMPORTRANGE(""https://docs.google.com/spreadsheets/d/1DY4XTNNwjluuxqdfdn6qvOSlMRrZqUtmYcZR0ttFiG4/edit?usp=sharing"",""ลำปาง!J656"")+IMPORTRANGE(""https://docs.goog"&amp;"le.com/spreadsheets/d/1ICwG78r0OFT8biBlxnBF8r7she7gNSzOvJ958PWT09c/edit?usp=sharing"",""ลำพูน!J656"")+IMPORTRANGE(""https://docs.google.com/spreadsheets/d/1B0f2xJpZUC6Z0xXnqKlZtEPzsf6L84eP1r1Q15seqRM/edit?usp=sharing"",""สุโขทัย!J656"")+IMPORTRANGE(""http"&amp;"s://docs.google.com/spreadsheets/d/1v0b9pFQCsKUVExMei7AgY2yQkdeNQvtOssygGsXbiKo/edit?usp=sharing"",""อุตรดิตถ์!J656"")+IMPORTRANGE(""https://docs.google.com/spreadsheets/d/1UsNK1e-WWiCo2PvGqdNfdme4m17_Ezd3J69EeeiQPD0/edit?usp=sharing"",""อุทัยธานี!J656"")"),101)</f>
        <v>101</v>
      </c>
      <c r="K656" s="45"/>
      <c r="L656" s="45"/>
      <c r="M656" s="45"/>
      <c r="N656" s="416"/>
      <c r="O656" s="45"/>
      <c r="P656" s="45"/>
      <c r="Q656" s="45"/>
      <c r="R656" s="45"/>
      <c r="S656" s="45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415">
        <f ca="1">IFERROR(__xludf.DUMMYFUNCTION("IMPORTRANGE(""https://docs.google.com/spreadsheets/d/1jTcq05yEiRwXcBMLjiodW9e4biSGYWAHcDj22rKWQ3s/edit?usp=sharing"",""กำแพงเพชร!I657"")+IMPORTRANGE(""https://docs.google.com/spreadsheets/d/1KS0zmDSZPk8KnTAbGN-Xk6MtX1YRZD0ldgdt20K4CRk/edit?usp=sharing"","&amp;"""เชียงราย!I657"")+IMPORTRANGE(""https://docs.google.com/spreadsheets/d/1rEDxBtusbi64tE0zunoIbsTVV16HeL0oJ6trHQeQ7K8/edit?usp=sharing"",""เชียงใหม่!I657"")+IMPORTRANGE(""https://docs.google.com/spreadsheets/d/1W6MnUbDkMi6xHnHko_XkFDO9kkuL6Wqyc-6OCDFjW9I/e"&amp;"dit?usp=sharing"",""ตาก!I657"")+IMPORTRANGE(""https://docs.google.com/spreadsheets/d/1IQAWArduLkta9LpYo4a_ULsyqdta6-6aDDiwpUnQT6c/edit?usp=sharing"",""นครสวรรค์!I657"")+IMPORTRANGE(""https://docs.google.com/spreadsheets/d/10s13Sk5xrltsiR-Zkbmk5DwIaDIKO8Xl"&amp;"bJAfqyT7Gvg/edit?usp=sharing"",""น่าน!I657"")+IMPORTRANGE(""https://docs.google.com/spreadsheets/d/1uu4nAn4Dbi1XREnLKKotUANlKXa7yCgRcgq8HEzQYW8/edit?usp=sharing"",""พะเยา!I657"")+IMPORTRANGE(""https://docs.google.com/spreadsheets/d/1xfJKIQxVOaPDIICqsflNlL"&amp;"u3JacTDk1FP9RH4phX7mI/edit?usp=sharing"",""พิจิตร!I657"")+IMPORTRANGE(""https://docs.google.com/spreadsheets/d/1JtRfZkJMHtEhI5RdRHxYUG4FIZHqKDpNyIuN7A1Q0_k/edit?usp=sharing"",""พิษณุโลก!I657"")+IMPORTRANGE(""https://docs.google.com/spreadsheets/d/1xlcVZWU"&amp;"Nn6SuWm0c307h32SiGkd9BaeQWlAktfD3KO8/edit?usp=sharing"",""เพชรบูรณ์!I657"")+IMPORTRANGE(""https://docs.google.com/spreadsheets/d/1lOVebEIsI9qjGXl6EX66luk7wiuP2tBaryw-wKvv4e0/edit?usp=sharing"",""แพร่!I657"")+IMPORTRANGE(""https://docs.google.com/spreadshe"&amp;"ets/d/1dQrvX0vEcN7Gu0fnZ0B5S90AeR19zth4XlExFBeExMY/edit?usp=sharing"",""แม่ฮ่องสอน!I657"")+IMPORTRANGE(""https://docs.google.com/spreadsheets/d/1DY4XTNNwjluuxqdfdn6qvOSlMRrZqUtmYcZR0ttFiG4/edit?usp=sharing"",""ลำปาง!I657"")+IMPORTRANGE(""https://docs.goog"&amp;"le.com/spreadsheets/d/1ICwG78r0OFT8biBlxnBF8r7she7gNSzOvJ958PWT09c/edit?usp=sharing"",""ลำพูน!I657"")+IMPORTRANGE(""https://docs.google.com/spreadsheets/d/1B0f2xJpZUC6Z0xXnqKlZtEPzsf6L84eP1r1Q15seqRM/edit?usp=sharing"",""สุโขทัย!I657"")+IMPORTRANGE(""http"&amp;"s://docs.google.com/spreadsheets/d/1v0b9pFQCsKUVExMei7AgY2yQkdeNQvtOssygGsXbiKo/edit?usp=sharing"",""อุตรดิตถ์!I657"")+IMPORTRANGE(""https://docs.google.com/spreadsheets/d/1UsNK1e-WWiCo2PvGqdNfdme4m17_Ezd3J69EeeiQPD0/edit?usp=sharing"",""อุทัยธานี!I657"")"),1831)</f>
        <v>1831</v>
      </c>
      <c r="J657" s="415">
        <f ca="1">IFERROR(__xludf.DUMMYFUNCTION("IMPORTRANGE(""https://docs.google.com/spreadsheets/d/1jTcq05yEiRwXcBMLjiodW9e4biSGYWAHcDj22rKWQ3s/edit?usp=sharing"",""กำแพงเพชร!J657"")+IMPORTRANGE(""https://docs.google.com/spreadsheets/d/1KS0zmDSZPk8KnTAbGN-Xk6MtX1YRZD0ldgdt20K4CRk/edit?usp=sharing"","&amp;"""เชียงราย!J657"")+IMPORTRANGE(""https://docs.google.com/spreadsheets/d/1rEDxBtusbi64tE0zunoIbsTVV16HeL0oJ6trHQeQ7K8/edit?usp=sharing"",""เชียงใหม่!J657"")+IMPORTRANGE(""https://docs.google.com/spreadsheets/d/1W6MnUbDkMi6xHnHko_XkFDO9kkuL6Wqyc-6OCDFjW9I/e"&amp;"dit?usp=sharing"",""ตาก!J657"")+IMPORTRANGE(""https://docs.google.com/spreadsheets/d/1IQAWArduLkta9LpYo4a_ULsyqdta6-6aDDiwpUnQT6c/edit?usp=sharing"",""นครสวรรค์!J657"")+IMPORTRANGE(""https://docs.google.com/spreadsheets/d/10s13Sk5xrltsiR-Zkbmk5DwIaDIKO8Xl"&amp;"bJAfqyT7Gvg/edit?usp=sharing"",""น่าน!J657"")+IMPORTRANGE(""https://docs.google.com/spreadsheets/d/1uu4nAn4Dbi1XREnLKKotUANlKXa7yCgRcgq8HEzQYW8/edit?usp=sharing"",""พะเยา!J657"")+IMPORTRANGE(""https://docs.google.com/spreadsheets/d/1xfJKIQxVOaPDIICqsflNlL"&amp;"u3JacTDk1FP9RH4phX7mI/edit?usp=sharing"",""พิจิตร!J657"")+IMPORTRANGE(""https://docs.google.com/spreadsheets/d/1JtRfZkJMHtEhI5RdRHxYUG4FIZHqKDpNyIuN7A1Q0_k/edit?usp=sharing"",""พิษณุโลก!J657"")+IMPORTRANGE(""https://docs.google.com/spreadsheets/d/1xlcVZWU"&amp;"Nn6SuWm0c307h32SiGkd9BaeQWlAktfD3KO8/edit?usp=sharing"",""เพชรบูรณ์!J657"")+IMPORTRANGE(""https://docs.google.com/spreadsheets/d/1lOVebEIsI9qjGXl6EX66luk7wiuP2tBaryw-wKvv4e0/edit?usp=sharing"",""แพร่!J657"")+IMPORTRANGE(""https://docs.google.com/spreadshe"&amp;"ets/d/1dQrvX0vEcN7Gu0fnZ0B5S90AeR19zth4XlExFBeExMY/edit?usp=sharing"",""แม่ฮ่องสอน!J657"")+IMPORTRANGE(""https://docs.google.com/spreadsheets/d/1DY4XTNNwjluuxqdfdn6qvOSlMRrZqUtmYcZR0ttFiG4/edit?usp=sharing"",""ลำปาง!J657"")+IMPORTRANGE(""https://docs.goog"&amp;"le.com/spreadsheets/d/1ICwG78r0OFT8biBlxnBF8r7she7gNSzOvJ958PWT09c/edit?usp=sharing"",""ลำพูน!J657"")+IMPORTRANGE(""https://docs.google.com/spreadsheets/d/1B0f2xJpZUC6Z0xXnqKlZtEPzsf6L84eP1r1Q15seqRM/edit?usp=sharing"",""สุโขทัย!J657"")+IMPORTRANGE(""http"&amp;"s://docs.google.com/spreadsheets/d/1v0b9pFQCsKUVExMei7AgY2yQkdeNQvtOssygGsXbiKo/edit?usp=sharing"",""อุตรดิตถ์!J657"")+IMPORTRANGE(""https://docs.google.com/spreadsheets/d/1UsNK1e-WWiCo2PvGqdNfdme4m17_Ezd3J69EeeiQPD0/edit?usp=sharing"",""อุทัยธานี!J657"")"),401.67)</f>
        <v>401.67</v>
      </c>
      <c r="K657" s="45"/>
      <c r="L657" s="45"/>
      <c r="M657" s="45"/>
      <c r="N657" s="416"/>
      <c r="O657" s="45"/>
      <c r="P657" s="45"/>
      <c r="Q657" s="45"/>
      <c r="R657" s="45"/>
      <c r="S657" s="45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167">
        <f ca="1">IFERROR(__xludf.DUMMYFUNCTION("IMPORTRANGE(""https://docs.google.com/spreadsheets/d/1jTcq05yEiRwXcBMLjiodW9e4biSGYWAHcDj22rKWQ3s/edit?usp=sharing"",""กำแพงเพชร!J658"")+IMPORTRANGE(""https://docs.google.com/spreadsheets/d/1KS0zmDSZPk8KnTAbGN-Xk6MtX1YRZD0ldgdt20K4CRk/edit?usp=sharing"","&amp;"""เชียงราย!J658"")+IMPORTRANGE(""https://docs.google.com/spreadsheets/d/1rEDxBtusbi64tE0zunoIbsTVV16HeL0oJ6trHQeQ7K8/edit?usp=sharing"",""เชียงใหม่!J658"")+IMPORTRANGE(""https://docs.google.com/spreadsheets/d/1W6MnUbDkMi6xHnHko_XkFDO9kkuL6Wqyc-6OCDFjW9I/e"&amp;"dit?usp=sharing"",""ตาก!J658"")+IMPORTRANGE(""https://docs.google.com/spreadsheets/d/1IQAWArduLkta9LpYo4a_ULsyqdta6-6aDDiwpUnQT6c/edit?usp=sharing"",""นครสวรรค์!J658"")+IMPORTRANGE(""https://docs.google.com/spreadsheets/d/10s13Sk5xrltsiR-Zkbmk5DwIaDIKO8Xl"&amp;"bJAfqyT7Gvg/edit?usp=sharing"",""น่าน!J658"")+IMPORTRANGE(""https://docs.google.com/spreadsheets/d/1uu4nAn4Dbi1XREnLKKotUANlKXa7yCgRcgq8HEzQYW8/edit?usp=sharing"",""พะเยา!J658"")+IMPORTRANGE(""https://docs.google.com/spreadsheets/d/1xfJKIQxVOaPDIICqsflNlL"&amp;"u3JacTDk1FP9RH4phX7mI/edit?usp=sharing"",""พิจิตร!J658"")+IMPORTRANGE(""https://docs.google.com/spreadsheets/d/1JtRfZkJMHtEhI5RdRHxYUG4FIZHqKDpNyIuN7A1Q0_k/edit?usp=sharing"",""พิษณุโลก!J658"")+IMPORTRANGE(""https://docs.google.com/spreadsheets/d/1xlcVZWU"&amp;"Nn6SuWm0c307h32SiGkd9BaeQWlAktfD3KO8/edit?usp=sharing"",""เพชรบูรณ์!J658"")+IMPORTRANGE(""https://docs.google.com/spreadsheets/d/1lOVebEIsI9qjGXl6EX66luk7wiuP2tBaryw-wKvv4e0/edit?usp=sharing"",""แพร่!J658"")+IMPORTRANGE(""https://docs.google.com/spreadshe"&amp;"ets/d/1dQrvX0vEcN7Gu0fnZ0B5S90AeR19zth4XlExFBeExMY/edit?usp=sharing"",""แม่ฮ่องสอน!J658"")+IMPORTRANGE(""https://docs.google.com/spreadsheets/d/1DY4XTNNwjluuxqdfdn6qvOSlMRrZqUtmYcZR0ttFiG4/edit?usp=sharing"",""ลำปาง!J658"")+IMPORTRANGE(""https://docs.goog"&amp;"le.com/spreadsheets/d/1ICwG78r0OFT8biBlxnBF8r7she7gNSzOvJ958PWT09c/edit?usp=sharing"",""ลำพูน!J658"")+IMPORTRANGE(""https://docs.google.com/spreadsheets/d/1B0f2xJpZUC6Z0xXnqKlZtEPzsf6L84eP1r1Q15seqRM/edit?usp=sharing"",""สุโขทัย!J658"")+IMPORTRANGE(""http"&amp;"s://docs.google.com/spreadsheets/d/1v0b9pFQCsKUVExMei7AgY2yQkdeNQvtOssygGsXbiKo/edit?usp=sharing"",""อุตรดิตถ์!J658"")+IMPORTRANGE(""https://docs.google.com/spreadsheets/d/1UsNK1e-WWiCo2PvGqdNfdme4m17_Ezd3J69EeeiQPD0/edit?usp=sharing"",""อุทัยธานี!J658"")"),4)</f>
        <v>4</v>
      </c>
      <c r="K658" s="45"/>
      <c r="L658" s="45"/>
      <c r="M658" s="45"/>
      <c r="N658" s="416"/>
      <c r="O658" s="45"/>
      <c r="P658" s="45"/>
      <c r="Q658" s="45"/>
      <c r="R658" s="45"/>
      <c r="S658" s="45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167">
        <f ca="1">IFERROR(__xludf.DUMMYFUNCTION("IMPORTRANGE(""https://docs.google.com/spreadsheets/d/1jTcq05yEiRwXcBMLjiodW9e4biSGYWAHcDj22rKWQ3s/edit?usp=sharing"",""กำแพงเพชร!J659"")+IMPORTRANGE(""https://docs.google.com/spreadsheets/d/1KS0zmDSZPk8KnTAbGN-Xk6MtX1YRZD0ldgdt20K4CRk/edit?usp=sharing"","&amp;"""เชียงราย!J659"")+IMPORTRANGE(""https://docs.google.com/spreadsheets/d/1rEDxBtusbi64tE0zunoIbsTVV16HeL0oJ6trHQeQ7K8/edit?usp=sharing"",""เชียงใหม่!J659"")+IMPORTRANGE(""https://docs.google.com/spreadsheets/d/1W6MnUbDkMi6xHnHko_XkFDO9kkuL6Wqyc-6OCDFjW9I/e"&amp;"dit?usp=sharing"",""ตาก!J659"")+IMPORTRANGE(""https://docs.google.com/spreadsheets/d/1IQAWArduLkta9LpYo4a_ULsyqdta6-6aDDiwpUnQT6c/edit?usp=sharing"",""นครสวรรค์!J659"")+IMPORTRANGE(""https://docs.google.com/spreadsheets/d/10s13Sk5xrltsiR-Zkbmk5DwIaDIKO8Xl"&amp;"bJAfqyT7Gvg/edit?usp=sharing"",""น่าน!J659"")+IMPORTRANGE(""https://docs.google.com/spreadsheets/d/1uu4nAn4Dbi1XREnLKKotUANlKXa7yCgRcgq8HEzQYW8/edit?usp=sharing"",""พะเยา!J659"")+IMPORTRANGE(""https://docs.google.com/spreadsheets/d/1xfJKIQxVOaPDIICqsflNlL"&amp;"u3JacTDk1FP9RH4phX7mI/edit?usp=sharing"",""พิจิตร!J659"")+IMPORTRANGE(""https://docs.google.com/spreadsheets/d/1JtRfZkJMHtEhI5RdRHxYUG4FIZHqKDpNyIuN7A1Q0_k/edit?usp=sharing"",""พิษณุโลก!J659"")+IMPORTRANGE(""https://docs.google.com/spreadsheets/d/1xlcVZWU"&amp;"Nn6SuWm0c307h32SiGkd9BaeQWlAktfD3KO8/edit?usp=sharing"",""เพชรบูรณ์!J659"")+IMPORTRANGE(""https://docs.google.com/spreadsheets/d/1lOVebEIsI9qjGXl6EX66luk7wiuP2tBaryw-wKvv4e0/edit?usp=sharing"",""แพร่!J659"")+IMPORTRANGE(""https://docs.google.com/spreadshe"&amp;"ets/d/1dQrvX0vEcN7Gu0fnZ0B5S90AeR19zth4XlExFBeExMY/edit?usp=sharing"",""แม่ฮ่องสอน!J659"")+IMPORTRANGE(""https://docs.google.com/spreadsheets/d/1DY4XTNNwjluuxqdfdn6qvOSlMRrZqUtmYcZR0ttFiG4/edit?usp=sharing"",""ลำปาง!J659"")+IMPORTRANGE(""https://docs.goog"&amp;"le.com/spreadsheets/d/1ICwG78r0OFT8biBlxnBF8r7she7gNSzOvJ958PWT09c/edit?usp=sharing"",""ลำพูน!J659"")+IMPORTRANGE(""https://docs.google.com/spreadsheets/d/1B0f2xJpZUC6Z0xXnqKlZtEPzsf6L84eP1r1Q15seqRM/edit?usp=sharing"",""สุโขทัย!J659"")+IMPORTRANGE(""http"&amp;"s://docs.google.com/spreadsheets/d/1v0b9pFQCsKUVExMei7AgY2yQkdeNQvtOssygGsXbiKo/edit?usp=sharing"",""อุตรดิตถ์!J659"")+IMPORTRANGE(""https://docs.google.com/spreadsheets/d/1UsNK1e-WWiCo2PvGqdNfdme4m17_Ezd3J69EeeiQPD0/edit?usp=sharing"",""อุทัยธานี!J659"")"),4)</f>
        <v>4</v>
      </c>
      <c r="K659" s="45"/>
      <c r="L659" s="45"/>
      <c r="M659" s="45"/>
      <c r="N659" s="416"/>
      <c r="O659" s="45"/>
      <c r="P659" s="45"/>
      <c r="Q659" s="45"/>
      <c r="R659" s="45"/>
      <c r="S659" s="45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415">
        <f ca="1">IFERROR(__xludf.DUMMYFUNCTION("IMPORTRANGE(""https://docs.google.com/spreadsheets/d/1jTcq05yEiRwXcBMLjiodW9e4biSGYWAHcDj22rKWQ3s/edit?usp=sharing"",""กำแพงเพชร!I660"")+IMPORTRANGE(""https://docs.google.com/spreadsheets/d/1KS0zmDSZPk8KnTAbGN-Xk6MtX1YRZD0ldgdt20K4CRk/edit?usp=sharing"","&amp;"""เชียงราย!I660"")+IMPORTRANGE(""https://docs.google.com/spreadsheets/d/1rEDxBtusbi64tE0zunoIbsTVV16HeL0oJ6trHQeQ7K8/edit?usp=sharing"",""เชียงใหม่!I660"")+IMPORTRANGE(""https://docs.google.com/spreadsheets/d/1W6MnUbDkMi6xHnHko_XkFDO9kkuL6Wqyc-6OCDFjW9I/e"&amp;"dit?usp=sharing"",""ตาก!I660"")+IMPORTRANGE(""https://docs.google.com/spreadsheets/d/1IQAWArduLkta9LpYo4a_ULsyqdta6-6aDDiwpUnQT6c/edit?usp=sharing"",""นครสวรรค์!I660"")+IMPORTRANGE(""https://docs.google.com/spreadsheets/d/10s13Sk5xrltsiR-Zkbmk5DwIaDIKO8Xl"&amp;"bJAfqyT7Gvg/edit?usp=sharing"",""น่าน!I660"")+IMPORTRANGE(""https://docs.google.com/spreadsheets/d/1uu4nAn4Dbi1XREnLKKotUANlKXa7yCgRcgq8HEzQYW8/edit?usp=sharing"",""พะเยา!I660"")+IMPORTRANGE(""https://docs.google.com/spreadsheets/d/1xfJKIQxVOaPDIICqsflNlL"&amp;"u3JacTDk1FP9RH4phX7mI/edit?usp=sharing"",""พิจิตร!I660"")+IMPORTRANGE(""https://docs.google.com/spreadsheets/d/1JtRfZkJMHtEhI5RdRHxYUG4FIZHqKDpNyIuN7A1Q0_k/edit?usp=sharing"",""พิษณุโลก!I660"")+IMPORTRANGE(""https://docs.google.com/spreadsheets/d/1xlcVZWU"&amp;"Nn6SuWm0c307h32SiGkd9BaeQWlAktfD3KO8/edit?usp=sharing"",""เพชรบูรณ์!I660"")+IMPORTRANGE(""https://docs.google.com/spreadsheets/d/1lOVebEIsI9qjGXl6EX66luk7wiuP2tBaryw-wKvv4e0/edit?usp=sharing"",""แพร่!I660"")+IMPORTRANGE(""https://docs.google.com/spreadshe"&amp;"ets/d/1dQrvX0vEcN7Gu0fnZ0B5S90AeR19zth4XlExFBeExMY/edit?usp=sharing"",""แม่ฮ่องสอน!I660"")+IMPORTRANGE(""https://docs.google.com/spreadsheets/d/1DY4XTNNwjluuxqdfdn6qvOSlMRrZqUtmYcZR0ttFiG4/edit?usp=sharing"",""ลำปาง!I660"")+IMPORTRANGE(""https://docs.goog"&amp;"le.com/spreadsheets/d/1ICwG78r0OFT8biBlxnBF8r7she7gNSzOvJ958PWT09c/edit?usp=sharing"",""ลำพูน!I660"")+IMPORTRANGE(""https://docs.google.com/spreadsheets/d/1B0f2xJpZUC6Z0xXnqKlZtEPzsf6L84eP1r1Q15seqRM/edit?usp=sharing"",""สุโขทัย!I660"")+IMPORTRANGE(""http"&amp;"s://docs.google.com/spreadsheets/d/1v0b9pFQCsKUVExMei7AgY2yQkdeNQvtOssygGsXbiKo/edit?usp=sharing"",""อุตรดิตถ์!I660"")+IMPORTRANGE(""https://docs.google.com/spreadsheets/d/1UsNK1e-WWiCo2PvGqdNfdme4m17_Ezd3J69EeeiQPD0/edit?usp=sharing"",""อุทัยธานี!I660"")"),539)</f>
        <v>539</v>
      </c>
      <c r="J660" s="418">
        <f ca="1">IFERROR(__xludf.DUMMYFUNCTION("IMPORTRANGE(""https://docs.google.com/spreadsheets/d/1jTcq05yEiRwXcBMLjiodW9e4biSGYWAHcDj22rKWQ3s/edit?usp=sharing"",""กำแพงเพชร!J660"")+IMPORTRANGE(""https://docs.google.com/spreadsheets/d/1KS0zmDSZPk8KnTAbGN-Xk6MtX1YRZD0ldgdt20K4CRk/edit?usp=sharing"","&amp;"""เชียงราย!J660"")+IMPORTRANGE(""https://docs.google.com/spreadsheets/d/1rEDxBtusbi64tE0zunoIbsTVV16HeL0oJ6trHQeQ7K8/edit?usp=sharing"",""เชียงใหม่!J660"")+IMPORTRANGE(""https://docs.google.com/spreadsheets/d/1W6MnUbDkMi6xHnHko_XkFDO9kkuL6Wqyc-6OCDFjW9I/e"&amp;"dit?usp=sharing"",""ตาก!J660"")+IMPORTRANGE(""https://docs.google.com/spreadsheets/d/1IQAWArduLkta9LpYo4a_ULsyqdta6-6aDDiwpUnQT6c/edit?usp=sharing"",""นครสวรรค์!J660"")+IMPORTRANGE(""https://docs.google.com/spreadsheets/d/10s13Sk5xrltsiR-Zkbmk5DwIaDIKO8Xl"&amp;"bJAfqyT7Gvg/edit?usp=sharing"",""น่าน!J660"")+IMPORTRANGE(""https://docs.google.com/spreadsheets/d/1uu4nAn4Dbi1XREnLKKotUANlKXa7yCgRcgq8HEzQYW8/edit?usp=sharing"",""พะเยา!J660"")+IMPORTRANGE(""https://docs.google.com/spreadsheets/d/1xfJKIQxVOaPDIICqsflNlL"&amp;"u3JacTDk1FP9RH4phX7mI/edit?usp=sharing"",""พิจิตร!J660"")+IMPORTRANGE(""https://docs.google.com/spreadsheets/d/1JtRfZkJMHtEhI5RdRHxYUG4FIZHqKDpNyIuN7A1Q0_k/edit?usp=sharing"",""พิษณุโลก!J660"")+IMPORTRANGE(""https://docs.google.com/spreadsheets/d/1xlcVZWU"&amp;"Nn6SuWm0c307h32SiGkd9BaeQWlAktfD3KO8/edit?usp=sharing"",""เพชรบูรณ์!J660"")+IMPORTRANGE(""https://docs.google.com/spreadsheets/d/1lOVebEIsI9qjGXl6EX66luk7wiuP2tBaryw-wKvv4e0/edit?usp=sharing"",""แพร่!J660"")+IMPORTRANGE(""https://docs.google.com/spreadshe"&amp;"ets/d/1dQrvX0vEcN7Gu0fnZ0B5S90AeR19zth4XlExFBeExMY/edit?usp=sharing"",""แม่ฮ่องสอน!J660"")+IMPORTRANGE(""https://docs.google.com/spreadsheets/d/1DY4XTNNwjluuxqdfdn6qvOSlMRrZqUtmYcZR0ttFiG4/edit?usp=sharing"",""ลำปาง!J660"")+IMPORTRANGE(""https://docs.goog"&amp;"le.com/spreadsheets/d/1ICwG78r0OFT8biBlxnBF8r7she7gNSzOvJ958PWT09c/edit?usp=sharing"",""ลำพูน!J660"")+IMPORTRANGE(""https://docs.google.com/spreadsheets/d/1B0f2xJpZUC6Z0xXnqKlZtEPzsf6L84eP1r1Q15seqRM/edit?usp=sharing"",""สุโขทัย!J660"")+IMPORTRANGE(""http"&amp;"s://docs.google.com/spreadsheets/d/1v0b9pFQCsKUVExMei7AgY2yQkdeNQvtOssygGsXbiKo/edit?usp=sharing"",""อุตรดิตถ์!J660"")+IMPORTRANGE(""https://docs.google.com/spreadsheets/d/1UsNK1e-WWiCo2PvGqdNfdme4m17_Ezd3J69EeeiQPD0/edit?usp=sharing"",""อุทัยธานี!J660"")"),76.77)</f>
        <v>76.77</v>
      </c>
      <c r="K660" s="45"/>
      <c r="L660" s="45"/>
      <c r="M660" s="45"/>
      <c r="N660" s="416"/>
      <c r="O660" s="45"/>
      <c r="P660" s="45"/>
      <c r="Q660" s="45"/>
      <c r="R660" s="45"/>
      <c r="S660" s="45"/>
      <c r="T660" s="45"/>
      <c r="U660" s="45"/>
    </row>
    <row r="661" spans="1:21" ht="19.5" x14ac:dyDescent="0.3">
      <c r="A661" s="208"/>
      <c r="B661" s="158"/>
      <c r="C661" s="158"/>
      <c r="D661" s="332" t="s">
        <v>242</v>
      </c>
      <c r="E661" s="40"/>
      <c r="F661" s="40"/>
      <c r="G661" s="42"/>
      <c r="H661" s="411" t="s">
        <v>46</v>
      </c>
      <c r="I661" s="417">
        <f ca="1">IFERROR(__xludf.DUMMYFUNCTION("IMPORTRANGE(""https://docs.google.com/spreadsheets/d/1jTcq05yEiRwXcBMLjiodW9e4biSGYWAHcDj22rKWQ3s/edit?usp=sharing"",""กำแพงเพชร!I661"")+IMPORTRANGE(""https://docs.google.com/spreadsheets/d/1KS0zmDSZPk8KnTAbGN-Xk6MtX1YRZD0ldgdt20K4CRk/edit?usp=sharing"","&amp;"""เชียงราย!I661"")+IMPORTRANGE(""https://docs.google.com/spreadsheets/d/1rEDxBtusbi64tE0zunoIbsTVV16HeL0oJ6trHQeQ7K8/edit?usp=sharing"",""เชียงใหม่!I661"")+IMPORTRANGE(""https://docs.google.com/spreadsheets/d/1W6MnUbDkMi6xHnHko_XkFDO9kkuL6Wqyc-6OCDFjW9I/e"&amp;"dit?usp=sharing"",""ตาก!I661"")+IMPORTRANGE(""https://docs.google.com/spreadsheets/d/1IQAWArduLkta9LpYo4a_ULsyqdta6-6aDDiwpUnQT6c/edit?usp=sharing"",""นครสวรรค์!I661"")+IMPORTRANGE(""https://docs.google.com/spreadsheets/d/10s13Sk5xrltsiR-Zkbmk5DwIaDIKO8Xl"&amp;"bJAfqyT7Gvg/edit?usp=sharing"",""น่าน!I661"")+IMPORTRANGE(""https://docs.google.com/spreadsheets/d/1uu4nAn4Dbi1XREnLKKotUANlKXa7yCgRcgq8HEzQYW8/edit?usp=sharing"",""พะเยา!I661"")+IMPORTRANGE(""https://docs.google.com/spreadsheets/d/1xfJKIQxVOaPDIICqsflNlL"&amp;"u3JacTDk1FP9RH4phX7mI/edit?usp=sharing"",""พิจิตร!I661"")+IMPORTRANGE(""https://docs.google.com/spreadsheets/d/1JtRfZkJMHtEhI5RdRHxYUG4FIZHqKDpNyIuN7A1Q0_k/edit?usp=sharing"",""พิษณุโลก!I661"")+IMPORTRANGE(""https://docs.google.com/spreadsheets/d/1xlcVZWU"&amp;"Nn6SuWm0c307h32SiGkd9BaeQWlAktfD3KO8/edit?usp=sharing"",""เพชรบูรณ์!I661"")+IMPORTRANGE(""https://docs.google.com/spreadsheets/d/1lOVebEIsI9qjGXl6EX66luk7wiuP2tBaryw-wKvv4e0/edit?usp=sharing"",""แพร่!I661"")+IMPORTRANGE(""https://docs.google.com/spreadshe"&amp;"ets/d/1dQrvX0vEcN7Gu0fnZ0B5S90AeR19zth4XlExFBeExMY/edit?usp=sharing"",""แม่ฮ่องสอน!I661"")+IMPORTRANGE(""https://docs.google.com/spreadsheets/d/1DY4XTNNwjluuxqdfdn6qvOSlMRrZqUtmYcZR0ttFiG4/edit?usp=sharing"",""ลำปาง!I661"")+IMPORTRANGE(""https://docs.goog"&amp;"le.com/spreadsheets/d/1ICwG78r0OFT8biBlxnBF8r7she7gNSzOvJ958PWT09c/edit?usp=sharing"",""ลำพูน!I661"")+IMPORTRANGE(""https://docs.google.com/spreadsheets/d/1B0f2xJpZUC6Z0xXnqKlZtEPzsf6L84eP1r1Q15seqRM/edit?usp=sharing"",""สุโขทัย!I661"")+IMPORTRANGE(""http"&amp;"s://docs.google.com/spreadsheets/d/1v0b9pFQCsKUVExMei7AgY2yQkdeNQvtOssygGsXbiKo/edit?usp=sharing"",""อุตรดิตถ์!I661"")+IMPORTRANGE(""https://docs.google.com/spreadsheets/d/1UsNK1e-WWiCo2PvGqdNfdme4m17_Ezd3J69EeeiQPD0/edit?usp=sharing"",""อุทัยธานี!I661"")"),2490)</f>
        <v>2490</v>
      </c>
      <c r="J661" s="147">
        <f ca="1">J667+J670</f>
        <v>586</v>
      </c>
      <c r="K661" s="132">
        <f ca="1">IF(I661&gt;0,J661*100/I661,0)</f>
        <v>23.53413654618474</v>
      </c>
      <c r="L661" s="45"/>
      <c r="M661" s="45"/>
      <c r="N661" s="416"/>
      <c r="O661" s="45"/>
      <c r="P661" s="45"/>
      <c r="Q661" s="45"/>
      <c r="R661" s="45"/>
      <c r="S661" s="45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167">
        <f ca="1">IFERROR(__xludf.DUMMYFUNCTION("IMPORTRANGE(""https://docs.google.com/spreadsheets/d/1jTcq05yEiRwXcBMLjiodW9e4biSGYWAHcDj22rKWQ3s/edit?usp=sharing"",""กำแพงเพชร!J662"")+IMPORTRANGE(""https://docs.google.com/spreadsheets/d/1KS0zmDSZPk8KnTAbGN-Xk6MtX1YRZD0ldgdt20K4CRk/edit?usp=sharing"","&amp;"""เชียงราย!J662"")+IMPORTRANGE(""https://docs.google.com/spreadsheets/d/1rEDxBtusbi64tE0zunoIbsTVV16HeL0oJ6trHQeQ7K8/edit?usp=sharing"",""เชียงใหม่!J662"")+IMPORTRANGE(""https://docs.google.com/spreadsheets/d/1W6MnUbDkMi6xHnHko_XkFDO9kkuL6Wqyc-6OCDFjW9I/e"&amp;"dit?usp=sharing"",""ตาก!J662"")+IMPORTRANGE(""https://docs.google.com/spreadsheets/d/1IQAWArduLkta9LpYo4a_ULsyqdta6-6aDDiwpUnQT6c/edit?usp=sharing"",""นครสวรรค์!J662"")+IMPORTRANGE(""https://docs.google.com/spreadsheets/d/10s13Sk5xrltsiR-Zkbmk5DwIaDIKO8Xl"&amp;"bJAfqyT7Gvg/edit?usp=sharing"",""น่าน!J662"")+IMPORTRANGE(""https://docs.google.com/spreadsheets/d/1uu4nAn4Dbi1XREnLKKotUANlKXa7yCgRcgq8HEzQYW8/edit?usp=sharing"",""พะเยา!J662"")+IMPORTRANGE(""https://docs.google.com/spreadsheets/d/1xfJKIQxVOaPDIICqsflNlL"&amp;"u3JacTDk1FP9RH4phX7mI/edit?usp=sharing"",""พิจิตร!J662"")+IMPORTRANGE(""https://docs.google.com/spreadsheets/d/1JtRfZkJMHtEhI5RdRHxYUG4FIZHqKDpNyIuN7A1Q0_k/edit?usp=sharing"",""พิษณุโลก!J662"")+IMPORTRANGE(""https://docs.google.com/spreadsheets/d/1xlcVZWU"&amp;"Nn6SuWm0c307h32SiGkd9BaeQWlAktfD3KO8/edit?usp=sharing"",""เพชรบูรณ์!J662"")+IMPORTRANGE(""https://docs.google.com/spreadsheets/d/1lOVebEIsI9qjGXl6EX66luk7wiuP2tBaryw-wKvv4e0/edit?usp=sharing"",""แพร่!J662"")+IMPORTRANGE(""https://docs.google.com/spreadshe"&amp;"ets/d/1dQrvX0vEcN7Gu0fnZ0B5S90AeR19zth4XlExFBeExMY/edit?usp=sharing"",""แม่ฮ่องสอน!J662"")+IMPORTRANGE(""https://docs.google.com/spreadsheets/d/1DY4XTNNwjluuxqdfdn6qvOSlMRrZqUtmYcZR0ttFiG4/edit?usp=sharing"",""ลำปาง!J662"")+IMPORTRANGE(""https://docs.goog"&amp;"le.com/spreadsheets/d/1ICwG78r0OFT8biBlxnBF8r7she7gNSzOvJ958PWT09c/edit?usp=sharing"",""ลำพูน!J662"")+IMPORTRANGE(""https://docs.google.com/spreadsheets/d/1B0f2xJpZUC6Z0xXnqKlZtEPzsf6L84eP1r1Q15seqRM/edit?usp=sharing"",""สุโขทัย!J662"")+IMPORTRANGE(""http"&amp;"s://docs.google.com/spreadsheets/d/1v0b9pFQCsKUVExMei7AgY2yQkdeNQvtOssygGsXbiKo/edit?usp=sharing"",""อุตรดิตถ์!J662"")+IMPORTRANGE(""https://docs.google.com/spreadsheets/d/1UsNK1e-WWiCo2PvGqdNfdme4m17_Ezd3J69EeeiQPD0/edit?usp=sharing"",""อุทัยธานี!J662"")"),3)</f>
        <v>3</v>
      </c>
      <c r="K662" s="45"/>
      <c r="L662" s="416"/>
      <c r="M662" s="416"/>
      <c r="N662" s="416"/>
      <c r="O662" s="45"/>
      <c r="P662" s="45"/>
      <c r="Q662" s="416"/>
      <c r="R662" s="416"/>
      <c r="S662" s="416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167">
        <f ca="1">IFERROR(__xludf.DUMMYFUNCTION("IMPORTRANGE(""https://docs.google.com/spreadsheets/d/1jTcq05yEiRwXcBMLjiodW9e4biSGYWAHcDj22rKWQ3s/edit?usp=sharing"",""กำแพงเพชร!J663"")+IMPORTRANGE(""https://docs.google.com/spreadsheets/d/1KS0zmDSZPk8KnTAbGN-Xk6MtX1YRZD0ldgdt20K4CRk/edit?usp=sharing"","&amp;"""เชียงราย!J663"")+IMPORTRANGE(""https://docs.google.com/spreadsheets/d/1rEDxBtusbi64tE0zunoIbsTVV16HeL0oJ6trHQeQ7K8/edit?usp=sharing"",""เชียงใหม่!J663"")+IMPORTRANGE(""https://docs.google.com/spreadsheets/d/1W6MnUbDkMi6xHnHko_XkFDO9kkuL6Wqyc-6OCDFjW9I/e"&amp;"dit?usp=sharing"",""ตาก!J663"")+IMPORTRANGE(""https://docs.google.com/spreadsheets/d/1IQAWArduLkta9LpYo4a_ULsyqdta6-6aDDiwpUnQT6c/edit?usp=sharing"",""นครสวรรค์!J663"")+IMPORTRANGE(""https://docs.google.com/spreadsheets/d/10s13Sk5xrltsiR-Zkbmk5DwIaDIKO8Xl"&amp;"bJAfqyT7Gvg/edit?usp=sharing"",""น่าน!J663"")+IMPORTRANGE(""https://docs.google.com/spreadsheets/d/1uu4nAn4Dbi1XREnLKKotUANlKXa7yCgRcgq8HEzQYW8/edit?usp=sharing"",""พะเยา!J663"")+IMPORTRANGE(""https://docs.google.com/spreadsheets/d/1xfJKIQxVOaPDIICqsflNlL"&amp;"u3JacTDk1FP9RH4phX7mI/edit?usp=sharing"",""พิจิตร!J663"")+IMPORTRANGE(""https://docs.google.com/spreadsheets/d/1JtRfZkJMHtEhI5RdRHxYUG4FIZHqKDpNyIuN7A1Q0_k/edit?usp=sharing"",""พิษณุโลก!J663"")+IMPORTRANGE(""https://docs.google.com/spreadsheets/d/1xlcVZWU"&amp;"Nn6SuWm0c307h32SiGkd9BaeQWlAktfD3KO8/edit?usp=sharing"",""เพชรบูรณ์!J663"")+IMPORTRANGE(""https://docs.google.com/spreadsheets/d/1lOVebEIsI9qjGXl6EX66luk7wiuP2tBaryw-wKvv4e0/edit?usp=sharing"",""แพร่!J663"")+IMPORTRANGE(""https://docs.google.com/spreadshe"&amp;"ets/d/1dQrvX0vEcN7Gu0fnZ0B5S90AeR19zth4XlExFBeExMY/edit?usp=sharing"",""แม่ฮ่องสอน!J663"")+IMPORTRANGE(""https://docs.google.com/spreadsheets/d/1DY4XTNNwjluuxqdfdn6qvOSlMRrZqUtmYcZR0ttFiG4/edit?usp=sharing"",""ลำปาง!J663"")+IMPORTRANGE(""https://docs.goog"&amp;"le.com/spreadsheets/d/1ICwG78r0OFT8biBlxnBF8r7she7gNSzOvJ958PWT09c/edit?usp=sharing"",""ลำพูน!J663"")+IMPORTRANGE(""https://docs.google.com/spreadsheets/d/1B0f2xJpZUC6Z0xXnqKlZtEPzsf6L84eP1r1Q15seqRM/edit?usp=sharing"",""สุโขทัย!J663"")+IMPORTRANGE(""http"&amp;"s://docs.google.com/spreadsheets/d/1v0b9pFQCsKUVExMei7AgY2yQkdeNQvtOssygGsXbiKo/edit?usp=sharing"",""อุตรดิตถ์!J663"")+IMPORTRANGE(""https://docs.google.com/spreadsheets/d/1UsNK1e-WWiCo2PvGqdNfdme4m17_Ezd3J69EeeiQPD0/edit?usp=sharing"",""อุทัยธานี!J663"")"),64)</f>
        <v>64</v>
      </c>
      <c r="K663" s="45"/>
      <c r="L663" s="416"/>
      <c r="M663" s="416"/>
      <c r="N663" s="416"/>
      <c r="O663" s="45"/>
      <c r="P663" s="45"/>
      <c r="Q663" s="416"/>
      <c r="R663" s="416"/>
      <c r="S663" s="416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416"/>
      <c r="M664" s="416"/>
      <c r="N664" s="416"/>
      <c r="O664" s="45"/>
      <c r="P664" s="45"/>
      <c r="Q664" s="416"/>
      <c r="R664" s="416"/>
      <c r="S664" s="416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167">
        <f ca="1">IFERROR(__xludf.DUMMYFUNCTION("IMPORTRANGE(""https://docs.google.com/spreadsheets/d/1jTcq05yEiRwXcBMLjiodW9e4biSGYWAHcDj22rKWQ3s/edit?usp=sharing"",""กำแพงเพชร!J665"")+IMPORTRANGE(""https://docs.google.com/spreadsheets/d/1KS0zmDSZPk8KnTAbGN-Xk6MtX1YRZD0ldgdt20K4CRk/edit?usp=sharing"","&amp;"""เชียงราย!J665"")+IMPORTRANGE(""https://docs.google.com/spreadsheets/d/1rEDxBtusbi64tE0zunoIbsTVV16HeL0oJ6trHQeQ7K8/edit?usp=sharing"",""เชียงใหม่!J665"")+IMPORTRANGE(""https://docs.google.com/spreadsheets/d/1W6MnUbDkMi6xHnHko_XkFDO9kkuL6Wqyc-6OCDFjW9I/e"&amp;"dit?usp=sharing"",""ตาก!J665"")+IMPORTRANGE(""https://docs.google.com/spreadsheets/d/1IQAWArduLkta9LpYo4a_ULsyqdta6-6aDDiwpUnQT6c/edit?usp=sharing"",""นครสวรรค์!J665"")+IMPORTRANGE(""https://docs.google.com/spreadsheets/d/10s13Sk5xrltsiR-Zkbmk5DwIaDIKO8Xl"&amp;"bJAfqyT7Gvg/edit?usp=sharing"",""น่าน!J665"")+IMPORTRANGE(""https://docs.google.com/spreadsheets/d/1uu4nAn4Dbi1XREnLKKotUANlKXa7yCgRcgq8HEzQYW8/edit?usp=sharing"",""พะเยา!J665"")+IMPORTRANGE(""https://docs.google.com/spreadsheets/d/1xfJKIQxVOaPDIICqsflNlL"&amp;"u3JacTDk1FP9RH4phX7mI/edit?usp=sharing"",""พิจิตร!J665"")+IMPORTRANGE(""https://docs.google.com/spreadsheets/d/1JtRfZkJMHtEhI5RdRHxYUG4FIZHqKDpNyIuN7A1Q0_k/edit?usp=sharing"",""พิษณุโลก!J665"")+IMPORTRANGE(""https://docs.google.com/spreadsheets/d/1xlcVZWU"&amp;"Nn6SuWm0c307h32SiGkd9BaeQWlAktfD3KO8/edit?usp=sharing"",""เพชรบูรณ์!J665"")+IMPORTRANGE(""https://docs.google.com/spreadsheets/d/1lOVebEIsI9qjGXl6EX66luk7wiuP2tBaryw-wKvv4e0/edit?usp=sharing"",""แพร่!J665"")+IMPORTRANGE(""https://docs.google.com/spreadshe"&amp;"ets/d/1dQrvX0vEcN7Gu0fnZ0B5S90AeR19zth4XlExFBeExMY/edit?usp=sharing"",""แม่ฮ่องสอน!J665"")+IMPORTRANGE(""https://docs.google.com/spreadsheets/d/1DY4XTNNwjluuxqdfdn6qvOSlMRrZqUtmYcZR0ttFiG4/edit?usp=sharing"",""ลำปาง!J665"")+IMPORTRANGE(""https://docs.goog"&amp;"le.com/spreadsheets/d/1ICwG78r0OFT8biBlxnBF8r7she7gNSzOvJ958PWT09c/edit?usp=sharing"",""ลำพูน!J665"")+IMPORTRANGE(""https://docs.google.com/spreadsheets/d/1B0f2xJpZUC6Z0xXnqKlZtEPzsf6L84eP1r1Q15seqRM/edit?usp=sharing"",""สุโขทัย!J665"")+IMPORTRANGE(""http"&amp;"s://docs.google.com/spreadsheets/d/1v0b9pFQCsKUVExMei7AgY2yQkdeNQvtOssygGsXbiKo/edit?usp=sharing"",""อุตรดิตถ์!J665"")+IMPORTRANGE(""https://docs.google.com/spreadsheets/d/1UsNK1e-WWiCo2PvGqdNfdme4m17_Ezd3J69EeeiQPD0/edit?usp=sharing"",""อุทัยธานี!J665"")"),65)</f>
        <v>65</v>
      </c>
      <c r="K665" s="45"/>
      <c r="L665" s="416"/>
      <c r="M665" s="416"/>
      <c r="N665" s="416"/>
      <c r="O665" s="45"/>
      <c r="P665" s="45"/>
      <c r="Q665" s="416"/>
      <c r="R665" s="416"/>
      <c r="S665" s="416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167">
        <f ca="1">IFERROR(__xludf.DUMMYFUNCTION("IMPORTRANGE(""https://docs.google.com/spreadsheets/d/1jTcq05yEiRwXcBMLjiodW9e4biSGYWAHcDj22rKWQ3s/edit?usp=sharing"",""กำแพงเพชร!J666"")+IMPORTRANGE(""https://docs.google.com/spreadsheets/d/1KS0zmDSZPk8KnTAbGN-Xk6MtX1YRZD0ldgdt20K4CRk/edit?usp=sharing"","&amp;"""เชียงราย!J666"")+IMPORTRANGE(""https://docs.google.com/spreadsheets/d/1rEDxBtusbi64tE0zunoIbsTVV16HeL0oJ6trHQeQ7K8/edit?usp=sharing"",""เชียงใหม่!J666"")+IMPORTRANGE(""https://docs.google.com/spreadsheets/d/1W6MnUbDkMi6xHnHko_XkFDO9kkuL6Wqyc-6OCDFjW9I/e"&amp;"dit?usp=sharing"",""ตาก!J666"")+IMPORTRANGE(""https://docs.google.com/spreadsheets/d/1IQAWArduLkta9LpYo4a_ULsyqdta6-6aDDiwpUnQT6c/edit?usp=sharing"",""นครสวรรค์!J666"")+IMPORTRANGE(""https://docs.google.com/spreadsheets/d/10s13Sk5xrltsiR-Zkbmk5DwIaDIKO8Xl"&amp;"bJAfqyT7Gvg/edit?usp=sharing"",""น่าน!J666"")+IMPORTRANGE(""https://docs.google.com/spreadsheets/d/1uu4nAn4Dbi1XREnLKKotUANlKXa7yCgRcgq8HEzQYW8/edit?usp=sharing"",""พะเยา!J666"")+IMPORTRANGE(""https://docs.google.com/spreadsheets/d/1xfJKIQxVOaPDIICqsflNlL"&amp;"u3JacTDk1FP9RH4phX7mI/edit?usp=sharing"",""พิจิตร!J666"")+IMPORTRANGE(""https://docs.google.com/spreadsheets/d/1JtRfZkJMHtEhI5RdRHxYUG4FIZHqKDpNyIuN7A1Q0_k/edit?usp=sharing"",""พิษณุโลก!J666"")+IMPORTRANGE(""https://docs.google.com/spreadsheets/d/1xlcVZWU"&amp;"Nn6SuWm0c307h32SiGkd9BaeQWlAktfD3KO8/edit?usp=sharing"",""เพชรบูรณ์!J666"")+IMPORTRANGE(""https://docs.google.com/spreadsheets/d/1lOVebEIsI9qjGXl6EX66luk7wiuP2tBaryw-wKvv4e0/edit?usp=sharing"",""แพร่!J666"")+IMPORTRANGE(""https://docs.google.com/spreadshe"&amp;"ets/d/1dQrvX0vEcN7Gu0fnZ0B5S90AeR19zth4XlExFBeExMY/edit?usp=sharing"",""แม่ฮ่องสอน!J666"")+IMPORTRANGE(""https://docs.google.com/spreadsheets/d/1DY4XTNNwjluuxqdfdn6qvOSlMRrZqUtmYcZR0ttFiG4/edit?usp=sharing"",""ลำปาง!J666"")+IMPORTRANGE(""https://docs.goog"&amp;"le.com/spreadsheets/d/1ICwG78r0OFT8biBlxnBF8r7she7gNSzOvJ958PWT09c/edit?usp=sharing"",""ลำพูน!J666"")+IMPORTRANGE(""https://docs.google.com/spreadsheets/d/1B0f2xJpZUC6Z0xXnqKlZtEPzsf6L84eP1r1Q15seqRM/edit?usp=sharing"",""สุโขทัย!J666"")+IMPORTRANGE(""http"&amp;"s://docs.google.com/spreadsheets/d/1v0b9pFQCsKUVExMei7AgY2yQkdeNQvtOssygGsXbiKo/edit?usp=sharing"",""อุตรดิตถ์!J666"")+IMPORTRANGE(""https://docs.google.com/spreadsheets/d/1UsNK1e-WWiCo2PvGqdNfdme4m17_Ezd3J69EeeiQPD0/edit?usp=sharing"",""อุทัยธานี!J666"")"),66)</f>
        <v>66</v>
      </c>
      <c r="K666" s="45"/>
      <c r="L666" s="416"/>
      <c r="M666" s="416"/>
      <c r="N666" s="416"/>
      <c r="O666" s="45"/>
      <c r="P666" s="45"/>
      <c r="Q666" s="416"/>
      <c r="R666" s="416"/>
      <c r="S666" s="416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167">
        <f ca="1">IFERROR(__xludf.DUMMYFUNCTION("IMPORTRANGE(""https://docs.google.com/spreadsheets/d/1jTcq05yEiRwXcBMLjiodW9e4biSGYWAHcDj22rKWQ3s/edit?usp=sharing"",""กำแพงเพชร!J667"")+IMPORTRANGE(""https://docs.google.com/spreadsheets/d/1KS0zmDSZPk8KnTAbGN-Xk6MtX1YRZD0ldgdt20K4CRk/edit?usp=sharing"","&amp;"""เชียงราย!J667"")+IMPORTRANGE(""https://docs.google.com/spreadsheets/d/1rEDxBtusbi64tE0zunoIbsTVV16HeL0oJ6trHQeQ7K8/edit?usp=sharing"",""เชียงใหม่!J667"")+IMPORTRANGE(""https://docs.google.com/spreadsheets/d/1W6MnUbDkMi6xHnHko_XkFDO9kkuL6Wqyc-6OCDFjW9I/e"&amp;"dit?usp=sharing"",""ตาก!J667"")+IMPORTRANGE(""https://docs.google.com/spreadsheets/d/1IQAWArduLkta9LpYo4a_ULsyqdta6-6aDDiwpUnQT6c/edit?usp=sharing"",""นครสวรรค์!J667"")+IMPORTRANGE(""https://docs.google.com/spreadsheets/d/10s13Sk5xrltsiR-Zkbmk5DwIaDIKO8Xl"&amp;"bJAfqyT7Gvg/edit?usp=sharing"",""น่าน!J667"")+IMPORTRANGE(""https://docs.google.com/spreadsheets/d/1uu4nAn4Dbi1XREnLKKotUANlKXa7yCgRcgq8HEzQYW8/edit?usp=sharing"",""พะเยา!J667"")+IMPORTRANGE(""https://docs.google.com/spreadsheets/d/1xfJKIQxVOaPDIICqsflNlL"&amp;"u3JacTDk1FP9RH4phX7mI/edit?usp=sharing"",""พิจิตร!J667"")+IMPORTRANGE(""https://docs.google.com/spreadsheets/d/1JtRfZkJMHtEhI5RdRHxYUG4FIZHqKDpNyIuN7A1Q0_k/edit?usp=sharing"",""พิษณุโลก!J667"")+IMPORTRANGE(""https://docs.google.com/spreadsheets/d/1xlcVZWU"&amp;"Nn6SuWm0c307h32SiGkd9BaeQWlAktfD3KO8/edit?usp=sharing"",""เพชรบูรณ์!J667"")+IMPORTRANGE(""https://docs.google.com/spreadsheets/d/1lOVebEIsI9qjGXl6EX66luk7wiuP2tBaryw-wKvv4e0/edit?usp=sharing"",""แพร่!J667"")+IMPORTRANGE(""https://docs.google.com/spreadshe"&amp;"ets/d/1dQrvX0vEcN7Gu0fnZ0B5S90AeR19zth4XlExFBeExMY/edit?usp=sharing"",""แม่ฮ่องสอน!J667"")+IMPORTRANGE(""https://docs.google.com/spreadsheets/d/1DY4XTNNwjluuxqdfdn6qvOSlMRrZqUtmYcZR0ttFiG4/edit?usp=sharing"",""ลำปาง!J667"")+IMPORTRANGE(""https://docs.goog"&amp;"le.com/spreadsheets/d/1ICwG78r0OFT8biBlxnBF8r7she7gNSzOvJ958PWT09c/edit?usp=sharing"",""ลำพูน!J667"")+IMPORTRANGE(""https://docs.google.com/spreadsheets/d/1B0f2xJpZUC6Z0xXnqKlZtEPzsf6L84eP1r1Q15seqRM/edit?usp=sharing"",""สุโขทัย!J667"")+IMPORTRANGE(""http"&amp;"s://docs.google.com/spreadsheets/d/1v0b9pFQCsKUVExMei7AgY2yQkdeNQvtOssygGsXbiKo/edit?usp=sharing"",""อุตรดิตถ์!J667"")+IMPORTRANGE(""https://docs.google.com/spreadsheets/d/1UsNK1e-WWiCo2PvGqdNfdme4m17_Ezd3J69EeeiQPD0/edit?usp=sharing"",""อุทัยธานี!J667"")"),586)</f>
        <v>586</v>
      </c>
      <c r="K667" s="45"/>
      <c r="L667" s="416"/>
      <c r="M667" s="416"/>
      <c r="N667" s="416"/>
      <c r="O667" s="45"/>
      <c r="P667" s="45"/>
      <c r="Q667" s="416"/>
      <c r="R667" s="416"/>
      <c r="S667" s="416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167">
        <f ca="1">IFERROR(__xludf.DUMMYFUNCTION("IMPORTRANGE(""https://docs.google.com/spreadsheets/d/1jTcq05yEiRwXcBMLjiodW9e4biSGYWAHcDj22rKWQ3s/edit?usp=sharing"",""กำแพงเพชร!J668"")+IMPORTRANGE(""https://docs.google.com/spreadsheets/d/1KS0zmDSZPk8KnTAbGN-Xk6MtX1YRZD0ldgdt20K4CRk/edit?usp=sharing"","&amp;"""เชียงราย!J668"")+IMPORTRANGE(""https://docs.google.com/spreadsheets/d/1rEDxBtusbi64tE0zunoIbsTVV16HeL0oJ6trHQeQ7K8/edit?usp=sharing"",""เชียงใหม่!J668"")+IMPORTRANGE(""https://docs.google.com/spreadsheets/d/1W6MnUbDkMi6xHnHko_XkFDO9kkuL6Wqyc-6OCDFjW9I/e"&amp;"dit?usp=sharing"",""ตาก!J668"")+IMPORTRANGE(""https://docs.google.com/spreadsheets/d/1IQAWArduLkta9LpYo4a_ULsyqdta6-6aDDiwpUnQT6c/edit?usp=sharing"",""นครสวรรค์!J668"")+IMPORTRANGE(""https://docs.google.com/spreadsheets/d/10s13Sk5xrltsiR-Zkbmk5DwIaDIKO8Xl"&amp;"bJAfqyT7Gvg/edit?usp=sharing"",""น่าน!J668"")+IMPORTRANGE(""https://docs.google.com/spreadsheets/d/1uu4nAn4Dbi1XREnLKKotUANlKXa7yCgRcgq8HEzQYW8/edit?usp=sharing"",""พะเยา!J668"")+IMPORTRANGE(""https://docs.google.com/spreadsheets/d/1xfJKIQxVOaPDIICqsflNlL"&amp;"u3JacTDk1FP9RH4phX7mI/edit?usp=sharing"",""พิจิตร!J668"")+IMPORTRANGE(""https://docs.google.com/spreadsheets/d/1JtRfZkJMHtEhI5RdRHxYUG4FIZHqKDpNyIuN7A1Q0_k/edit?usp=sharing"",""พิษณุโลก!J668"")+IMPORTRANGE(""https://docs.google.com/spreadsheets/d/1xlcVZWU"&amp;"Nn6SuWm0c307h32SiGkd9BaeQWlAktfD3KO8/edit?usp=sharing"",""เพชรบูรณ์!J668"")+IMPORTRANGE(""https://docs.google.com/spreadsheets/d/1lOVebEIsI9qjGXl6EX66luk7wiuP2tBaryw-wKvv4e0/edit?usp=sharing"",""แพร่!J668"")+IMPORTRANGE(""https://docs.google.com/spreadshe"&amp;"ets/d/1dQrvX0vEcN7Gu0fnZ0B5S90AeR19zth4XlExFBeExMY/edit?usp=sharing"",""แม่ฮ่องสอน!J668"")+IMPORTRANGE(""https://docs.google.com/spreadsheets/d/1DY4XTNNwjluuxqdfdn6qvOSlMRrZqUtmYcZR0ttFiG4/edit?usp=sharing"",""ลำปาง!J668"")+IMPORTRANGE(""https://docs.goog"&amp;"le.com/spreadsheets/d/1ICwG78r0OFT8biBlxnBF8r7she7gNSzOvJ958PWT09c/edit?usp=sharing"",""ลำพูน!J668"")+IMPORTRANGE(""https://docs.google.com/spreadsheets/d/1B0f2xJpZUC6Z0xXnqKlZtEPzsf6L84eP1r1Q15seqRM/edit?usp=sharing"",""สุโขทัย!J668"")+IMPORTRANGE(""http"&amp;"s://docs.google.com/spreadsheets/d/1v0b9pFQCsKUVExMei7AgY2yQkdeNQvtOssygGsXbiKo/edit?usp=sharing"",""อุตรดิตถ์!J668"")+IMPORTRANGE(""https://docs.google.com/spreadsheets/d/1UsNK1e-WWiCo2PvGqdNfdme4m17_Ezd3J69EeeiQPD0/edit?usp=sharing"",""อุทัยธานี!J668"")"),0)</f>
        <v>0</v>
      </c>
      <c r="K668" s="45"/>
      <c r="L668" s="416"/>
      <c r="M668" s="416"/>
      <c r="N668" s="416"/>
      <c r="O668" s="45"/>
      <c r="P668" s="45"/>
      <c r="Q668" s="416"/>
      <c r="R668" s="416"/>
      <c r="S668" s="416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167">
        <f ca="1">IFERROR(__xludf.DUMMYFUNCTION("IMPORTRANGE(""https://docs.google.com/spreadsheets/d/1jTcq05yEiRwXcBMLjiodW9e4biSGYWAHcDj22rKWQ3s/edit?usp=sharing"",""กำแพงเพชร!J669"")+IMPORTRANGE(""https://docs.google.com/spreadsheets/d/1KS0zmDSZPk8KnTAbGN-Xk6MtX1YRZD0ldgdt20K4CRk/edit?usp=sharing"","&amp;"""เชียงราย!J669"")+IMPORTRANGE(""https://docs.google.com/spreadsheets/d/1rEDxBtusbi64tE0zunoIbsTVV16HeL0oJ6trHQeQ7K8/edit?usp=sharing"",""เชียงใหม่!J669"")+IMPORTRANGE(""https://docs.google.com/spreadsheets/d/1W6MnUbDkMi6xHnHko_XkFDO9kkuL6Wqyc-6OCDFjW9I/e"&amp;"dit?usp=sharing"",""ตาก!J669"")+IMPORTRANGE(""https://docs.google.com/spreadsheets/d/1IQAWArduLkta9LpYo4a_ULsyqdta6-6aDDiwpUnQT6c/edit?usp=sharing"",""นครสวรรค์!J669"")+IMPORTRANGE(""https://docs.google.com/spreadsheets/d/10s13Sk5xrltsiR-Zkbmk5DwIaDIKO8Xl"&amp;"bJAfqyT7Gvg/edit?usp=sharing"",""น่าน!J669"")+IMPORTRANGE(""https://docs.google.com/spreadsheets/d/1uu4nAn4Dbi1XREnLKKotUANlKXa7yCgRcgq8HEzQYW8/edit?usp=sharing"",""พะเยา!J669"")+IMPORTRANGE(""https://docs.google.com/spreadsheets/d/1xfJKIQxVOaPDIICqsflNlL"&amp;"u3JacTDk1FP9RH4phX7mI/edit?usp=sharing"",""พิจิตร!J669"")+IMPORTRANGE(""https://docs.google.com/spreadsheets/d/1JtRfZkJMHtEhI5RdRHxYUG4FIZHqKDpNyIuN7A1Q0_k/edit?usp=sharing"",""พิษณุโลก!J669"")+IMPORTRANGE(""https://docs.google.com/spreadsheets/d/1xlcVZWU"&amp;"Nn6SuWm0c307h32SiGkd9BaeQWlAktfD3KO8/edit?usp=sharing"",""เพชรบูรณ์!J669"")+IMPORTRANGE(""https://docs.google.com/spreadsheets/d/1lOVebEIsI9qjGXl6EX66luk7wiuP2tBaryw-wKvv4e0/edit?usp=sharing"",""แพร่!J669"")+IMPORTRANGE(""https://docs.google.com/spreadshe"&amp;"ets/d/1dQrvX0vEcN7Gu0fnZ0B5S90AeR19zth4XlExFBeExMY/edit?usp=sharing"",""แม่ฮ่องสอน!J669"")+IMPORTRANGE(""https://docs.google.com/spreadsheets/d/1DY4XTNNwjluuxqdfdn6qvOSlMRrZqUtmYcZR0ttFiG4/edit?usp=sharing"",""ลำปาง!J669"")+IMPORTRANGE(""https://docs.goog"&amp;"le.com/spreadsheets/d/1ICwG78r0OFT8biBlxnBF8r7she7gNSzOvJ958PWT09c/edit?usp=sharing"",""ลำพูน!J669"")+IMPORTRANGE(""https://docs.google.com/spreadsheets/d/1B0f2xJpZUC6Z0xXnqKlZtEPzsf6L84eP1r1Q15seqRM/edit?usp=sharing"",""สุโขทัย!J669"")+IMPORTRANGE(""http"&amp;"s://docs.google.com/spreadsheets/d/1v0b9pFQCsKUVExMei7AgY2yQkdeNQvtOssygGsXbiKo/edit?usp=sharing"",""อุตรดิตถ์!J669"")+IMPORTRANGE(""https://docs.google.com/spreadsheets/d/1UsNK1e-WWiCo2PvGqdNfdme4m17_Ezd3J69EeeiQPD0/edit?usp=sharing"",""อุทัยธานี!J669"")"),0)</f>
        <v>0</v>
      </c>
      <c r="K669" s="45"/>
      <c r="L669" s="416"/>
      <c r="M669" s="416"/>
      <c r="N669" s="416"/>
      <c r="O669" s="45"/>
      <c r="P669" s="45"/>
      <c r="Q669" s="416"/>
      <c r="R669" s="416"/>
      <c r="S669" s="416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167">
        <f ca="1">IFERROR(__xludf.DUMMYFUNCTION("IMPORTRANGE(""https://docs.google.com/spreadsheets/d/1jTcq05yEiRwXcBMLjiodW9e4biSGYWAHcDj22rKWQ3s/edit?usp=sharing"",""กำแพงเพชร!J670"")+IMPORTRANGE(""https://docs.google.com/spreadsheets/d/1KS0zmDSZPk8KnTAbGN-Xk6MtX1YRZD0ldgdt20K4CRk/edit?usp=sharing"","&amp;"""เชียงราย!J670"")+IMPORTRANGE(""https://docs.google.com/spreadsheets/d/1rEDxBtusbi64tE0zunoIbsTVV16HeL0oJ6trHQeQ7K8/edit?usp=sharing"",""เชียงใหม่!J670"")+IMPORTRANGE(""https://docs.google.com/spreadsheets/d/1W6MnUbDkMi6xHnHko_XkFDO9kkuL6Wqyc-6OCDFjW9I/e"&amp;"dit?usp=sharing"",""ตาก!J670"")+IMPORTRANGE(""https://docs.google.com/spreadsheets/d/1IQAWArduLkta9LpYo4a_ULsyqdta6-6aDDiwpUnQT6c/edit?usp=sharing"",""นครสวรรค์!J670"")+IMPORTRANGE(""https://docs.google.com/spreadsheets/d/10s13Sk5xrltsiR-Zkbmk5DwIaDIKO8Xl"&amp;"bJAfqyT7Gvg/edit?usp=sharing"",""น่าน!J670"")+IMPORTRANGE(""https://docs.google.com/spreadsheets/d/1uu4nAn4Dbi1XREnLKKotUANlKXa7yCgRcgq8HEzQYW8/edit?usp=sharing"",""พะเยา!J670"")+IMPORTRANGE(""https://docs.google.com/spreadsheets/d/1xfJKIQxVOaPDIICqsflNlL"&amp;"u3JacTDk1FP9RH4phX7mI/edit?usp=sharing"",""พิจิตร!J670"")+IMPORTRANGE(""https://docs.google.com/spreadsheets/d/1JtRfZkJMHtEhI5RdRHxYUG4FIZHqKDpNyIuN7A1Q0_k/edit?usp=sharing"",""พิษณุโลก!J670"")+IMPORTRANGE(""https://docs.google.com/spreadsheets/d/1xlcVZWU"&amp;"Nn6SuWm0c307h32SiGkd9BaeQWlAktfD3KO8/edit?usp=sharing"",""เพชรบูรณ์!J670"")+IMPORTRANGE(""https://docs.google.com/spreadsheets/d/1lOVebEIsI9qjGXl6EX66luk7wiuP2tBaryw-wKvv4e0/edit?usp=sharing"",""แพร่!J670"")+IMPORTRANGE(""https://docs.google.com/spreadshe"&amp;"ets/d/1dQrvX0vEcN7Gu0fnZ0B5S90AeR19zth4XlExFBeExMY/edit?usp=sharing"",""แม่ฮ่องสอน!J670"")+IMPORTRANGE(""https://docs.google.com/spreadsheets/d/1DY4XTNNwjluuxqdfdn6qvOSlMRrZqUtmYcZR0ttFiG4/edit?usp=sharing"",""ลำปาง!J670"")+IMPORTRANGE(""https://docs.goog"&amp;"le.com/spreadsheets/d/1ICwG78r0OFT8biBlxnBF8r7she7gNSzOvJ958PWT09c/edit?usp=sharing"",""ลำพูน!J670"")+IMPORTRANGE(""https://docs.google.com/spreadsheets/d/1B0f2xJpZUC6Z0xXnqKlZtEPzsf6L84eP1r1Q15seqRM/edit?usp=sharing"",""สุโขทัย!J670"")+IMPORTRANGE(""http"&amp;"s://docs.google.com/spreadsheets/d/1v0b9pFQCsKUVExMei7AgY2yQkdeNQvtOssygGsXbiKo/edit?usp=sharing"",""อุตรดิตถ์!J670"")+IMPORTRANGE(""https://docs.google.com/spreadsheets/d/1UsNK1e-WWiCo2PvGqdNfdme4m17_Ezd3J69EeeiQPD0/edit?usp=sharing"",""อุทัยธานี!J670"")"),0)</f>
        <v>0</v>
      </c>
      <c r="K670" s="45"/>
      <c r="L670" s="416"/>
      <c r="M670" s="416"/>
      <c r="N670" s="416"/>
      <c r="O670" s="45"/>
      <c r="P670" s="45"/>
      <c r="Q670" s="416"/>
      <c r="R670" s="416"/>
      <c r="S670" s="416"/>
      <c r="T670" s="45"/>
      <c r="U670" s="45"/>
    </row>
    <row r="671" spans="1:21" ht="18.75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66">
        <f ca="1">IFERROR(__xludf.DUMMYFUNCTION("IMPORTRANGE(""https://docs.google.com/spreadsheets/d/1jTcq05yEiRwXcBMLjiodW9e4biSGYWAHcDj22rKWQ3s/edit?usp=sharing"",""กำแพงเพชร!J671"")+IMPORTRANGE(""https://docs.google.com/spreadsheets/d/1KS0zmDSZPk8KnTAbGN-Xk6MtX1YRZD0ldgdt20K4CRk/edit?usp=sharing"","&amp;"""เชียงราย!J671"")+IMPORTRANGE(""https://docs.google.com/spreadsheets/d/1rEDxBtusbi64tE0zunoIbsTVV16HeL0oJ6trHQeQ7K8/edit?usp=sharing"",""เชียงใหม่!J671"")+IMPORTRANGE(""https://docs.google.com/spreadsheets/d/1W6MnUbDkMi6xHnHko_XkFDO9kkuL6Wqyc-6OCDFjW9I/e"&amp;"dit?usp=sharing"",""ตาก!J671"")+IMPORTRANGE(""https://docs.google.com/spreadsheets/d/1IQAWArduLkta9LpYo4a_ULsyqdta6-6aDDiwpUnQT6c/edit?usp=sharing"",""นครสวรรค์!J671"")+IMPORTRANGE(""https://docs.google.com/spreadsheets/d/10s13Sk5xrltsiR-Zkbmk5DwIaDIKO8Xl"&amp;"bJAfqyT7Gvg/edit?usp=sharing"",""น่าน!J671"")+IMPORTRANGE(""https://docs.google.com/spreadsheets/d/1uu4nAn4Dbi1XREnLKKotUANlKXa7yCgRcgq8HEzQYW8/edit?usp=sharing"",""พะเยา!J671"")+IMPORTRANGE(""https://docs.google.com/spreadsheets/d/1xfJKIQxVOaPDIICqsflNlL"&amp;"u3JacTDk1FP9RH4phX7mI/edit?usp=sharing"",""พิจิตร!J671"")+IMPORTRANGE(""https://docs.google.com/spreadsheets/d/1JtRfZkJMHtEhI5RdRHxYUG4FIZHqKDpNyIuN7A1Q0_k/edit?usp=sharing"",""พิษณุโลก!J671"")+IMPORTRANGE(""https://docs.google.com/spreadsheets/d/1xlcVZWU"&amp;"Nn6SuWm0c307h32SiGkd9BaeQWlAktfD3KO8/edit?usp=sharing"",""เพชรบูรณ์!J671"")+IMPORTRANGE(""https://docs.google.com/spreadsheets/d/1lOVebEIsI9qjGXl6EX66luk7wiuP2tBaryw-wKvv4e0/edit?usp=sharing"",""แพร่!J671"")+IMPORTRANGE(""https://docs.google.com/spreadshe"&amp;"ets/d/1dQrvX0vEcN7Gu0fnZ0B5S90AeR19zth4XlExFBeExMY/edit?usp=sharing"",""แม่ฮ่องสอน!J671"")+IMPORTRANGE(""https://docs.google.com/spreadsheets/d/1DY4XTNNwjluuxqdfdn6qvOSlMRrZqUtmYcZR0ttFiG4/edit?usp=sharing"",""ลำปาง!J671"")+IMPORTRANGE(""https://docs.goog"&amp;"le.com/spreadsheets/d/1ICwG78r0OFT8biBlxnBF8r7she7gNSzOvJ958PWT09c/edit?usp=sharing"",""ลำพูน!J671"")+IMPORTRANGE(""https://docs.google.com/spreadsheets/d/1B0f2xJpZUC6Z0xXnqKlZtEPzsf6L84eP1r1Q15seqRM/edit?usp=sharing"",""สุโขทัย!J671"")+IMPORTRANGE(""http"&amp;"s://docs.google.com/spreadsheets/d/1v0b9pFQCsKUVExMei7AgY2yQkdeNQvtOssygGsXbiKo/edit?usp=sharing"",""อุตรดิตถ์!J671"")+IMPORTRANGE(""https://docs.google.com/spreadsheets/d/1UsNK1e-WWiCo2PvGqdNfdme4m17_Ezd3J69EeeiQPD0/edit?usp=sharing"",""อุทัยธานี!J671"")"),32)</f>
        <v>32</v>
      </c>
      <c r="K671" s="45"/>
      <c r="L671" s="45"/>
      <c r="M671" s="45"/>
      <c r="N671" s="416"/>
      <c r="O671" s="45"/>
      <c r="P671" s="45"/>
      <c r="Q671" s="45"/>
      <c r="R671" s="45"/>
      <c r="S671" s="45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66">
        <f ca="1">IFERROR(__xludf.DUMMYFUNCTION("IMPORTRANGE(""https://docs.google.com/spreadsheets/d/1jTcq05yEiRwXcBMLjiodW9e4biSGYWAHcDj22rKWQ3s/edit?usp=sharing"",""กำแพงเพชร!J672"")+IMPORTRANGE(""https://docs.google.com/spreadsheets/d/1KS0zmDSZPk8KnTAbGN-Xk6MtX1YRZD0ldgdt20K4CRk/edit?usp=sharing"","&amp;"""เชียงราย!J672"")+IMPORTRANGE(""https://docs.google.com/spreadsheets/d/1rEDxBtusbi64tE0zunoIbsTVV16HeL0oJ6trHQeQ7K8/edit?usp=sharing"",""เชียงใหม่!J672"")+IMPORTRANGE(""https://docs.google.com/spreadsheets/d/1W6MnUbDkMi6xHnHko_XkFDO9kkuL6Wqyc-6OCDFjW9I/e"&amp;"dit?usp=sharing"",""ตาก!J672"")+IMPORTRANGE(""https://docs.google.com/spreadsheets/d/1IQAWArduLkta9LpYo4a_ULsyqdta6-6aDDiwpUnQT6c/edit?usp=sharing"",""นครสวรรค์!J672"")+IMPORTRANGE(""https://docs.google.com/spreadsheets/d/10s13Sk5xrltsiR-Zkbmk5DwIaDIKO8Xl"&amp;"bJAfqyT7Gvg/edit?usp=sharing"",""น่าน!J672"")+IMPORTRANGE(""https://docs.google.com/spreadsheets/d/1uu4nAn4Dbi1XREnLKKotUANlKXa7yCgRcgq8HEzQYW8/edit?usp=sharing"",""พะเยา!J672"")+IMPORTRANGE(""https://docs.google.com/spreadsheets/d/1xfJKIQxVOaPDIICqsflNlL"&amp;"u3JacTDk1FP9RH4phX7mI/edit?usp=sharing"",""พิจิตร!J672"")+IMPORTRANGE(""https://docs.google.com/spreadsheets/d/1JtRfZkJMHtEhI5RdRHxYUG4FIZHqKDpNyIuN7A1Q0_k/edit?usp=sharing"",""พิษณุโลก!J672"")+IMPORTRANGE(""https://docs.google.com/spreadsheets/d/1xlcVZWU"&amp;"Nn6SuWm0c307h32SiGkd9BaeQWlAktfD3KO8/edit?usp=sharing"",""เพชรบูรณ์!J672"")+IMPORTRANGE(""https://docs.google.com/spreadsheets/d/1lOVebEIsI9qjGXl6EX66luk7wiuP2tBaryw-wKvv4e0/edit?usp=sharing"",""แพร่!J672"")+IMPORTRANGE(""https://docs.google.com/spreadshe"&amp;"ets/d/1dQrvX0vEcN7Gu0fnZ0B5S90AeR19zth4XlExFBeExMY/edit?usp=sharing"",""แม่ฮ่องสอน!J672"")+IMPORTRANGE(""https://docs.google.com/spreadsheets/d/1DY4XTNNwjluuxqdfdn6qvOSlMRrZqUtmYcZR0ttFiG4/edit?usp=sharing"",""ลำปาง!J672"")+IMPORTRANGE(""https://docs.goog"&amp;"le.com/spreadsheets/d/1ICwG78r0OFT8biBlxnBF8r7she7gNSzOvJ958PWT09c/edit?usp=sharing"",""ลำพูน!J672"")+IMPORTRANGE(""https://docs.google.com/spreadsheets/d/1B0f2xJpZUC6Z0xXnqKlZtEPzsf6L84eP1r1Q15seqRM/edit?usp=sharing"",""สุโขทัย!J672"")+IMPORTRANGE(""http"&amp;"s://docs.google.com/spreadsheets/d/1v0b9pFQCsKUVExMei7AgY2yQkdeNQvtOssygGsXbiKo/edit?usp=sharing"",""อุตรดิตถ์!J672"")+IMPORTRANGE(""https://docs.google.com/spreadsheets/d/1UsNK1e-WWiCo2PvGqdNfdme4m17_Ezd3J69EeeiQPD0/edit?usp=sharing"",""อุทัยธานี!J672"")"),34)</f>
        <v>34</v>
      </c>
      <c r="K672" s="45"/>
      <c r="L672" s="416"/>
      <c r="M672" s="416"/>
      <c r="N672" s="416"/>
      <c r="O672" s="45"/>
      <c r="P672" s="45"/>
      <c r="Q672" s="416"/>
      <c r="R672" s="416"/>
      <c r="S672" s="416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415">
        <f ca="1">IFERROR(__xludf.DUMMYFUNCTION("IMPORTRANGE(""https://docs.google.com/spreadsheets/d/1jTcq05yEiRwXcBMLjiodW9e4biSGYWAHcDj22rKWQ3s/edit?usp=sharing"",""กำแพงเพชร!I673"")+IMPORTRANGE(""https://docs.google.com/spreadsheets/d/1KS0zmDSZPk8KnTAbGN-Xk6MtX1YRZD0ldgdt20K4CRk/edit?usp=sharing"","&amp;"""เชียงราย!I673"")+IMPORTRANGE(""https://docs.google.com/spreadsheets/d/1rEDxBtusbi64tE0zunoIbsTVV16HeL0oJ6trHQeQ7K8/edit?usp=sharing"",""เชียงใหม่!I673"")+IMPORTRANGE(""https://docs.google.com/spreadsheets/d/1W6MnUbDkMi6xHnHko_XkFDO9kkuL6Wqyc-6OCDFjW9I/e"&amp;"dit?usp=sharing"",""ตาก!I673"")+IMPORTRANGE(""https://docs.google.com/spreadsheets/d/1IQAWArduLkta9LpYo4a_ULsyqdta6-6aDDiwpUnQT6c/edit?usp=sharing"",""นครสวรรค์!I673"")+IMPORTRANGE(""https://docs.google.com/spreadsheets/d/10s13Sk5xrltsiR-Zkbmk5DwIaDIKO8Xl"&amp;"bJAfqyT7Gvg/edit?usp=sharing"",""น่าน!I673"")+IMPORTRANGE(""https://docs.google.com/spreadsheets/d/1uu4nAn4Dbi1XREnLKKotUANlKXa7yCgRcgq8HEzQYW8/edit?usp=sharing"",""พะเยา!I673"")+IMPORTRANGE(""https://docs.google.com/spreadsheets/d/1xfJKIQxVOaPDIICqsflNlL"&amp;"u3JacTDk1FP9RH4phX7mI/edit?usp=sharing"",""พิจิตร!I673"")+IMPORTRANGE(""https://docs.google.com/spreadsheets/d/1JtRfZkJMHtEhI5RdRHxYUG4FIZHqKDpNyIuN7A1Q0_k/edit?usp=sharing"",""พิษณุโลก!I673"")+IMPORTRANGE(""https://docs.google.com/spreadsheets/d/1xlcVZWU"&amp;"Nn6SuWm0c307h32SiGkd9BaeQWlAktfD3KO8/edit?usp=sharing"",""เพชรบูรณ์!I673"")+IMPORTRANGE(""https://docs.google.com/spreadsheets/d/1lOVebEIsI9qjGXl6EX66luk7wiuP2tBaryw-wKvv4e0/edit?usp=sharing"",""แพร่!I673"")+IMPORTRANGE(""https://docs.google.com/spreadshe"&amp;"ets/d/1dQrvX0vEcN7Gu0fnZ0B5S90AeR19zth4XlExFBeExMY/edit?usp=sharing"",""แม่ฮ่องสอน!I673"")+IMPORTRANGE(""https://docs.google.com/spreadsheets/d/1DY4XTNNwjluuxqdfdn6qvOSlMRrZqUtmYcZR0ttFiG4/edit?usp=sharing"",""ลำปาง!I673"")+IMPORTRANGE(""https://docs.goog"&amp;"le.com/spreadsheets/d/1ICwG78r0OFT8biBlxnBF8r7she7gNSzOvJ958PWT09c/edit?usp=sharing"",""ลำพูน!I673"")+IMPORTRANGE(""https://docs.google.com/spreadsheets/d/1B0f2xJpZUC6Z0xXnqKlZtEPzsf6L84eP1r1Q15seqRM/edit?usp=sharing"",""สุโขทัย!I673"")+IMPORTRANGE(""http"&amp;"s://docs.google.com/spreadsheets/d/1v0b9pFQCsKUVExMei7AgY2yQkdeNQvtOssygGsXbiKo/edit?usp=sharing"",""อุตรดิตถ์!I673"")+IMPORTRANGE(""https://docs.google.com/spreadsheets/d/1UsNK1e-WWiCo2PvGqdNfdme4m17_Ezd3J69EeeiQPD0/edit?usp=sharing"",""อุทัยธานี!I673"")"),2932)</f>
        <v>2932</v>
      </c>
      <c r="J673" s="415">
        <f ca="1">IFERROR(__xludf.DUMMYFUNCTION("IMPORTRANGE(""https://docs.google.com/spreadsheets/d/1jTcq05yEiRwXcBMLjiodW9e4biSGYWAHcDj22rKWQ3s/edit?usp=sharing"",""กำแพงเพชร!J673"")+IMPORTRANGE(""https://docs.google.com/spreadsheets/d/1KS0zmDSZPk8KnTAbGN-Xk6MtX1YRZD0ldgdt20K4CRk/edit?usp=sharing"","&amp;"""เชียงราย!J673"")+IMPORTRANGE(""https://docs.google.com/spreadsheets/d/1rEDxBtusbi64tE0zunoIbsTVV16HeL0oJ6trHQeQ7K8/edit?usp=sharing"",""เชียงใหม่!J673"")+IMPORTRANGE(""https://docs.google.com/spreadsheets/d/1W6MnUbDkMi6xHnHko_XkFDO9kkuL6Wqyc-6OCDFjW9I/e"&amp;"dit?usp=sharing"",""ตาก!J673"")+IMPORTRANGE(""https://docs.google.com/spreadsheets/d/1IQAWArduLkta9LpYo4a_ULsyqdta6-6aDDiwpUnQT6c/edit?usp=sharing"",""นครสวรรค์!J673"")+IMPORTRANGE(""https://docs.google.com/spreadsheets/d/10s13Sk5xrltsiR-Zkbmk5DwIaDIKO8Xl"&amp;"bJAfqyT7Gvg/edit?usp=sharing"",""น่าน!J673"")+IMPORTRANGE(""https://docs.google.com/spreadsheets/d/1uu4nAn4Dbi1XREnLKKotUANlKXa7yCgRcgq8HEzQYW8/edit?usp=sharing"",""พะเยา!J673"")+IMPORTRANGE(""https://docs.google.com/spreadsheets/d/1xfJKIQxVOaPDIICqsflNlL"&amp;"u3JacTDk1FP9RH4phX7mI/edit?usp=sharing"",""พิจิตร!J673"")+IMPORTRANGE(""https://docs.google.com/spreadsheets/d/1JtRfZkJMHtEhI5RdRHxYUG4FIZHqKDpNyIuN7A1Q0_k/edit?usp=sharing"",""พิษณุโลก!J673"")+IMPORTRANGE(""https://docs.google.com/spreadsheets/d/1xlcVZWU"&amp;"Nn6SuWm0c307h32SiGkd9BaeQWlAktfD3KO8/edit?usp=sharing"",""เพชรบูรณ์!J673"")+IMPORTRANGE(""https://docs.google.com/spreadsheets/d/1lOVebEIsI9qjGXl6EX66luk7wiuP2tBaryw-wKvv4e0/edit?usp=sharing"",""แพร่!J673"")+IMPORTRANGE(""https://docs.google.com/spreadshe"&amp;"ets/d/1dQrvX0vEcN7Gu0fnZ0B5S90AeR19zth4XlExFBeExMY/edit?usp=sharing"",""แม่ฮ่องสอน!J673"")+IMPORTRANGE(""https://docs.google.com/spreadsheets/d/1DY4XTNNwjluuxqdfdn6qvOSlMRrZqUtmYcZR0ttFiG4/edit?usp=sharing"",""ลำปาง!J673"")+IMPORTRANGE(""https://docs.goog"&amp;"le.com/spreadsheets/d/1ICwG78r0OFT8biBlxnBF8r7she7gNSzOvJ958PWT09c/edit?usp=sharing"",""ลำพูน!J673"")+IMPORTRANGE(""https://docs.google.com/spreadsheets/d/1B0f2xJpZUC6Z0xXnqKlZtEPzsf6L84eP1r1Q15seqRM/edit?usp=sharing"",""สุโขทัย!J673"")+IMPORTRANGE(""http"&amp;"s://docs.google.com/spreadsheets/d/1v0b9pFQCsKUVExMei7AgY2yQkdeNQvtOssygGsXbiKo/edit?usp=sharing"",""อุตรดิตถ์!J673"")+IMPORTRANGE(""https://docs.google.com/spreadsheets/d/1UsNK1e-WWiCo2PvGqdNfdme4m17_Ezd3J69EeeiQPD0/edit?usp=sharing"",""อุทัยธานี!J673"")"),582.61)</f>
        <v>582.61</v>
      </c>
      <c r="K673" s="46">
        <f t="shared" ref="K673:K676" ca="1" si="468">IF(I673&gt;0,J673*100/I673,0)</f>
        <v>19.870736698499318</v>
      </c>
      <c r="L673" s="416"/>
      <c r="M673" s="416"/>
      <c r="N673" s="416"/>
      <c r="O673" s="45"/>
      <c r="P673" s="45"/>
      <c r="Q673" s="416"/>
      <c r="R673" s="416"/>
      <c r="S673" s="416"/>
      <c r="T673" s="45"/>
      <c r="U673" s="45"/>
    </row>
    <row r="674" spans="1:21" ht="19.5" x14ac:dyDescent="0.3">
      <c r="A674" s="208"/>
      <c r="B674" s="158"/>
      <c r="C674" s="158"/>
      <c r="D674" s="47" t="s">
        <v>248</v>
      </c>
      <c r="E674" s="40"/>
      <c r="F674" s="40"/>
      <c r="G674" s="42"/>
      <c r="H674" s="411" t="s">
        <v>35</v>
      </c>
      <c r="I674" s="417">
        <f ca="1">IFERROR(__xludf.DUMMYFUNCTION("IMPORTRANGE(""https://docs.google.com/spreadsheets/d/1jTcq05yEiRwXcBMLjiodW9e4biSGYWAHcDj22rKWQ3s/edit?usp=sharing"",""กำแพงเพชร!I674"")+IMPORTRANGE(""https://docs.google.com/spreadsheets/d/1KS0zmDSZPk8KnTAbGN-Xk6MtX1YRZD0ldgdt20K4CRk/edit?usp=sharing"","&amp;"""เชียงราย!I674"")+IMPORTRANGE(""https://docs.google.com/spreadsheets/d/1rEDxBtusbi64tE0zunoIbsTVV16HeL0oJ6trHQeQ7K8/edit?usp=sharing"",""เชียงใหม่!I674"")+IMPORTRANGE(""https://docs.google.com/spreadsheets/d/1W6MnUbDkMi6xHnHko_XkFDO9kkuL6Wqyc-6OCDFjW9I/e"&amp;"dit?usp=sharing"",""ตาก!I674"")+IMPORTRANGE(""https://docs.google.com/spreadsheets/d/1IQAWArduLkta9LpYo4a_ULsyqdta6-6aDDiwpUnQT6c/edit?usp=sharing"",""นครสวรรค์!I674"")+IMPORTRANGE(""https://docs.google.com/spreadsheets/d/10s13Sk5xrltsiR-Zkbmk5DwIaDIKO8Xl"&amp;"bJAfqyT7Gvg/edit?usp=sharing"",""น่าน!I674"")+IMPORTRANGE(""https://docs.google.com/spreadsheets/d/1uu4nAn4Dbi1XREnLKKotUANlKXa7yCgRcgq8HEzQYW8/edit?usp=sharing"",""พะเยา!I674"")+IMPORTRANGE(""https://docs.google.com/spreadsheets/d/1xfJKIQxVOaPDIICqsflNlL"&amp;"u3JacTDk1FP9RH4phX7mI/edit?usp=sharing"",""พิจิตร!I674"")+IMPORTRANGE(""https://docs.google.com/spreadsheets/d/1JtRfZkJMHtEhI5RdRHxYUG4FIZHqKDpNyIuN7A1Q0_k/edit?usp=sharing"",""พิษณุโลก!I674"")+IMPORTRANGE(""https://docs.google.com/spreadsheets/d/1xlcVZWU"&amp;"Nn6SuWm0c307h32SiGkd9BaeQWlAktfD3KO8/edit?usp=sharing"",""เพชรบูรณ์!I674"")+IMPORTRANGE(""https://docs.google.com/spreadsheets/d/1lOVebEIsI9qjGXl6EX66luk7wiuP2tBaryw-wKvv4e0/edit?usp=sharing"",""แพร่!I674"")+IMPORTRANGE(""https://docs.google.com/spreadshe"&amp;"ets/d/1dQrvX0vEcN7Gu0fnZ0B5S90AeR19zth4XlExFBeExMY/edit?usp=sharing"",""แม่ฮ่องสอน!I674"")+IMPORTRANGE(""https://docs.google.com/spreadsheets/d/1DY4XTNNwjluuxqdfdn6qvOSlMRrZqUtmYcZR0ttFiG4/edit?usp=sharing"",""ลำปาง!I674"")+IMPORTRANGE(""https://docs.goog"&amp;"le.com/spreadsheets/d/1ICwG78r0OFT8biBlxnBF8r7she7gNSzOvJ958PWT09c/edit?usp=sharing"",""ลำพูน!I674"")+IMPORTRANGE(""https://docs.google.com/spreadsheets/d/1B0f2xJpZUC6Z0xXnqKlZtEPzsf6L84eP1r1Q15seqRM/edit?usp=sharing"",""สุโขทัย!I674"")+IMPORTRANGE(""http"&amp;"s://docs.google.com/spreadsheets/d/1v0b9pFQCsKUVExMei7AgY2yQkdeNQvtOssygGsXbiKo/edit?usp=sharing"",""อุตรดิตถ์!I674"")+IMPORTRANGE(""https://docs.google.com/spreadsheets/d/1UsNK1e-WWiCo2PvGqdNfdme4m17_Ezd3J69EeeiQPD0/edit?usp=sharing"",""อุทัยธานี!I674"")"),98)</f>
        <v>98</v>
      </c>
      <c r="J674" s="147">
        <f ca="1">J676+J679</f>
        <v>15</v>
      </c>
      <c r="K674" s="132">
        <f t="shared" ca="1" si="468"/>
        <v>15.306122448979592</v>
      </c>
      <c r="L674" s="416"/>
      <c r="M674" s="416"/>
      <c r="N674" s="416"/>
      <c r="O674" s="45"/>
      <c r="P674" s="45"/>
      <c r="Q674" s="416"/>
      <c r="R674" s="416"/>
      <c r="S674" s="416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11" t="s">
        <v>46</v>
      </c>
      <c r="I675" s="417">
        <f ca="1">IFERROR(__xludf.DUMMYFUNCTION("IMPORTRANGE(""https://docs.google.com/spreadsheets/d/1jTcq05yEiRwXcBMLjiodW9e4biSGYWAHcDj22rKWQ3s/edit?usp=sharing"",""กำแพงเพชร!I675"")+IMPORTRANGE(""https://docs.google.com/spreadsheets/d/1KS0zmDSZPk8KnTAbGN-Xk6MtX1YRZD0ldgdt20K4CRk/edit?usp=sharing"","&amp;"""เชียงราย!I675"")+IMPORTRANGE(""https://docs.google.com/spreadsheets/d/1rEDxBtusbi64tE0zunoIbsTVV16HeL0oJ6trHQeQ7K8/edit?usp=sharing"",""เชียงใหม่!I675"")+IMPORTRANGE(""https://docs.google.com/spreadsheets/d/1W6MnUbDkMi6xHnHko_XkFDO9kkuL6Wqyc-6OCDFjW9I/e"&amp;"dit?usp=sharing"",""ตาก!I675"")+IMPORTRANGE(""https://docs.google.com/spreadsheets/d/1IQAWArduLkta9LpYo4a_ULsyqdta6-6aDDiwpUnQT6c/edit?usp=sharing"",""นครสวรรค์!I675"")+IMPORTRANGE(""https://docs.google.com/spreadsheets/d/10s13Sk5xrltsiR-Zkbmk5DwIaDIKO8Xl"&amp;"bJAfqyT7Gvg/edit?usp=sharing"",""น่าน!I675"")+IMPORTRANGE(""https://docs.google.com/spreadsheets/d/1uu4nAn4Dbi1XREnLKKotUANlKXa7yCgRcgq8HEzQYW8/edit?usp=sharing"",""พะเยา!I675"")+IMPORTRANGE(""https://docs.google.com/spreadsheets/d/1xfJKIQxVOaPDIICqsflNlL"&amp;"u3JacTDk1FP9RH4phX7mI/edit?usp=sharing"",""พิจิตร!I675"")+IMPORTRANGE(""https://docs.google.com/spreadsheets/d/1JtRfZkJMHtEhI5RdRHxYUG4FIZHqKDpNyIuN7A1Q0_k/edit?usp=sharing"",""พิษณุโลก!I675"")+IMPORTRANGE(""https://docs.google.com/spreadsheets/d/1xlcVZWU"&amp;"Nn6SuWm0c307h32SiGkd9BaeQWlAktfD3KO8/edit?usp=sharing"",""เพชรบูรณ์!I675"")+IMPORTRANGE(""https://docs.google.com/spreadsheets/d/1lOVebEIsI9qjGXl6EX66luk7wiuP2tBaryw-wKvv4e0/edit?usp=sharing"",""แพร่!I675"")+IMPORTRANGE(""https://docs.google.com/spreadshe"&amp;"ets/d/1dQrvX0vEcN7Gu0fnZ0B5S90AeR19zth4XlExFBeExMY/edit?usp=sharing"",""แม่ฮ่องสอน!I675"")+IMPORTRANGE(""https://docs.google.com/spreadsheets/d/1DY4XTNNwjluuxqdfdn6qvOSlMRrZqUtmYcZR0ttFiG4/edit?usp=sharing"",""ลำปาง!I675"")+IMPORTRANGE(""https://docs.goog"&amp;"le.com/spreadsheets/d/1ICwG78r0OFT8biBlxnBF8r7she7gNSzOvJ958PWT09c/edit?usp=sharing"",""ลำพูน!I675"")+IMPORTRANGE(""https://docs.google.com/spreadsheets/d/1B0f2xJpZUC6Z0xXnqKlZtEPzsf6L84eP1r1Q15seqRM/edit?usp=sharing"",""สุโขทัย!I675"")+IMPORTRANGE(""http"&amp;"s://docs.google.com/spreadsheets/d/1v0b9pFQCsKUVExMei7AgY2yQkdeNQvtOssygGsXbiKo/edit?usp=sharing"",""อุตรดิตถ์!I675"")+IMPORTRANGE(""https://docs.google.com/spreadsheets/d/1UsNK1e-WWiCo2PvGqdNfdme4m17_Ezd3J69EeeiQPD0/edit?usp=sharing"",""อุทัยธานี!I675"")"),1629)</f>
        <v>1629</v>
      </c>
      <c r="J675" s="147">
        <f ca="1">J678+J681</f>
        <v>308.82</v>
      </c>
      <c r="K675" s="132">
        <f t="shared" ca="1" si="468"/>
        <v>18.957642725598525</v>
      </c>
      <c r="L675" s="45"/>
      <c r="M675" s="45"/>
      <c r="N675" s="416"/>
      <c r="O675" s="45"/>
      <c r="P675" s="45"/>
      <c r="Q675" s="45"/>
      <c r="R675" s="45"/>
      <c r="S675" s="45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415">
        <f ca="1">IFERROR(__xludf.DUMMYFUNCTION("IMPORTRANGE(""https://docs.google.com/spreadsheets/d/1jTcq05yEiRwXcBMLjiodW9e4biSGYWAHcDj22rKWQ3s/edit?usp=sharing"",""กำแพงเพชร!I676"")+IMPORTRANGE(""https://docs.google.com/spreadsheets/d/1KS0zmDSZPk8KnTAbGN-Xk6MtX1YRZD0ldgdt20K4CRk/edit?usp=sharing"","&amp;"""เชียงราย!I676"")+IMPORTRANGE(""https://docs.google.com/spreadsheets/d/1rEDxBtusbi64tE0zunoIbsTVV16HeL0oJ6trHQeQ7K8/edit?usp=sharing"",""เชียงใหม่!I676"")+IMPORTRANGE(""https://docs.google.com/spreadsheets/d/1W6MnUbDkMi6xHnHko_XkFDO9kkuL6Wqyc-6OCDFjW9I/e"&amp;"dit?usp=sharing"",""ตาก!I676"")+IMPORTRANGE(""https://docs.google.com/spreadsheets/d/1IQAWArduLkta9LpYo4a_ULsyqdta6-6aDDiwpUnQT6c/edit?usp=sharing"",""นครสวรรค์!I676"")+IMPORTRANGE(""https://docs.google.com/spreadsheets/d/10s13Sk5xrltsiR-Zkbmk5DwIaDIKO8Xl"&amp;"bJAfqyT7Gvg/edit?usp=sharing"",""น่าน!I676"")+IMPORTRANGE(""https://docs.google.com/spreadsheets/d/1uu4nAn4Dbi1XREnLKKotUANlKXa7yCgRcgq8HEzQYW8/edit?usp=sharing"",""พะเยา!I676"")+IMPORTRANGE(""https://docs.google.com/spreadsheets/d/1xfJKIQxVOaPDIICqsflNlL"&amp;"u3JacTDk1FP9RH4phX7mI/edit?usp=sharing"",""พิจิตร!I676"")+IMPORTRANGE(""https://docs.google.com/spreadsheets/d/1JtRfZkJMHtEhI5RdRHxYUG4FIZHqKDpNyIuN7A1Q0_k/edit?usp=sharing"",""พิษณุโลก!I676"")+IMPORTRANGE(""https://docs.google.com/spreadsheets/d/1xlcVZWU"&amp;"Nn6SuWm0c307h32SiGkd9BaeQWlAktfD3KO8/edit?usp=sharing"",""เพชรบูรณ์!I676"")+IMPORTRANGE(""https://docs.google.com/spreadsheets/d/1lOVebEIsI9qjGXl6EX66luk7wiuP2tBaryw-wKvv4e0/edit?usp=sharing"",""แพร่!I676"")+IMPORTRANGE(""https://docs.google.com/spreadshe"&amp;"ets/d/1dQrvX0vEcN7Gu0fnZ0B5S90AeR19zth4XlExFBeExMY/edit?usp=sharing"",""แม่ฮ่องสอน!I676"")+IMPORTRANGE(""https://docs.google.com/spreadsheets/d/1DY4XTNNwjluuxqdfdn6qvOSlMRrZqUtmYcZR0ttFiG4/edit?usp=sharing"",""ลำปาง!I676"")+IMPORTRANGE(""https://docs.goog"&amp;"le.com/spreadsheets/d/1ICwG78r0OFT8biBlxnBF8r7she7gNSzOvJ958PWT09c/edit?usp=sharing"",""ลำพูน!I676"")+IMPORTRANGE(""https://docs.google.com/spreadsheets/d/1B0f2xJpZUC6Z0xXnqKlZtEPzsf6L84eP1r1Q15seqRM/edit?usp=sharing"",""สุโขทัย!I676"")+IMPORTRANGE(""http"&amp;"s://docs.google.com/spreadsheets/d/1v0b9pFQCsKUVExMei7AgY2yQkdeNQvtOssygGsXbiKo/edit?usp=sharing"",""อุตรดิตถ์!I676"")+IMPORTRANGE(""https://docs.google.com/spreadsheets/d/1UsNK1e-WWiCo2PvGqdNfdme4m17_Ezd3J69EeeiQPD0/edit?usp=sharing"",""อุทัยธานี!I676"")"),86)</f>
        <v>86</v>
      </c>
      <c r="J676" s="415">
        <f ca="1">IFERROR(__xludf.DUMMYFUNCTION("IMPORTRANGE(""https://docs.google.com/spreadsheets/d/1jTcq05yEiRwXcBMLjiodW9e4biSGYWAHcDj22rKWQ3s/edit?usp=sharing"",""กำแพงเพชร!J676"")+IMPORTRANGE(""https://docs.google.com/spreadsheets/d/1KS0zmDSZPk8KnTAbGN-Xk6MtX1YRZD0ldgdt20K4CRk/edit?usp=sharing"","&amp;"""เชียงราย!J676"")+IMPORTRANGE(""https://docs.google.com/spreadsheets/d/1rEDxBtusbi64tE0zunoIbsTVV16HeL0oJ6trHQeQ7K8/edit?usp=sharing"",""เชียงใหม่!J676"")+IMPORTRANGE(""https://docs.google.com/spreadsheets/d/1W6MnUbDkMi6xHnHko_XkFDO9kkuL6Wqyc-6OCDFjW9I/e"&amp;"dit?usp=sharing"",""ตาก!J676"")+IMPORTRANGE(""https://docs.google.com/spreadsheets/d/1IQAWArduLkta9LpYo4a_ULsyqdta6-6aDDiwpUnQT6c/edit?usp=sharing"",""นครสวรรค์!J676"")+IMPORTRANGE(""https://docs.google.com/spreadsheets/d/10s13Sk5xrltsiR-Zkbmk5DwIaDIKO8Xl"&amp;"bJAfqyT7Gvg/edit?usp=sharing"",""น่าน!J676"")+IMPORTRANGE(""https://docs.google.com/spreadsheets/d/1uu4nAn4Dbi1XREnLKKotUANlKXa7yCgRcgq8HEzQYW8/edit?usp=sharing"",""พะเยา!J676"")+IMPORTRANGE(""https://docs.google.com/spreadsheets/d/1xfJKIQxVOaPDIICqsflNlL"&amp;"u3JacTDk1FP9RH4phX7mI/edit?usp=sharing"",""พิจิตร!J676"")+IMPORTRANGE(""https://docs.google.com/spreadsheets/d/1JtRfZkJMHtEhI5RdRHxYUG4FIZHqKDpNyIuN7A1Q0_k/edit?usp=sharing"",""พิษณุโลก!J676"")+IMPORTRANGE(""https://docs.google.com/spreadsheets/d/1xlcVZWU"&amp;"Nn6SuWm0c307h32SiGkd9BaeQWlAktfD3KO8/edit?usp=sharing"",""เพชรบูรณ์!J676"")+IMPORTRANGE(""https://docs.google.com/spreadsheets/d/1lOVebEIsI9qjGXl6EX66luk7wiuP2tBaryw-wKvv4e0/edit?usp=sharing"",""แพร่!J676"")+IMPORTRANGE(""https://docs.google.com/spreadshe"&amp;"ets/d/1dQrvX0vEcN7Gu0fnZ0B5S90AeR19zth4XlExFBeExMY/edit?usp=sharing"",""แม่ฮ่องสอน!J676"")+IMPORTRANGE(""https://docs.google.com/spreadsheets/d/1DY4XTNNwjluuxqdfdn6qvOSlMRrZqUtmYcZR0ttFiG4/edit?usp=sharing"",""ลำปาง!J676"")+IMPORTRANGE(""https://docs.goog"&amp;"le.com/spreadsheets/d/1ICwG78r0OFT8biBlxnBF8r7she7gNSzOvJ958PWT09c/edit?usp=sharing"",""ลำพูน!J676"")+IMPORTRANGE(""https://docs.google.com/spreadsheets/d/1B0f2xJpZUC6Z0xXnqKlZtEPzsf6L84eP1r1Q15seqRM/edit?usp=sharing"",""สุโขทัย!J676"")+IMPORTRANGE(""http"&amp;"s://docs.google.com/spreadsheets/d/1v0b9pFQCsKUVExMei7AgY2yQkdeNQvtOssygGsXbiKo/edit?usp=sharing"",""อุตรดิตถ์!J676"")+IMPORTRANGE(""https://docs.google.com/spreadsheets/d/1UsNK1e-WWiCo2PvGqdNfdme4m17_Ezd3J69EeeiQPD0/edit?usp=sharing"",""อุทัยธานี!J676"")"),15)</f>
        <v>15</v>
      </c>
      <c r="K676" s="46">
        <f t="shared" ca="1" si="468"/>
        <v>17.441860465116278</v>
      </c>
      <c r="L676" s="45"/>
      <c r="M676" s="45"/>
      <c r="N676" s="416"/>
      <c r="O676" s="45"/>
      <c r="P676" s="45"/>
      <c r="Q676" s="45"/>
      <c r="R676" s="45"/>
      <c r="S676" s="45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66">
        <f ca="1">IFERROR(__xludf.DUMMYFUNCTION("IMPORTRANGE(""https://docs.google.com/spreadsheets/d/1jTcq05yEiRwXcBMLjiodW9e4biSGYWAHcDj22rKWQ3s/edit?usp=sharing"",""กำแพงเพชร!J677"")+IMPORTRANGE(""https://docs.google.com/spreadsheets/d/1KS0zmDSZPk8KnTAbGN-Xk6MtX1YRZD0ldgdt20K4CRk/edit?usp=sharing"","&amp;"""เชียงราย!J677"")+IMPORTRANGE(""https://docs.google.com/spreadsheets/d/1rEDxBtusbi64tE0zunoIbsTVV16HeL0oJ6trHQeQ7K8/edit?usp=sharing"",""เชียงใหม่!J677"")+IMPORTRANGE(""https://docs.google.com/spreadsheets/d/1W6MnUbDkMi6xHnHko_XkFDO9kkuL6Wqyc-6OCDFjW9I/e"&amp;"dit?usp=sharing"",""ตาก!J677"")+IMPORTRANGE(""https://docs.google.com/spreadsheets/d/1IQAWArduLkta9LpYo4a_ULsyqdta6-6aDDiwpUnQT6c/edit?usp=sharing"",""นครสวรรค์!J677"")+IMPORTRANGE(""https://docs.google.com/spreadsheets/d/10s13Sk5xrltsiR-Zkbmk5DwIaDIKO8Xl"&amp;"bJAfqyT7Gvg/edit?usp=sharing"",""น่าน!J677"")+IMPORTRANGE(""https://docs.google.com/spreadsheets/d/1uu4nAn4Dbi1XREnLKKotUANlKXa7yCgRcgq8HEzQYW8/edit?usp=sharing"",""พะเยา!J677"")+IMPORTRANGE(""https://docs.google.com/spreadsheets/d/1xfJKIQxVOaPDIICqsflNlL"&amp;"u3JacTDk1FP9RH4phX7mI/edit?usp=sharing"",""พิจิตร!J677"")+IMPORTRANGE(""https://docs.google.com/spreadsheets/d/1JtRfZkJMHtEhI5RdRHxYUG4FIZHqKDpNyIuN7A1Q0_k/edit?usp=sharing"",""พิษณุโลก!J677"")+IMPORTRANGE(""https://docs.google.com/spreadsheets/d/1xlcVZWU"&amp;"Nn6SuWm0c307h32SiGkd9BaeQWlAktfD3KO8/edit?usp=sharing"",""เพชรบูรณ์!J677"")+IMPORTRANGE(""https://docs.google.com/spreadsheets/d/1lOVebEIsI9qjGXl6EX66luk7wiuP2tBaryw-wKvv4e0/edit?usp=sharing"",""แพร่!J677"")+IMPORTRANGE(""https://docs.google.com/spreadshe"&amp;"ets/d/1dQrvX0vEcN7Gu0fnZ0B5S90AeR19zth4XlExFBeExMY/edit?usp=sharing"",""แม่ฮ่องสอน!J677"")+IMPORTRANGE(""https://docs.google.com/spreadsheets/d/1DY4XTNNwjluuxqdfdn6qvOSlMRrZqUtmYcZR0ttFiG4/edit?usp=sharing"",""ลำปาง!J677"")+IMPORTRANGE(""https://docs.goog"&amp;"le.com/spreadsheets/d/1ICwG78r0OFT8biBlxnBF8r7she7gNSzOvJ958PWT09c/edit?usp=sharing"",""ลำพูน!J677"")+IMPORTRANGE(""https://docs.google.com/spreadsheets/d/1B0f2xJpZUC6Z0xXnqKlZtEPzsf6L84eP1r1Q15seqRM/edit?usp=sharing"",""สุโขทัย!J677"")+IMPORTRANGE(""http"&amp;"s://docs.google.com/spreadsheets/d/1v0b9pFQCsKUVExMei7AgY2yQkdeNQvtOssygGsXbiKo/edit?usp=sharing"",""อุตรดิตถ์!J677"")+IMPORTRANGE(""https://docs.google.com/spreadsheets/d/1UsNK1e-WWiCo2PvGqdNfdme4m17_Ezd3J69EeeiQPD0/edit?usp=sharing"",""อุทัยธานี!J677"")"),18)</f>
        <v>18</v>
      </c>
      <c r="K677" s="45"/>
      <c r="L677" s="416"/>
      <c r="M677" s="416"/>
      <c r="N677" s="416"/>
      <c r="O677" s="45"/>
      <c r="P677" s="45"/>
      <c r="Q677" s="416"/>
      <c r="R677" s="416"/>
      <c r="S677" s="416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415">
        <f ca="1">IFERROR(__xludf.DUMMYFUNCTION("IMPORTRANGE(""https://docs.google.com/spreadsheets/d/1jTcq05yEiRwXcBMLjiodW9e4biSGYWAHcDj22rKWQ3s/edit?usp=sharing"",""กำแพงเพชร!I678"")+IMPORTRANGE(""https://docs.google.com/spreadsheets/d/1KS0zmDSZPk8KnTAbGN-Xk6MtX1YRZD0ldgdt20K4CRk/edit?usp=sharing"","&amp;"""เชียงราย!I678"")+IMPORTRANGE(""https://docs.google.com/spreadsheets/d/1rEDxBtusbi64tE0zunoIbsTVV16HeL0oJ6trHQeQ7K8/edit?usp=sharing"",""เชียงใหม่!I678"")+IMPORTRANGE(""https://docs.google.com/spreadsheets/d/1W6MnUbDkMi6xHnHko_XkFDO9kkuL6Wqyc-6OCDFjW9I/e"&amp;"dit?usp=sharing"",""ตาก!I678"")+IMPORTRANGE(""https://docs.google.com/spreadsheets/d/1IQAWArduLkta9LpYo4a_ULsyqdta6-6aDDiwpUnQT6c/edit?usp=sharing"",""นครสวรรค์!I678"")+IMPORTRANGE(""https://docs.google.com/spreadsheets/d/10s13Sk5xrltsiR-Zkbmk5DwIaDIKO8Xl"&amp;"bJAfqyT7Gvg/edit?usp=sharing"",""น่าน!I678"")+IMPORTRANGE(""https://docs.google.com/spreadsheets/d/1uu4nAn4Dbi1XREnLKKotUANlKXa7yCgRcgq8HEzQYW8/edit?usp=sharing"",""พะเยา!I678"")+IMPORTRANGE(""https://docs.google.com/spreadsheets/d/1xfJKIQxVOaPDIICqsflNlL"&amp;"u3JacTDk1FP9RH4phX7mI/edit?usp=sharing"",""พิจิตร!I678"")+IMPORTRANGE(""https://docs.google.com/spreadsheets/d/1JtRfZkJMHtEhI5RdRHxYUG4FIZHqKDpNyIuN7A1Q0_k/edit?usp=sharing"",""พิษณุโลก!I678"")+IMPORTRANGE(""https://docs.google.com/spreadsheets/d/1xlcVZWU"&amp;"Nn6SuWm0c307h32SiGkd9BaeQWlAktfD3KO8/edit?usp=sharing"",""เพชรบูรณ์!I678"")+IMPORTRANGE(""https://docs.google.com/spreadsheets/d/1lOVebEIsI9qjGXl6EX66luk7wiuP2tBaryw-wKvv4e0/edit?usp=sharing"",""แพร่!I678"")+IMPORTRANGE(""https://docs.google.com/spreadshe"&amp;"ets/d/1dQrvX0vEcN7Gu0fnZ0B5S90AeR19zth4XlExFBeExMY/edit?usp=sharing"",""แม่ฮ่องสอน!I678"")+IMPORTRANGE(""https://docs.google.com/spreadsheets/d/1DY4XTNNwjluuxqdfdn6qvOSlMRrZqUtmYcZR0ttFiG4/edit?usp=sharing"",""ลำปาง!I678"")+IMPORTRANGE(""https://docs.goog"&amp;"le.com/spreadsheets/d/1ICwG78r0OFT8biBlxnBF8r7she7gNSzOvJ958PWT09c/edit?usp=sharing"",""ลำพูน!I678"")+IMPORTRANGE(""https://docs.google.com/spreadsheets/d/1B0f2xJpZUC6Z0xXnqKlZtEPzsf6L84eP1r1Q15seqRM/edit?usp=sharing"",""สุโขทัย!I678"")+IMPORTRANGE(""http"&amp;"s://docs.google.com/spreadsheets/d/1v0b9pFQCsKUVExMei7AgY2yQkdeNQvtOssygGsXbiKo/edit?usp=sharing"",""อุตรดิตถ์!I678"")+IMPORTRANGE(""https://docs.google.com/spreadsheets/d/1UsNK1e-WWiCo2PvGqdNfdme4m17_Ezd3J69EeeiQPD0/edit?usp=sharing"",""อุทัยธานี!I678"")"),1509)</f>
        <v>1509</v>
      </c>
      <c r="J678" s="415">
        <f ca="1">IFERROR(__xludf.DUMMYFUNCTION("IMPORTRANGE(""https://docs.google.com/spreadsheets/d/1jTcq05yEiRwXcBMLjiodW9e4biSGYWAHcDj22rKWQ3s/edit?usp=sharing"",""กำแพงเพชร!J678"")+IMPORTRANGE(""https://docs.google.com/spreadsheets/d/1KS0zmDSZPk8KnTAbGN-Xk6MtX1YRZD0ldgdt20K4CRk/edit?usp=sharing"","&amp;"""เชียงราย!J678"")+IMPORTRANGE(""https://docs.google.com/spreadsheets/d/1rEDxBtusbi64tE0zunoIbsTVV16HeL0oJ6trHQeQ7K8/edit?usp=sharing"",""เชียงใหม่!J678"")+IMPORTRANGE(""https://docs.google.com/spreadsheets/d/1W6MnUbDkMi6xHnHko_XkFDO9kkuL6Wqyc-6OCDFjW9I/e"&amp;"dit?usp=sharing"",""ตาก!J678"")+IMPORTRANGE(""https://docs.google.com/spreadsheets/d/1IQAWArduLkta9LpYo4a_ULsyqdta6-6aDDiwpUnQT6c/edit?usp=sharing"",""นครสวรรค์!J678"")+IMPORTRANGE(""https://docs.google.com/spreadsheets/d/10s13Sk5xrltsiR-Zkbmk5DwIaDIKO8Xl"&amp;"bJAfqyT7Gvg/edit?usp=sharing"",""น่าน!J678"")+IMPORTRANGE(""https://docs.google.com/spreadsheets/d/1uu4nAn4Dbi1XREnLKKotUANlKXa7yCgRcgq8HEzQYW8/edit?usp=sharing"",""พะเยา!J678"")+IMPORTRANGE(""https://docs.google.com/spreadsheets/d/1xfJKIQxVOaPDIICqsflNlL"&amp;"u3JacTDk1FP9RH4phX7mI/edit?usp=sharing"",""พิจิตร!J678"")+IMPORTRANGE(""https://docs.google.com/spreadsheets/d/1JtRfZkJMHtEhI5RdRHxYUG4FIZHqKDpNyIuN7A1Q0_k/edit?usp=sharing"",""พิษณุโลก!J678"")+IMPORTRANGE(""https://docs.google.com/spreadsheets/d/1xlcVZWU"&amp;"Nn6SuWm0c307h32SiGkd9BaeQWlAktfD3KO8/edit?usp=sharing"",""เพชรบูรณ์!J678"")+IMPORTRANGE(""https://docs.google.com/spreadsheets/d/1lOVebEIsI9qjGXl6EX66luk7wiuP2tBaryw-wKvv4e0/edit?usp=sharing"",""แพร่!J678"")+IMPORTRANGE(""https://docs.google.com/spreadshe"&amp;"ets/d/1dQrvX0vEcN7Gu0fnZ0B5S90AeR19zth4XlExFBeExMY/edit?usp=sharing"",""แม่ฮ่องสอน!J678"")+IMPORTRANGE(""https://docs.google.com/spreadsheets/d/1DY4XTNNwjluuxqdfdn6qvOSlMRrZqUtmYcZR0ttFiG4/edit?usp=sharing"",""ลำปาง!J678"")+IMPORTRANGE(""https://docs.goog"&amp;"le.com/spreadsheets/d/1ICwG78r0OFT8biBlxnBF8r7she7gNSzOvJ958PWT09c/edit?usp=sharing"",""ลำพูน!J678"")+IMPORTRANGE(""https://docs.google.com/spreadsheets/d/1B0f2xJpZUC6Z0xXnqKlZtEPzsf6L84eP1r1Q15seqRM/edit?usp=sharing"",""สุโขทัย!J678"")+IMPORTRANGE(""http"&amp;"s://docs.google.com/spreadsheets/d/1v0b9pFQCsKUVExMei7AgY2yQkdeNQvtOssygGsXbiKo/edit?usp=sharing"",""อุตรดิตถ์!J678"")+IMPORTRANGE(""https://docs.google.com/spreadsheets/d/1UsNK1e-WWiCo2PvGqdNfdme4m17_Ezd3J69EeeiQPD0/edit?usp=sharing"",""อุทัยธานี!J678"")"),308.82)</f>
        <v>308.82</v>
      </c>
      <c r="K678" s="46">
        <f t="shared" ref="K678:K679" ca="1" si="469">IF(I678&gt;0,J678*100/I678,0)</f>
        <v>20.465208747514911</v>
      </c>
      <c r="L678" s="416"/>
      <c r="M678" s="416"/>
      <c r="N678" s="416"/>
      <c r="O678" s="45"/>
      <c r="P678" s="45"/>
      <c r="Q678" s="416"/>
      <c r="R678" s="416"/>
      <c r="S678" s="416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415">
        <f ca="1">IFERROR(__xludf.DUMMYFUNCTION("IMPORTRANGE(""https://docs.google.com/spreadsheets/d/1jTcq05yEiRwXcBMLjiodW9e4biSGYWAHcDj22rKWQ3s/edit?usp=sharing"",""กำแพงเพชร!I679"")+IMPORTRANGE(""https://docs.google.com/spreadsheets/d/1KS0zmDSZPk8KnTAbGN-Xk6MtX1YRZD0ldgdt20K4CRk/edit?usp=sharing"","&amp;"""เชียงราย!I679"")+IMPORTRANGE(""https://docs.google.com/spreadsheets/d/1rEDxBtusbi64tE0zunoIbsTVV16HeL0oJ6trHQeQ7K8/edit?usp=sharing"",""เชียงใหม่!I679"")+IMPORTRANGE(""https://docs.google.com/spreadsheets/d/1W6MnUbDkMi6xHnHko_XkFDO9kkuL6Wqyc-6OCDFjW9I/e"&amp;"dit?usp=sharing"",""ตาก!I679"")+IMPORTRANGE(""https://docs.google.com/spreadsheets/d/1IQAWArduLkta9LpYo4a_ULsyqdta6-6aDDiwpUnQT6c/edit?usp=sharing"",""นครสวรรค์!I679"")+IMPORTRANGE(""https://docs.google.com/spreadsheets/d/10s13Sk5xrltsiR-Zkbmk5DwIaDIKO8Xl"&amp;"bJAfqyT7Gvg/edit?usp=sharing"",""น่าน!I679"")+IMPORTRANGE(""https://docs.google.com/spreadsheets/d/1uu4nAn4Dbi1XREnLKKotUANlKXa7yCgRcgq8HEzQYW8/edit?usp=sharing"",""พะเยา!I679"")+IMPORTRANGE(""https://docs.google.com/spreadsheets/d/1xfJKIQxVOaPDIICqsflNlL"&amp;"u3JacTDk1FP9RH4phX7mI/edit?usp=sharing"",""พิจิตร!I679"")+IMPORTRANGE(""https://docs.google.com/spreadsheets/d/1JtRfZkJMHtEhI5RdRHxYUG4FIZHqKDpNyIuN7A1Q0_k/edit?usp=sharing"",""พิษณุโลก!I679"")+IMPORTRANGE(""https://docs.google.com/spreadsheets/d/1xlcVZWU"&amp;"Nn6SuWm0c307h32SiGkd9BaeQWlAktfD3KO8/edit?usp=sharing"",""เพชรบูรณ์!I679"")+IMPORTRANGE(""https://docs.google.com/spreadsheets/d/1lOVebEIsI9qjGXl6EX66luk7wiuP2tBaryw-wKvv4e0/edit?usp=sharing"",""แพร่!I679"")+IMPORTRANGE(""https://docs.google.com/spreadshe"&amp;"ets/d/1dQrvX0vEcN7Gu0fnZ0B5S90AeR19zth4XlExFBeExMY/edit?usp=sharing"",""แม่ฮ่องสอน!I679"")+IMPORTRANGE(""https://docs.google.com/spreadsheets/d/1DY4XTNNwjluuxqdfdn6qvOSlMRrZqUtmYcZR0ttFiG4/edit?usp=sharing"",""ลำปาง!I679"")+IMPORTRANGE(""https://docs.goog"&amp;"le.com/spreadsheets/d/1ICwG78r0OFT8biBlxnBF8r7she7gNSzOvJ958PWT09c/edit?usp=sharing"",""ลำพูน!I679"")+IMPORTRANGE(""https://docs.google.com/spreadsheets/d/1B0f2xJpZUC6Z0xXnqKlZtEPzsf6L84eP1r1Q15seqRM/edit?usp=sharing"",""สุโขทัย!I679"")+IMPORTRANGE(""http"&amp;"s://docs.google.com/spreadsheets/d/1v0b9pFQCsKUVExMei7AgY2yQkdeNQvtOssygGsXbiKo/edit?usp=sharing"",""อุตรดิตถ์!I679"")+IMPORTRANGE(""https://docs.google.com/spreadsheets/d/1UsNK1e-WWiCo2PvGqdNfdme4m17_Ezd3J69EeeiQPD0/edit?usp=sharing"",""อุทัยธานี!I679"")"),12)</f>
        <v>12</v>
      </c>
      <c r="J679" s="415">
        <f ca="1">IFERROR(__xludf.DUMMYFUNCTION("IMPORTRANGE(""https://docs.google.com/spreadsheets/d/1jTcq05yEiRwXcBMLjiodW9e4biSGYWAHcDj22rKWQ3s/edit?usp=sharing"",""กำแพงเพชร!J679"")+IMPORTRANGE(""https://docs.google.com/spreadsheets/d/1KS0zmDSZPk8KnTAbGN-Xk6MtX1YRZD0ldgdt20K4CRk/edit?usp=sharing"","&amp;"""เชียงราย!J679"")+IMPORTRANGE(""https://docs.google.com/spreadsheets/d/1rEDxBtusbi64tE0zunoIbsTVV16HeL0oJ6trHQeQ7K8/edit?usp=sharing"",""เชียงใหม่!J679"")+IMPORTRANGE(""https://docs.google.com/spreadsheets/d/1W6MnUbDkMi6xHnHko_XkFDO9kkuL6Wqyc-6OCDFjW9I/e"&amp;"dit?usp=sharing"",""ตาก!J679"")+IMPORTRANGE(""https://docs.google.com/spreadsheets/d/1IQAWArduLkta9LpYo4a_ULsyqdta6-6aDDiwpUnQT6c/edit?usp=sharing"",""นครสวรรค์!J679"")+IMPORTRANGE(""https://docs.google.com/spreadsheets/d/10s13Sk5xrltsiR-Zkbmk5DwIaDIKO8Xl"&amp;"bJAfqyT7Gvg/edit?usp=sharing"",""น่าน!J679"")+IMPORTRANGE(""https://docs.google.com/spreadsheets/d/1uu4nAn4Dbi1XREnLKKotUANlKXa7yCgRcgq8HEzQYW8/edit?usp=sharing"",""พะเยา!J679"")+IMPORTRANGE(""https://docs.google.com/spreadsheets/d/1xfJKIQxVOaPDIICqsflNlL"&amp;"u3JacTDk1FP9RH4phX7mI/edit?usp=sharing"",""พิจิตร!J679"")+IMPORTRANGE(""https://docs.google.com/spreadsheets/d/1JtRfZkJMHtEhI5RdRHxYUG4FIZHqKDpNyIuN7A1Q0_k/edit?usp=sharing"",""พิษณุโลก!J679"")+IMPORTRANGE(""https://docs.google.com/spreadsheets/d/1xlcVZWU"&amp;"Nn6SuWm0c307h32SiGkd9BaeQWlAktfD3KO8/edit?usp=sharing"",""เพชรบูรณ์!J679"")+IMPORTRANGE(""https://docs.google.com/spreadsheets/d/1lOVebEIsI9qjGXl6EX66luk7wiuP2tBaryw-wKvv4e0/edit?usp=sharing"",""แพร่!J679"")+IMPORTRANGE(""https://docs.google.com/spreadshe"&amp;"ets/d/1dQrvX0vEcN7Gu0fnZ0B5S90AeR19zth4XlExFBeExMY/edit?usp=sharing"",""แม่ฮ่องสอน!J679"")+IMPORTRANGE(""https://docs.google.com/spreadsheets/d/1DY4XTNNwjluuxqdfdn6qvOSlMRrZqUtmYcZR0ttFiG4/edit?usp=sharing"",""ลำปาง!J679"")+IMPORTRANGE(""https://docs.goog"&amp;"le.com/spreadsheets/d/1ICwG78r0OFT8biBlxnBF8r7she7gNSzOvJ958PWT09c/edit?usp=sharing"",""ลำพูน!J679"")+IMPORTRANGE(""https://docs.google.com/spreadsheets/d/1B0f2xJpZUC6Z0xXnqKlZtEPzsf6L84eP1r1Q15seqRM/edit?usp=sharing"",""สุโขทัย!J679"")+IMPORTRANGE(""http"&amp;"s://docs.google.com/spreadsheets/d/1v0b9pFQCsKUVExMei7AgY2yQkdeNQvtOssygGsXbiKo/edit?usp=sharing"",""อุตรดิตถ์!J679"")+IMPORTRANGE(""https://docs.google.com/spreadsheets/d/1UsNK1e-WWiCo2PvGqdNfdme4m17_Ezd3J69EeeiQPD0/edit?usp=sharing"",""อุทัยธานี!J679"")"),0)</f>
        <v>0</v>
      </c>
      <c r="K679" s="46">
        <f t="shared" ca="1" si="469"/>
        <v>0</v>
      </c>
      <c r="L679" s="45"/>
      <c r="M679" s="45"/>
      <c r="N679" s="416"/>
      <c r="O679" s="45"/>
      <c r="P679" s="45"/>
      <c r="Q679" s="45"/>
      <c r="R679" s="45"/>
      <c r="S679" s="45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66">
        <f ca="1">IFERROR(__xludf.DUMMYFUNCTION("IMPORTRANGE(""https://docs.google.com/spreadsheets/d/1jTcq05yEiRwXcBMLjiodW9e4biSGYWAHcDj22rKWQ3s/edit?usp=sharing"",""กำแพงเพชร!J680"")+IMPORTRANGE(""https://docs.google.com/spreadsheets/d/1KS0zmDSZPk8KnTAbGN-Xk6MtX1YRZD0ldgdt20K4CRk/edit?usp=sharing"","&amp;"""เชียงราย!J680"")+IMPORTRANGE(""https://docs.google.com/spreadsheets/d/1rEDxBtusbi64tE0zunoIbsTVV16HeL0oJ6trHQeQ7K8/edit?usp=sharing"",""เชียงใหม่!J680"")+IMPORTRANGE(""https://docs.google.com/spreadsheets/d/1W6MnUbDkMi6xHnHko_XkFDO9kkuL6Wqyc-6OCDFjW9I/e"&amp;"dit?usp=sharing"",""ตาก!J680"")+IMPORTRANGE(""https://docs.google.com/spreadsheets/d/1IQAWArduLkta9LpYo4a_ULsyqdta6-6aDDiwpUnQT6c/edit?usp=sharing"",""นครสวรรค์!J680"")+IMPORTRANGE(""https://docs.google.com/spreadsheets/d/10s13Sk5xrltsiR-Zkbmk5DwIaDIKO8Xl"&amp;"bJAfqyT7Gvg/edit?usp=sharing"",""น่าน!J680"")+IMPORTRANGE(""https://docs.google.com/spreadsheets/d/1uu4nAn4Dbi1XREnLKKotUANlKXa7yCgRcgq8HEzQYW8/edit?usp=sharing"",""พะเยา!J680"")+IMPORTRANGE(""https://docs.google.com/spreadsheets/d/1xfJKIQxVOaPDIICqsflNlL"&amp;"u3JacTDk1FP9RH4phX7mI/edit?usp=sharing"",""พิจิตร!J680"")+IMPORTRANGE(""https://docs.google.com/spreadsheets/d/1JtRfZkJMHtEhI5RdRHxYUG4FIZHqKDpNyIuN7A1Q0_k/edit?usp=sharing"",""พิษณุโลก!J680"")+IMPORTRANGE(""https://docs.google.com/spreadsheets/d/1xlcVZWU"&amp;"Nn6SuWm0c307h32SiGkd9BaeQWlAktfD3KO8/edit?usp=sharing"",""เพชรบูรณ์!J680"")+IMPORTRANGE(""https://docs.google.com/spreadsheets/d/1lOVebEIsI9qjGXl6EX66luk7wiuP2tBaryw-wKvv4e0/edit?usp=sharing"",""แพร่!J680"")+IMPORTRANGE(""https://docs.google.com/spreadshe"&amp;"ets/d/1dQrvX0vEcN7Gu0fnZ0B5S90AeR19zth4XlExFBeExMY/edit?usp=sharing"",""แม่ฮ่องสอน!J680"")+IMPORTRANGE(""https://docs.google.com/spreadsheets/d/1DY4XTNNwjluuxqdfdn6qvOSlMRrZqUtmYcZR0ttFiG4/edit?usp=sharing"",""ลำปาง!J680"")+IMPORTRANGE(""https://docs.goog"&amp;"le.com/spreadsheets/d/1ICwG78r0OFT8biBlxnBF8r7she7gNSzOvJ958PWT09c/edit?usp=sharing"",""ลำพูน!J680"")+IMPORTRANGE(""https://docs.google.com/spreadsheets/d/1B0f2xJpZUC6Z0xXnqKlZtEPzsf6L84eP1r1Q15seqRM/edit?usp=sharing"",""สุโขทัย!J680"")+IMPORTRANGE(""http"&amp;"s://docs.google.com/spreadsheets/d/1v0b9pFQCsKUVExMei7AgY2yQkdeNQvtOssygGsXbiKo/edit?usp=sharing"",""อุตรดิตถ์!J680"")+IMPORTRANGE(""https://docs.google.com/spreadsheets/d/1UsNK1e-WWiCo2PvGqdNfdme4m17_Ezd3J69EeeiQPD0/edit?usp=sharing"",""อุทัยธานี!J680"")"),0)</f>
        <v>0</v>
      </c>
      <c r="K680" s="45"/>
      <c r="L680" s="416"/>
      <c r="M680" s="416"/>
      <c r="N680" s="416"/>
      <c r="O680" s="45"/>
      <c r="P680" s="45"/>
      <c r="Q680" s="416"/>
      <c r="R680" s="416"/>
      <c r="S680" s="416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415">
        <f ca="1">IFERROR(__xludf.DUMMYFUNCTION("IMPORTRANGE(""https://docs.google.com/spreadsheets/d/1jTcq05yEiRwXcBMLjiodW9e4biSGYWAHcDj22rKWQ3s/edit?usp=sharing"",""กำแพงเพชร!I681"")+IMPORTRANGE(""https://docs.google.com/spreadsheets/d/1KS0zmDSZPk8KnTAbGN-Xk6MtX1YRZD0ldgdt20K4CRk/edit?usp=sharing"","&amp;"""เชียงราย!I681"")+IMPORTRANGE(""https://docs.google.com/spreadsheets/d/1rEDxBtusbi64tE0zunoIbsTVV16HeL0oJ6trHQeQ7K8/edit?usp=sharing"",""เชียงใหม่!I681"")+IMPORTRANGE(""https://docs.google.com/spreadsheets/d/1W6MnUbDkMi6xHnHko_XkFDO9kkuL6Wqyc-6OCDFjW9I/e"&amp;"dit?usp=sharing"",""ตาก!I681"")+IMPORTRANGE(""https://docs.google.com/spreadsheets/d/1IQAWArduLkta9LpYo4a_ULsyqdta6-6aDDiwpUnQT6c/edit?usp=sharing"",""นครสวรรค์!I681"")+IMPORTRANGE(""https://docs.google.com/spreadsheets/d/10s13Sk5xrltsiR-Zkbmk5DwIaDIKO8Xl"&amp;"bJAfqyT7Gvg/edit?usp=sharing"",""น่าน!I681"")+IMPORTRANGE(""https://docs.google.com/spreadsheets/d/1uu4nAn4Dbi1XREnLKKotUANlKXa7yCgRcgq8HEzQYW8/edit?usp=sharing"",""พะเยา!I681"")+IMPORTRANGE(""https://docs.google.com/spreadsheets/d/1xfJKIQxVOaPDIICqsflNlL"&amp;"u3JacTDk1FP9RH4phX7mI/edit?usp=sharing"",""พิจิตร!I681"")+IMPORTRANGE(""https://docs.google.com/spreadsheets/d/1JtRfZkJMHtEhI5RdRHxYUG4FIZHqKDpNyIuN7A1Q0_k/edit?usp=sharing"",""พิษณุโลก!I681"")+IMPORTRANGE(""https://docs.google.com/spreadsheets/d/1xlcVZWU"&amp;"Nn6SuWm0c307h32SiGkd9BaeQWlAktfD3KO8/edit?usp=sharing"",""เพชรบูรณ์!I681"")+IMPORTRANGE(""https://docs.google.com/spreadsheets/d/1lOVebEIsI9qjGXl6EX66luk7wiuP2tBaryw-wKvv4e0/edit?usp=sharing"",""แพร่!I681"")+IMPORTRANGE(""https://docs.google.com/spreadshe"&amp;"ets/d/1dQrvX0vEcN7Gu0fnZ0B5S90AeR19zth4XlExFBeExMY/edit?usp=sharing"",""แม่ฮ่องสอน!I681"")+IMPORTRANGE(""https://docs.google.com/spreadsheets/d/1DY4XTNNwjluuxqdfdn6qvOSlMRrZqUtmYcZR0ttFiG4/edit?usp=sharing"",""ลำปาง!I681"")+IMPORTRANGE(""https://docs.goog"&amp;"le.com/spreadsheets/d/1ICwG78r0OFT8biBlxnBF8r7she7gNSzOvJ958PWT09c/edit?usp=sharing"",""ลำพูน!I681"")+IMPORTRANGE(""https://docs.google.com/spreadsheets/d/1B0f2xJpZUC6Z0xXnqKlZtEPzsf6L84eP1r1Q15seqRM/edit?usp=sharing"",""สุโขทัย!I681"")+IMPORTRANGE(""http"&amp;"s://docs.google.com/spreadsheets/d/1v0b9pFQCsKUVExMei7AgY2yQkdeNQvtOssygGsXbiKo/edit?usp=sharing"",""อุตรดิตถ์!I681"")+IMPORTRANGE(""https://docs.google.com/spreadsheets/d/1UsNK1e-WWiCo2PvGqdNfdme4m17_Ezd3J69EeeiQPD0/edit?usp=sharing"",""อุทัยธานี!I681"")"),120)</f>
        <v>120</v>
      </c>
      <c r="J681" s="415">
        <f ca="1">IFERROR(__xludf.DUMMYFUNCTION("IMPORTRANGE(""https://docs.google.com/spreadsheets/d/1jTcq05yEiRwXcBMLjiodW9e4biSGYWAHcDj22rKWQ3s/edit?usp=sharing"",""กำแพงเพชร!J681"")+IMPORTRANGE(""https://docs.google.com/spreadsheets/d/1KS0zmDSZPk8KnTAbGN-Xk6MtX1YRZD0ldgdt20K4CRk/edit?usp=sharing"","&amp;"""เชียงราย!J681"")+IMPORTRANGE(""https://docs.google.com/spreadsheets/d/1rEDxBtusbi64tE0zunoIbsTVV16HeL0oJ6trHQeQ7K8/edit?usp=sharing"",""เชียงใหม่!J681"")+IMPORTRANGE(""https://docs.google.com/spreadsheets/d/1W6MnUbDkMi6xHnHko_XkFDO9kkuL6Wqyc-6OCDFjW9I/e"&amp;"dit?usp=sharing"",""ตาก!J681"")+IMPORTRANGE(""https://docs.google.com/spreadsheets/d/1IQAWArduLkta9LpYo4a_ULsyqdta6-6aDDiwpUnQT6c/edit?usp=sharing"",""นครสวรรค์!J681"")+IMPORTRANGE(""https://docs.google.com/spreadsheets/d/10s13Sk5xrltsiR-Zkbmk5DwIaDIKO8Xl"&amp;"bJAfqyT7Gvg/edit?usp=sharing"",""น่าน!J681"")+IMPORTRANGE(""https://docs.google.com/spreadsheets/d/1uu4nAn4Dbi1XREnLKKotUANlKXa7yCgRcgq8HEzQYW8/edit?usp=sharing"",""พะเยา!J681"")+IMPORTRANGE(""https://docs.google.com/spreadsheets/d/1xfJKIQxVOaPDIICqsflNlL"&amp;"u3JacTDk1FP9RH4phX7mI/edit?usp=sharing"",""พิจิตร!J681"")+IMPORTRANGE(""https://docs.google.com/spreadsheets/d/1JtRfZkJMHtEhI5RdRHxYUG4FIZHqKDpNyIuN7A1Q0_k/edit?usp=sharing"",""พิษณุโลก!J681"")+IMPORTRANGE(""https://docs.google.com/spreadsheets/d/1xlcVZWU"&amp;"Nn6SuWm0c307h32SiGkd9BaeQWlAktfD3KO8/edit?usp=sharing"",""เพชรบูรณ์!J681"")+IMPORTRANGE(""https://docs.google.com/spreadsheets/d/1lOVebEIsI9qjGXl6EX66luk7wiuP2tBaryw-wKvv4e0/edit?usp=sharing"",""แพร่!J681"")+IMPORTRANGE(""https://docs.google.com/spreadshe"&amp;"ets/d/1dQrvX0vEcN7Gu0fnZ0B5S90AeR19zth4XlExFBeExMY/edit?usp=sharing"",""แม่ฮ่องสอน!J681"")+IMPORTRANGE(""https://docs.google.com/spreadsheets/d/1DY4XTNNwjluuxqdfdn6qvOSlMRrZqUtmYcZR0ttFiG4/edit?usp=sharing"",""ลำปาง!J681"")+IMPORTRANGE(""https://docs.goog"&amp;"le.com/spreadsheets/d/1ICwG78r0OFT8biBlxnBF8r7she7gNSzOvJ958PWT09c/edit?usp=sharing"",""ลำพูน!J681"")+IMPORTRANGE(""https://docs.google.com/spreadsheets/d/1B0f2xJpZUC6Z0xXnqKlZtEPzsf6L84eP1r1Q15seqRM/edit?usp=sharing"",""สุโขทัย!J681"")+IMPORTRANGE(""http"&amp;"s://docs.google.com/spreadsheets/d/1v0b9pFQCsKUVExMei7AgY2yQkdeNQvtOssygGsXbiKo/edit?usp=sharing"",""อุตรดิตถ์!J681"")+IMPORTRANGE(""https://docs.google.com/spreadsheets/d/1UsNK1e-WWiCo2PvGqdNfdme4m17_Ezd3J69EeeiQPD0/edit?usp=sharing"",""อุทัยธานี!J681"")"),0)</f>
        <v>0</v>
      </c>
      <c r="K681" s="46">
        <f t="shared" ref="K681:K682" ca="1" si="470">IF(I681&gt;0,J681*100/I681,0)</f>
        <v>0</v>
      </c>
      <c r="L681" s="416"/>
      <c r="M681" s="416"/>
      <c r="N681" s="416"/>
      <c r="O681" s="45"/>
      <c r="P681" s="45"/>
      <c r="Q681" s="416"/>
      <c r="R681" s="416"/>
      <c r="S681" s="416"/>
      <c r="T681" s="45"/>
      <c r="U681" s="45"/>
    </row>
    <row r="682" spans="1:21" ht="19.5" x14ac:dyDescent="0.3">
      <c r="A682" s="208"/>
      <c r="B682" s="158"/>
      <c r="C682" s="158"/>
      <c r="D682" s="47" t="s">
        <v>251</v>
      </c>
      <c r="E682" s="40"/>
      <c r="F682" s="40"/>
      <c r="G682" s="42"/>
      <c r="H682" s="411" t="s">
        <v>46</v>
      </c>
      <c r="I682" s="417">
        <f ca="1">IFERROR(__xludf.DUMMYFUNCTION("IMPORTRANGE(""https://docs.google.com/spreadsheets/d/1jTcq05yEiRwXcBMLjiodW9e4biSGYWAHcDj22rKWQ3s/edit?usp=sharing"",""กำแพงเพชร!I682"")+IMPORTRANGE(""https://docs.google.com/spreadsheets/d/1KS0zmDSZPk8KnTAbGN-Xk6MtX1YRZD0ldgdt20K4CRk/edit?usp=sharing"","&amp;"""เชียงราย!I682"")+IMPORTRANGE(""https://docs.google.com/spreadsheets/d/1rEDxBtusbi64tE0zunoIbsTVV16HeL0oJ6trHQeQ7K8/edit?usp=sharing"",""เชียงใหม่!I682"")+IMPORTRANGE(""https://docs.google.com/spreadsheets/d/1W6MnUbDkMi6xHnHko_XkFDO9kkuL6Wqyc-6OCDFjW9I/e"&amp;"dit?usp=sharing"",""ตาก!I682"")+IMPORTRANGE(""https://docs.google.com/spreadsheets/d/1IQAWArduLkta9LpYo4a_ULsyqdta6-6aDDiwpUnQT6c/edit?usp=sharing"",""นครสวรรค์!I682"")+IMPORTRANGE(""https://docs.google.com/spreadsheets/d/10s13Sk5xrltsiR-Zkbmk5DwIaDIKO8Xl"&amp;"bJAfqyT7Gvg/edit?usp=sharing"",""น่าน!I682"")+IMPORTRANGE(""https://docs.google.com/spreadsheets/d/1uu4nAn4Dbi1XREnLKKotUANlKXa7yCgRcgq8HEzQYW8/edit?usp=sharing"",""พะเยา!I682"")+IMPORTRANGE(""https://docs.google.com/spreadsheets/d/1xfJKIQxVOaPDIICqsflNlL"&amp;"u3JacTDk1FP9RH4phX7mI/edit?usp=sharing"",""พิจิตร!I682"")+IMPORTRANGE(""https://docs.google.com/spreadsheets/d/1JtRfZkJMHtEhI5RdRHxYUG4FIZHqKDpNyIuN7A1Q0_k/edit?usp=sharing"",""พิษณุโลก!I682"")+IMPORTRANGE(""https://docs.google.com/spreadsheets/d/1xlcVZWU"&amp;"Nn6SuWm0c307h32SiGkd9BaeQWlAktfD3KO8/edit?usp=sharing"",""เพชรบูรณ์!I682"")+IMPORTRANGE(""https://docs.google.com/spreadsheets/d/1lOVebEIsI9qjGXl6EX66luk7wiuP2tBaryw-wKvv4e0/edit?usp=sharing"",""แพร่!I682"")+IMPORTRANGE(""https://docs.google.com/spreadshe"&amp;"ets/d/1dQrvX0vEcN7Gu0fnZ0B5S90AeR19zth4XlExFBeExMY/edit?usp=sharing"",""แม่ฮ่องสอน!I682"")+IMPORTRANGE(""https://docs.google.com/spreadsheets/d/1DY4XTNNwjluuxqdfdn6qvOSlMRrZqUtmYcZR0ttFiG4/edit?usp=sharing"",""ลำปาง!I682"")+IMPORTRANGE(""https://docs.goog"&amp;"le.com/spreadsheets/d/1ICwG78r0OFT8biBlxnBF8r7she7gNSzOvJ958PWT09c/edit?usp=sharing"",""ลำพูน!I682"")+IMPORTRANGE(""https://docs.google.com/spreadsheets/d/1B0f2xJpZUC6Z0xXnqKlZtEPzsf6L84eP1r1Q15seqRM/edit?usp=sharing"",""สุโขทัย!I682"")+IMPORTRANGE(""http"&amp;"s://docs.google.com/spreadsheets/d/1v0b9pFQCsKUVExMei7AgY2yQkdeNQvtOssygGsXbiKo/edit?usp=sharing"",""อุตรดิตถ์!I682"")+IMPORTRANGE(""https://docs.google.com/spreadsheets/d/1UsNK1e-WWiCo2PvGqdNfdme4m17_Ezd3J69EeeiQPD0/edit?usp=sharing"",""อุทัยธานี!I682"")"),204)</f>
        <v>204</v>
      </c>
      <c r="J682" s="147">
        <f ca="1">J685+J688</f>
        <v>95</v>
      </c>
      <c r="K682" s="132">
        <f t="shared" ca="1" si="470"/>
        <v>46.568627450980394</v>
      </c>
      <c r="L682" s="45"/>
      <c r="M682" s="45"/>
      <c r="N682" s="416"/>
      <c r="O682" s="45"/>
      <c r="P682" s="45"/>
      <c r="Q682" s="45"/>
      <c r="R682" s="45"/>
      <c r="S682" s="45"/>
      <c r="T682" s="45"/>
      <c r="U682" s="45"/>
    </row>
    <row r="683" spans="1:21" ht="18.75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167">
        <f ca="1">IFERROR(__xludf.DUMMYFUNCTION("IMPORTRANGE(""https://docs.google.com/spreadsheets/d/1jTcq05yEiRwXcBMLjiodW9e4biSGYWAHcDj22rKWQ3s/edit?usp=sharing"",""กำแพงเพชร!J683"")+IMPORTRANGE(""https://docs.google.com/spreadsheets/d/1KS0zmDSZPk8KnTAbGN-Xk6MtX1YRZD0ldgdt20K4CRk/edit?usp=sharing"","&amp;"""เชียงราย!J683"")+IMPORTRANGE(""https://docs.google.com/spreadsheets/d/1rEDxBtusbi64tE0zunoIbsTVV16HeL0oJ6trHQeQ7K8/edit?usp=sharing"",""เชียงใหม่!J683"")+IMPORTRANGE(""https://docs.google.com/spreadsheets/d/1W6MnUbDkMi6xHnHko_XkFDO9kkuL6Wqyc-6OCDFjW9I/e"&amp;"dit?usp=sharing"",""ตาก!J683"")+IMPORTRANGE(""https://docs.google.com/spreadsheets/d/1IQAWArduLkta9LpYo4a_ULsyqdta6-6aDDiwpUnQT6c/edit?usp=sharing"",""นครสวรรค์!J683"")+IMPORTRANGE(""https://docs.google.com/spreadsheets/d/10s13Sk5xrltsiR-Zkbmk5DwIaDIKO8Xl"&amp;"bJAfqyT7Gvg/edit?usp=sharing"",""น่าน!J683"")+IMPORTRANGE(""https://docs.google.com/spreadsheets/d/1uu4nAn4Dbi1XREnLKKotUANlKXa7yCgRcgq8HEzQYW8/edit?usp=sharing"",""พะเยา!J683"")+IMPORTRANGE(""https://docs.google.com/spreadsheets/d/1xfJKIQxVOaPDIICqsflNlL"&amp;"u3JacTDk1FP9RH4phX7mI/edit?usp=sharing"",""พิจิตร!J683"")+IMPORTRANGE(""https://docs.google.com/spreadsheets/d/1JtRfZkJMHtEhI5RdRHxYUG4FIZHqKDpNyIuN7A1Q0_k/edit?usp=sharing"",""พิษณุโลก!J683"")+IMPORTRANGE(""https://docs.google.com/spreadsheets/d/1xlcVZWU"&amp;"Nn6SuWm0c307h32SiGkd9BaeQWlAktfD3KO8/edit?usp=sharing"",""เพชรบูรณ์!J683"")+IMPORTRANGE(""https://docs.google.com/spreadsheets/d/1lOVebEIsI9qjGXl6EX66luk7wiuP2tBaryw-wKvv4e0/edit?usp=sharing"",""แพร่!J683"")+IMPORTRANGE(""https://docs.google.com/spreadshe"&amp;"ets/d/1dQrvX0vEcN7Gu0fnZ0B5S90AeR19zth4XlExFBeExMY/edit?usp=sharing"",""แม่ฮ่องสอน!J683"")+IMPORTRANGE(""https://docs.google.com/spreadsheets/d/1DY4XTNNwjluuxqdfdn6qvOSlMRrZqUtmYcZR0ttFiG4/edit?usp=sharing"",""ลำปาง!J683"")+IMPORTRANGE(""https://docs.goog"&amp;"le.com/spreadsheets/d/1ICwG78r0OFT8biBlxnBF8r7she7gNSzOvJ958PWT09c/edit?usp=sharing"",""ลำพูน!J683"")+IMPORTRANGE(""https://docs.google.com/spreadsheets/d/1B0f2xJpZUC6Z0xXnqKlZtEPzsf6L84eP1r1Q15seqRM/edit?usp=sharing"",""สุโขทัย!J683"")+IMPORTRANGE(""http"&amp;"s://docs.google.com/spreadsheets/d/1v0b9pFQCsKUVExMei7AgY2yQkdeNQvtOssygGsXbiKo/edit?usp=sharing"",""อุตรดิตถ์!J683"")+IMPORTRANGE(""https://docs.google.com/spreadsheets/d/1UsNK1e-WWiCo2PvGqdNfdme4m17_Ezd3J69EeeiQPD0/edit?usp=sharing"",""อุทัยธานี!J683"")"),3)</f>
        <v>3</v>
      </c>
      <c r="K683" s="45"/>
      <c r="L683" s="416"/>
      <c r="M683" s="416"/>
      <c r="N683" s="416"/>
      <c r="O683" s="45"/>
      <c r="P683" s="45"/>
      <c r="Q683" s="416"/>
      <c r="R683" s="416"/>
      <c r="S683" s="416"/>
      <c r="T683" s="45"/>
      <c r="U683" s="45"/>
    </row>
    <row r="684" spans="1:21" ht="18.75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167">
        <f ca="1">IFERROR(__xludf.DUMMYFUNCTION("IMPORTRANGE(""https://docs.google.com/spreadsheets/d/1jTcq05yEiRwXcBMLjiodW9e4biSGYWAHcDj22rKWQ3s/edit?usp=sharing"",""กำแพงเพชร!J684"")+IMPORTRANGE(""https://docs.google.com/spreadsheets/d/1KS0zmDSZPk8KnTAbGN-Xk6MtX1YRZD0ldgdt20K4CRk/edit?usp=sharing"","&amp;"""เชียงราย!J684"")+IMPORTRANGE(""https://docs.google.com/spreadsheets/d/1rEDxBtusbi64tE0zunoIbsTVV16HeL0oJ6trHQeQ7K8/edit?usp=sharing"",""เชียงใหม่!J684"")+IMPORTRANGE(""https://docs.google.com/spreadsheets/d/1W6MnUbDkMi6xHnHko_XkFDO9kkuL6Wqyc-6OCDFjW9I/e"&amp;"dit?usp=sharing"",""ตาก!J684"")+IMPORTRANGE(""https://docs.google.com/spreadsheets/d/1IQAWArduLkta9LpYo4a_ULsyqdta6-6aDDiwpUnQT6c/edit?usp=sharing"",""นครสวรรค์!J684"")+IMPORTRANGE(""https://docs.google.com/spreadsheets/d/10s13Sk5xrltsiR-Zkbmk5DwIaDIKO8Xl"&amp;"bJAfqyT7Gvg/edit?usp=sharing"",""น่าน!J684"")+IMPORTRANGE(""https://docs.google.com/spreadsheets/d/1uu4nAn4Dbi1XREnLKKotUANlKXa7yCgRcgq8HEzQYW8/edit?usp=sharing"",""พะเยา!J684"")+IMPORTRANGE(""https://docs.google.com/spreadsheets/d/1xfJKIQxVOaPDIICqsflNlL"&amp;"u3JacTDk1FP9RH4phX7mI/edit?usp=sharing"",""พิจิตร!J684"")+IMPORTRANGE(""https://docs.google.com/spreadsheets/d/1JtRfZkJMHtEhI5RdRHxYUG4FIZHqKDpNyIuN7A1Q0_k/edit?usp=sharing"",""พิษณุโลก!J684"")+IMPORTRANGE(""https://docs.google.com/spreadsheets/d/1xlcVZWU"&amp;"Nn6SuWm0c307h32SiGkd9BaeQWlAktfD3KO8/edit?usp=sharing"",""เพชรบูรณ์!J684"")+IMPORTRANGE(""https://docs.google.com/spreadsheets/d/1lOVebEIsI9qjGXl6EX66luk7wiuP2tBaryw-wKvv4e0/edit?usp=sharing"",""แพร่!J684"")+IMPORTRANGE(""https://docs.google.com/spreadshe"&amp;"ets/d/1dQrvX0vEcN7Gu0fnZ0B5S90AeR19zth4XlExFBeExMY/edit?usp=sharing"",""แม่ฮ่องสอน!J684"")+IMPORTRANGE(""https://docs.google.com/spreadsheets/d/1DY4XTNNwjluuxqdfdn6qvOSlMRrZqUtmYcZR0ttFiG4/edit?usp=sharing"",""ลำปาง!J684"")+IMPORTRANGE(""https://docs.goog"&amp;"le.com/spreadsheets/d/1ICwG78r0OFT8biBlxnBF8r7she7gNSzOvJ958PWT09c/edit?usp=sharing"",""ลำพูน!J684"")+IMPORTRANGE(""https://docs.google.com/spreadsheets/d/1B0f2xJpZUC6Z0xXnqKlZtEPzsf6L84eP1r1Q15seqRM/edit?usp=sharing"",""สุโขทัย!J684"")+IMPORTRANGE(""http"&amp;"s://docs.google.com/spreadsheets/d/1v0b9pFQCsKUVExMei7AgY2yQkdeNQvtOssygGsXbiKo/edit?usp=sharing"",""อุตรดิตถ์!J684"")+IMPORTRANGE(""https://docs.google.com/spreadsheets/d/1UsNK1e-WWiCo2PvGqdNfdme4m17_Ezd3J69EeeiQPD0/edit?usp=sharing"",""อุทัยธานี!J684"")"),3)</f>
        <v>3</v>
      </c>
      <c r="K684" s="45"/>
      <c r="L684" s="416"/>
      <c r="M684" s="416"/>
      <c r="N684" s="416"/>
      <c r="O684" s="45"/>
      <c r="P684" s="45"/>
      <c r="Q684" s="416"/>
      <c r="R684" s="416"/>
      <c r="S684" s="416"/>
      <c r="T684" s="45"/>
      <c r="U684" s="45"/>
    </row>
    <row r="685" spans="1:21" ht="18.75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167">
        <f ca="1">IFERROR(__xludf.DUMMYFUNCTION("IMPORTRANGE(""https://docs.google.com/spreadsheets/d/1jTcq05yEiRwXcBMLjiodW9e4biSGYWAHcDj22rKWQ3s/edit?usp=sharing"",""กำแพงเพชร!J685"")+IMPORTRANGE(""https://docs.google.com/spreadsheets/d/1KS0zmDSZPk8KnTAbGN-Xk6MtX1YRZD0ldgdt20K4CRk/edit?usp=sharing"","&amp;"""เชียงราย!J685"")+IMPORTRANGE(""https://docs.google.com/spreadsheets/d/1rEDxBtusbi64tE0zunoIbsTVV16HeL0oJ6trHQeQ7K8/edit?usp=sharing"",""เชียงใหม่!J685"")+IMPORTRANGE(""https://docs.google.com/spreadsheets/d/1W6MnUbDkMi6xHnHko_XkFDO9kkuL6Wqyc-6OCDFjW9I/e"&amp;"dit?usp=sharing"",""ตาก!J685"")+IMPORTRANGE(""https://docs.google.com/spreadsheets/d/1IQAWArduLkta9LpYo4a_ULsyqdta6-6aDDiwpUnQT6c/edit?usp=sharing"",""นครสวรรค์!J685"")+IMPORTRANGE(""https://docs.google.com/spreadsheets/d/10s13Sk5xrltsiR-Zkbmk5DwIaDIKO8Xl"&amp;"bJAfqyT7Gvg/edit?usp=sharing"",""น่าน!J685"")+IMPORTRANGE(""https://docs.google.com/spreadsheets/d/1uu4nAn4Dbi1XREnLKKotUANlKXa7yCgRcgq8HEzQYW8/edit?usp=sharing"",""พะเยา!J685"")+IMPORTRANGE(""https://docs.google.com/spreadsheets/d/1xfJKIQxVOaPDIICqsflNlL"&amp;"u3JacTDk1FP9RH4phX7mI/edit?usp=sharing"",""พิจิตร!J685"")+IMPORTRANGE(""https://docs.google.com/spreadsheets/d/1JtRfZkJMHtEhI5RdRHxYUG4FIZHqKDpNyIuN7A1Q0_k/edit?usp=sharing"",""พิษณุโลก!J685"")+IMPORTRANGE(""https://docs.google.com/spreadsheets/d/1xlcVZWU"&amp;"Nn6SuWm0c307h32SiGkd9BaeQWlAktfD3KO8/edit?usp=sharing"",""เพชรบูรณ์!J685"")+IMPORTRANGE(""https://docs.google.com/spreadsheets/d/1lOVebEIsI9qjGXl6EX66luk7wiuP2tBaryw-wKvv4e0/edit?usp=sharing"",""แพร่!J685"")+IMPORTRANGE(""https://docs.google.com/spreadshe"&amp;"ets/d/1dQrvX0vEcN7Gu0fnZ0B5S90AeR19zth4XlExFBeExMY/edit?usp=sharing"",""แม่ฮ่องสอน!J685"")+IMPORTRANGE(""https://docs.google.com/spreadsheets/d/1DY4XTNNwjluuxqdfdn6qvOSlMRrZqUtmYcZR0ttFiG4/edit?usp=sharing"",""ลำปาง!J685"")+IMPORTRANGE(""https://docs.goog"&amp;"le.com/spreadsheets/d/1ICwG78r0OFT8biBlxnBF8r7she7gNSzOvJ958PWT09c/edit?usp=sharing"",""ลำพูน!J685"")+IMPORTRANGE(""https://docs.google.com/spreadsheets/d/1B0f2xJpZUC6Z0xXnqKlZtEPzsf6L84eP1r1Q15seqRM/edit?usp=sharing"",""สุโขทัย!J685"")+IMPORTRANGE(""http"&amp;"s://docs.google.com/spreadsheets/d/1v0b9pFQCsKUVExMei7AgY2yQkdeNQvtOssygGsXbiKo/edit?usp=sharing"",""อุตรดิตถ์!J685"")+IMPORTRANGE(""https://docs.google.com/spreadsheets/d/1UsNK1e-WWiCo2PvGqdNfdme4m17_Ezd3J69EeeiQPD0/edit?usp=sharing"",""อุทัยธานี!J685"")"),65)</f>
        <v>65</v>
      </c>
      <c r="K685" s="45"/>
      <c r="L685" s="416"/>
      <c r="M685" s="416"/>
      <c r="N685" s="416"/>
      <c r="O685" s="45"/>
      <c r="P685" s="45"/>
      <c r="Q685" s="416"/>
      <c r="R685" s="416"/>
      <c r="S685" s="416"/>
      <c r="T685" s="45"/>
      <c r="U685" s="45"/>
    </row>
    <row r="686" spans="1:21" ht="18.75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167">
        <f ca="1">IFERROR(__xludf.DUMMYFUNCTION("IMPORTRANGE(""https://docs.google.com/spreadsheets/d/1jTcq05yEiRwXcBMLjiodW9e4biSGYWAHcDj22rKWQ3s/edit?usp=sharing"",""กำแพงเพชร!J686"")+IMPORTRANGE(""https://docs.google.com/spreadsheets/d/1KS0zmDSZPk8KnTAbGN-Xk6MtX1YRZD0ldgdt20K4CRk/edit?usp=sharing"","&amp;"""เชียงราย!J686"")+IMPORTRANGE(""https://docs.google.com/spreadsheets/d/1rEDxBtusbi64tE0zunoIbsTVV16HeL0oJ6trHQeQ7K8/edit?usp=sharing"",""เชียงใหม่!J686"")+IMPORTRANGE(""https://docs.google.com/spreadsheets/d/1W6MnUbDkMi6xHnHko_XkFDO9kkuL6Wqyc-6OCDFjW9I/e"&amp;"dit?usp=sharing"",""ตาก!J686"")+IMPORTRANGE(""https://docs.google.com/spreadsheets/d/1IQAWArduLkta9LpYo4a_ULsyqdta6-6aDDiwpUnQT6c/edit?usp=sharing"",""นครสวรรค์!J686"")+IMPORTRANGE(""https://docs.google.com/spreadsheets/d/10s13Sk5xrltsiR-Zkbmk5DwIaDIKO8Xl"&amp;"bJAfqyT7Gvg/edit?usp=sharing"",""น่าน!J686"")+IMPORTRANGE(""https://docs.google.com/spreadsheets/d/1uu4nAn4Dbi1XREnLKKotUANlKXa7yCgRcgq8HEzQYW8/edit?usp=sharing"",""พะเยา!J686"")+IMPORTRANGE(""https://docs.google.com/spreadsheets/d/1xfJKIQxVOaPDIICqsflNlL"&amp;"u3JacTDk1FP9RH4phX7mI/edit?usp=sharing"",""พิจิตร!J686"")+IMPORTRANGE(""https://docs.google.com/spreadsheets/d/1JtRfZkJMHtEhI5RdRHxYUG4FIZHqKDpNyIuN7A1Q0_k/edit?usp=sharing"",""พิษณุโลก!J686"")+IMPORTRANGE(""https://docs.google.com/spreadsheets/d/1xlcVZWU"&amp;"Nn6SuWm0c307h32SiGkd9BaeQWlAktfD3KO8/edit?usp=sharing"",""เพชรบูรณ์!J686"")+IMPORTRANGE(""https://docs.google.com/spreadsheets/d/1lOVebEIsI9qjGXl6EX66luk7wiuP2tBaryw-wKvv4e0/edit?usp=sharing"",""แพร่!J686"")+IMPORTRANGE(""https://docs.google.com/spreadshe"&amp;"ets/d/1dQrvX0vEcN7Gu0fnZ0B5S90AeR19zth4XlExFBeExMY/edit?usp=sharing"",""แม่ฮ่องสอน!J686"")+IMPORTRANGE(""https://docs.google.com/spreadsheets/d/1DY4XTNNwjluuxqdfdn6qvOSlMRrZqUtmYcZR0ttFiG4/edit?usp=sharing"",""ลำปาง!J686"")+IMPORTRANGE(""https://docs.goog"&amp;"le.com/spreadsheets/d/1ICwG78r0OFT8biBlxnBF8r7she7gNSzOvJ958PWT09c/edit?usp=sharing"",""ลำพูน!J686"")+IMPORTRANGE(""https://docs.google.com/spreadsheets/d/1B0f2xJpZUC6Z0xXnqKlZtEPzsf6L84eP1r1Q15seqRM/edit?usp=sharing"",""สุโขทัย!J686"")+IMPORTRANGE(""http"&amp;"s://docs.google.com/spreadsheets/d/1v0b9pFQCsKUVExMei7AgY2yQkdeNQvtOssygGsXbiKo/edit?usp=sharing"",""อุตรดิตถ์!J686"")+IMPORTRANGE(""https://docs.google.com/spreadsheets/d/1UsNK1e-WWiCo2PvGqdNfdme4m17_Ezd3J69EeeiQPD0/edit?usp=sharing"",""อุทัยธานี!J686"")"),2)</f>
        <v>2</v>
      </c>
      <c r="K686" s="45"/>
      <c r="L686" s="416"/>
      <c r="M686" s="416"/>
      <c r="N686" s="416"/>
      <c r="O686" s="45"/>
      <c r="P686" s="45"/>
      <c r="Q686" s="416"/>
      <c r="R686" s="416"/>
      <c r="S686" s="416"/>
      <c r="T686" s="45"/>
      <c r="U686" s="45"/>
    </row>
    <row r="687" spans="1:21" ht="18.75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167">
        <f ca="1">IFERROR(__xludf.DUMMYFUNCTION("IMPORTRANGE(""https://docs.google.com/spreadsheets/d/1jTcq05yEiRwXcBMLjiodW9e4biSGYWAHcDj22rKWQ3s/edit?usp=sharing"",""กำแพงเพชร!J687"")+IMPORTRANGE(""https://docs.google.com/spreadsheets/d/1KS0zmDSZPk8KnTAbGN-Xk6MtX1YRZD0ldgdt20K4CRk/edit?usp=sharing"","&amp;"""เชียงราย!J687"")+IMPORTRANGE(""https://docs.google.com/spreadsheets/d/1rEDxBtusbi64tE0zunoIbsTVV16HeL0oJ6trHQeQ7K8/edit?usp=sharing"",""เชียงใหม่!J687"")+IMPORTRANGE(""https://docs.google.com/spreadsheets/d/1W6MnUbDkMi6xHnHko_XkFDO9kkuL6Wqyc-6OCDFjW9I/e"&amp;"dit?usp=sharing"",""ตาก!J687"")+IMPORTRANGE(""https://docs.google.com/spreadsheets/d/1IQAWArduLkta9LpYo4a_ULsyqdta6-6aDDiwpUnQT6c/edit?usp=sharing"",""นครสวรรค์!J687"")+IMPORTRANGE(""https://docs.google.com/spreadsheets/d/10s13Sk5xrltsiR-Zkbmk5DwIaDIKO8Xl"&amp;"bJAfqyT7Gvg/edit?usp=sharing"",""น่าน!J687"")+IMPORTRANGE(""https://docs.google.com/spreadsheets/d/1uu4nAn4Dbi1XREnLKKotUANlKXa7yCgRcgq8HEzQYW8/edit?usp=sharing"",""พะเยา!J687"")+IMPORTRANGE(""https://docs.google.com/spreadsheets/d/1xfJKIQxVOaPDIICqsflNlL"&amp;"u3JacTDk1FP9RH4phX7mI/edit?usp=sharing"",""พิจิตร!J687"")+IMPORTRANGE(""https://docs.google.com/spreadsheets/d/1JtRfZkJMHtEhI5RdRHxYUG4FIZHqKDpNyIuN7A1Q0_k/edit?usp=sharing"",""พิษณุโลก!J687"")+IMPORTRANGE(""https://docs.google.com/spreadsheets/d/1xlcVZWU"&amp;"Nn6SuWm0c307h32SiGkd9BaeQWlAktfD3KO8/edit?usp=sharing"",""เพชรบูรณ์!J687"")+IMPORTRANGE(""https://docs.google.com/spreadsheets/d/1lOVebEIsI9qjGXl6EX66luk7wiuP2tBaryw-wKvv4e0/edit?usp=sharing"",""แพร่!J687"")+IMPORTRANGE(""https://docs.google.com/spreadshe"&amp;"ets/d/1dQrvX0vEcN7Gu0fnZ0B5S90AeR19zth4XlExFBeExMY/edit?usp=sharing"",""แม่ฮ่องสอน!J687"")+IMPORTRANGE(""https://docs.google.com/spreadsheets/d/1DY4XTNNwjluuxqdfdn6qvOSlMRrZqUtmYcZR0ttFiG4/edit?usp=sharing"",""ลำปาง!J687"")+IMPORTRANGE(""https://docs.goog"&amp;"le.com/spreadsheets/d/1ICwG78r0OFT8biBlxnBF8r7she7gNSzOvJ958PWT09c/edit?usp=sharing"",""ลำพูน!J687"")+IMPORTRANGE(""https://docs.google.com/spreadsheets/d/1B0f2xJpZUC6Z0xXnqKlZtEPzsf6L84eP1r1Q15seqRM/edit?usp=sharing"",""สุโขทัย!J687"")+IMPORTRANGE(""http"&amp;"s://docs.google.com/spreadsheets/d/1v0b9pFQCsKUVExMei7AgY2yQkdeNQvtOssygGsXbiKo/edit?usp=sharing"",""อุตรดิตถ์!J687"")+IMPORTRANGE(""https://docs.google.com/spreadsheets/d/1UsNK1e-WWiCo2PvGqdNfdme4m17_Ezd3J69EeeiQPD0/edit?usp=sharing"",""อุทัยธานี!J687"")"),2)</f>
        <v>2</v>
      </c>
      <c r="K687" s="45"/>
      <c r="L687" s="416"/>
      <c r="M687" s="416"/>
      <c r="N687" s="416"/>
      <c r="O687" s="45"/>
      <c r="P687" s="45"/>
      <c r="Q687" s="416"/>
      <c r="R687" s="416"/>
      <c r="S687" s="416"/>
      <c r="T687" s="45"/>
      <c r="U687" s="45"/>
    </row>
    <row r="688" spans="1:21" ht="19.5" x14ac:dyDescent="0.3">
      <c r="A688" s="249"/>
      <c r="B688" s="419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334">
        <f ca="1">IFERROR(__xludf.DUMMYFUNCTION("IMPORTRANGE(""https://docs.google.com/spreadsheets/d/1jTcq05yEiRwXcBMLjiodW9e4biSGYWAHcDj22rKWQ3s/edit?usp=sharing"",""กำแพงเพชร!J688"")+IMPORTRANGE(""https://docs.google.com/spreadsheets/d/1KS0zmDSZPk8KnTAbGN-Xk6MtX1YRZD0ldgdt20K4CRk/edit?usp=sharing"","&amp;"""เชียงราย!J688"")+IMPORTRANGE(""https://docs.google.com/spreadsheets/d/1rEDxBtusbi64tE0zunoIbsTVV16HeL0oJ6trHQeQ7K8/edit?usp=sharing"",""เชียงใหม่!J688"")+IMPORTRANGE(""https://docs.google.com/spreadsheets/d/1W6MnUbDkMi6xHnHko_XkFDO9kkuL6Wqyc-6OCDFjW9I/e"&amp;"dit?usp=sharing"",""ตาก!J688"")+IMPORTRANGE(""https://docs.google.com/spreadsheets/d/1IQAWArduLkta9LpYo4a_ULsyqdta6-6aDDiwpUnQT6c/edit?usp=sharing"",""นครสวรรค์!J688"")+IMPORTRANGE(""https://docs.google.com/spreadsheets/d/10s13Sk5xrltsiR-Zkbmk5DwIaDIKO8Xl"&amp;"bJAfqyT7Gvg/edit?usp=sharing"",""น่าน!J688"")+IMPORTRANGE(""https://docs.google.com/spreadsheets/d/1uu4nAn4Dbi1XREnLKKotUANlKXa7yCgRcgq8HEzQYW8/edit?usp=sharing"",""พะเยา!J688"")+IMPORTRANGE(""https://docs.google.com/spreadsheets/d/1xfJKIQxVOaPDIICqsflNlL"&amp;"u3JacTDk1FP9RH4phX7mI/edit?usp=sharing"",""พิจิตร!J688"")+IMPORTRANGE(""https://docs.google.com/spreadsheets/d/1JtRfZkJMHtEhI5RdRHxYUG4FIZHqKDpNyIuN7A1Q0_k/edit?usp=sharing"",""พิษณุโลก!J688"")+IMPORTRANGE(""https://docs.google.com/spreadsheets/d/1xlcVZWU"&amp;"Nn6SuWm0c307h32SiGkd9BaeQWlAktfD3KO8/edit?usp=sharing"",""เพชรบูรณ์!J688"")+IMPORTRANGE(""https://docs.google.com/spreadsheets/d/1lOVebEIsI9qjGXl6EX66luk7wiuP2tBaryw-wKvv4e0/edit?usp=sharing"",""แพร่!J688"")+IMPORTRANGE(""https://docs.google.com/spreadshe"&amp;"ets/d/1dQrvX0vEcN7Gu0fnZ0B5S90AeR19zth4XlExFBeExMY/edit?usp=sharing"",""แม่ฮ่องสอน!J688"")+IMPORTRANGE(""https://docs.google.com/spreadsheets/d/1DY4XTNNwjluuxqdfdn6qvOSlMRrZqUtmYcZR0ttFiG4/edit?usp=sharing"",""ลำปาง!J688"")+IMPORTRANGE(""https://docs.goog"&amp;"le.com/spreadsheets/d/1ICwG78r0OFT8biBlxnBF8r7she7gNSzOvJ958PWT09c/edit?usp=sharing"",""ลำพูน!J688"")+IMPORTRANGE(""https://docs.google.com/spreadsheets/d/1B0f2xJpZUC6Z0xXnqKlZtEPzsf6L84eP1r1Q15seqRM/edit?usp=sharing"",""สุโขทัย!J688"")+IMPORTRANGE(""http"&amp;"s://docs.google.com/spreadsheets/d/1v0b9pFQCsKUVExMei7AgY2yQkdeNQvtOssygGsXbiKo/edit?usp=sharing"",""อุตรดิตถ์!J688"")+IMPORTRANGE(""https://docs.google.com/spreadsheets/d/1UsNK1e-WWiCo2PvGqdNfdme4m17_Ezd3J69EeeiQPD0/edit?usp=sharing"",""อุทัยธานี!J688"")"),30)</f>
        <v>30</v>
      </c>
      <c r="K688" s="3"/>
      <c r="L688" s="420"/>
      <c r="M688" s="420"/>
      <c r="N688" s="420"/>
      <c r="O688" s="3"/>
      <c r="P688" s="3"/>
      <c r="Q688" s="420"/>
      <c r="R688" s="420"/>
      <c r="S688" s="420"/>
      <c r="T688" s="3"/>
      <c r="U688" s="3"/>
    </row>
    <row r="689" spans="1:21" ht="19.5" x14ac:dyDescent="0.3">
      <c r="A689" s="394"/>
      <c r="B689" s="395" t="s">
        <v>255</v>
      </c>
      <c r="C689" s="394"/>
      <c r="D689" s="396"/>
      <c r="E689" s="396"/>
      <c r="F689" s="396"/>
      <c r="G689" s="397"/>
      <c r="H689" s="421" t="s">
        <v>35</v>
      </c>
      <c r="I689" s="422">
        <f t="shared" ref="I689:J689" ca="1" si="471">I707</f>
        <v>1455</v>
      </c>
      <c r="J689" s="422">
        <f t="shared" ca="1" si="471"/>
        <v>213</v>
      </c>
      <c r="K689" s="423">
        <f ca="1">IF(I689&gt;0,J689*100/I689,0)</f>
        <v>14.639175257731958</v>
      </c>
      <c r="L689" s="400"/>
      <c r="M689" s="400"/>
      <c r="N689" s="400"/>
      <c r="O689" s="400"/>
      <c r="P689" s="400"/>
      <c r="Q689" s="400"/>
      <c r="R689" s="400"/>
      <c r="S689" s="400"/>
      <c r="T689" s="400"/>
      <c r="U689" s="400"/>
    </row>
    <row r="690" spans="1:21" ht="19.5" x14ac:dyDescent="0.3">
      <c r="A690" s="128"/>
      <c r="B690" s="158"/>
      <c r="C690" s="177" t="s">
        <v>18</v>
      </c>
      <c r="D690" s="795" t="s">
        <v>19</v>
      </c>
      <c r="E690" s="793"/>
      <c r="F690" s="793"/>
      <c r="G690" s="794"/>
      <c r="H690" s="221" t="s">
        <v>14</v>
      </c>
      <c r="I690" s="44"/>
      <c r="J690" s="44"/>
      <c r="K690" s="45"/>
      <c r="L690" s="132">
        <f t="shared" ref="L690:N690" ca="1" si="472">L691+L692</f>
        <v>0</v>
      </c>
      <c r="M690" s="132">
        <f t="shared" ca="1" si="472"/>
        <v>0</v>
      </c>
      <c r="N690" s="132">
        <f t="shared" ca="1" si="472"/>
        <v>0</v>
      </c>
      <c r="O690" s="132">
        <f t="shared" ref="O690:O698" ca="1" si="473">IF(L690&gt;0,N690*100/L690,0)</f>
        <v>0</v>
      </c>
      <c r="P690" s="132">
        <f t="shared" ref="P690:P698" ca="1" si="474">IF(M690&gt;0,N690*100/M690,0)</f>
        <v>0</v>
      </c>
      <c r="Q690" s="132">
        <f t="shared" ref="Q690:S690" ca="1" si="475">Q691+Q692</f>
        <v>3406990</v>
      </c>
      <c r="R690" s="132">
        <f t="shared" ca="1" si="475"/>
        <v>3406990</v>
      </c>
      <c r="S690" s="132">
        <f t="shared" ca="1" si="475"/>
        <v>867040.44</v>
      </c>
      <c r="T690" s="132">
        <f t="shared" ref="T690:T698" ca="1" si="476">IF(Q690&gt;0,S690*100/Q690,0)</f>
        <v>25.448869529995687</v>
      </c>
      <c r="U690" s="132">
        <f t="shared" ref="U690:U698" ca="1" si="477">IF(R690&gt;0,S690*100/R690,0)</f>
        <v>25.448869529995687</v>
      </c>
    </row>
    <row r="691" spans="1:21" ht="18.75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48">
        <f t="shared" ref="L691:N691" ca="1" si="478">L694+L697</f>
        <v>0</v>
      </c>
      <c r="M691" s="48">
        <f t="shared" ca="1" si="478"/>
        <v>0</v>
      </c>
      <c r="N691" s="48">
        <f t="shared" ca="1" si="478"/>
        <v>0</v>
      </c>
      <c r="O691" s="48">
        <f t="shared" ca="1" si="473"/>
        <v>0</v>
      </c>
      <c r="P691" s="48">
        <f t="shared" ca="1" si="474"/>
        <v>0</v>
      </c>
      <c r="Q691" s="48">
        <f t="shared" ref="Q691:S691" ca="1" si="479">Q694+Q697</f>
        <v>0</v>
      </c>
      <c r="R691" s="48">
        <f t="shared" ca="1" si="479"/>
        <v>0</v>
      </c>
      <c r="S691" s="48">
        <f t="shared" ca="1" si="479"/>
        <v>0</v>
      </c>
      <c r="T691" s="48">
        <f t="shared" ca="1" si="476"/>
        <v>0</v>
      </c>
      <c r="U691" s="48">
        <f t="shared" ca="1" si="477"/>
        <v>0</v>
      </c>
    </row>
    <row r="692" spans="1:21" ht="18.75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46">
        <f t="shared" ref="L692:N692" ca="1" si="480">L695+L698</f>
        <v>0</v>
      </c>
      <c r="M692" s="46">
        <f t="shared" ca="1" si="480"/>
        <v>0</v>
      </c>
      <c r="N692" s="46">
        <f t="shared" ca="1" si="480"/>
        <v>0</v>
      </c>
      <c r="O692" s="46">
        <f t="shared" ca="1" si="473"/>
        <v>0</v>
      </c>
      <c r="P692" s="46">
        <f t="shared" ca="1" si="474"/>
        <v>0</v>
      </c>
      <c r="Q692" s="46">
        <f t="shared" ref="Q692:S692" ca="1" si="481">Q695+Q698</f>
        <v>3406990</v>
      </c>
      <c r="R692" s="46">
        <f t="shared" ca="1" si="481"/>
        <v>3406990</v>
      </c>
      <c r="S692" s="46">
        <f t="shared" ca="1" si="481"/>
        <v>867040.44</v>
      </c>
      <c r="T692" s="46">
        <f t="shared" ca="1" si="476"/>
        <v>25.448869529995687</v>
      </c>
      <c r="U692" s="46">
        <f t="shared" ca="1" si="477"/>
        <v>25.448869529995687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46">
        <f t="shared" ref="L693:N693" ca="1" si="482">L694+L695</f>
        <v>0</v>
      </c>
      <c r="M693" s="46">
        <f t="shared" ca="1" si="482"/>
        <v>0</v>
      </c>
      <c r="N693" s="46">
        <f t="shared" ca="1" si="482"/>
        <v>0</v>
      </c>
      <c r="O693" s="46">
        <f t="shared" ca="1" si="473"/>
        <v>0</v>
      </c>
      <c r="P693" s="46">
        <f t="shared" ca="1" si="474"/>
        <v>0</v>
      </c>
      <c r="Q693" s="46">
        <f t="shared" ref="Q693:S693" ca="1" si="483">Q694+Q695</f>
        <v>3406990</v>
      </c>
      <c r="R693" s="46">
        <f t="shared" ca="1" si="483"/>
        <v>3406990</v>
      </c>
      <c r="S693" s="46">
        <f t="shared" ca="1" si="483"/>
        <v>867040.44</v>
      </c>
      <c r="T693" s="46">
        <f t="shared" ca="1" si="476"/>
        <v>25.448869529995687</v>
      </c>
      <c r="U693" s="46">
        <f t="shared" ca="1" si="477"/>
        <v>25.448869529995687</v>
      </c>
    </row>
    <row r="694" spans="1:21" ht="18.75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48">
        <f ca="1">IFERROR(__xludf.DUMMYFUNCTION("IMPORTRANGE(""https://docs.google.com/spreadsheets/d/1jTcq05yEiRwXcBMLjiodW9e4biSGYWAHcDj22rKWQ3s/edit?usp=sharing"",""กำแพงเพชร!L694"")+IMPORTRANGE(""https://docs.google.com/spreadsheets/d/1KS0zmDSZPk8KnTAbGN-Xk6MtX1YRZD0ldgdt20K4CRk/edit?usp=sharing"","&amp;"""เชียงราย!L694"")+IMPORTRANGE(""https://docs.google.com/spreadsheets/d/1rEDxBtusbi64tE0zunoIbsTVV16HeL0oJ6trHQeQ7K8/edit?usp=sharing"",""เชียงใหม่!L694"")+IMPORTRANGE(""https://docs.google.com/spreadsheets/d/1W6MnUbDkMi6xHnHko_XkFDO9kkuL6Wqyc-6OCDFjW9I/e"&amp;"dit?usp=sharing"",""ตาก!L694"")+IMPORTRANGE(""https://docs.google.com/spreadsheets/d/1IQAWArduLkta9LpYo4a_ULsyqdta6-6aDDiwpUnQT6c/edit?usp=sharing"",""นครสวรรค์!L694"")+IMPORTRANGE(""https://docs.google.com/spreadsheets/d/10s13Sk5xrltsiR-Zkbmk5DwIaDIKO8Xl"&amp;"bJAfqyT7Gvg/edit?usp=sharing"",""น่าน!L694"")+IMPORTRANGE(""https://docs.google.com/spreadsheets/d/1uu4nAn4Dbi1XREnLKKotUANlKXa7yCgRcgq8HEzQYW8/edit?usp=sharing"",""พะเยา!L694"")+IMPORTRANGE(""https://docs.google.com/spreadsheets/d/1xfJKIQxVOaPDIICqsflNlL"&amp;"u3JacTDk1FP9RH4phX7mI/edit?usp=sharing"",""พิจิตร!L694"")+IMPORTRANGE(""https://docs.google.com/spreadsheets/d/1JtRfZkJMHtEhI5RdRHxYUG4FIZHqKDpNyIuN7A1Q0_k/edit?usp=sharing"",""พิษณุโลก!L694"")+IMPORTRANGE(""https://docs.google.com/spreadsheets/d/1xlcVZWU"&amp;"Nn6SuWm0c307h32SiGkd9BaeQWlAktfD3KO8/edit?usp=sharing"",""เพชรบูรณ์!L694"")+IMPORTRANGE(""https://docs.google.com/spreadsheets/d/1lOVebEIsI9qjGXl6EX66luk7wiuP2tBaryw-wKvv4e0/edit?usp=sharing"",""แพร่!L694"")+IMPORTRANGE(""https://docs.google.com/spreadshe"&amp;"ets/d/1dQrvX0vEcN7Gu0fnZ0B5S90AeR19zth4XlExFBeExMY/edit?usp=sharing"",""แม่ฮ่องสอน!L694"")+IMPORTRANGE(""https://docs.google.com/spreadsheets/d/1DY4XTNNwjluuxqdfdn6qvOSlMRrZqUtmYcZR0ttFiG4/edit?usp=sharing"",""ลำปาง!L694"")+IMPORTRANGE(""https://docs.goog"&amp;"le.com/spreadsheets/d/1ICwG78r0OFT8biBlxnBF8r7she7gNSzOvJ958PWT09c/edit?usp=sharing"",""ลำพูน!L694"")+IMPORTRANGE(""https://docs.google.com/spreadsheets/d/1B0f2xJpZUC6Z0xXnqKlZtEPzsf6L84eP1r1Q15seqRM/edit?usp=sharing"",""สุโขทัย!L694"")+IMPORTRANGE(""http"&amp;"s://docs.google.com/spreadsheets/d/1v0b9pFQCsKUVExMei7AgY2yQkdeNQvtOssygGsXbiKo/edit?usp=sharing"",""อุตรดิตถ์!L694"")+IMPORTRANGE(""https://docs.google.com/spreadsheets/d/1UsNK1e-WWiCo2PvGqdNfdme4m17_Ezd3J69EeeiQPD0/edit?usp=sharing"",""อุทัยธานี!L694"")"),0)</f>
        <v>0</v>
      </c>
      <c r="M694" s="48">
        <f ca="1">IFERROR(__xludf.DUMMYFUNCTION("IMPORTRANGE(""https://docs.google.com/spreadsheets/d/1jTcq05yEiRwXcBMLjiodW9e4biSGYWAHcDj22rKWQ3s/edit?usp=sharing"",""กำแพงเพชร!M694"")+IMPORTRANGE(""https://docs.google.com/spreadsheets/d/1KS0zmDSZPk8KnTAbGN-Xk6MtX1YRZD0ldgdt20K4CRk/edit?usp=sharing"","&amp;"""เชียงราย!M694"")+IMPORTRANGE(""https://docs.google.com/spreadsheets/d/1rEDxBtusbi64tE0zunoIbsTVV16HeL0oJ6trHQeQ7K8/edit?usp=sharing"",""เชียงใหม่!M694"")+IMPORTRANGE(""https://docs.google.com/spreadsheets/d/1W6MnUbDkMi6xHnHko_XkFDO9kkuL6Wqyc-6OCDFjW9I/e"&amp;"dit?usp=sharing"",""ตาก!M694"")+IMPORTRANGE(""https://docs.google.com/spreadsheets/d/1IQAWArduLkta9LpYo4a_ULsyqdta6-6aDDiwpUnQT6c/edit?usp=sharing"",""นครสวรรค์!M694"")+IMPORTRANGE(""https://docs.google.com/spreadsheets/d/10s13Sk5xrltsiR-Zkbmk5DwIaDIKO8Xl"&amp;"bJAfqyT7Gvg/edit?usp=sharing"",""น่าน!M694"")+IMPORTRANGE(""https://docs.google.com/spreadsheets/d/1uu4nAn4Dbi1XREnLKKotUANlKXa7yCgRcgq8HEzQYW8/edit?usp=sharing"",""พะเยา!M694"")+IMPORTRANGE(""https://docs.google.com/spreadsheets/d/1xfJKIQxVOaPDIICqsflNlL"&amp;"u3JacTDk1FP9RH4phX7mI/edit?usp=sharing"",""พิจิตร!M694"")+IMPORTRANGE(""https://docs.google.com/spreadsheets/d/1JtRfZkJMHtEhI5RdRHxYUG4FIZHqKDpNyIuN7A1Q0_k/edit?usp=sharing"",""พิษณุโลก!M694"")+IMPORTRANGE(""https://docs.google.com/spreadsheets/d/1xlcVZWU"&amp;"Nn6SuWm0c307h32SiGkd9BaeQWlAktfD3KO8/edit?usp=sharing"",""เพชรบูรณ์!M694"")+IMPORTRANGE(""https://docs.google.com/spreadsheets/d/1lOVebEIsI9qjGXl6EX66luk7wiuP2tBaryw-wKvv4e0/edit?usp=sharing"",""แพร่!M694"")+IMPORTRANGE(""https://docs.google.com/spreadshe"&amp;"ets/d/1dQrvX0vEcN7Gu0fnZ0B5S90AeR19zth4XlExFBeExMY/edit?usp=sharing"",""แม่ฮ่องสอน!M694"")+IMPORTRANGE(""https://docs.google.com/spreadsheets/d/1DY4XTNNwjluuxqdfdn6qvOSlMRrZqUtmYcZR0ttFiG4/edit?usp=sharing"",""ลำปาง!M694"")+IMPORTRANGE(""https://docs.goog"&amp;"le.com/spreadsheets/d/1ICwG78r0OFT8biBlxnBF8r7she7gNSzOvJ958PWT09c/edit?usp=sharing"",""ลำพูน!M694"")+IMPORTRANGE(""https://docs.google.com/spreadsheets/d/1B0f2xJpZUC6Z0xXnqKlZtEPzsf6L84eP1r1Q15seqRM/edit?usp=sharing"",""สุโขทัย!M694"")+IMPORTRANGE(""http"&amp;"s://docs.google.com/spreadsheets/d/1v0b9pFQCsKUVExMei7AgY2yQkdeNQvtOssygGsXbiKo/edit?usp=sharing"",""อุตรดิตถ์!M694"")+IMPORTRANGE(""https://docs.google.com/spreadsheets/d/1UsNK1e-WWiCo2PvGqdNfdme4m17_Ezd3J69EeeiQPD0/edit?usp=sharing"",""อุทัยธานี!M694"")"),0)</f>
        <v>0</v>
      </c>
      <c r="N694" s="48">
        <f ca="1">IFERROR(__xludf.DUMMYFUNCTION("IMPORTRANGE(""https://docs.google.com/spreadsheets/d/1jTcq05yEiRwXcBMLjiodW9e4biSGYWAHcDj22rKWQ3s/edit?usp=sharing"",""กำแพงเพชร!N694"")+IMPORTRANGE(""https://docs.google.com/spreadsheets/d/1KS0zmDSZPk8KnTAbGN-Xk6MtX1YRZD0ldgdt20K4CRk/edit?usp=sharing"","&amp;"""เชียงราย!N694"")+IMPORTRANGE(""https://docs.google.com/spreadsheets/d/1rEDxBtusbi64tE0zunoIbsTVV16HeL0oJ6trHQeQ7K8/edit?usp=sharing"",""เชียงใหม่!N694"")+IMPORTRANGE(""https://docs.google.com/spreadsheets/d/1W6MnUbDkMi6xHnHko_XkFDO9kkuL6Wqyc-6OCDFjW9I/e"&amp;"dit?usp=sharing"",""ตาก!N694"")+IMPORTRANGE(""https://docs.google.com/spreadsheets/d/1IQAWArduLkta9LpYo4a_ULsyqdta6-6aDDiwpUnQT6c/edit?usp=sharing"",""นครสวรรค์!N694"")+IMPORTRANGE(""https://docs.google.com/spreadsheets/d/10s13Sk5xrltsiR-Zkbmk5DwIaDIKO8Xl"&amp;"bJAfqyT7Gvg/edit?usp=sharing"",""น่าน!N694"")+IMPORTRANGE(""https://docs.google.com/spreadsheets/d/1uu4nAn4Dbi1XREnLKKotUANlKXa7yCgRcgq8HEzQYW8/edit?usp=sharing"",""พะเยา!N694"")+IMPORTRANGE(""https://docs.google.com/spreadsheets/d/1xfJKIQxVOaPDIICqsflNlL"&amp;"u3JacTDk1FP9RH4phX7mI/edit?usp=sharing"",""พิจิตร!N694"")+IMPORTRANGE(""https://docs.google.com/spreadsheets/d/1JtRfZkJMHtEhI5RdRHxYUG4FIZHqKDpNyIuN7A1Q0_k/edit?usp=sharing"",""พิษณุโลก!N694"")+IMPORTRANGE(""https://docs.google.com/spreadsheets/d/1xlcVZWU"&amp;"Nn6SuWm0c307h32SiGkd9BaeQWlAktfD3KO8/edit?usp=sharing"",""เพชรบูรณ์!N694"")+IMPORTRANGE(""https://docs.google.com/spreadsheets/d/1lOVebEIsI9qjGXl6EX66luk7wiuP2tBaryw-wKvv4e0/edit?usp=sharing"",""แพร่!N694"")+IMPORTRANGE(""https://docs.google.com/spreadshe"&amp;"ets/d/1dQrvX0vEcN7Gu0fnZ0B5S90AeR19zth4XlExFBeExMY/edit?usp=sharing"",""แม่ฮ่องสอน!N694"")+IMPORTRANGE(""https://docs.google.com/spreadsheets/d/1DY4XTNNwjluuxqdfdn6qvOSlMRrZqUtmYcZR0ttFiG4/edit?usp=sharing"",""ลำปาง!N694"")+IMPORTRANGE(""https://docs.goog"&amp;"le.com/spreadsheets/d/1ICwG78r0OFT8biBlxnBF8r7she7gNSzOvJ958PWT09c/edit?usp=sharing"",""ลำพูน!N694"")+IMPORTRANGE(""https://docs.google.com/spreadsheets/d/1B0f2xJpZUC6Z0xXnqKlZtEPzsf6L84eP1r1Q15seqRM/edit?usp=sharing"",""สุโขทัย!N694"")+IMPORTRANGE(""http"&amp;"s://docs.google.com/spreadsheets/d/1v0b9pFQCsKUVExMei7AgY2yQkdeNQvtOssygGsXbiKo/edit?usp=sharing"",""อุตรดิตถ์!N694"")+IMPORTRANGE(""https://docs.google.com/spreadsheets/d/1UsNK1e-WWiCo2PvGqdNfdme4m17_Ezd3J69EeeiQPD0/edit?usp=sharing"",""อุทัยธานี!N694"")"),0)</f>
        <v>0</v>
      </c>
      <c r="O694" s="48">
        <f t="shared" ca="1" si="473"/>
        <v>0</v>
      </c>
      <c r="P694" s="48">
        <f t="shared" ca="1" si="474"/>
        <v>0</v>
      </c>
      <c r="Q694" s="48">
        <f ca="1">IFERROR(__xludf.DUMMYFUNCTION("IMPORTRANGE(""https://docs.google.com/spreadsheets/d/1jTcq05yEiRwXcBMLjiodW9e4biSGYWAHcDj22rKWQ3s/edit?usp=sharing"",""กำแพงเพชร!Q694"")+IMPORTRANGE(""https://docs.google.com/spreadsheets/d/1KS0zmDSZPk8KnTAbGN-Xk6MtX1YRZD0ldgdt20K4CRk/edit?usp=sharing"","&amp;"""เชียงราย!Q694"")+IMPORTRANGE(""https://docs.google.com/spreadsheets/d/1rEDxBtusbi64tE0zunoIbsTVV16HeL0oJ6trHQeQ7K8/edit?usp=sharing"",""เชียงใหม่!Q694"")+IMPORTRANGE(""https://docs.google.com/spreadsheets/d/1W6MnUbDkMi6xHnHko_XkFDO9kkuL6Wqyc-6OCDFjW9I/e"&amp;"dit?usp=sharing"",""ตาก!Q694"")+IMPORTRANGE(""https://docs.google.com/spreadsheets/d/1IQAWArduLkta9LpYo4a_ULsyqdta6-6aDDiwpUnQT6c/edit?usp=sharing"",""นครสวรรค์!Q694"")+IMPORTRANGE(""https://docs.google.com/spreadsheets/d/10s13Sk5xrltsiR-Zkbmk5DwIaDIKO8Xl"&amp;"bJAfqyT7Gvg/edit?usp=sharing"",""น่าน!Q694"")+IMPORTRANGE(""https://docs.google.com/spreadsheets/d/1uu4nAn4Dbi1XREnLKKotUANlKXa7yCgRcgq8HEzQYW8/edit?usp=sharing"",""พะเยา!Q694"")+IMPORTRANGE(""https://docs.google.com/spreadsheets/d/1xfJKIQxVOaPDIICqsflNlL"&amp;"u3JacTDk1FP9RH4phX7mI/edit?usp=sharing"",""พิจิตร!Q694"")+IMPORTRANGE(""https://docs.google.com/spreadsheets/d/1JtRfZkJMHtEhI5RdRHxYUG4FIZHqKDpNyIuN7A1Q0_k/edit?usp=sharing"",""พิษณุโลก!Q694"")+IMPORTRANGE(""https://docs.google.com/spreadsheets/d/1xlcVZWU"&amp;"Nn6SuWm0c307h32SiGkd9BaeQWlAktfD3KO8/edit?usp=sharing"",""เพชรบูรณ์!Q694"")+IMPORTRANGE(""https://docs.google.com/spreadsheets/d/1lOVebEIsI9qjGXl6EX66luk7wiuP2tBaryw-wKvv4e0/edit?usp=sharing"",""แพร่!Q694"")+IMPORTRANGE(""https://docs.google.com/spreadshe"&amp;"ets/d/1dQrvX0vEcN7Gu0fnZ0B5S90AeR19zth4XlExFBeExMY/edit?usp=sharing"",""แม่ฮ่องสอน!Q694"")+IMPORTRANGE(""https://docs.google.com/spreadsheets/d/1DY4XTNNwjluuxqdfdn6qvOSlMRrZqUtmYcZR0ttFiG4/edit?usp=sharing"",""ลำปาง!Q694"")+IMPORTRANGE(""https://docs.goog"&amp;"le.com/spreadsheets/d/1ICwG78r0OFT8biBlxnBF8r7she7gNSzOvJ958PWT09c/edit?usp=sharing"",""ลำพูน!Q694"")+IMPORTRANGE(""https://docs.google.com/spreadsheets/d/1B0f2xJpZUC6Z0xXnqKlZtEPzsf6L84eP1r1Q15seqRM/edit?usp=sharing"",""สุโขทัย!Q694"")+IMPORTRANGE(""http"&amp;"s://docs.google.com/spreadsheets/d/1v0b9pFQCsKUVExMei7AgY2yQkdeNQvtOssygGsXbiKo/edit?usp=sharing"",""อุตรดิตถ์!Q694"")+IMPORTRANGE(""https://docs.google.com/spreadsheets/d/1UsNK1e-WWiCo2PvGqdNfdme4m17_Ezd3J69EeeiQPD0/edit?usp=sharing"",""อุทัยธานี!Q694"")"),0)</f>
        <v>0</v>
      </c>
      <c r="R694" s="48">
        <f ca="1">IFERROR(__xludf.DUMMYFUNCTION("IMPORTRANGE(""https://docs.google.com/spreadsheets/d/1jTcq05yEiRwXcBMLjiodW9e4biSGYWAHcDj22rKWQ3s/edit?usp=sharing"",""กำแพงเพชร!R694"")+IMPORTRANGE(""https://docs.google.com/spreadsheets/d/1KS0zmDSZPk8KnTAbGN-Xk6MtX1YRZD0ldgdt20K4CRk/edit?usp=sharing"","&amp;"""เชียงราย!R694"")+IMPORTRANGE(""https://docs.google.com/spreadsheets/d/1rEDxBtusbi64tE0zunoIbsTVV16HeL0oJ6trHQeQ7K8/edit?usp=sharing"",""เชียงใหม่!R694"")+IMPORTRANGE(""https://docs.google.com/spreadsheets/d/1W6MnUbDkMi6xHnHko_XkFDO9kkuL6Wqyc-6OCDFjW9I/e"&amp;"dit?usp=sharing"",""ตาก!R694"")+IMPORTRANGE(""https://docs.google.com/spreadsheets/d/1IQAWArduLkta9LpYo4a_ULsyqdta6-6aDDiwpUnQT6c/edit?usp=sharing"",""นครสวรรค์!R694"")+IMPORTRANGE(""https://docs.google.com/spreadsheets/d/10s13Sk5xrltsiR-Zkbmk5DwIaDIKO8Xl"&amp;"bJAfqyT7Gvg/edit?usp=sharing"",""น่าน!R694"")+IMPORTRANGE(""https://docs.google.com/spreadsheets/d/1uu4nAn4Dbi1XREnLKKotUANlKXa7yCgRcgq8HEzQYW8/edit?usp=sharing"",""พะเยา!R694"")+IMPORTRANGE(""https://docs.google.com/spreadsheets/d/1xfJKIQxVOaPDIICqsflNlL"&amp;"u3JacTDk1FP9RH4phX7mI/edit?usp=sharing"",""พิจิตร!R694"")+IMPORTRANGE(""https://docs.google.com/spreadsheets/d/1JtRfZkJMHtEhI5RdRHxYUG4FIZHqKDpNyIuN7A1Q0_k/edit?usp=sharing"",""พิษณุโลก!R694"")+IMPORTRANGE(""https://docs.google.com/spreadsheets/d/1xlcVZWU"&amp;"Nn6SuWm0c307h32SiGkd9BaeQWlAktfD3KO8/edit?usp=sharing"",""เพชรบูรณ์!R694"")+IMPORTRANGE(""https://docs.google.com/spreadsheets/d/1lOVebEIsI9qjGXl6EX66luk7wiuP2tBaryw-wKvv4e0/edit?usp=sharing"",""แพร่!R694"")+IMPORTRANGE(""https://docs.google.com/spreadshe"&amp;"ets/d/1dQrvX0vEcN7Gu0fnZ0B5S90AeR19zth4XlExFBeExMY/edit?usp=sharing"",""แม่ฮ่องสอน!R694"")+IMPORTRANGE(""https://docs.google.com/spreadsheets/d/1DY4XTNNwjluuxqdfdn6qvOSlMRrZqUtmYcZR0ttFiG4/edit?usp=sharing"",""ลำปาง!R694"")+IMPORTRANGE(""https://docs.goog"&amp;"le.com/spreadsheets/d/1ICwG78r0OFT8biBlxnBF8r7she7gNSzOvJ958PWT09c/edit?usp=sharing"",""ลำพูน!R694"")+IMPORTRANGE(""https://docs.google.com/spreadsheets/d/1B0f2xJpZUC6Z0xXnqKlZtEPzsf6L84eP1r1Q15seqRM/edit?usp=sharing"",""สุโขทัย!R694"")+IMPORTRANGE(""http"&amp;"s://docs.google.com/spreadsheets/d/1v0b9pFQCsKUVExMei7AgY2yQkdeNQvtOssygGsXbiKo/edit?usp=sharing"",""อุตรดิตถ์!R694"")+IMPORTRANGE(""https://docs.google.com/spreadsheets/d/1UsNK1e-WWiCo2PvGqdNfdme4m17_Ezd3J69EeeiQPD0/edit?usp=sharing"",""อุทัยธานี!R694"")"),0)</f>
        <v>0</v>
      </c>
      <c r="S694" s="48">
        <f ca="1">IFERROR(__xludf.DUMMYFUNCTION("IMPORTRANGE(""https://docs.google.com/spreadsheets/d/1jTcq05yEiRwXcBMLjiodW9e4biSGYWAHcDj22rKWQ3s/edit?usp=sharing"",""กำแพงเพชร!S694"")+IMPORTRANGE(""https://docs.google.com/spreadsheets/d/1KS0zmDSZPk8KnTAbGN-Xk6MtX1YRZD0ldgdt20K4CRk/edit?usp=sharing"","&amp;"""เชียงราย!S694"")+IMPORTRANGE(""https://docs.google.com/spreadsheets/d/1rEDxBtusbi64tE0zunoIbsTVV16HeL0oJ6trHQeQ7K8/edit?usp=sharing"",""เชียงใหม่!S694"")+IMPORTRANGE(""https://docs.google.com/spreadsheets/d/1W6MnUbDkMi6xHnHko_XkFDO9kkuL6Wqyc-6OCDFjW9I/e"&amp;"dit?usp=sharing"",""ตาก!S694"")+IMPORTRANGE(""https://docs.google.com/spreadsheets/d/1IQAWArduLkta9LpYo4a_ULsyqdta6-6aDDiwpUnQT6c/edit?usp=sharing"",""นครสวรรค์!S694"")+IMPORTRANGE(""https://docs.google.com/spreadsheets/d/10s13Sk5xrltsiR-Zkbmk5DwIaDIKO8Xl"&amp;"bJAfqyT7Gvg/edit?usp=sharing"",""น่าน!S694"")+IMPORTRANGE(""https://docs.google.com/spreadsheets/d/1uu4nAn4Dbi1XREnLKKotUANlKXa7yCgRcgq8HEzQYW8/edit?usp=sharing"",""พะเยา!S694"")+IMPORTRANGE(""https://docs.google.com/spreadsheets/d/1xfJKIQxVOaPDIICqsflNlL"&amp;"u3JacTDk1FP9RH4phX7mI/edit?usp=sharing"",""พิจิตร!S694"")+IMPORTRANGE(""https://docs.google.com/spreadsheets/d/1JtRfZkJMHtEhI5RdRHxYUG4FIZHqKDpNyIuN7A1Q0_k/edit?usp=sharing"",""พิษณุโลก!S694"")+IMPORTRANGE(""https://docs.google.com/spreadsheets/d/1xlcVZWU"&amp;"Nn6SuWm0c307h32SiGkd9BaeQWlAktfD3KO8/edit?usp=sharing"",""เพชรบูรณ์!S694"")+IMPORTRANGE(""https://docs.google.com/spreadsheets/d/1lOVebEIsI9qjGXl6EX66luk7wiuP2tBaryw-wKvv4e0/edit?usp=sharing"",""แพร่!S694"")+IMPORTRANGE(""https://docs.google.com/spreadshe"&amp;"ets/d/1dQrvX0vEcN7Gu0fnZ0B5S90AeR19zth4XlExFBeExMY/edit?usp=sharing"",""แม่ฮ่องสอน!S694"")+IMPORTRANGE(""https://docs.google.com/spreadsheets/d/1DY4XTNNwjluuxqdfdn6qvOSlMRrZqUtmYcZR0ttFiG4/edit?usp=sharing"",""ลำปาง!S694"")+IMPORTRANGE(""https://docs.goog"&amp;"le.com/spreadsheets/d/1ICwG78r0OFT8biBlxnBF8r7she7gNSzOvJ958PWT09c/edit?usp=sharing"",""ลำพูน!S694"")+IMPORTRANGE(""https://docs.google.com/spreadsheets/d/1B0f2xJpZUC6Z0xXnqKlZtEPzsf6L84eP1r1Q15seqRM/edit?usp=sharing"",""สุโขทัย!S694"")+IMPORTRANGE(""http"&amp;"s://docs.google.com/spreadsheets/d/1v0b9pFQCsKUVExMei7AgY2yQkdeNQvtOssygGsXbiKo/edit?usp=sharing"",""อุตรดิตถ์!S694"")+IMPORTRANGE(""https://docs.google.com/spreadsheets/d/1UsNK1e-WWiCo2PvGqdNfdme4m17_Ezd3J69EeeiQPD0/edit?usp=sharing"",""อุทัยธานี!S694"")"),0)</f>
        <v>0</v>
      </c>
      <c r="T694" s="48">
        <f t="shared" ca="1" si="476"/>
        <v>0</v>
      </c>
      <c r="U694" s="48">
        <f t="shared" ca="1" si="477"/>
        <v>0</v>
      </c>
    </row>
    <row r="695" spans="1:21" ht="18.75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46">
        <f ca="1">IFERROR(__xludf.DUMMYFUNCTION("IMPORTRANGE(""https://docs.google.com/spreadsheets/d/1jTcq05yEiRwXcBMLjiodW9e4biSGYWAHcDj22rKWQ3s/edit?usp=sharing"",""กำแพงเพชร!L695"")+IMPORTRANGE(""https://docs.google.com/spreadsheets/d/1KS0zmDSZPk8KnTAbGN-Xk6MtX1YRZD0ldgdt20K4CRk/edit?usp=sharing"","&amp;"""เชียงราย!L695"")+IMPORTRANGE(""https://docs.google.com/spreadsheets/d/1rEDxBtusbi64tE0zunoIbsTVV16HeL0oJ6trHQeQ7K8/edit?usp=sharing"",""เชียงใหม่!L695"")+IMPORTRANGE(""https://docs.google.com/spreadsheets/d/1W6MnUbDkMi6xHnHko_XkFDO9kkuL6Wqyc-6OCDFjW9I/e"&amp;"dit?usp=sharing"",""ตาก!L695"")+IMPORTRANGE(""https://docs.google.com/spreadsheets/d/1IQAWArduLkta9LpYo4a_ULsyqdta6-6aDDiwpUnQT6c/edit?usp=sharing"",""นครสวรรค์!L695"")+IMPORTRANGE(""https://docs.google.com/spreadsheets/d/10s13Sk5xrltsiR-Zkbmk5DwIaDIKO8Xl"&amp;"bJAfqyT7Gvg/edit?usp=sharing"",""น่าน!L695"")+IMPORTRANGE(""https://docs.google.com/spreadsheets/d/1uu4nAn4Dbi1XREnLKKotUANlKXa7yCgRcgq8HEzQYW8/edit?usp=sharing"",""พะเยา!L695"")+IMPORTRANGE(""https://docs.google.com/spreadsheets/d/1xfJKIQxVOaPDIICqsflNlL"&amp;"u3JacTDk1FP9RH4phX7mI/edit?usp=sharing"",""พิจิตร!L695"")+IMPORTRANGE(""https://docs.google.com/spreadsheets/d/1JtRfZkJMHtEhI5RdRHxYUG4FIZHqKDpNyIuN7A1Q0_k/edit?usp=sharing"",""พิษณุโลก!L695"")+IMPORTRANGE(""https://docs.google.com/spreadsheets/d/1xlcVZWU"&amp;"Nn6SuWm0c307h32SiGkd9BaeQWlAktfD3KO8/edit?usp=sharing"",""เพชรบูรณ์!L695"")+IMPORTRANGE(""https://docs.google.com/spreadsheets/d/1lOVebEIsI9qjGXl6EX66luk7wiuP2tBaryw-wKvv4e0/edit?usp=sharing"",""แพร่!L695"")+IMPORTRANGE(""https://docs.google.com/spreadshe"&amp;"ets/d/1dQrvX0vEcN7Gu0fnZ0B5S90AeR19zth4XlExFBeExMY/edit?usp=sharing"",""แม่ฮ่องสอน!L695"")+IMPORTRANGE(""https://docs.google.com/spreadsheets/d/1DY4XTNNwjluuxqdfdn6qvOSlMRrZqUtmYcZR0ttFiG4/edit?usp=sharing"",""ลำปาง!L695"")+IMPORTRANGE(""https://docs.goog"&amp;"le.com/spreadsheets/d/1ICwG78r0OFT8biBlxnBF8r7she7gNSzOvJ958PWT09c/edit?usp=sharing"",""ลำพูน!L695"")+IMPORTRANGE(""https://docs.google.com/spreadsheets/d/1B0f2xJpZUC6Z0xXnqKlZtEPzsf6L84eP1r1Q15seqRM/edit?usp=sharing"",""สุโขทัย!L695"")+IMPORTRANGE(""http"&amp;"s://docs.google.com/spreadsheets/d/1v0b9pFQCsKUVExMei7AgY2yQkdeNQvtOssygGsXbiKo/edit?usp=sharing"",""อุตรดิตถ์!L695"")+IMPORTRANGE(""https://docs.google.com/spreadsheets/d/1UsNK1e-WWiCo2PvGqdNfdme4m17_Ezd3J69EeeiQPD0/edit?usp=sharing"",""อุทัยธานี!L695"")"),0)</f>
        <v>0</v>
      </c>
      <c r="M695" s="46">
        <f ca="1">IFERROR(__xludf.DUMMYFUNCTION("IMPORTRANGE(""https://docs.google.com/spreadsheets/d/1jTcq05yEiRwXcBMLjiodW9e4biSGYWAHcDj22rKWQ3s/edit?usp=sharing"",""กำแพงเพชร!M695"")+IMPORTRANGE(""https://docs.google.com/spreadsheets/d/1KS0zmDSZPk8KnTAbGN-Xk6MtX1YRZD0ldgdt20K4CRk/edit?usp=sharing"","&amp;"""เชียงราย!M695"")+IMPORTRANGE(""https://docs.google.com/spreadsheets/d/1rEDxBtusbi64tE0zunoIbsTVV16HeL0oJ6trHQeQ7K8/edit?usp=sharing"",""เชียงใหม่!M695"")+IMPORTRANGE(""https://docs.google.com/spreadsheets/d/1W6MnUbDkMi6xHnHko_XkFDO9kkuL6Wqyc-6OCDFjW9I/e"&amp;"dit?usp=sharing"",""ตาก!M695"")+IMPORTRANGE(""https://docs.google.com/spreadsheets/d/1IQAWArduLkta9LpYo4a_ULsyqdta6-6aDDiwpUnQT6c/edit?usp=sharing"",""นครสวรรค์!M695"")+IMPORTRANGE(""https://docs.google.com/spreadsheets/d/10s13Sk5xrltsiR-Zkbmk5DwIaDIKO8Xl"&amp;"bJAfqyT7Gvg/edit?usp=sharing"",""น่าน!M695"")+IMPORTRANGE(""https://docs.google.com/spreadsheets/d/1uu4nAn4Dbi1XREnLKKotUANlKXa7yCgRcgq8HEzQYW8/edit?usp=sharing"",""พะเยา!M695"")+IMPORTRANGE(""https://docs.google.com/spreadsheets/d/1xfJKIQxVOaPDIICqsflNlL"&amp;"u3JacTDk1FP9RH4phX7mI/edit?usp=sharing"",""พิจิตร!M695"")+IMPORTRANGE(""https://docs.google.com/spreadsheets/d/1JtRfZkJMHtEhI5RdRHxYUG4FIZHqKDpNyIuN7A1Q0_k/edit?usp=sharing"",""พิษณุโลก!M695"")+IMPORTRANGE(""https://docs.google.com/spreadsheets/d/1xlcVZWU"&amp;"Nn6SuWm0c307h32SiGkd9BaeQWlAktfD3KO8/edit?usp=sharing"",""เพชรบูรณ์!M695"")+IMPORTRANGE(""https://docs.google.com/spreadsheets/d/1lOVebEIsI9qjGXl6EX66luk7wiuP2tBaryw-wKvv4e0/edit?usp=sharing"",""แพร่!M695"")+IMPORTRANGE(""https://docs.google.com/spreadshe"&amp;"ets/d/1dQrvX0vEcN7Gu0fnZ0B5S90AeR19zth4XlExFBeExMY/edit?usp=sharing"",""แม่ฮ่องสอน!M695"")+IMPORTRANGE(""https://docs.google.com/spreadsheets/d/1DY4XTNNwjluuxqdfdn6qvOSlMRrZqUtmYcZR0ttFiG4/edit?usp=sharing"",""ลำปาง!M695"")+IMPORTRANGE(""https://docs.goog"&amp;"le.com/spreadsheets/d/1ICwG78r0OFT8biBlxnBF8r7she7gNSzOvJ958PWT09c/edit?usp=sharing"",""ลำพูน!M695"")+IMPORTRANGE(""https://docs.google.com/spreadsheets/d/1B0f2xJpZUC6Z0xXnqKlZtEPzsf6L84eP1r1Q15seqRM/edit?usp=sharing"",""สุโขทัย!M695"")+IMPORTRANGE(""http"&amp;"s://docs.google.com/spreadsheets/d/1v0b9pFQCsKUVExMei7AgY2yQkdeNQvtOssygGsXbiKo/edit?usp=sharing"",""อุตรดิตถ์!M695"")+IMPORTRANGE(""https://docs.google.com/spreadsheets/d/1UsNK1e-WWiCo2PvGqdNfdme4m17_Ezd3J69EeeiQPD0/edit?usp=sharing"",""อุทัยธานี!M695"")"),0)</f>
        <v>0</v>
      </c>
      <c r="N695" s="46">
        <f ca="1">IFERROR(__xludf.DUMMYFUNCTION("IMPORTRANGE(""https://docs.google.com/spreadsheets/d/1jTcq05yEiRwXcBMLjiodW9e4biSGYWAHcDj22rKWQ3s/edit?usp=sharing"",""กำแพงเพชร!N695"")+IMPORTRANGE(""https://docs.google.com/spreadsheets/d/1KS0zmDSZPk8KnTAbGN-Xk6MtX1YRZD0ldgdt20K4CRk/edit?usp=sharing"","&amp;"""เชียงราย!N695"")+IMPORTRANGE(""https://docs.google.com/spreadsheets/d/1rEDxBtusbi64tE0zunoIbsTVV16HeL0oJ6trHQeQ7K8/edit?usp=sharing"",""เชียงใหม่!N695"")+IMPORTRANGE(""https://docs.google.com/spreadsheets/d/1W6MnUbDkMi6xHnHko_XkFDO9kkuL6Wqyc-6OCDFjW9I/e"&amp;"dit?usp=sharing"",""ตาก!N695"")+IMPORTRANGE(""https://docs.google.com/spreadsheets/d/1IQAWArduLkta9LpYo4a_ULsyqdta6-6aDDiwpUnQT6c/edit?usp=sharing"",""นครสวรรค์!N695"")+IMPORTRANGE(""https://docs.google.com/spreadsheets/d/10s13Sk5xrltsiR-Zkbmk5DwIaDIKO8Xl"&amp;"bJAfqyT7Gvg/edit?usp=sharing"",""น่าน!N695"")+IMPORTRANGE(""https://docs.google.com/spreadsheets/d/1uu4nAn4Dbi1XREnLKKotUANlKXa7yCgRcgq8HEzQYW8/edit?usp=sharing"",""พะเยา!N695"")+IMPORTRANGE(""https://docs.google.com/spreadsheets/d/1xfJKIQxVOaPDIICqsflNlL"&amp;"u3JacTDk1FP9RH4phX7mI/edit?usp=sharing"",""พิจิตร!N695"")+IMPORTRANGE(""https://docs.google.com/spreadsheets/d/1JtRfZkJMHtEhI5RdRHxYUG4FIZHqKDpNyIuN7A1Q0_k/edit?usp=sharing"",""พิษณุโลก!N695"")+IMPORTRANGE(""https://docs.google.com/spreadsheets/d/1xlcVZWU"&amp;"Nn6SuWm0c307h32SiGkd9BaeQWlAktfD3KO8/edit?usp=sharing"",""เพชรบูรณ์!N695"")+IMPORTRANGE(""https://docs.google.com/spreadsheets/d/1lOVebEIsI9qjGXl6EX66luk7wiuP2tBaryw-wKvv4e0/edit?usp=sharing"",""แพร่!N695"")+IMPORTRANGE(""https://docs.google.com/spreadshe"&amp;"ets/d/1dQrvX0vEcN7Gu0fnZ0B5S90AeR19zth4XlExFBeExMY/edit?usp=sharing"",""แม่ฮ่องสอน!N695"")+IMPORTRANGE(""https://docs.google.com/spreadsheets/d/1DY4XTNNwjluuxqdfdn6qvOSlMRrZqUtmYcZR0ttFiG4/edit?usp=sharing"",""ลำปาง!N695"")+IMPORTRANGE(""https://docs.goog"&amp;"le.com/spreadsheets/d/1ICwG78r0OFT8biBlxnBF8r7she7gNSzOvJ958PWT09c/edit?usp=sharing"",""ลำพูน!N695"")+IMPORTRANGE(""https://docs.google.com/spreadsheets/d/1B0f2xJpZUC6Z0xXnqKlZtEPzsf6L84eP1r1Q15seqRM/edit?usp=sharing"",""สุโขทัย!N695"")+IMPORTRANGE(""http"&amp;"s://docs.google.com/spreadsheets/d/1v0b9pFQCsKUVExMei7AgY2yQkdeNQvtOssygGsXbiKo/edit?usp=sharing"",""อุตรดิตถ์!N695"")+IMPORTRANGE(""https://docs.google.com/spreadsheets/d/1UsNK1e-WWiCo2PvGqdNfdme4m17_Ezd3J69EeeiQPD0/edit?usp=sharing"",""อุทัยธานี!N695"")"),0)</f>
        <v>0</v>
      </c>
      <c r="O695" s="46">
        <f t="shared" ca="1" si="473"/>
        <v>0</v>
      </c>
      <c r="P695" s="46">
        <f t="shared" ca="1" si="474"/>
        <v>0</v>
      </c>
      <c r="Q695" s="46">
        <f ca="1">IFERROR(__xludf.DUMMYFUNCTION("IMPORTRANGE(""https://docs.google.com/spreadsheets/d/1jTcq05yEiRwXcBMLjiodW9e4biSGYWAHcDj22rKWQ3s/edit?usp=sharing"",""กำแพงเพชร!Q695"")+IMPORTRANGE(""https://docs.google.com/spreadsheets/d/1KS0zmDSZPk8KnTAbGN-Xk6MtX1YRZD0ldgdt20K4CRk/edit?usp=sharing"","&amp;"""เชียงราย!Q695"")+IMPORTRANGE(""https://docs.google.com/spreadsheets/d/1rEDxBtusbi64tE0zunoIbsTVV16HeL0oJ6trHQeQ7K8/edit?usp=sharing"",""เชียงใหม่!Q695"")+IMPORTRANGE(""https://docs.google.com/spreadsheets/d/1W6MnUbDkMi6xHnHko_XkFDO9kkuL6Wqyc-6OCDFjW9I/e"&amp;"dit?usp=sharing"",""ตาก!Q695"")+IMPORTRANGE(""https://docs.google.com/spreadsheets/d/1IQAWArduLkta9LpYo4a_ULsyqdta6-6aDDiwpUnQT6c/edit?usp=sharing"",""นครสวรรค์!Q695"")+IMPORTRANGE(""https://docs.google.com/spreadsheets/d/10s13Sk5xrltsiR-Zkbmk5DwIaDIKO8Xl"&amp;"bJAfqyT7Gvg/edit?usp=sharing"",""น่าน!Q695"")+IMPORTRANGE(""https://docs.google.com/spreadsheets/d/1uu4nAn4Dbi1XREnLKKotUANlKXa7yCgRcgq8HEzQYW8/edit?usp=sharing"",""พะเยา!Q695"")+IMPORTRANGE(""https://docs.google.com/spreadsheets/d/1xfJKIQxVOaPDIICqsflNlL"&amp;"u3JacTDk1FP9RH4phX7mI/edit?usp=sharing"",""พิจิตร!Q695"")+IMPORTRANGE(""https://docs.google.com/spreadsheets/d/1JtRfZkJMHtEhI5RdRHxYUG4FIZHqKDpNyIuN7A1Q0_k/edit?usp=sharing"",""พิษณุโลก!Q695"")+IMPORTRANGE(""https://docs.google.com/spreadsheets/d/1xlcVZWU"&amp;"Nn6SuWm0c307h32SiGkd9BaeQWlAktfD3KO8/edit?usp=sharing"",""เพชรบูรณ์!Q695"")+IMPORTRANGE(""https://docs.google.com/spreadsheets/d/1lOVebEIsI9qjGXl6EX66luk7wiuP2tBaryw-wKvv4e0/edit?usp=sharing"",""แพร่!Q695"")+IMPORTRANGE(""https://docs.google.com/spreadshe"&amp;"ets/d/1dQrvX0vEcN7Gu0fnZ0B5S90AeR19zth4XlExFBeExMY/edit?usp=sharing"",""แม่ฮ่องสอน!Q695"")+IMPORTRANGE(""https://docs.google.com/spreadsheets/d/1DY4XTNNwjluuxqdfdn6qvOSlMRrZqUtmYcZR0ttFiG4/edit?usp=sharing"",""ลำปาง!Q695"")+IMPORTRANGE(""https://docs.goog"&amp;"le.com/spreadsheets/d/1ICwG78r0OFT8biBlxnBF8r7she7gNSzOvJ958PWT09c/edit?usp=sharing"",""ลำพูน!Q695"")+IMPORTRANGE(""https://docs.google.com/spreadsheets/d/1B0f2xJpZUC6Z0xXnqKlZtEPzsf6L84eP1r1Q15seqRM/edit?usp=sharing"",""สุโขทัย!Q695"")+IMPORTRANGE(""http"&amp;"s://docs.google.com/spreadsheets/d/1v0b9pFQCsKUVExMei7AgY2yQkdeNQvtOssygGsXbiKo/edit?usp=sharing"",""อุตรดิตถ์!Q695"")+IMPORTRANGE(""https://docs.google.com/spreadsheets/d/1UsNK1e-WWiCo2PvGqdNfdme4m17_Ezd3J69EeeiQPD0/edit?usp=sharing"",""อุทัยธานี!Q695"")"),3406990)</f>
        <v>3406990</v>
      </c>
      <c r="R695" s="46">
        <f ca="1">IFERROR(__xludf.DUMMYFUNCTION("IMPORTRANGE(""https://docs.google.com/spreadsheets/d/1jTcq05yEiRwXcBMLjiodW9e4biSGYWAHcDj22rKWQ3s/edit?usp=sharing"",""กำแพงเพชร!R695"")+IMPORTRANGE(""https://docs.google.com/spreadsheets/d/1KS0zmDSZPk8KnTAbGN-Xk6MtX1YRZD0ldgdt20K4CRk/edit?usp=sharing"","&amp;"""เชียงราย!R695"")+IMPORTRANGE(""https://docs.google.com/spreadsheets/d/1rEDxBtusbi64tE0zunoIbsTVV16HeL0oJ6trHQeQ7K8/edit?usp=sharing"",""เชียงใหม่!R695"")+IMPORTRANGE(""https://docs.google.com/spreadsheets/d/1W6MnUbDkMi6xHnHko_XkFDO9kkuL6Wqyc-6OCDFjW9I/e"&amp;"dit?usp=sharing"",""ตาก!R695"")+IMPORTRANGE(""https://docs.google.com/spreadsheets/d/1IQAWArduLkta9LpYo4a_ULsyqdta6-6aDDiwpUnQT6c/edit?usp=sharing"",""นครสวรรค์!R695"")+IMPORTRANGE(""https://docs.google.com/spreadsheets/d/10s13Sk5xrltsiR-Zkbmk5DwIaDIKO8Xl"&amp;"bJAfqyT7Gvg/edit?usp=sharing"",""น่าน!R695"")+IMPORTRANGE(""https://docs.google.com/spreadsheets/d/1uu4nAn4Dbi1XREnLKKotUANlKXa7yCgRcgq8HEzQYW8/edit?usp=sharing"",""พะเยา!R695"")+IMPORTRANGE(""https://docs.google.com/spreadsheets/d/1xfJKIQxVOaPDIICqsflNlL"&amp;"u3JacTDk1FP9RH4phX7mI/edit?usp=sharing"",""พิจิตร!R695"")+IMPORTRANGE(""https://docs.google.com/spreadsheets/d/1JtRfZkJMHtEhI5RdRHxYUG4FIZHqKDpNyIuN7A1Q0_k/edit?usp=sharing"",""พิษณุโลก!R695"")+IMPORTRANGE(""https://docs.google.com/spreadsheets/d/1xlcVZWU"&amp;"Nn6SuWm0c307h32SiGkd9BaeQWlAktfD3KO8/edit?usp=sharing"",""เพชรบูรณ์!R695"")+IMPORTRANGE(""https://docs.google.com/spreadsheets/d/1lOVebEIsI9qjGXl6EX66luk7wiuP2tBaryw-wKvv4e0/edit?usp=sharing"",""แพร่!R695"")+IMPORTRANGE(""https://docs.google.com/spreadshe"&amp;"ets/d/1dQrvX0vEcN7Gu0fnZ0B5S90AeR19zth4XlExFBeExMY/edit?usp=sharing"",""แม่ฮ่องสอน!R695"")+IMPORTRANGE(""https://docs.google.com/spreadsheets/d/1DY4XTNNwjluuxqdfdn6qvOSlMRrZqUtmYcZR0ttFiG4/edit?usp=sharing"",""ลำปาง!R695"")+IMPORTRANGE(""https://docs.goog"&amp;"le.com/spreadsheets/d/1ICwG78r0OFT8biBlxnBF8r7she7gNSzOvJ958PWT09c/edit?usp=sharing"",""ลำพูน!R695"")+IMPORTRANGE(""https://docs.google.com/spreadsheets/d/1B0f2xJpZUC6Z0xXnqKlZtEPzsf6L84eP1r1Q15seqRM/edit?usp=sharing"",""สุโขทัย!R695"")+IMPORTRANGE(""http"&amp;"s://docs.google.com/spreadsheets/d/1v0b9pFQCsKUVExMei7AgY2yQkdeNQvtOssygGsXbiKo/edit?usp=sharing"",""อุตรดิตถ์!R695"")+IMPORTRANGE(""https://docs.google.com/spreadsheets/d/1UsNK1e-WWiCo2PvGqdNfdme4m17_Ezd3J69EeeiQPD0/edit?usp=sharing"",""อุทัยธานี!R695"")"),3406990)</f>
        <v>3406990</v>
      </c>
      <c r="S695" s="46">
        <f ca="1">IFERROR(__xludf.DUMMYFUNCTION("IMPORTRANGE(""https://docs.google.com/spreadsheets/d/1jTcq05yEiRwXcBMLjiodW9e4biSGYWAHcDj22rKWQ3s/edit?usp=sharing"",""กำแพงเพชร!S695"")+IMPORTRANGE(""https://docs.google.com/spreadsheets/d/1KS0zmDSZPk8KnTAbGN-Xk6MtX1YRZD0ldgdt20K4CRk/edit?usp=sharing"","&amp;"""เชียงราย!S695"")+IMPORTRANGE(""https://docs.google.com/spreadsheets/d/1rEDxBtusbi64tE0zunoIbsTVV16HeL0oJ6trHQeQ7K8/edit?usp=sharing"",""เชียงใหม่!S695"")+IMPORTRANGE(""https://docs.google.com/spreadsheets/d/1W6MnUbDkMi6xHnHko_XkFDO9kkuL6Wqyc-6OCDFjW9I/e"&amp;"dit?usp=sharing"",""ตาก!S695"")+IMPORTRANGE(""https://docs.google.com/spreadsheets/d/1IQAWArduLkta9LpYo4a_ULsyqdta6-6aDDiwpUnQT6c/edit?usp=sharing"",""นครสวรรค์!S695"")+IMPORTRANGE(""https://docs.google.com/spreadsheets/d/10s13Sk5xrltsiR-Zkbmk5DwIaDIKO8Xl"&amp;"bJAfqyT7Gvg/edit?usp=sharing"",""น่าน!S695"")+IMPORTRANGE(""https://docs.google.com/spreadsheets/d/1uu4nAn4Dbi1XREnLKKotUANlKXa7yCgRcgq8HEzQYW8/edit?usp=sharing"",""พะเยา!S695"")+IMPORTRANGE(""https://docs.google.com/spreadsheets/d/1xfJKIQxVOaPDIICqsflNlL"&amp;"u3JacTDk1FP9RH4phX7mI/edit?usp=sharing"",""พิจิตร!S695"")+IMPORTRANGE(""https://docs.google.com/spreadsheets/d/1JtRfZkJMHtEhI5RdRHxYUG4FIZHqKDpNyIuN7A1Q0_k/edit?usp=sharing"",""พิษณุโลก!S695"")+IMPORTRANGE(""https://docs.google.com/spreadsheets/d/1xlcVZWU"&amp;"Nn6SuWm0c307h32SiGkd9BaeQWlAktfD3KO8/edit?usp=sharing"",""เพชรบูรณ์!S695"")+IMPORTRANGE(""https://docs.google.com/spreadsheets/d/1lOVebEIsI9qjGXl6EX66luk7wiuP2tBaryw-wKvv4e0/edit?usp=sharing"",""แพร่!S695"")+IMPORTRANGE(""https://docs.google.com/spreadshe"&amp;"ets/d/1dQrvX0vEcN7Gu0fnZ0B5S90AeR19zth4XlExFBeExMY/edit?usp=sharing"",""แม่ฮ่องสอน!S695"")+IMPORTRANGE(""https://docs.google.com/spreadsheets/d/1DY4XTNNwjluuxqdfdn6qvOSlMRrZqUtmYcZR0ttFiG4/edit?usp=sharing"",""ลำปาง!S695"")+IMPORTRANGE(""https://docs.goog"&amp;"le.com/spreadsheets/d/1ICwG78r0OFT8biBlxnBF8r7she7gNSzOvJ958PWT09c/edit?usp=sharing"",""ลำพูน!S695"")+IMPORTRANGE(""https://docs.google.com/spreadsheets/d/1B0f2xJpZUC6Z0xXnqKlZtEPzsf6L84eP1r1Q15seqRM/edit?usp=sharing"",""สุโขทัย!S695"")+IMPORTRANGE(""http"&amp;"s://docs.google.com/spreadsheets/d/1v0b9pFQCsKUVExMei7AgY2yQkdeNQvtOssygGsXbiKo/edit?usp=sharing"",""อุตรดิตถ์!S695"")+IMPORTRANGE(""https://docs.google.com/spreadsheets/d/1UsNK1e-WWiCo2PvGqdNfdme4m17_Ezd3J69EeeiQPD0/edit?usp=sharing"",""อุทัยธานี!S695"")"),867040.44)</f>
        <v>867040.44</v>
      </c>
      <c r="T695" s="46">
        <f t="shared" ca="1" si="476"/>
        <v>25.448869529995687</v>
      </c>
      <c r="U695" s="46">
        <f t="shared" ca="1" si="477"/>
        <v>25.448869529995687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46">
        <f t="shared" ref="L696:N696" ca="1" si="484">L697+L698</f>
        <v>0</v>
      </c>
      <c r="M696" s="46">
        <f t="shared" ca="1" si="484"/>
        <v>0</v>
      </c>
      <c r="N696" s="46">
        <f t="shared" ca="1" si="484"/>
        <v>0</v>
      </c>
      <c r="O696" s="46">
        <f t="shared" ca="1" si="473"/>
        <v>0</v>
      </c>
      <c r="P696" s="46">
        <f t="shared" ca="1" si="474"/>
        <v>0</v>
      </c>
      <c r="Q696" s="46">
        <f t="shared" ref="Q696:S696" ca="1" si="485">Q697+Q698</f>
        <v>0</v>
      </c>
      <c r="R696" s="46">
        <f t="shared" ca="1" si="485"/>
        <v>0</v>
      </c>
      <c r="S696" s="46">
        <f t="shared" ca="1" si="485"/>
        <v>0</v>
      </c>
      <c r="T696" s="46">
        <f t="shared" ca="1" si="476"/>
        <v>0</v>
      </c>
      <c r="U696" s="46">
        <f t="shared" ca="1" si="477"/>
        <v>0</v>
      </c>
    </row>
    <row r="697" spans="1:21" ht="18.75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48">
        <f ca="1">IFERROR(__xludf.DUMMYFUNCTION("IMPORTRANGE(""https://docs.google.com/spreadsheets/d/1jTcq05yEiRwXcBMLjiodW9e4biSGYWAHcDj22rKWQ3s/edit?usp=sharing"",""กำแพงเพชร!L697"")+IMPORTRANGE(""https://docs.google.com/spreadsheets/d/1KS0zmDSZPk8KnTAbGN-Xk6MtX1YRZD0ldgdt20K4CRk/edit?usp=sharing"","&amp;"""เชียงราย!L697"")+IMPORTRANGE(""https://docs.google.com/spreadsheets/d/1rEDxBtusbi64tE0zunoIbsTVV16HeL0oJ6trHQeQ7K8/edit?usp=sharing"",""เชียงใหม่!L697"")+IMPORTRANGE(""https://docs.google.com/spreadsheets/d/1W6MnUbDkMi6xHnHko_XkFDO9kkuL6Wqyc-6OCDFjW9I/e"&amp;"dit?usp=sharing"",""ตาก!L697"")+IMPORTRANGE(""https://docs.google.com/spreadsheets/d/1IQAWArduLkta9LpYo4a_ULsyqdta6-6aDDiwpUnQT6c/edit?usp=sharing"",""นครสวรรค์!L697"")+IMPORTRANGE(""https://docs.google.com/spreadsheets/d/10s13Sk5xrltsiR-Zkbmk5DwIaDIKO8Xl"&amp;"bJAfqyT7Gvg/edit?usp=sharing"",""น่าน!L697"")+IMPORTRANGE(""https://docs.google.com/spreadsheets/d/1uu4nAn4Dbi1XREnLKKotUANlKXa7yCgRcgq8HEzQYW8/edit?usp=sharing"",""พะเยา!L697"")+IMPORTRANGE(""https://docs.google.com/spreadsheets/d/1xfJKIQxVOaPDIICqsflNlL"&amp;"u3JacTDk1FP9RH4phX7mI/edit?usp=sharing"",""พิจิตร!L697"")+IMPORTRANGE(""https://docs.google.com/spreadsheets/d/1JtRfZkJMHtEhI5RdRHxYUG4FIZHqKDpNyIuN7A1Q0_k/edit?usp=sharing"",""พิษณุโลก!L697"")+IMPORTRANGE(""https://docs.google.com/spreadsheets/d/1xlcVZWU"&amp;"Nn6SuWm0c307h32SiGkd9BaeQWlAktfD3KO8/edit?usp=sharing"",""เพชรบูรณ์!L697"")+IMPORTRANGE(""https://docs.google.com/spreadsheets/d/1lOVebEIsI9qjGXl6EX66luk7wiuP2tBaryw-wKvv4e0/edit?usp=sharing"",""แพร่!L697"")+IMPORTRANGE(""https://docs.google.com/spreadshe"&amp;"ets/d/1dQrvX0vEcN7Gu0fnZ0B5S90AeR19zth4XlExFBeExMY/edit?usp=sharing"",""แม่ฮ่องสอน!L697"")+IMPORTRANGE(""https://docs.google.com/spreadsheets/d/1DY4XTNNwjluuxqdfdn6qvOSlMRrZqUtmYcZR0ttFiG4/edit?usp=sharing"",""ลำปาง!L697"")+IMPORTRANGE(""https://docs.goog"&amp;"le.com/spreadsheets/d/1ICwG78r0OFT8biBlxnBF8r7she7gNSzOvJ958PWT09c/edit?usp=sharing"",""ลำพูน!L697"")+IMPORTRANGE(""https://docs.google.com/spreadsheets/d/1B0f2xJpZUC6Z0xXnqKlZtEPzsf6L84eP1r1Q15seqRM/edit?usp=sharing"",""สุโขทัย!L697"")+IMPORTRANGE(""http"&amp;"s://docs.google.com/spreadsheets/d/1v0b9pFQCsKUVExMei7AgY2yQkdeNQvtOssygGsXbiKo/edit?usp=sharing"",""อุตรดิตถ์!L697"")+IMPORTRANGE(""https://docs.google.com/spreadsheets/d/1UsNK1e-WWiCo2PvGqdNfdme4m17_Ezd3J69EeeiQPD0/edit?usp=sharing"",""อุทัยธานี!L697"")"),0)</f>
        <v>0</v>
      </c>
      <c r="M697" s="48">
        <f ca="1">IFERROR(__xludf.DUMMYFUNCTION("IMPORTRANGE(""https://docs.google.com/spreadsheets/d/1jTcq05yEiRwXcBMLjiodW9e4biSGYWAHcDj22rKWQ3s/edit?usp=sharing"",""กำแพงเพชร!M697"")+IMPORTRANGE(""https://docs.google.com/spreadsheets/d/1KS0zmDSZPk8KnTAbGN-Xk6MtX1YRZD0ldgdt20K4CRk/edit?usp=sharing"","&amp;"""เชียงราย!M697"")+IMPORTRANGE(""https://docs.google.com/spreadsheets/d/1rEDxBtusbi64tE0zunoIbsTVV16HeL0oJ6trHQeQ7K8/edit?usp=sharing"",""เชียงใหม่!M697"")+IMPORTRANGE(""https://docs.google.com/spreadsheets/d/1W6MnUbDkMi6xHnHko_XkFDO9kkuL6Wqyc-6OCDFjW9I/e"&amp;"dit?usp=sharing"",""ตาก!M697"")+IMPORTRANGE(""https://docs.google.com/spreadsheets/d/1IQAWArduLkta9LpYo4a_ULsyqdta6-6aDDiwpUnQT6c/edit?usp=sharing"",""นครสวรรค์!M697"")+IMPORTRANGE(""https://docs.google.com/spreadsheets/d/10s13Sk5xrltsiR-Zkbmk5DwIaDIKO8Xl"&amp;"bJAfqyT7Gvg/edit?usp=sharing"",""น่าน!M697"")+IMPORTRANGE(""https://docs.google.com/spreadsheets/d/1uu4nAn4Dbi1XREnLKKotUANlKXa7yCgRcgq8HEzQYW8/edit?usp=sharing"",""พะเยา!M697"")+IMPORTRANGE(""https://docs.google.com/spreadsheets/d/1xfJKIQxVOaPDIICqsflNlL"&amp;"u3JacTDk1FP9RH4phX7mI/edit?usp=sharing"",""พิจิตร!M697"")+IMPORTRANGE(""https://docs.google.com/spreadsheets/d/1JtRfZkJMHtEhI5RdRHxYUG4FIZHqKDpNyIuN7A1Q0_k/edit?usp=sharing"",""พิษณุโลก!M697"")+IMPORTRANGE(""https://docs.google.com/spreadsheets/d/1xlcVZWU"&amp;"Nn6SuWm0c307h32SiGkd9BaeQWlAktfD3KO8/edit?usp=sharing"",""เพชรบูรณ์!M697"")+IMPORTRANGE(""https://docs.google.com/spreadsheets/d/1lOVebEIsI9qjGXl6EX66luk7wiuP2tBaryw-wKvv4e0/edit?usp=sharing"",""แพร่!M697"")+IMPORTRANGE(""https://docs.google.com/spreadshe"&amp;"ets/d/1dQrvX0vEcN7Gu0fnZ0B5S90AeR19zth4XlExFBeExMY/edit?usp=sharing"",""แม่ฮ่องสอน!M697"")+IMPORTRANGE(""https://docs.google.com/spreadsheets/d/1DY4XTNNwjluuxqdfdn6qvOSlMRrZqUtmYcZR0ttFiG4/edit?usp=sharing"",""ลำปาง!M697"")+IMPORTRANGE(""https://docs.goog"&amp;"le.com/spreadsheets/d/1ICwG78r0OFT8biBlxnBF8r7she7gNSzOvJ958PWT09c/edit?usp=sharing"",""ลำพูน!M697"")+IMPORTRANGE(""https://docs.google.com/spreadsheets/d/1B0f2xJpZUC6Z0xXnqKlZtEPzsf6L84eP1r1Q15seqRM/edit?usp=sharing"",""สุโขทัย!M697"")+IMPORTRANGE(""http"&amp;"s://docs.google.com/spreadsheets/d/1v0b9pFQCsKUVExMei7AgY2yQkdeNQvtOssygGsXbiKo/edit?usp=sharing"",""อุตรดิตถ์!M697"")+IMPORTRANGE(""https://docs.google.com/spreadsheets/d/1UsNK1e-WWiCo2PvGqdNfdme4m17_Ezd3J69EeeiQPD0/edit?usp=sharing"",""อุทัยธานี!M697"")"),0)</f>
        <v>0</v>
      </c>
      <c r="N697" s="48">
        <f ca="1">IFERROR(__xludf.DUMMYFUNCTION("IMPORTRANGE(""https://docs.google.com/spreadsheets/d/1jTcq05yEiRwXcBMLjiodW9e4biSGYWAHcDj22rKWQ3s/edit?usp=sharing"",""กำแพงเพชร!N697"")+IMPORTRANGE(""https://docs.google.com/spreadsheets/d/1KS0zmDSZPk8KnTAbGN-Xk6MtX1YRZD0ldgdt20K4CRk/edit?usp=sharing"","&amp;"""เชียงราย!N697"")+IMPORTRANGE(""https://docs.google.com/spreadsheets/d/1rEDxBtusbi64tE0zunoIbsTVV16HeL0oJ6trHQeQ7K8/edit?usp=sharing"",""เชียงใหม่!N697"")+IMPORTRANGE(""https://docs.google.com/spreadsheets/d/1W6MnUbDkMi6xHnHko_XkFDO9kkuL6Wqyc-6OCDFjW9I/e"&amp;"dit?usp=sharing"",""ตาก!N697"")+IMPORTRANGE(""https://docs.google.com/spreadsheets/d/1IQAWArduLkta9LpYo4a_ULsyqdta6-6aDDiwpUnQT6c/edit?usp=sharing"",""นครสวรรค์!N697"")+IMPORTRANGE(""https://docs.google.com/spreadsheets/d/10s13Sk5xrltsiR-Zkbmk5DwIaDIKO8Xl"&amp;"bJAfqyT7Gvg/edit?usp=sharing"",""น่าน!N697"")+IMPORTRANGE(""https://docs.google.com/spreadsheets/d/1uu4nAn4Dbi1XREnLKKotUANlKXa7yCgRcgq8HEzQYW8/edit?usp=sharing"",""พะเยา!N697"")+IMPORTRANGE(""https://docs.google.com/spreadsheets/d/1xfJKIQxVOaPDIICqsflNlL"&amp;"u3JacTDk1FP9RH4phX7mI/edit?usp=sharing"",""พิจิตร!N697"")+IMPORTRANGE(""https://docs.google.com/spreadsheets/d/1JtRfZkJMHtEhI5RdRHxYUG4FIZHqKDpNyIuN7A1Q0_k/edit?usp=sharing"",""พิษณุโลก!N697"")+IMPORTRANGE(""https://docs.google.com/spreadsheets/d/1xlcVZWU"&amp;"Nn6SuWm0c307h32SiGkd9BaeQWlAktfD3KO8/edit?usp=sharing"",""เพชรบูรณ์!N697"")+IMPORTRANGE(""https://docs.google.com/spreadsheets/d/1lOVebEIsI9qjGXl6EX66luk7wiuP2tBaryw-wKvv4e0/edit?usp=sharing"",""แพร่!N697"")+IMPORTRANGE(""https://docs.google.com/spreadshe"&amp;"ets/d/1dQrvX0vEcN7Gu0fnZ0B5S90AeR19zth4XlExFBeExMY/edit?usp=sharing"",""แม่ฮ่องสอน!N697"")+IMPORTRANGE(""https://docs.google.com/spreadsheets/d/1DY4XTNNwjluuxqdfdn6qvOSlMRrZqUtmYcZR0ttFiG4/edit?usp=sharing"",""ลำปาง!N697"")+IMPORTRANGE(""https://docs.goog"&amp;"le.com/spreadsheets/d/1ICwG78r0OFT8biBlxnBF8r7she7gNSzOvJ958PWT09c/edit?usp=sharing"",""ลำพูน!N697"")+IMPORTRANGE(""https://docs.google.com/spreadsheets/d/1B0f2xJpZUC6Z0xXnqKlZtEPzsf6L84eP1r1Q15seqRM/edit?usp=sharing"",""สุโขทัย!N697"")+IMPORTRANGE(""http"&amp;"s://docs.google.com/spreadsheets/d/1v0b9pFQCsKUVExMei7AgY2yQkdeNQvtOssygGsXbiKo/edit?usp=sharing"",""อุตรดิตถ์!N697"")+IMPORTRANGE(""https://docs.google.com/spreadsheets/d/1UsNK1e-WWiCo2PvGqdNfdme4m17_Ezd3J69EeeiQPD0/edit?usp=sharing"",""อุทัยธานี!N697"")"),0)</f>
        <v>0</v>
      </c>
      <c r="O697" s="48">
        <f t="shared" ca="1" si="473"/>
        <v>0</v>
      </c>
      <c r="P697" s="48">
        <f t="shared" ca="1" si="474"/>
        <v>0</v>
      </c>
      <c r="Q697" s="48">
        <f ca="1">IFERROR(__xludf.DUMMYFUNCTION("IMPORTRANGE(""https://docs.google.com/spreadsheets/d/1jTcq05yEiRwXcBMLjiodW9e4biSGYWAHcDj22rKWQ3s/edit?usp=sharing"",""กำแพงเพชร!Q697"")+IMPORTRANGE(""https://docs.google.com/spreadsheets/d/1KS0zmDSZPk8KnTAbGN-Xk6MtX1YRZD0ldgdt20K4CRk/edit?usp=sharing"","&amp;"""เชียงราย!Q697"")+IMPORTRANGE(""https://docs.google.com/spreadsheets/d/1rEDxBtusbi64tE0zunoIbsTVV16HeL0oJ6trHQeQ7K8/edit?usp=sharing"",""เชียงใหม่!Q697"")+IMPORTRANGE(""https://docs.google.com/spreadsheets/d/1W6MnUbDkMi6xHnHko_XkFDO9kkuL6Wqyc-6OCDFjW9I/e"&amp;"dit?usp=sharing"",""ตาก!Q697"")+IMPORTRANGE(""https://docs.google.com/spreadsheets/d/1IQAWArduLkta9LpYo4a_ULsyqdta6-6aDDiwpUnQT6c/edit?usp=sharing"",""นครสวรรค์!Q697"")+IMPORTRANGE(""https://docs.google.com/spreadsheets/d/10s13Sk5xrltsiR-Zkbmk5DwIaDIKO8Xl"&amp;"bJAfqyT7Gvg/edit?usp=sharing"",""น่าน!Q697"")+IMPORTRANGE(""https://docs.google.com/spreadsheets/d/1uu4nAn4Dbi1XREnLKKotUANlKXa7yCgRcgq8HEzQYW8/edit?usp=sharing"",""พะเยา!Q697"")+IMPORTRANGE(""https://docs.google.com/spreadsheets/d/1xfJKIQxVOaPDIICqsflNlL"&amp;"u3JacTDk1FP9RH4phX7mI/edit?usp=sharing"",""พิจิตร!Q697"")+IMPORTRANGE(""https://docs.google.com/spreadsheets/d/1JtRfZkJMHtEhI5RdRHxYUG4FIZHqKDpNyIuN7A1Q0_k/edit?usp=sharing"",""พิษณุโลก!Q697"")+IMPORTRANGE(""https://docs.google.com/spreadsheets/d/1xlcVZWU"&amp;"Nn6SuWm0c307h32SiGkd9BaeQWlAktfD3KO8/edit?usp=sharing"",""เพชรบูรณ์!Q697"")+IMPORTRANGE(""https://docs.google.com/spreadsheets/d/1lOVebEIsI9qjGXl6EX66luk7wiuP2tBaryw-wKvv4e0/edit?usp=sharing"",""แพร่!Q697"")+IMPORTRANGE(""https://docs.google.com/spreadshe"&amp;"ets/d/1dQrvX0vEcN7Gu0fnZ0B5S90AeR19zth4XlExFBeExMY/edit?usp=sharing"",""แม่ฮ่องสอน!Q697"")+IMPORTRANGE(""https://docs.google.com/spreadsheets/d/1DY4XTNNwjluuxqdfdn6qvOSlMRrZqUtmYcZR0ttFiG4/edit?usp=sharing"",""ลำปาง!Q697"")+IMPORTRANGE(""https://docs.goog"&amp;"le.com/spreadsheets/d/1ICwG78r0OFT8biBlxnBF8r7she7gNSzOvJ958PWT09c/edit?usp=sharing"",""ลำพูน!Q697"")+IMPORTRANGE(""https://docs.google.com/spreadsheets/d/1B0f2xJpZUC6Z0xXnqKlZtEPzsf6L84eP1r1Q15seqRM/edit?usp=sharing"",""สุโขทัย!Q697"")+IMPORTRANGE(""http"&amp;"s://docs.google.com/spreadsheets/d/1v0b9pFQCsKUVExMei7AgY2yQkdeNQvtOssygGsXbiKo/edit?usp=sharing"",""อุตรดิตถ์!Q697"")+IMPORTRANGE(""https://docs.google.com/spreadsheets/d/1UsNK1e-WWiCo2PvGqdNfdme4m17_Ezd3J69EeeiQPD0/edit?usp=sharing"",""อุทัยธานี!Q697"")"),0)</f>
        <v>0</v>
      </c>
      <c r="R697" s="48">
        <f ca="1">IFERROR(__xludf.DUMMYFUNCTION("IMPORTRANGE(""https://docs.google.com/spreadsheets/d/1jTcq05yEiRwXcBMLjiodW9e4biSGYWAHcDj22rKWQ3s/edit?usp=sharing"",""กำแพงเพชร!R697"")+IMPORTRANGE(""https://docs.google.com/spreadsheets/d/1KS0zmDSZPk8KnTAbGN-Xk6MtX1YRZD0ldgdt20K4CRk/edit?usp=sharing"","&amp;"""เชียงราย!R697"")+IMPORTRANGE(""https://docs.google.com/spreadsheets/d/1rEDxBtusbi64tE0zunoIbsTVV16HeL0oJ6trHQeQ7K8/edit?usp=sharing"",""เชียงใหม่!R697"")+IMPORTRANGE(""https://docs.google.com/spreadsheets/d/1W6MnUbDkMi6xHnHko_XkFDO9kkuL6Wqyc-6OCDFjW9I/e"&amp;"dit?usp=sharing"",""ตาก!R697"")+IMPORTRANGE(""https://docs.google.com/spreadsheets/d/1IQAWArduLkta9LpYo4a_ULsyqdta6-6aDDiwpUnQT6c/edit?usp=sharing"",""นครสวรรค์!R697"")+IMPORTRANGE(""https://docs.google.com/spreadsheets/d/10s13Sk5xrltsiR-Zkbmk5DwIaDIKO8Xl"&amp;"bJAfqyT7Gvg/edit?usp=sharing"",""น่าน!R697"")+IMPORTRANGE(""https://docs.google.com/spreadsheets/d/1uu4nAn4Dbi1XREnLKKotUANlKXa7yCgRcgq8HEzQYW8/edit?usp=sharing"",""พะเยา!R697"")+IMPORTRANGE(""https://docs.google.com/spreadsheets/d/1xfJKIQxVOaPDIICqsflNlL"&amp;"u3JacTDk1FP9RH4phX7mI/edit?usp=sharing"",""พิจิตร!R697"")+IMPORTRANGE(""https://docs.google.com/spreadsheets/d/1JtRfZkJMHtEhI5RdRHxYUG4FIZHqKDpNyIuN7A1Q0_k/edit?usp=sharing"",""พิษณุโลก!R697"")+IMPORTRANGE(""https://docs.google.com/spreadsheets/d/1xlcVZWU"&amp;"Nn6SuWm0c307h32SiGkd9BaeQWlAktfD3KO8/edit?usp=sharing"",""เพชรบูรณ์!R697"")+IMPORTRANGE(""https://docs.google.com/spreadsheets/d/1lOVebEIsI9qjGXl6EX66luk7wiuP2tBaryw-wKvv4e0/edit?usp=sharing"",""แพร่!R697"")+IMPORTRANGE(""https://docs.google.com/spreadshe"&amp;"ets/d/1dQrvX0vEcN7Gu0fnZ0B5S90AeR19zth4XlExFBeExMY/edit?usp=sharing"",""แม่ฮ่องสอน!R697"")+IMPORTRANGE(""https://docs.google.com/spreadsheets/d/1DY4XTNNwjluuxqdfdn6qvOSlMRrZqUtmYcZR0ttFiG4/edit?usp=sharing"",""ลำปาง!R697"")+IMPORTRANGE(""https://docs.goog"&amp;"le.com/spreadsheets/d/1ICwG78r0OFT8biBlxnBF8r7she7gNSzOvJ958PWT09c/edit?usp=sharing"",""ลำพูน!R697"")+IMPORTRANGE(""https://docs.google.com/spreadsheets/d/1B0f2xJpZUC6Z0xXnqKlZtEPzsf6L84eP1r1Q15seqRM/edit?usp=sharing"",""สุโขทัย!R697"")+IMPORTRANGE(""http"&amp;"s://docs.google.com/spreadsheets/d/1v0b9pFQCsKUVExMei7AgY2yQkdeNQvtOssygGsXbiKo/edit?usp=sharing"",""อุตรดิตถ์!R697"")+IMPORTRANGE(""https://docs.google.com/spreadsheets/d/1UsNK1e-WWiCo2PvGqdNfdme4m17_Ezd3J69EeeiQPD0/edit?usp=sharing"",""อุทัยธานี!R697"")"),0)</f>
        <v>0</v>
      </c>
      <c r="S697" s="48">
        <f ca="1">IFERROR(__xludf.DUMMYFUNCTION("IMPORTRANGE(""https://docs.google.com/spreadsheets/d/1jTcq05yEiRwXcBMLjiodW9e4biSGYWAHcDj22rKWQ3s/edit?usp=sharing"",""กำแพงเพชร!S697"")+IMPORTRANGE(""https://docs.google.com/spreadsheets/d/1KS0zmDSZPk8KnTAbGN-Xk6MtX1YRZD0ldgdt20K4CRk/edit?usp=sharing"","&amp;"""เชียงราย!S697"")+IMPORTRANGE(""https://docs.google.com/spreadsheets/d/1rEDxBtusbi64tE0zunoIbsTVV16HeL0oJ6trHQeQ7K8/edit?usp=sharing"",""เชียงใหม่!S697"")+IMPORTRANGE(""https://docs.google.com/spreadsheets/d/1W6MnUbDkMi6xHnHko_XkFDO9kkuL6Wqyc-6OCDFjW9I/e"&amp;"dit?usp=sharing"",""ตาก!S697"")+IMPORTRANGE(""https://docs.google.com/spreadsheets/d/1IQAWArduLkta9LpYo4a_ULsyqdta6-6aDDiwpUnQT6c/edit?usp=sharing"",""นครสวรรค์!S697"")+IMPORTRANGE(""https://docs.google.com/spreadsheets/d/10s13Sk5xrltsiR-Zkbmk5DwIaDIKO8Xl"&amp;"bJAfqyT7Gvg/edit?usp=sharing"",""น่าน!S697"")+IMPORTRANGE(""https://docs.google.com/spreadsheets/d/1uu4nAn4Dbi1XREnLKKotUANlKXa7yCgRcgq8HEzQYW8/edit?usp=sharing"",""พะเยา!S697"")+IMPORTRANGE(""https://docs.google.com/spreadsheets/d/1xfJKIQxVOaPDIICqsflNlL"&amp;"u3JacTDk1FP9RH4phX7mI/edit?usp=sharing"",""พิจิตร!S697"")+IMPORTRANGE(""https://docs.google.com/spreadsheets/d/1JtRfZkJMHtEhI5RdRHxYUG4FIZHqKDpNyIuN7A1Q0_k/edit?usp=sharing"",""พิษณุโลก!S697"")+IMPORTRANGE(""https://docs.google.com/spreadsheets/d/1xlcVZWU"&amp;"Nn6SuWm0c307h32SiGkd9BaeQWlAktfD3KO8/edit?usp=sharing"",""เพชรบูรณ์!S697"")+IMPORTRANGE(""https://docs.google.com/spreadsheets/d/1lOVebEIsI9qjGXl6EX66luk7wiuP2tBaryw-wKvv4e0/edit?usp=sharing"",""แพร่!S697"")+IMPORTRANGE(""https://docs.google.com/spreadshe"&amp;"ets/d/1dQrvX0vEcN7Gu0fnZ0B5S90AeR19zth4XlExFBeExMY/edit?usp=sharing"",""แม่ฮ่องสอน!S697"")+IMPORTRANGE(""https://docs.google.com/spreadsheets/d/1DY4XTNNwjluuxqdfdn6qvOSlMRrZqUtmYcZR0ttFiG4/edit?usp=sharing"",""ลำปาง!S697"")+IMPORTRANGE(""https://docs.goog"&amp;"le.com/spreadsheets/d/1ICwG78r0OFT8biBlxnBF8r7she7gNSzOvJ958PWT09c/edit?usp=sharing"",""ลำพูน!S697"")+IMPORTRANGE(""https://docs.google.com/spreadsheets/d/1B0f2xJpZUC6Z0xXnqKlZtEPzsf6L84eP1r1Q15seqRM/edit?usp=sharing"",""สุโขทัย!S697"")+IMPORTRANGE(""http"&amp;"s://docs.google.com/spreadsheets/d/1v0b9pFQCsKUVExMei7AgY2yQkdeNQvtOssygGsXbiKo/edit?usp=sharing"",""อุตรดิตถ์!S697"")+IMPORTRANGE(""https://docs.google.com/spreadsheets/d/1UsNK1e-WWiCo2PvGqdNfdme4m17_Ezd3J69EeeiQPD0/edit?usp=sharing"",""อุทัยธานี!S697"")"),0)</f>
        <v>0</v>
      </c>
      <c r="T697" s="48">
        <f t="shared" ca="1" si="476"/>
        <v>0</v>
      </c>
      <c r="U697" s="48">
        <f t="shared" ca="1" si="477"/>
        <v>0</v>
      </c>
    </row>
    <row r="698" spans="1:21" ht="18.75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46">
        <f ca="1">IFERROR(__xludf.DUMMYFUNCTION("IMPORTRANGE(""https://docs.google.com/spreadsheets/d/1jTcq05yEiRwXcBMLjiodW9e4biSGYWAHcDj22rKWQ3s/edit?usp=sharing"",""กำแพงเพชร!L698"")+IMPORTRANGE(""https://docs.google.com/spreadsheets/d/1KS0zmDSZPk8KnTAbGN-Xk6MtX1YRZD0ldgdt20K4CRk/edit?usp=sharing"","&amp;"""เชียงราย!L698"")+IMPORTRANGE(""https://docs.google.com/spreadsheets/d/1rEDxBtusbi64tE0zunoIbsTVV16HeL0oJ6trHQeQ7K8/edit?usp=sharing"",""เชียงใหม่!L698"")+IMPORTRANGE(""https://docs.google.com/spreadsheets/d/1W6MnUbDkMi6xHnHko_XkFDO9kkuL6Wqyc-6OCDFjW9I/e"&amp;"dit?usp=sharing"",""ตาก!L698"")+IMPORTRANGE(""https://docs.google.com/spreadsheets/d/1IQAWArduLkta9LpYo4a_ULsyqdta6-6aDDiwpUnQT6c/edit?usp=sharing"",""นครสวรรค์!L698"")+IMPORTRANGE(""https://docs.google.com/spreadsheets/d/10s13Sk5xrltsiR-Zkbmk5DwIaDIKO8Xl"&amp;"bJAfqyT7Gvg/edit?usp=sharing"",""น่าน!L698"")+IMPORTRANGE(""https://docs.google.com/spreadsheets/d/1uu4nAn4Dbi1XREnLKKotUANlKXa7yCgRcgq8HEzQYW8/edit?usp=sharing"",""พะเยา!L698"")+IMPORTRANGE(""https://docs.google.com/spreadsheets/d/1xfJKIQxVOaPDIICqsflNlL"&amp;"u3JacTDk1FP9RH4phX7mI/edit?usp=sharing"",""พิจิตร!L698"")+IMPORTRANGE(""https://docs.google.com/spreadsheets/d/1JtRfZkJMHtEhI5RdRHxYUG4FIZHqKDpNyIuN7A1Q0_k/edit?usp=sharing"",""พิษณุโลก!L698"")+IMPORTRANGE(""https://docs.google.com/spreadsheets/d/1xlcVZWU"&amp;"Nn6SuWm0c307h32SiGkd9BaeQWlAktfD3KO8/edit?usp=sharing"",""เพชรบูรณ์!L698"")+IMPORTRANGE(""https://docs.google.com/spreadsheets/d/1lOVebEIsI9qjGXl6EX66luk7wiuP2tBaryw-wKvv4e0/edit?usp=sharing"",""แพร่!L698"")+IMPORTRANGE(""https://docs.google.com/spreadshe"&amp;"ets/d/1dQrvX0vEcN7Gu0fnZ0B5S90AeR19zth4XlExFBeExMY/edit?usp=sharing"",""แม่ฮ่องสอน!L698"")+IMPORTRANGE(""https://docs.google.com/spreadsheets/d/1DY4XTNNwjluuxqdfdn6qvOSlMRrZqUtmYcZR0ttFiG4/edit?usp=sharing"",""ลำปาง!L698"")+IMPORTRANGE(""https://docs.goog"&amp;"le.com/spreadsheets/d/1ICwG78r0OFT8biBlxnBF8r7she7gNSzOvJ958PWT09c/edit?usp=sharing"",""ลำพูน!L698"")+IMPORTRANGE(""https://docs.google.com/spreadsheets/d/1B0f2xJpZUC6Z0xXnqKlZtEPzsf6L84eP1r1Q15seqRM/edit?usp=sharing"",""สุโขทัย!L698"")+IMPORTRANGE(""http"&amp;"s://docs.google.com/spreadsheets/d/1v0b9pFQCsKUVExMei7AgY2yQkdeNQvtOssygGsXbiKo/edit?usp=sharing"",""อุตรดิตถ์!L698"")+IMPORTRANGE(""https://docs.google.com/spreadsheets/d/1UsNK1e-WWiCo2PvGqdNfdme4m17_Ezd3J69EeeiQPD0/edit?usp=sharing"",""อุทัยธานี!L698"")"),0)</f>
        <v>0</v>
      </c>
      <c r="M698" s="46">
        <f ca="1">IFERROR(__xludf.DUMMYFUNCTION("IMPORTRANGE(""https://docs.google.com/spreadsheets/d/1jTcq05yEiRwXcBMLjiodW9e4biSGYWAHcDj22rKWQ3s/edit?usp=sharing"",""กำแพงเพชร!M698"")+IMPORTRANGE(""https://docs.google.com/spreadsheets/d/1KS0zmDSZPk8KnTAbGN-Xk6MtX1YRZD0ldgdt20K4CRk/edit?usp=sharing"","&amp;"""เชียงราย!M698"")+IMPORTRANGE(""https://docs.google.com/spreadsheets/d/1rEDxBtusbi64tE0zunoIbsTVV16HeL0oJ6trHQeQ7K8/edit?usp=sharing"",""เชียงใหม่!M698"")+IMPORTRANGE(""https://docs.google.com/spreadsheets/d/1W6MnUbDkMi6xHnHko_XkFDO9kkuL6Wqyc-6OCDFjW9I/e"&amp;"dit?usp=sharing"",""ตาก!M698"")+IMPORTRANGE(""https://docs.google.com/spreadsheets/d/1IQAWArduLkta9LpYo4a_ULsyqdta6-6aDDiwpUnQT6c/edit?usp=sharing"",""นครสวรรค์!M698"")+IMPORTRANGE(""https://docs.google.com/spreadsheets/d/10s13Sk5xrltsiR-Zkbmk5DwIaDIKO8Xl"&amp;"bJAfqyT7Gvg/edit?usp=sharing"",""น่าน!M698"")+IMPORTRANGE(""https://docs.google.com/spreadsheets/d/1uu4nAn4Dbi1XREnLKKotUANlKXa7yCgRcgq8HEzQYW8/edit?usp=sharing"",""พะเยา!M698"")+IMPORTRANGE(""https://docs.google.com/spreadsheets/d/1xfJKIQxVOaPDIICqsflNlL"&amp;"u3JacTDk1FP9RH4phX7mI/edit?usp=sharing"",""พิจิตร!M698"")+IMPORTRANGE(""https://docs.google.com/spreadsheets/d/1JtRfZkJMHtEhI5RdRHxYUG4FIZHqKDpNyIuN7A1Q0_k/edit?usp=sharing"",""พิษณุโลก!M698"")+IMPORTRANGE(""https://docs.google.com/spreadsheets/d/1xlcVZWU"&amp;"Nn6SuWm0c307h32SiGkd9BaeQWlAktfD3KO8/edit?usp=sharing"",""เพชรบูรณ์!M698"")+IMPORTRANGE(""https://docs.google.com/spreadsheets/d/1lOVebEIsI9qjGXl6EX66luk7wiuP2tBaryw-wKvv4e0/edit?usp=sharing"",""แพร่!M698"")+IMPORTRANGE(""https://docs.google.com/spreadshe"&amp;"ets/d/1dQrvX0vEcN7Gu0fnZ0B5S90AeR19zth4XlExFBeExMY/edit?usp=sharing"",""แม่ฮ่องสอน!M698"")+IMPORTRANGE(""https://docs.google.com/spreadsheets/d/1DY4XTNNwjluuxqdfdn6qvOSlMRrZqUtmYcZR0ttFiG4/edit?usp=sharing"",""ลำปาง!M698"")+IMPORTRANGE(""https://docs.goog"&amp;"le.com/spreadsheets/d/1ICwG78r0OFT8biBlxnBF8r7she7gNSzOvJ958PWT09c/edit?usp=sharing"",""ลำพูน!M698"")+IMPORTRANGE(""https://docs.google.com/spreadsheets/d/1B0f2xJpZUC6Z0xXnqKlZtEPzsf6L84eP1r1Q15seqRM/edit?usp=sharing"",""สุโขทัย!M698"")+IMPORTRANGE(""http"&amp;"s://docs.google.com/spreadsheets/d/1v0b9pFQCsKUVExMei7AgY2yQkdeNQvtOssygGsXbiKo/edit?usp=sharing"",""อุตรดิตถ์!M698"")+IMPORTRANGE(""https://docs.google.com/spreadsheets/d/1UsNK1e-WWiCo2PvGqdNfdme4m17_Ezd3J69EeeiQPD0/edit?usp=sharing"",""อุทัยธานี!M698"")"),0)</f>
        <v>0</v>
      </c>
      <c r="N698" s="46">
        <f ca="1">IFERROR(__xludf.DUMMYFUNCTION("IMPORTRANGE(""https://docs.google.com/spreadsheets/d/1jTcq05yEiRwXcBMLjiodW9e4biSGYWAHcDj22rKWQ3s/edit?usp=sharing"",""กำแพงเพชร!N698"")+IMPORTRANGE(""https://docs.google.com/spreadsheets/d/1KS0zmDSZPk8KnTAbGN-Xk6MtX1YRZD0ldgdt20K4CRk/edit?usp=sharing"","&amp;"""เชียงราย!N698"")+IMPORTRANGE(""https://docs.google.com/spreadsheets/d/1rEDxBtusbi64tE0zunoIbsTVV16HeL0oJ6trHQeQ7K8/edit?usp=sharing"",""เชียงใหม่!N698"")+IMPORTRANGE(""https://docs.google.com/spreadsheets/d/1W6MnUbDkMi6xHnHko_XkFDO9kkuL6Wqyc-6OCDFjW9I/e"&amp;"dit?usp=sharing"",""ตาก!N698"")+IMPORTRANGE(""https://docs.google.com/spreadsheets/d/1IQAWArduLkta9LpYo4a_ULsyqdta6-6aDDiwpUnQT6c/edit?usp=sharing"",""นครสวรรค์!N698"")+IMPORTRANGE(""https://docs.google.com/spreadsheets/d/10s13Sk5xrltsiR-Zkbmk5DwIaDIKO8Xl"&amp;"bJAfqyT7Gvg/edit?usp=sharing"",""น่าน!N698"")+IMPORTRANGE(""https://docs.google.com/spreadsheets/d/1uu4nAn4Dbi1XREnLKKotUANlKXa7yCgRcgq8HEzQYW8/edit?usp=sharing"",""พะเยา!N698"")+IMPORTRANGE(""https://docs.google.com/spreadsheets/d/1xfJKIQxVOaPDIICqsflNlL"&amp;"u3JacTDk1FP9RH4phX7mI/edit?usp=sharing"",""พิจิตร!N698"")+IMPORTRANGE(""https://docs.google.com/spreadsheets/d/1JtRfZkJMHtEhI5RdRHxYUG4FIZHqKDpNyIuN7A1Q0_k/edit?usp=sharing"",""พิษณุโลก!N698"")+IMPORTRANGE(""https://docs.google.com/spreadsheets/d/1xlcVZWU"&amp;"Nn6SuWm0c307h32SiGkd9BaeQWlAktfD3KO8/edit?usp=sharing"",""เพชรบูรณ์!N698"")+IMPORTRANGE(""https://docs.google.com/spreadsheets/d/1lOVebEIsI9qjGXl6EX66luk7wiuP2tBaryw-wKvv4e0/edit?usp=sharing"",""แพร่!N698"")+IMPORTRANGE(""https://docs.google.com/spreadshe"&amp;"ets/d/1dQrvX0vEcN7Gu0fnZ0B5S90AeR19zth4XlExFBeExMY/edit?usp=sharing"",""แม่ฮ่องสอน!N698"")+IMPORTRANGE(""https://docs.google.com/spreadsheets/d/1DY4XTNNwjluuxqdfdn6qvOSlMRrZqUtmYcZR0ttFiG4/edit?usp=sharing"",""ลำปาง!N698"")+IMPORTRANGE(""https://docs.goog"&amp;"le.com/spreadsheets/d/1ICwG78r0OFT8biBlxnBF8r7she7gNSzOvJ958PWT09c/edit?usp=sharing"",""ลำพูน!N698"")+IMPORTRANGE(""https://docs.google.com/spreadsheets/d/1B0f2xJpZUC6Z0xXnqKlZtEPzsf6L84eP1r1Q15seqRM/edit?usp=sharing"",""สุโขทัย!N698"")+IMPORTRANGE(""http"&amp;"s://docs.google.com/spreadsheets/d/1v0b9pFQCsKUVExMei7AgY2yQkdeNQvtOssygGsXbiKo/edit?usp=sharing"",""อุตรดิตถ์!N698"")+IMPORTRANGE(""https://docs.google.com/spreadsheets/d/1UsNK1e-WWiCo2PvGqdNfdme4m17_Ezd3J69EeeiQPD0/edit?usp=sharing"",""อุทัยธานี!N698"")"),0)</f>
        <v>0</v>
      </c>
      <c r="O698" s="46">
        <f t="shared" ca="1" si="473"/>
        <v>0</v>
      </c>
      <c r="P698" s="46">
        <f t="shared" ca="1" si="474"/>
        <v>0</v>
      </c>
      <c r="Q698" s="46">
        <f ca="1">IFERROR(__xludf.DUMMYFUNCTION("IMPORTRANGE(""https://docs.google.com/spreadsheets/d/1jTcq05yEiRwXcBMLjiodW9e4biSGYWAHcDj22rKWQ3s/edit?usp=sharing"",""กำแพงเพชร!Q698"")+IMPORTRANGE(""https://docs.google.com/spreadsheets/d/1KS0zmDSZPk8KnTAbGN-Xk6MtX1YRZD0ldgdt20K4CRk/edit?usp=sharing"","&amp;"""เชียงราย!Q698"")+IMPORTRANGE(""https://docs.google.com/spreadsheets/d/1rEDxBtusbi64tE0zunoIbsTVV16HeL0oJ6trHQeQ7K8/edit?usp=sharing"",""เชียงใหม่!Q698"")+IMPORTRANGE(""https://docs.google.com/spreadsheets/d/1W6MnUbDkMi6xHnHko_XkFDO9kkuL6Wqyc-6OCDFjW9I/e"&amp;"dit?usp=sharing"",""ตาก!Q698"")+IMPORTRANGE(""https://docs.google.com/spreadsheets/d/1IQAWArduLkta9LpYo4a_ULsyqdta6-6aDDiwpUnQT6c/edit?usp=sharing"",""นครสวรรค์!Q698"")+IMPORTRANGE(""https://docs.google.com/spreadsheets/d/10s13Sk5xrltsiR-Zkbmk5DwIaDIKO8Xl"&amp;"bJAfqyT7Gvg/edit?usp=sharing"",""น่าน!Q698"")+IMPORTRANGE(""https://docs.google.com/spreadsheets/d/1uu4nAn4Dbi1XREnLKKotUANlKXa7yCgRcgq8HEzQYW8/edit?usp=sharing"",""พะเยา!Q698"")+IMPORTRANGE(""https://docs.google.com/spreadsheets/d/1xfJKIQxVOaPDIICqsflNlL"&amp;"u3JacTDk1FP9RH4phX7mI/edit?usp=sharing"",""พิจิตร!Q698"")+IMPORTRANGE(""https://docs.google.com/spreadsheets/d/1JtRfZkJMHtEhI5RdRHxYUG4FIZHqKDpNyIuN7A1Q0_k/edit?usp=sharing"",""พิษณุโลก!Q698"")+IMPORTRANGE(""https://docs.google.com/spreadsheets/d/1xlcVZWU"&amp;"Nn6SuWm0c307h32SiGkd9BaeQWlAktfD3KO8/edit?usp=sharing"",""เพชรบูรณ์!Q698"")+IMPORTRANGE(""https://docs.google.com/spreadsheets/d/1lOVebEIsI9qjGXl6EX66luk7wiuP2tBaryw-wKvv4e0/edit?usp=sharing"",""แพร่!Q698"")+IMPORTRANGE(""https://docs.google.com/spreadshe"&amp;"ets/d/1dQrvX0vEcN7Gu0fnZ0B5S90AeR19zth4XlExFBeExMY/edit?usp=sharing"",""แม่ฮ่องสอน!Q698"")+IMPORTRANGE(""https://docs.google.com/spreadsheets/d/1DY4XTNNwjluuxqdfdn6qvOSlMRrZqUtmYcZR0ttFiG4/edit?usp=sharing"",""ลำปาง!Q698"")+IMPORTRANGE(""https://docs.goog"&amp;"le.com/spreadsheets/d/1ICwG78r0OFT8biBlxnBF8r7she7gNSzOvJ958PWT09c/edit?usp=sharing"",""ลำพูน!Q698"")+IMPORTRANGE(""https://docs.google.com/spreadsheets/d/1B0f2xJpZUC6Z0xXnqKlZtEPzsf6L84eP1r1Q15seqRM/edit?usp=sharing"",""สุโขทัย!Q698"")+IMPORTRANGE(""http"&amp;"s://docs.google.com/spreadsheets/d/1v0b9pFQCsKUVExMei7AgY2yQkdeNQvtOssygGsXbiKo/edit?usp=sharing"",""อุตรดิตถ์!Q698"")+IMPORTRANGE(""https://docs.google.com/spreadsheets/d/1UsNK1e-WWiCo2PvGqdNfdme4m17_Ezd3J69EeeiQPD0/edit?usp=sharing"",""อุทัยธานี!Q698"")"),0)</f>
        <v>0</v>
      </c>
      <c r="R698" s="46">
        <f ca="1">IFERROR(__xludf.DUMMYFUNCTION("IMPORTRANGE(""https://docs.google.com/spreadsheets/d/1jTcq05yEiRwXcBMLjiodW9e4biSGYWAHcDj22rKWQ3s/edit?usp=sharing"",""กำแพงเพชร!R698"")+IMPORTRANGE(""https://docs.google.com/spreadsheets/d/1KS0zmDSZPk8KnTAbGN-Xk6MtX1YRZD0ldgdt20K4CRk/edit?usp=sharing"","&amp;"""เชียงราย!R698"")+IMPORTRANGE(""https://docs.google.com/spreadsheets/d/1rEDxBtusbi64tE0zunoIbsTVV16HeL0oJ6trHQeQ7K8/edit?usp=sharing"",""เชียงใหม่!R698"")+IMPORTRANGE(""https://docs.google.com/spreadsheets/d/1W6MnUbDkMi6xHnHko_XkFDO9kkuL6Wqyc-6OCDFjW9I/e"&amp;"dit?usp=sharing"",""ตาก!R698"")+IMPORTRANGE(""https://docs.google.com/spreadsheets/d/1IQAWArduLkta9LpYo4a_ULsyqdta6-6aDDiwpUnQT6c/edit?usp=sharing"",""นครสวรรค์!R698"")+IMPORTRANGE(""https://docs.google.com/spreadsheets/d/10s13Sk5xrltsiR-Zkbmk5DwIaDIKO8Xl"&amp;"bJAfqyT7Gvg/edit?usp=sharing"",""น่าน!R698"")+IMPORTRANGE(""https://docs.google.com/spreadsheets/d/1uu4nAn4Dbi1XREnLKKotUANlKXa7yCgRcgq8HEzQYW8/edit?usp=sharing"",""พะเยา!R698"")+IMPORTRANGE(""https://docs.google.com/spreadsheets/d/1xfJKIQxVOaPDIICqsflNlL"&amp;"u3JacTDk1FP9RH4phX7mI/edit?usp=sharing"",""พิจิตร!R698"")+IMPORTRANGE(""https://docs.google.com/spreadsheets/d/1JtRfZkJMHtEhI5RdRHxYUG4FIZHqKDpNyIuN7A1Q0_k/edit?usp=sharing"",""พิษณุโลก!R698"")+IMPORTRANGE(""https://docs.google.com/spreadsheets/d/1xlcVZWU"&amp;"Nn6SuWm0c307h32SiGkd9BaeQWlAktfD3KO8/edit?usp=sharing"",""เพชรบูรณ์!R698"")+IMPORTRANGE(""https://docs.google.com/spreadsheets/d/1lOVebEIsI9qjGXl6EX66luk7wiuP2tBaryw-wKvv4e0/edit?usp=sharing"",""แพร่!R698"")+IMPORTRANGE(""https://docs.google.com/spreadshe"&amp;"ets/d/1dQrvX0vEcN7Gu0fnZ0B5S90AeR19zth4XlExFBeExMY/edit?usp=sharing"",""แม่ฮ่องสอน!R698"")+IMPORTRANGE(""https://docs.google.com/spreadsheets/d/1DY4XTNNwjluuxqdfdn6qvOSlMRrZqUtmYcZR0ttFiG4/edit?usp=sharing"",""ลำปาง!R698"")+IMPORTRANGE(""https://docs.goog"&amp;"le.com/spreadsheets/d/1ICwG78r0OFT8biBlxnBF8r7she7gNSzOvJ958PWT09c/edit?usp=sharing"",""ลำพูน!R698"")+IMPORTRANGE(""https://docs.google.com/spreadsheets/d/1B0f2xJpZUC6Z0xXnqKlZtEPzsf6L84eP1r1Q15seqRM/edit?usp=sharing"",""สุโขทัย!R698"")+IMPORTRANGE(""http"&amp;"s://docs.google.com/spreadsheets/d/1v0b9pFQCsKUVExMei7AgY2yQkdeNQvtOssygGsXbiKo/edit?usp=sharing"",""อุตรดิตถ์!R698"")+IMPORTRANGE(""https://docs.google.com/spreadsheets/d/1UsNK1e-WWiCo2PvGqdNfdme4m17_Ezd3J69EeeiQPD0/edit?usp=sharing"",""อุทัยธานี!R698"")"),0)</f>
        <v>0</v>
      </c>
      <c r="S698" s="46">
        <f ca="1">IFERROR(__xludf.DUMMYFUNCTION("IMPORTRANGE(""https://docs.google.com/spreadsheets/d/1jTcq05yEiRwXcBMLjiodW9e4biSGYWAHcDj22rKWQ3s/edit?usp=sharing"",""กำแพงเพชร!S698"")+IMPORTRANGE(""https://docs.google.com/spreadsheets/d/1KS0zmDSZPk8KnTAbGN-Xk6MtX1YRZD0ldgdt20K4CRk/edit?usp=sharing"","&amp;"""เชียงราย!S698"")+IMPORTRANGE(""https://docs.google.com/spreadsheets/d/1rEDxBtusbi64tE0zunoIbsTVV16HeL0oJ6trHQeQ7K8/edit?usp=sharing"",""เชียงใหม่!S698"")+IMPORTRANGE(""https://docs.google.com/spreadsheets/d/1W6MnUbDkMi6xHnHko_XkFDO9kkuL6Wqyc-6OCDFjW9I/e"&amp;"dit?usp=sharing"",""ตาก!S698"")+IMPORTRANGE(""https://docs.google.com/spreadsheets/d/1IQAWArduLkta9LpYo4a_ULsyqdta6-6aDDiwpUnQT6c/edit?usp=sharing"",""นครสวรรค์!S698"")+IMPORTRANGE(""https://docs.google.com/spreadsheets/d/10s13Sk5xrltsiR-Zkbmk5DwIaDIKO8Xl"&amp;"bJAfqyT7Gvg/edit?usp=sharing"",""น่าน!S698"")+IMPORTRANGE(""https://docs.google.com/spreadsheets/d/1uu4nAn4Dbi1XREnLKKotUANlKXa7yCgRcgq8HEzQYW8/edit?usp=sharing"",""พะเยา!S698"")+IMPORTRANGE(""https://docs.google.com/spreadsheets/d/1xfJKIQxVOaPDIICqsflNlL"&amp;"u3JacTDk1FP9RH4phX7mI/edit?usp=sharing"",""พิจิตร!S698"")+IMPORTRANGE(""https://docs.google.com/spreadsheets/d/1JtRfZkJMHtEhI5RdRHxYUG4FIZHqKDpNyIuN7A1Q0_k/edit?usp=sharing"",""พิษณุโลก!S698"")+IMPORTRANGE(""https://docs.google.com/spreadsheets/d/1xlcVZWU"&amp;"Nn6SuWm0c307h32SiGkd9BaeQWlAktfD3KO8/edit?usp=sharing"",""เพชรบูรณ์!S698"")+IMPORTRANGE(""https://docs.google.com/spreadsheets/d/1lOVebEIsI9qjGXl6EX66luk7wiuP2tBaryw-wKvv4e0/edit?usp=sharing"",""แพร่!S698"")+IMPORTRANGE(""https://docs.google.com/spreadshe"&amp;"ets/d/1dQrvX0vEcN7Gu0fnZ0B5S90AeR19zth4XlExFBeExMY/edit?usp=sharing"",""แม่ฮ่องสอน!S698"")+IMPORTRANGE(""https://docs.google.com/spreadsheets/d/1DY4XTNNwjluuxqdfdn6qvOSlMRrZqUtmYcZR0ttFiG4/edit?usp=sharing"",""ลำปาง!S698"")+IMPORTRANGE(""https://docs.goog"&amp;"le.com/spreadsheets/d/1ICwG78r0OFT8biBlxnBF8r7she7gNSzOvJ958PWT09c/edit?usp=sharing"",""ลำพูน!S698"")+IMPORTRANGE(""https://docs.google.com/spreadsheets/d/1B0f2xJpZUC6Z0xXnqKlZtEPzsf6L84eP1r1Q15seqRM/edit?usp=sharing"",""สุโขทัย!S698"")+IMPORTRANGE(""http"&amp;"s://docs.google.com/spreadsheets/d/1v0b9pFQCsKUVExMei7AgY2yQkdeNQvtOssygGsXbiKo/edit?usp=sharing"",""อุตรดิตถ์!S698"")+IMPORTRANGE(""https://docs.google.com/spreadsheets/d/1UsNK1e-WWiCo2PvGqdNfdme4m17_Ezd3J69EeeiQPD0/edit?usp=sharing"",""อุทัยธานี!S698"")"),0)</f>
        <v>0</v>
      </c>
      <c r="T698" s="46">
        <f t="shared" ca="1" si="476"/>
        <v>0</v>
      </c>
      <c r="U698" s="46">
        <f t="shared" ca="1" si="477"/>
        <v>0</v>
      </c>
    </row>
    <row r="699" spans="1:21" ht="19.5" x14ac:dyDescent="0.3">
      <c r="A699" s="138"/>
      <c r="B699" s="139"/>
      <c r="C699" s="177" t="s">
        <v>18</v>
      </c>
      <c r="D699" s="140" t="s">
        <v>38</v>
      </c>
      <c r="E699" s="141"/>
      <c r="F699" s="141"/>
      <c r="G699" s="141"/>
      <c r="H699" s="178"/>
      <c r="I699" s="135"/>
      <c r="J699" s="135"/>
      <c r="K699" s="136"/>
      <c r="L699" s="45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66">
        <f ca="1">IFERROR(__xludf.DUMMYFUNCTION("IMPORTRANGE(""https://docs.google.com/spreadsheets/d/1jTcq05yEiRwXcBMLjiodW9e4biSGYWAHcDj22rKWQ3s/edit?usp=sharing"",""กำแพงเพชร!I700"")+IMPORTRANGE(""https://docs.google.com/spreadsheets/d/1KS0zmDSZPk8KnTAbGN-Xk6MtX1YRZD0ldgdt20K4CRk/edit?usp=sharing"","&amp;"""เชียงราย!I700"")+IMPORTRANGE(""https://docs.google.com/spreadsheets/d/1rEDxBtusbi64tE0zunoIbsTVV16HeL0oJ6trHQeQ7K8/edit?usp=sharing"",""เชียงใหม่!I700"")+IMPORTRANGE(""https://docs.google.com/spreadsheets/d/1W6MnUbDkMi6xHnHko_XkFDO9kkuL6Wqyc-6OCDFjW9I/e"&amp;"dit?usp=sharing"",""ตาก!I700"")+IMPORTRANGE(""https://docs.google.com/spreadsheets/d/1IQAWArduLkta9LpYo4a_ULsyqdta6-6aDDiwpUnQT6c/edit?usp=sharing"",""นครสวรรค์!I700"")+IMPORTRANGE(""https://docs.google.com/spreadsheets/d/10s13Sk5xrltsiR-Zkbmk5DwIaDIKO8Xl"&amp;"bJAfqyT7Gvg/edit?usp=sharing"",""น่าน!I700"")+IMPORTRANGE(""https://docs.google.com/spreadsheets/d/1uu4nAn4Dbi1XREnLKKotUANlKXa7yCgRcgq8HEzQYW8/edit?usp=sharing"",""พะเยา!I700"")+IMPORTRANGE(""https://docs.google.com/spreadsheets/d/1xfJKIQxVOaPDIICqsflNlL"&amp;"u3JacTDk1FP9RH4phX7mI/edit?usp=sharing"",""พิจิตร!I700"")+IMPORTRANGE(""https://docs.google.com/spreadsheets/d/1JtRfZkJMHtEhI5RdRHxYUG4FIZHqKDpNyIuN7A1Q0_k/edit?usp=sharing"",""พิษณุโลก!I700"")+IMPORTRANGE(""https://docs.google.com/spreadsheets/d/1xlcVZWU"&amp;"Nn6SuWm0c307h32SiGkd9BaeQWlAktfD3KO8/edit?usp=sharing"",""เพชรบูรณ์!I700"")+IMPORTRANGE(""https://docs.google.com/spreadsheets/d/1lOVebEIsI9qjGXl6EX66luk7wiuP2tBaryw-wKvv4e0/edit?usp=sharing"",""แพร่!I700"")+IMPORTRANGE(""https://docs.google.com/spreadshe"&amp;"ets/d/1dQrvX0vEcN7Gu0fnZ0B5S90AeR19zth4XlExFBeExMY/edit?usp=sharing"",""แม่ฮ่องสอน!I700"")+IMPORTRANGE(""https://docs.google.com/spreadsheets/d/1DY4XTNNwjluuxqdfdn6qvOSlMRrZqUtmYcZR0ttFiG4/edit?usp=sharing"",""ลำปาง!I700"")+IMPORTRANGE(""https://docs.goog"&amp;"le.com/spreadsheets/d/1ICwG78r0OFT8biBlxnBF8r7she7gNSzOvJ958PWT09c/edit?usp=sharing"",""ลำพูน!I700"")+IMPORTRANGE(""https://docs.google.com/spreadsheets/d/1B0f2xJpZUC6Z0xXnqKlZtEPzsf6L84eP1r1Q15seqRM/edit?usp=sharing"",""สุโขทัย!I700"")+IMPORTRANGE(""http"&amp;"s://docs.google.com/spreadsheets/d/1v0b9pFQCsKUVExMei7AgY2yQkdeNQvtOssygGsXbiKo/edit?usp=sharing"",""อุตรดิตถ์!I700"")+IMPORTRANGE(""https://docs.google.com/spreadsheets/d/1UsNK1e-WWiCo2PvGqdNfdme4m17_Ezd3J69EeeiQPD0/edit?usp=sharing"",""อุทัยธานี!I700"")"),13)</f>
        <v>13</v>
      </c>
      <c r="J700" s="167">
        <f ca="1">IFERROR(__xludf.DUMMYFUNCTION("IMPORTRANGE(""https://docs.google.com/spreadsheets/d/1jTcq05yEiRwXcBMLjiodW9e4biSGYWAHcDj22rKWQ3s/edit?usp=sharing"",""กำแพงเพชร!J700"")+IMPORTRANGE(""https://docs.google.com/spreadsheets/d/1KS0zmDSZPk8KnTAbGN-Xk6MtX1YRZD0ldgdt20K4CRk/edit?usp=sharing"","&amp;"""เชียงราย!J700"")+IMPORTRANGE(""https://docs.google.com/spreadsheets/d/1rEDxBtusbi64tE0zunoIbsTVV16HeL0oJ6trHQeQ7K8/edit?usp=sharing"",""เชียงใหม่!J700"")+IMPORTRANGE(""https://docs.google.com/spreadsheets/d/1W6MnUbDkMi6xHnHko_XkFDO9kkuL6Wqyc-6OCDFjW9I/e"&amp;"dit?usp=sharing"",""ตาก!J700"")+IMPORTRANGE(""https://docs.google.com/spreadsheets/d/1IQAWArduLkta9LpYo4a_ULsyqdta6-6aDDiwpUnQT6c/edit?usp=sharing"",""นครสวรรค์!J700"")+IMPORTRANGE(""https://docs.google.com/spreadsheets/d/10s13Sk5xrltsiR-Zkbmk5DwIaDIKO8Xl"&amp;"bJAfqyT7Gvg/edit?usp=sharing"",""น่าน!J700"")+IMPORTRANGE(""https://docs.google.com/spreadsheets/d/1uu4nAn4Dbi1XREnLKKotUANlKXa7yCgRcgq8HEzQYW8/edit?usp=sharing"",""พะเยา!J700"")+IMPORTRANGE(""https://docs.google.com/spreadsheets/d/1xfJKIQxVOaPDIICqsflNlL"&amp;"u3JacTDk1FP9RH4phX7mI/edit?usp=sharing"",""พิจิตร!J700"")+IMPORTRANGE(""https://docs.google.com/spreadsheets/d/1JtRfZkJMHtEhI5RdRHxYUG4FIZHqKDpNyIuN7A1Q0_k/edit?usp=sharing"",""พิษณุโลก!J700"")+IMPORTRANGE(""https://docs.google.com/spreadsheets/d/1xlcVZWU"&amp;"Nn6SuWm0c307h32SiGkd9BaeQWlAktfD3KO8/edit?usp=sharing"",""เพชรบูรณ์!J700"")+IMPORTRANGE(""https://docs.google.com/spreadsheets/d/1lOVebEIsI9qjGXl6EX66luk7wiuP2tBaryw-wKvv4e0/edit?usp=sharing"",""แพร่!J700"")+IMPORTRANGE(""https://docs.google.com/spreadshe"&amp;"ets/d/1dQrvX0vEcN7Gu0fnZ0B5S90AeR19zth4XlExFBeExMY/edit?usp=sharing"",""แม่ฮ่องสอน!J700"")+IMPORTRANGE(""https://docs.google.com/spreadsheets/d/1DY4XTNNwjluuxqdfdn6qvOSlMRrZqUtmYcZR0ttFiG4/edit?usp=sharing"",""ลำปาง!J700"")+IMPORTRANGE(""https://docs.goog"&amp;"le.com/spreadsheets/d/1ICwG78r0OFT8biBlxnBF8r7she7gNSzOvJ958PWT09c/edit?usp=sharing"",""ลำพูน!J700"")+IMPORTRANGE(""https://docs.google.com/spreadsheets/d/1B0f2xJpZUC6Z0xXnqKlZtEPzsf6L84eP1r1Q15seqRM/edit?usp=sharing"",""สุโขทัย!J700"")+IMPORTRANGE(""http"&amp;"s://docs.google.com/spreadsheets/d/1v0b9pFQCsKUVExMei7AgY2yQkdeNQvtOssygGsXbiKo/edit?usp=sharing"",""อุตรดิตถ์!J700"")+IMPORTRANGE(""https://docs.google.com/spreadsheets/d/1UsNK1e-WWiCo2PvGqdNfdme4m17_Ezd3J69EeeiQPD0/edit?usp=sharing"",""อุทัยธานี!J700"")"),0)</f>
        <v>0</v>
      </c>
      <c r="K700" s="152">
        <f t="shared" ref="K700:K710" ca="1" si="486">IF(I700&gt;0,J700*100/I700,0)</f>
        <v>0</v>
      </c>
      <c r="L700" s="136"/>
      <c r="M700" s="136"/>
      <c r="N700" s="45"/>
      <c r="O700" s="136"/>
      <c r="P700" s="136"/>
      <c r="Q700" s="136"/>
      <c r="R700" s="136"/>
      <c r="S700" s="136"/>
      <c r="T700" s="136"/>
      <c r="U700" s="136"/>
    </row>
    <row r="701" spans="1:21" ht="19.5" x14ac:dyDescent="0.3">
      <c r="A701" s="208"/>
      <c r="B701" s="158"/>
      <c r="C701" s="158"/>
      <c r="D701" s="145"/>
      <c r="E701" s="424" t="s">
        <v>258</v>
      </c>
      <c r="F701" s="145"/>
      <c r="G701" s="143"/>
      <c r="H701" s="131" t="s">
        <v>35</v>
      </c>
      <c r="I701" s="147">
        <f t="shared" ref="I701:J701" ca="1" si="487">I703+I705</f>
        <v>1517</v>
      </c>
      <c r="J701" s="147">
        <f t="shared" ca="1" si="487"/>
        <v>308</v>
      </c>
      <c r="K701" s="132">
        <f t="shared" ca="1" si="486"/>
        <v>20.303230059327621</v>
      </c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147">
        <f ca="1">J704+J706</f>
        <v>276.14999999999998</v>
      </c>
      <c r="K702" s="132">
        <f t="shared" si="486"/>
        <v>0</v>
      </c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66">
        <f ca="1">IFERROR(__xludf.DUMMYFUNCTION("IMPORTRANGE(""https://docs.google.com/spreadsheets/d/1jTcq05yEiRwXcBMLjiodW9e4biSGYWAHcDj22rKWQ3s/edit?usp=sharing"",""กำแพงเพชร!I703"")+IMPORTRANGE(""https://docs.google.com/spreadsheets/d/1KS0zmDSZPk8KnTAbGN-Xk6MtX1YRZD0ldgdt20K4CRk/edit?usp=sharing"","&amp;"""เชียงราย!I703"")+IMPORTRANGE(""https://docs.google.com/spreadsheets/d/1rEDxBtusbi64tE0zunoIbsTVV16HeL0oJ6trHQeQ7K8/edit?usp=sharing"",""เชียงใหม่!I703"")+IMPORTRANGE(""https://docs.google.com/spreadsheets/d/1W6MnUbDkMi6xHnHko_XkFDO9kkuL6Wqyc-6OCDFjW9I/e"&amp;"dit?usp=sharing"",""ตาก!I703"")+IMPORTRANGE(""https://docs.google.com/spreadsheets/d/1IQAWArduLkta9LpYo4a_ULsyqdta6-6aDDiwpUnQT6c/edit?usp=sharing"",""นครสวรรค์!I703"")+IMPORTRANGE(""https://docs.google.com/spreadsheets/d/10s13Sk5xrltsiR-Zkbmk5DwIaDIKO8Xl"&amp;"bJAfqyT7Gvg/edit?usp=sharing"",""น่าน!I703"")+IMPORTRANGE(""https://docs.google.com/spreadsheets/d/1uu4nAn4Dbi1XREnLKKotUANlKXa7yCgRcgq8HEzQYW8/edit?usp=sharing"",""พะเยา!I703"")+IMPORTRANGE(""https://docs.google.com/spreadsheets/d/1xfJKIQxVOaPDIICqsflNlL"&amp;"u3JacTDk1FP9RH4phX7mI/edit?usp=sharing"",""พิจิตร!I703"")+IMPORTRANGE(""https://docs.google.com/spreadsheets/d/1JtRfZkJMHtEhI5RdRHxYUG4FIZHqKDpNyIuN7A1Q0_k/edit?usp=sharing"",""พิษณุโลก!I703"")+IMPORTRANGE(""https://docs.google.com/spreadsheets/d/1xlcVZWU"&amp;"Nn6SuWm0c307h32SiGkd9BaeQWlAktfD3KO8/edit?usp=sharing"",""เพชรบูรณ์!I703"")+IMPORTRANGE(""https://docs.google.com/spreadsheets/d/1lOVebEIsI9qjGXl6EX66luk7wiuP2tBaryw-wKvv4e0/edit?usp=sharing"",""แพร่!I703"")+IMPORTRANGE(""https://docs.google.com/spreadshe"&amp;"ets/d/1dQrvX0vEcN7Gu0fnZ0B5S90AeR19zth4XlExFBeExMY/edit?usp=sharing"",""แม่ฮ่องสอน!I703"")+IMPORTRANGE(""https://docs.google.com/spreadsheets/d/1DY4XTNNwjluuxqdfdn6qvOSlMRrZqUtmYcZR0ttFiG4/edit?usp=sharing"",""ลำปาง!I703"")+IMPORTRANGE(""https://docs.goog"&amp;"le.com/spreadsheets/d/1ICwG78r0OFT8biBlxnBF8r7she7gNSzOvJ958PWT09c/edit?usp=sharing"",""ลำพูน!I703"")+IMPORTRANGE(""https://docs.google.com/spreadsheets/d/1B0f2xJpZUC6Z0xXnqKlZtEPzsf6L84eP1r1Q15seqRM/edit?usp=sharing"",""สุโขทัย!I703"")+IMPORTRANGE(""http"&amp;"s://docs.google.com/spreadsheets/d/1v0b9pFQCsKUVExMei7AgY2yQkdeNQvtOssygGsXbiKo/edit?usp=sharing"",""อุตรดิตถ์!I703"")+IMPORTRANGE(""https://docs.google.com/spreadsheets/d/1UsNK1e-WWiCo2PvGqdNfdme4m17_Ezd3J69EeeiQPD0/edit?usp=sharing"",""อุทัยธานี!I703"")"),1455)</f>
        <v>1455</v>
      </c>
      <c r="J703" s="166">
        <f ca="1">IFERROR(__xludf.DUMMYFUNCTION("IMPORTRANGE(""https://docs.google.com/spreadsheets/d/1jTcq05yEiRwXcBMLjiodW9e4biSGYWAHcDj22rKWQ3s/edit?usp=sharing"",""กำแพงเพชร!J703"")+IMPORTRANGE(""https://docs.google.com/spreadsheets/d/1KS0zmDSZPk8KnTAbGN-Xk6MtX1YRZD0ldgdt20K4CRk/edit?usp=sharing"","&amp;"""เชียงราย!J703"")+IMPORTRANGE(""https://docs.google.com/spreadsheets/d/1rEDxBtusbi64tE0zunoIbsTVV16HeL0oJ6trHQeQ7K8/edit?usp=sharing"",""เชียงใหม่!J703"")+IMPORTRANGE(""https://docs.google.com/spreadsheets/d/1W6MnUbDkMi6xHnHko_XkFDO9kkuL6Wqyc-6OCDFjW9I/e"&amp;"dit?usp=sharing"",""ตาก!J703"")+IMPORTRANGE(""https://docs.google.com/spreadsheets/d/1IQAWArduLkta9LpYo4a_ULsyqdta6-6aDDiwpUnQT6c/edit?usp=sharing"",""นครสวรรค์!J703"")+IMPORTRANGE(""https://docs.google.com/spreadsheets/d/10s13Sk5xrltsiR-Zkbmk5DwIaDIKO8Xl"&amp;"bJAfqyT7Gvg/edit?usp=sharing"",""น่าน!J703"")+IMPORTRANGE(""https://docs.google.com/spreadsheets/d/1uu4nAn4Dbi1XREnLKKotUANlKXa7yCgRcgq8HEzQYW8/edit?usp=sharing"",""พะเยา!J703"")+IMPORTRANGE(""https://docs.google.com/spreadsheets/d/1xfJKIQxVOaPDIICqsflNlL"&amp;"u3JacTDk1FP9RH4phX7mI/edit?usp=sharing"",""พิจิตร!J703"")+IMPORTRANGE(""https://docs.google.com/spreadsheets/d/1JtRfZkJMHtEhI5RdRHxYUG4FIZHqKDpNyIuN7A1Q0_k/edit?usp=sharing"",""พิษณุโลก!J703"")+IMPORTRANGE(""https://docs.google.com/spreadsheets/d/1xlcVZWU"&amp;"Nn6SuWm0c307h32SiGkd9BaeQWlAktfD3KO8/edit?usp=sharing"",""เพชรบูรณ์!J703"")+IMPORTRANGE(""https://docs.google.com/spreadsheets/d/1lOVebEIsI9qjGXl6EX66luk7wiuP2tBaryw-wKvv4e0/edit?usp=sharing"",""แพร่!J703"")+IMPORTRANGE(""https://docs.google.com/spreadshe"&amp;"ets/d/1dQrvX0vEcN7Gu0fnZ0B5S90AeR19zth4XlExFBeExMY/edit?usp=sharing"",""แม่ฮ่องสอน!J703"")+IMPORTRANGE(""https://docs.google.com/spreadsheets/d/1DY4XTNNwjluuxqdfdn6qvOSlMRrZqUtmYcZR0ttFiG4/edit?usp=sharing"",""ลำปาง!J703"")+IMPORTRANGE(""https://docs.goog"&amp;"le.com/spreadsheets/d/1ICwG78r0OFT8biBlxnBF8r7she7gNSzOvJ958PWT09c/edit?usp=sharing"",""ลำพูน!J703"")+IMPORTRANGE(""https://docs.google.com/spreadsheets/d/1B0f2xJpZUC6Z0xXnqKlZtEPzsf6L84eP1r1Q15seqRM/edit?usp=sharing"",""สุโขทัย!J703"")+IMPORTRANGE(""http"&amp;"s://docs.google.com/spreadsheets/d/1v0b9pFQCsKUVExMei7AgY2yQkdeNQvtOssygGsXbiKo/edit?usp=sharing"",""อุตรดิตถ์!J703"")+IMPORTRANGE(""https://docs.google.com/spreadsheets/d/1UsNK1e-WWiCo2PvGqdNfdme4m17_Ezd3J69EeeiQPD0/edit?usp=sharing"",""อุทัยธานี!J703"")"),308)</f>
        <v>308</v>
      </c>
      <c r="K703" s="46">
        <f t="shared" ca="1" si="486"/>
        <v>21.168384879725085</v>
      </c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66">
        <f ca="1">IFERROR(__xludf.DUMMYFUNCTION("IMPORTRANGE(""https://docs.google.com/spreadsheets/d/1jTcq05yEiRwXcBMLjiodW9e4biSGYWAHcDj22rKWQ3s/edit?usp=sharing"",""กำแพงเพชร!J704"")+IMPORTRANGE(""https://docs.google.com/spreadsheets/d/1KS0zmDSZPk8KnTAbGN-Xk6MtX1YRZD0ldgdt20K4CRk/edit?usp=sharing"","&amp;"""เชียงราย!J704"")+IMPORTRANGE(""https://docs.google.com/spreadsheets/d/1rEDxBtusbi64tE0zunoIbsTVV16HeL0oJ6trHQeQ7K8/edit?usp=sharing"",""เชียงใหม่!J704"")+IMPORTRANGE(""https://docs.google.com/spreadsheets/d/1W6MnUbDkMi6xHnHko_XkFDO9kkuL6Wqyc-6OCDFjW9I/e"&amp;"dit?usp=sharing"",""ตาก!J704"")+IMPORTRANGE(""https://docs.google.com/spreadsheets/d/1IQAWArduLkta9LpYo4a_ULsyqdta6-6aDDiwpUnQT6c/edit?usp=sharing"",""นครสวรรค์!J704"")+IMPORTRANGE(""https://docs.google.com/spreadsheets/d/10s13Sk5xrltsiR-Zkbmk5DwIaDIKO8Xl"&amp;"bJAfqyT7Gvg/edit?usp=sharing"",""น่าน!J704"")+IMPORTRANGE(""https://docs.google.com/spreadsheets/d/1uu4nAn4Dbi1XREnLKKotUANlKXa7yCgRcgq8HEzQYW8/edit?usp=sharing"",""พะเยา!J704"")+IMPORTRANGE(""https://docs.google.com/spreadsheets/d/1xfJKIQxVOaPDIICqsflNlL"&amp;"u3JacTDk1FP9RH4phX7mI/edit?usp=sharing"",""พิจิตร!J704"")+IMPORTRANGE(""https://docs.google.com/spreadsheets/d/1JtRfZkJMHtEhI5RdRHxYUG4FIZHqKDpNyIuN7A1Q0_k/edit?usp=sharing"",""พิษณุโลก!J704"")+IMPORTRANGE(""https://docs.google.com/spreadsheets/d/1xlcVZWU"&amp;"Nn6SuWm0c307h32SiGkd9BaeQWlAktfD3KO8/edit?usp=sharing"",""เพชรบูรณ์!J704"")+IMPORTRANGE(""https://docs.google.com/spreadsheets/d/1lOVebEIsI9qjGXl6EX66luk7wiuP2tBaryw-wKvv4e0/edit?usp=sharing"",""แพร่!J704"")+IMPORTRANGE(""https://docs.google.com/spreadshe"&amp;"ets/d/1dQrvX0vEcN7Gu0fnZ0B5S90AeR19zth4XlExFBeExMY/edit?usp=sharing"",""แม่ฮ่องสอน!J704"")+IMPORTRANGE(""https://docs.google.com/spreadsheets/d/1DY4XTNNwjluuxqdfdn6qvOSlMRrZqUtmYcZR0ttFiG4/edit?usp=sharing"",""ลำปาง!J704"")+IMPORTRANGE(""https://docs.goog"&amp;"le.com/spreadsheets/d/1ICwG78r0OFT8biBlxnBF8r7she7gNSzOvJ958PWT09c/edit?usp=sharing"",""ลำพูน!J704"")+IMPORTRANGE(""https://docs.google.com/spreadsheets/d/1B0f2xJpZUC6Z0xXnqKlZtEPzsf6L84eP1r1Q15seqRM/edit?usp=sharing"",""สุโขทัย!J704"")+IMPORTRANGE(""http"&amp;"s://docs.google.com/spreadsheets/d/1v0b9pFQCsKUVExMei7AgY2yQkdeNQvtOssygGsXbiKo/edit?usp=sharing"",""อุตรดิตถ์!J704"")+IMPORTRANGE(""https://docs.google.com/spreadsheets/d/1UsNK1e-WWiCo2PvGqdNfdme4m17_Ezd3J69EeeiQPD0/edit?usp=sharing"",""อุทัยธานี!J704"")"),276.15)</f>
        <v>276.14999999999998</v>
      </c>
      <c r="K704" s="46">
        <f t="shared" si="486"/>
        <v>0</v>
      </c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66">
        <f ca="1">IFERROR(__xludf.DUMMYFUNCTION("IMPORTRANGE(""https://docs.google.com/spreadsheets/d/1jTcq05yEiRwXcBMLjiodW9e4biSGYWAHcDj22rKWQ3s/edit?usp=sharing"",""กำแพงเพชร!I705"")+IMPORTRANGE(""https://docs.google.com/spreadsheets/d/1KS0zmDSZPk8KnTAbGN-Xk6MtX1YRZD0ldgdt20K4CRk/edit?usp=sharing"","&amp;"""เชียงราย!I705"")+IMPORTRANGE(""https://docs.google.com/spreadsheets/d/1rEDxBtusbi64tE0zunoIbsTVV16HeL0oJ6trHQeQ7K8/edit?usp=sharing"",""เชียงใหม่!I705"")+IMPORTRANGE(""https://docs.google.com/spreadsheets/d/1W6MnUbDkMi6xHnHko_XkFDO9kkuL6Wqyc-6OCDFjW9I/e"&amp;"dit?usp=sharing"",""ตาก!I705"")+IMPORTRANGE(""https://docs.google.com/spreadsheets/d/1IQAWArduLkta9LpYo4a_ULsyqdta6-6aDDiwpUnQT6c/edit?usp=sharing"",""นครสวรรค์!I705"")+IMPORTRANGE(""https://docs.google.com/spreadsheets/d/10s13Sk5xrltsiR-Zkbmk5DwIaDIKO8Xl"&amp;"bJAfqyT7Gvg/edit?usp=sharing"",""น่าน!I705"")+IMPORTRANGE(""https://docs.google.com/spreadsheets/d/1uu4nAn4Dbi1XREnLKKotUANlKXa7yCgRcgq8HEzQYW8/edit?usp=sharing"",""พะเยา!I705"")+IMPORTRANGE(""https://docs.google.com/spreadsheets/d/1xfJKIQxVOaPDIICqsflNlL"&amp;"u3JacTDk1FP9RH4phX7mI/edit?usp=sharing"",""พิจิตร!I705"")+IMPORTRANGE(""https://docs.google.com/spreadsheets/d/1JtRfZkJMHtEhI5RdRHxYUG4FIZHqKDpNyIuN7A1Q0_k/edit?usp=sharing"",""พิษณุโลก!I705"")+IMPORTRANGE(""https://docs.google.com/spreadsheets/d/1xlcVZWU"&amp;"Nn6SuWm0c307h32SiGkd9BaeQWlAktfD3KO8/edit?usp=sharing"",""เพชรบูรณ์!I705"")+IMPORTRANGE(""https://docs.google.com/spreadsheets/d/1lOVebEIsI9qjGXl6EX66luk7wiuP2tBaryw-wKvv4e0/edit?usp=sharing"",""แพร่!I705"")+IMPORTRANGE(""https://docs.google.com/spreadshe"&amp;"ets/d/1dQrvX0vEcN7Gu0fnZ0B5S90AeR19zth4XlExFBeExMY/edit?usp=sharing"",""แม่ฮ่องสอน!I705"")+IMPORTRANGE(""https://docs.google.com/spreadsheets/d/1DY4XTNNwjluuxqdfdn6qvOSlMRrZqUtmYcZR0ttFiG4/edit?usp=sharing"",""ลำปาง!I705"")+IMPORTRANGE(""https://docs.goog"&amp;"le.com/spreadsheets/d/1ICwG78r0OFT8biBlxnBF8r7she7gNSzOvJ958PWT09c/edit?usp=sharing"",""ลำพูน!I705"")+IMPORTRANGE(""https://docs.google.com/spreadsheets/d/1B0f2xJpZUC6Z0xXnqKlZtEPzsf6L84eP1r1Q15seqRM/edit?usp=sharing"",""สุโขทัย!I705"")+IMPORTRANGE(""http"&amp;"s://docs.google.com/spreadsheets/d/1v0b9pFQCsKUVExMei7AgY2yQkdeNQvtOssygGsXbiKo/edit?usp=sharing"",""อุตรดิตถ์!I705"")+IMPORTRANGE(""https://docs.google.com/spreadsheets/d/1UsNK1e-WWiCo2PvGqdNfdme4m17_Ezd3J69EeeiQPD0/edit?usp=sharing"",""อุทัยธานี!I705"")"),62)</f>
        <v>62</v>
      </c>
      <c r="J705" s="166">
        <f ca="1">IFERROR(__xludf.DUMMYFUNCTION("IMPORTRANGE(""https://docs.google.com/spreadsheets/d/1jTcq05yEiRwXcBMLjiodW9e4biSGYWAHcDj22rKWQ3s/edit?usp=sharing"",""กำแพงเพชร!J705"")+IMPORTRANGE(""https://docs.google.com/spreadsheets/d/1KS0zmDSZPk8KnTAbGN-Xk6MtX1YRZD0ldgdt20K4CRk/edit?usp=sharing"","&amp;"""เชียงราย!J705"")+IMPORTRANGE(""https://docs.google.com/spreadsheets/d/1rEDxBtusbi64tE0zunoIbsTVV16HeL0oJ6trHQeQ7K8/edit?usp=sharing"",""เชียงใหม่!J705"")+IMPORTRANGE(""https://docs.google.com/spreadsheets/d/1W6MnUbDkMi6xHnHko_XkFDO9kkuL6Wqyc-6OCDFjW9I/e"&amp;"dit?usp=sharing"",""ตาก!J705"")+IMPORTRANGE(""https://docs.google.com/spreadsheets/d/1IQAWArduLkta9LpYo4a_ULsyqdta6-6aDDiwpUnQT6c/edit?usp=sharing"",""นครสวรรค์!J705"")+IMPORTRANGE(""https://docs.google.com/spreadsheets/d/10s13Sk5xrltsiR-Zkbmk5DwIaDIKO8Xl"&amp;"bJAfqyT7Gvg/edit?usp=sharing"",""น่าน!J705"")+IMPORTRANGE(""https://docs.google.com/spreadsheets/d/1uu4nAn4Dbi1XREnLKKotUANlKXa7yCgRcgq8HEzQYW8/edit?usp=sharing"",""พะเยา!J705"")+IMPORTRANGE(""https://docs.google.com/spreadsheets/d/1xfJKIQxVOaPDIICqsflNlL"&amp;"u3JacTDk1FP9RH4phX7mI/edit?usp=sharing"",""พิจิตร!J705"")+IMPORTRANGE(""https://docs.google.com/spreadsheets/d/1JtRfZkJMHtEhI5RdRHxYUG4FIZHqKDpNyIuN7A1Q0_k/edit?usp=sharing"",""พิษณุโลก!J705"")+IMPORTRANGE(""https://docs.google.com/spreadsheets/d/1xlcVZWU"&amp;"Nn6SuWm0c307h32SiGkd9BaeQWlAktfD3KO8/edit?usp=sharing"",""เพชรบูรณ์!J705"")+IMPORTRANGE(""https://docs.google.com/spreadsheets/d/1lOVebEIsI9qjGXl6EX66luk7wiuP2tBaryw-wKvv4e0/edit?usp=sharing"",""แพร่!J705"")+IMPORTRANGE(""https://docs.google.com/spreadshe"&amp;"ets/d/1dQrvX0vEcN7Gu0fnZ0B5S90AeR19zth4XlExFBeExMY/edit?usp=sharing"",""แม่ฮ่องสอน!J705"")+IMPORTRANGE(""https://docs.google.com/spreadsheets/d/1DY4XTNNwjluuxqdfdn6qvOSlMRrZqUtmYcZR0ttFiG4/edit?usp=sharing"",""ลำปาง!J705"")+IMPORTRANGE(""https://docs.goog"&amp;"le.com/spreadsheets/d/1ICwG78r0OFT8biBlxnBF8r7she7gNSzOvJ958PWT09c/edit?usp=sharing"",""ลำพูน!J705"")+IMPORTRANGE(""https://docs.google.com/spreadsheets/d/1B0f2xJpZUC6Z0xXnqKlZtEPzsf6L84eP1r1Q15seqRM/edit?usp=sharing"",""สุโขทัย!J705"")+IMPORTRANGE(""http"&amp;"s://docs.google.com/spreadsheets/d/1v0b9pFQCsKUVExMei7AgY2yQkdeNQvtOssygGsXbiKo/edit?usp=sharing"",""อุตรดิตถ์!J705"")+IMPORTRANGE(""https://docs.google.com/spreadsheets/d/1UsNK1e-WWiCo2PvGqdNfdme4m17_Ezd3J69EeeiQPD0/edit?usp=sharing"",""อุทัยธานี!J705"")"),0)</f>
        <v>0</v>
      </c>
      <c r="K705" s="152">
        <f t="shared" ca="1" si="486"/>
        <v>0</v>
      </c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66">
        <f ca="1">IFERROR(__xludf.DUMMYFUNCTION("IMPORTRANGE(""https://docs.google.com/spreadsheets/d/1jTcq05yEiRwXcBMLjiodW9e4biSGYWAHcDj22rKWQ3s/edit?usp=sharing"",""กำแพงเพชร!J706"")+IMPORTRANGE(""https://docs.google.com/spreadsheets/d/1KS0zmDSZPk8KnTAbGN-Xk6MtX1YRZD0ldgdt20K4CRk/edit?usp=sharing"","&amp;"""เชียงราย!J706"")+IMPORTRANGE(""https://docs.google.com/spreadsheets/d/1rEDxBtusbi64tE0zunoIbsTVV16HeL0oJ6trHQeQ7K8/edit?usp=sharing"",""เชียงใหม่!J706"")+IMPORTRANGE(""https://docs.google.com/spreadsheets/d/1W6MnUbDkMi6xHnHko_XkFDO9kkuL6Wqyc-6OCDFjW9I/e"&amp;"dit?usp=sharing"",""ตาก!J706"")+IMPORTRANGE(""https://docs.google.com/spreadsheets/d/1IQAWArduLkta9LpYo4a_ULsyqdta6-6aDDiwpUnQT6c/edit?usp=sharing"",""นครสวรรค์!J706"")+IMPORTRANGE(""https://docs.google.com/spreadsheets/d/10s13Sk5xrltsiR-Zkbmk5DwIaDIKO8Xl"&amp;"bJAfqyT7Gvg/edit?usp=sharing"",""น่าน!J706"")+IMPORTRANGE(""https://docs.google.com/spreadsheets/d/1uu4nAn4Dbi1XREnLKKotUANlKXa7yCgRcgq8HEzQYW8/edit?usp=sharing"",""พะเยา!J706"")+IMPORTRANGE(""https://docs.google.com/spreadsheets/d/1xfJKIQxVOaPDIICqsflNlL"&amp;"u3JacTDk1FP9RH4phX7mI/edit?usp=sharing"",""พิจิตร!J706"")+IMPORTRANGE(""https://docs.google.com/spreadsheets/d/1JtRfZkJMHtEhI5RdRHxYUG4FIZHqKDpNyIuN7A1Q0_k/edit?usp=sharing"",""พิษณุโลก!J706"")+IMPORTRANGE(""https://docs.google.com/spreadsheets/d/1xlcVZWU"&amp;"Nn6SuWm0c307h32SiGkd9BaeQWlAktfD3KO8/edit?usp=sharing"",""เพชรบูรณ์!J706"")+IMPORTRANGE(""https://docs.google.com/spreadsheets/d/1lOVebEIsI9qjGXl6EX66luk7wiuP2tBaryw-wKvv4e0/edit?usp=sharing"",""แพร่!J706"")+IMPORTRANGE(""https://docs.google.com/spreadshe"&amp;"ets/d/1dQrvX0vEcN7Gu0fnZ0B5S90AeR19zth4XlExFBeExMY/edit?usp=sharing"",""แม่ฮ่องสอน!J706"")+IMPORTRANGE(""https://docs.google.com/spreadsheets/d/1DY4XTNNwjluuxqdfdn6qvOSlMRrZqUtmYcZR0ttFiG4/edit?usp=sharing"",""ลำปาง!J706"")+IMPORTRANGE(""https://docs.goog"&amp;"le.com/spreadsheets/d/1ICwG78r0OFT8biBlxnBF8r7she7gNSzOvJ958PWT09c/edit?usp=sharing"",""ลำพูน!J706"")+IMPORTRANGE(""https://docs.google.com/spreadsheets/d/1B0f2xJpZUC6Z0xXnqKlZtEPzsf6L84eP1r1Q15seqRM/edit?usp=sharing"",""สุโขทัย!J706"")+IMPORTRANGE(""http"&amp;"s://docs.google.com/spreadsheets/d/1v0b9pFQCsKUVExMei7AgY2yQkdeNQvtOssygGsXbiKo/edit?usp=sharing"",""อุตรดิตถ์!J706"")+IMPORTRANGE(""https://docs.google.com/spreadsheets/d/1UsNK1e-WWiCo2PvGqdNfdme4m17_Ezd3J69EeeiQPD0/edit?usp=sharing"",""อุทัยธานี!J706"")"),0)</f>
        <v>0</v>
      </c>
      <c r="K706" s="46">
        <f t="shared" si="486"/>
        <v>0</v>
      </c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66">
        <f ca="1">IFERROR(__xludf.DUMMYFUNCTION("IMPORTRANGE(""https://docs.google.com/spreadsheets/d/1jTcq05yEiRwXcBMLjiodW9e4biSGYWAHcDj22rKWQ3s/edit?usp=sharing"",""กำแพงเพชร!I707"")+IMPORTRANGE(""https://docs.google.com/spreadsheets/d/1KS0zmDSZPk8KnTAbGN-Xk6MtX1YRZD0ldgdt20K4CRk/edit?usp=sharing"","&amp;"""เชียงราย!I707"")+IMPORTRANGE(""https://docs.google.com/spreadsheets/d/1rEDxBtusbi64tE0zunoIbsTVV16HeL0oJ6trHQeQ7K8/edit?usp=sharing"",""เชียงใหม่!I707"")+IMPORTRANGE(""https://docs.google.com/spreadsheets/d/1W6MnUbDkMi6xHnHko_XkFDO9kkuL6Wqyc-6OCDFjW9I/e"&amp;"dit?usp=sharing"",""ตาก!I707"")+IMPORTRANGE(""https://docs.google.com/spreadsheets/d/1IQAWArduLkta9LpYo4a_ULsyqdta6-6aDDiwpUnQT6c/edit?usp=sharing"",""นครสวรรค์!I707"")+IMPORTRANGE(""https://docs.google.com/spreadsheets/d/10s13Sk5xrltsiR-Zkbmk5DwIaDIKO8Xl"&amp;"bJAfqyT7Gvg/edit?usp=sharing"",""น่าน!I707"")+IMPORTRANGE(""https://docs.google.com/spreadsheets/d/1uu4nAn4Dbi1XREnLKKotUANlKXa7yCgRcgq8HEzQYW8/edit?usp=sharing"",""พะเยา!I707"")+IMPORTRANGE(""https://docs.google.com/spreadsheets/d/1xfJKIQxVOaPDIICqsflNlL"&amp;"u3JacTDk1FP9RH4phX7mI/edit?usp=sharing"",""พิจิตร!I707"")+IMPORTRANGE(""https://docs.google.com/spreadsheets/d/1JtRfZkJMHtEhI5RdRHxYUG4FIZHqKDpNyIuN7A1Q0_k/edit?usp=sharing"",""พิษณุโลก!I707"")+IMPORTRANGE(""https://docs.google.com/spreadsheets/d/1xlcVZWU"&amp;"Nn6SuWm0c307h32SiGkd9BaeQWlAktfD3KO8/edit?usp=sharing"",""เพชรบูรณ์!I707"")+IMPORTRANGE(""https://docs.google.com/spreadsheets/d/1lOVebEIsI9qjGXl6EX66luk7wiuP2tBaryw-wKvv4e0/edit?usp=sharing"",""แพร่!I707"")+IMPORTRANGE(""https://docs.google.com/spreadshe"&amp;"ets/d/1dQrvX0vEcN7Gu0fnZ0B5S90AeR19zth4XlExFBeExMY/edit?usp=sharing"",""แม่ฮ่องสอน!I707"")+IMPORTRANGE(""https://docs.google.com/spreadsheets/d/1DY4XTNNwjluuxqdfdn6qvOSlMRrZqUtmYcZR0ttFiG4/edit?usp=sharing"",""ลำปาง!I707"")+IMPORTRANGE(""https://docs.goog"&amp;"le.com/spreadsheets/d/1ICwG78r0OFT8biBlxnBF8r7she7gNSzOvJ958PWT09c/edit?usp=sharing"",""ลำพูน!I707"")+IMPORTRANGE(""https://docs.google.com/spreadsheets/d/1B0f2xJpZUC6Z0xXnqKlZtEPzsf6L84eP1r1Q15seqRM/edit?usp=sharing"",""สุโขทัย!I707"")+IMPORTRANGE(""http"&amp;"s://docs.google.com/spreadsheets/d/1v0b9pFQCsKUVExMei7AgY2yQkdeNQvtOssygGsXbiKo/edit?usp=sharing"",""อุตรดิตถ์!I707"")+IMPORTRANGE(""https://docs.google.com/spreadsheets/d/1UsNK1e-WWiCo2PvGqdNfdme4m17_Ezd3J69EeeiQPD0/edit?usp=sharing"",""อุทัยธานี!I707"")"),1455)</f>
        <v>1455</v>
      </c>
      <c r="J707" s="166">
        <f ca="1">IFERROR(__xludf.DUMMYFUNCTION("IMPORTRANGE(""https://docs.google.com/spreadsheets/d/1jTcq05yEiRwXcBMLjiodW9e4biSGYWAHcDj22rKWQ3s/edit?usp=sharing"",""กำแพงเพชร!J707"")+IMPORTRANGE(""https://docs.google.com/spreadsheets/d/1KS0zmDSZPk8KnTAbGN-Xk6MtX1YRZD0ldgdt20K4CRk/edit?usp=sharing"","&amp;"""เชียงราย!J707"")+IMPORTRANGE(""https://docs.google.com/spreadsheets/d/1rEDxBtusbi64tE0zunoIbsTVV16HeL0oJ6trHQeQ7K8/edit?usp=sharing"",""เชียงใหม่!J707"")+IMPORTRANGE(""https://docs.google.com/spreadsheets/d/1W6MnUbDkMi6xHnHko_XkFDO9kkuL6Wqyc-6OCDFjW9I/e"&amp;"dit?usp=sharing"",""ตาก!J707"")+IMPORTRANGE(""https://docs.google.com/spreadsheets/d/1IQAWArduLkta9LpYo4a_ULsyqdta6-6aDDiwpUnQT6c/edit?usp=sharing"",""นครสวรรค์!J707"")+IMPORTRANGE(""https://docs.google.com/spreadsheets/d/10s13Sk5xrltsiR-Zkbmk5DwIaDIKO8Xl"&amp;"bJAfqyT7Gvg/edit?usp=sharing"",""น่าน!J707"")+IMPORTRANGE(""https://docs.google.com/spreadsheets/d/1uu4nAn4Dbi1XREnLKKotUANlKXa7yCgRcgq8HEzQYW8/edit?usp=sharing"",""พะเยา!J707"")+IMPORTRANGE(""https://docs.google.com/spreadsheets/d/1xfJKIQxVOaPDIICqsflNlL"&amp;"u3JacTDk1FP9RH4phX7mI/edit?usp=sharing"",""พิจิตร!J707"")+IMPORTRANGE(""https://docs.google.com/spreadsheets/d/1JtRfZkJMHtEhI5RdRHxYUG4FIZHqKDpNyIuN7A1Q0_k/edit?usp=sharing"",""พิษณุโลก!J707"")+IMPORTRANGE(""https://docs.google.com/spreadsheets/d/1xlcVZWU"&amp;"Nn6SuWm0c307h32SiGkd9BaeQWlAktfD3KO8/edit?usp=sharing"",""เพชรบูรณ์!J707"")+IMPORTRANGE(""https://docs.google.com/spreadsheets/d/1lOVebEIsI9qjGXl6EX66luk7wiuP2tBaryw-wKvv4e0/edit?usp=sharing"",""แพร่!J707"")+IMPORTRANGE(""https://docs.google.com/spreadshe"&amp;"ets/d/1dQrvX0vEcN7Gu0fnZ0B5S90AeR19zth4XlExFBeExMY/edit?usp=sharing"",""แม่ฮ่องสอน!J707"")+IMPORTRANGE(""https://docs.google.com/spreadsheets/d/1DY4XTNNwjluuxqdfdn6qvOSlMRrZqUtmYcZR0ttFiG4/edit?usp=sharing"",""ลำปาง!J707"")+IMPORTRANGE(""https://docs.goog"&amp;"le.com/spreadsheets/d/1ICwG78r0OFT8biBlxnBF8r7she7gNSzOvJ958PWT09c/edit?usp=sharing"",""ลำพูน!J707"")+IMPORTRANGE(""https://docs.google.com/spreadsheets/d/1B0f2xJpZUC6Z0xXnqKlZtEPzsf6L84eP1r1Q15seqRM/edit?usp=sharing"",""สุโขทัย!J707"")+IMPORTRANGE(""http"&amp;"s://docs.google.com/spreadsheets/d/1v0b9pFQCsKUVExMei7AgY2yQkdeNQvtOssygGsXbiKo/edit?usp=sharing"",""อุตรดิตถ์!J707"")+IMPORTRANGE(""https://docs.google.com/spreadsheets/d/1UsNK1e-WWiCo2PvGqdNfdme4m17_Ezd3J69EeeiQPD0/edit?usp=sharing"",""อุทัยธานี!J707"")"),213)</f>
        <v>213</v>
      </c>
      <c r="K707" s="46">
        <f t="shared" ca="1" si="486"/>
        <v>14.639175257731958</v>
      </c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25" t="s">
        <v>262</v>
      </c>
      <c r="F708" s="145"/>
      <c r="G708" s="143"/>
      <c r="H708" s="134" t="s">
        <v>46</v>
      </c>
      <c r="I708" s="184">
        <v>0</v>
      </c>
      <c r="J708" s="166">
        <f ca="1">IFERROR(__xludf.DUMMYFUNCTION("IMPORTRANGE(""https://docs.google.com/spreadsheets/d/1jTcq05yEiRwXcBMLjiodW9e4biSGYWAHcDj22rKWQ3s/edit?usp=sharing"",""กำแพงเพชร!J708"")+IMPORTRANGE(""https://docs.google.com/spreadsheets/d/1KS0zmDSZPk8KnTAbGN-Xk6MtX1YRZD0ldgdt20K4CRk/edit?usp=sharing"","&amp;"""เชียงราย!J708"")+IMPORTRANGE(""https://docs.google.com/spreadsheets/d/1rEDxBtusbi64tE0zunoIbsTVV16HeL0oJ6trHQeQ7K8/edit?usp=sharing"",""เชียงใหม่!J708"")+IMPORTRANGE(""https://docs.google.com/spreadsheets/d/1W6MnUbDkMi6xHnHko_XkFDO9kkuL6Wqyc-6OCDFjW9I/e"&amp;"dit?usp=sharing"",""ตาก!J708"")+IMPORTRANGE(""https://docs.google.com/spreadsheets/d/1IQAWArduLkta9LpYo4a_ULsyqdta6-6aDDiwpUnQT6c/edit?usp=sharing"",""นครสวรรค์!J708"")+IMPORTRANGE(""https://docs.google.com/spreadsheets/d/10s13Sk5xrltsiR-Zkbmk5DwIaDIKO8Xl"&amp;"bJAfqyT7Gvg/edit?usp=sharing"",""น่าน!J708"")+IMPORTRANGE(""https://docs.google.com/spreadsheets/d/1uu4nAn4Dbi1XREnLKKotUANlKXa7yCgRcgq8HEzQYW8/edit?usp=sharing"",""พะเยา!J708"")+IMPORTRANGE(""https://docs.google.com/spreadsheets/d/1xfJKIQxVOaPDIICqsflNlL"&amp;"u3JacTDk1FP9RH4phX7mI/edit?usp=sharing"",""พิจิตร!J708"")+IMPORTRANGE(""https://docs.google.com/spreadsheets/d/1JtRfZkJMHtEhI5RdRHxYUG4FIZHqKDpNyIuN7A1Q0_k/edit?usp=sharing"",""พิษณุโลก!J708"")+IMPORTRANGE(""https://docs.google.com/spreadsheets/d/1xlcVZWU"&amp;"Nn6SuWm0c307h32SiGkd9BaeQWlAktfD3KO8/edit?usp=sharing"",""เพชรบูรณ์!J708"")+IMPORTRANGE(""https://docs.google.com/spreadsheets/d/1lOVebEIsI9qjGXl6EX66luk7wiuP2tBaryw-wKvv4e0/edit?usp=sharing"",""แพร่!J708"")+IMPORTRANGE(""https://docs.google.com/spreadshe"&amp;"ets/d/1dQrvX0vEcN7Gu0fnZ0B5S90AeR19zth4XlExFBeExMY/edit?usp=sharing"",""แม่ฮ่องสอน!J708"")+IMPORTRANGE(""https://docs.google.com/spreadsheets/d/1DY4XTNNwjluuxqdfdn6qvOSlMRrZqUtmYcZR0ttFiG4/edit?usp=sharing"",""ลำปาง!J708"")+IMPORTRANGE(""https://docs.goog"&amp;"le.com/spreadsheets/d/1ICwG78r0OFT8biBlxnBF8r7she7gNSzOvJ958PWT09c/edit?usp=sharing"",""ลำพูน!J708"")+IMPORTRANGE(""https://docs.google.com/spreadsheets/d/1B0f2xJpZUC6Z0xXnqKlZtEPzsf6L84eP1r1Q15seqRM/edit?usp=sharing"",""สุโขทัย!J708"")+IMPORTRANGE(""http"&amp;"s://docs.google.com/spreadsheets/d/1v0b9pFQCsKUVExMei7AgY2yQkdeNQvtOssygGsXbiKo/edit?usp=sharing"",""อุตรดิตถ์!J708"")+IMPORTRANGE(""https://docs.google.com/spreadsheets/d/1UsNK1e-WWiCo2PvGqdNfdme4m17_Ezd3J69EeeiQPD0/edit?usp=sharing"",""อุทัยธานี!J708"")"),176)</f>
        <v>176</v>
      </c>
      <c r="K708" s="46">
        <f t="shared" si="486"/>
        <v>0</v>
      </c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66">
        <f ca="1">IFERROR(__xludf.DUMMYFUNCTION("IMPORTRANGE(""https://docs.google.com/spreadsheets/d/1jTcq05yEiRwXcBMLjiodW9e4biSGYWAHcDj22rKWQ3s/edit?usp=sharing"",""กำแพงเพชร!I709"")+IMPORTRANGE(""https://docs.google.com/spreadsheets/d/1KS0zmDSZPk8KnTAbGN-Xk6MtX1YRZD0ldgdt20K4CRk/edit?usp=sharing"","&amp;"""เชียงราย!I709"")+IMPORTRANGE(""https://docs.google.com/spreadsheets/d/1rEDxBtusbi64tE0zunoIbsTVV16HeL0oJ6trHQeQ7K8/edit?usp=sharing"",""เชียงใหม่!I709"")+IMPORTRANGE(""https://docs.google.com/spreadsheets/d/1W6MnUbDkMi6xHnHko_XkFDO9kkuL6Wqyc-6OCDFjW9I/e"&amp;"dit?usp=sharing"",""ตาก!I709"")+IMPORTRANGE(""https://docs.google.com/spreadsheets/d/1IQAWArduLkta9LpYo4a_ULsyqdta6-6aDDiwpUnQT6c/edit?usp=sharing"",""นครสวรรค์!I709"")+IMPORTRANGE(""https://docs.google.com/spreadsheets/d/10s13Sk5xrltsiR-Zkbmk5DwIaDIKO8Xl"&amp;"bJAfqyT7Gvg/edit?usp=sharing"",""น่าน!I709"")+IMPORTRANGE(""https://docs.google.com/spreadsheets/d/1uu4nAn4Dbi1XREnLKKotUANlKXa7yCgRcgq8HEzQYW8/edit?usp=sharing"",""พะเยา!I709"")+IMPORTRANGE(""https://docs.google.com/spreadsheets/d/1xfJKIQxVOaPDIICqsflNlL"&amp;"u3JacTDk1FP9RH4phX7mI/edit?usp=sharing"",""พิจิตร!I709"")+IMPORTRANGE(""https://docs.google.com/spreadsheets/d/1JtRfZkJMHtEhI5RdRHxYUG4FIZHqKDpNyIuN7A1Q0_k/edit?usp=sharing"",""พิษณุโลก!I709"")+IMPORTRANGE(""https://docs.google.com/spreadsheets/d/1xlcVZWU"&amp;"Nn6SuWm0c307h32SiGkd9BaeQWlAktfD3KO8/edit?usp=sharing"",""เพชรบูรณ์!I709"")+IMPORTRANGE(""https://docs.google.com/spreadsheets/d/1lOVebEIsI9qjGXl6EX66luk7wiuP2tBaryw-wKvv4e0/edit?usp=sharing"",""แพร่!I709"")+IMPORTRANGE(""https://docs.google.com/spreadshe"&amp;"ets/d/1dQrvX0vEcN7Gu0fnZ0B5S90AeR19zth4XlExFBeExMY/edit?usp=sharing"",""แม่ฮ่องสอน!I709"")+IMPORTRANGE(""https://docs.google.com/spreadsheets/d/1DY4XTNNwjluuxqdfdn6qvOSlMRrZqUtmYcZR0ttFiG4/edit?usp=sharing"",""ลำปาง!I709"")+IMPORTRANGE(""https://docs.goog"&amp;"le.com/spreadsheets/d/1ICwG78r0OFT8biBlxnBF8r7she7gNSzOvJ958PWT09c/edit?usp=sharing"",""ลำพูน!I709"")+IMPORTRANGE(""https://docs.google.com/spreadsheets/d/1B0f2xJpZUC6Z0xXnqKlZtEPzsf6L84eP1r1Q15seqRM/edit?usp=sharing"",""สุโขทัย!I709"")+IMPORTRANGE(""http"&amp;"s://docs.google.com/spreadsheets/d/1v0b9pFQCsKUVExMei7AgY2yQkdeNQvtOssygGsXbiKo/edit?usp=sharing"",""อุตรดิตถ์!I709"")+IMPORTRANGE(""https://docs.google.com/spreadsheets/d/1UsNK1e-WWiCo2PvGqdNfdme4m17_Ezd3J69EeeiQPD0/edit?usp=sharing"",""อุทัยธานี!I709"")"),62)</f>
        <v>62</v>
      </c>
      <c r="J709" s="166">
        <f ca="1">IFERROR(__xludf.DUMMYFUNCTION("IMPORTRANGE(""https://docs.google.com/spreadsheets/d/1jTcq05yEiRwXcBMLjiodW9e4biSGYWAHcDj22rKWQ3s/edit?usp=sharing"",""กำแพงเพชร!J709"")+IMPORTRANGE(""https://docs.google.com/spreadsheets/d/1KS0zmDSZPk8KnTAbGN-Xk6MtX1YRZD0ldgdt20K4CRk/edit?usp=sharing"","&amp;"""เชียงราย!J709"")+IMPORTRANGE(""https://docs.google.com/spreadsheets/d/1rEDxBtusbi64tE0zunoIbsTVV16HeL0oJ6trHQeQ7K8/edit?usp=sharing"",""เชียงใหม่!J709"")+IMPORTRANGE(""https://docs.google.com/spreadsheets/d/1W6MnUbDkMi6xHnHko_XkFDO9kkuL6Wqyc-6OCDFjW9I/e"&amp;"dit?usp=sharing"",""ตาก!J709"")+IMPORTRANGE(""https://docs.google.com/spreadsheets/d/1IQAWArduLkta9LpYo4a_ULsyqdta6-6aDDiwpUnQT6c/edit?usp=sharing"",""นครสวรรค์!J709"")+IMPORTRANGE(""https://docs.google.com/spreadsheets/d/10s13Sk5xrltsiR-Zkbmk5DwIaDIKO8Xl"&amp;"bJAfqyT7Gvg/edit?usp=sharing"",""น่าน!J709"")+IMPORTRANGE(""https://docs.google.com/spreadsheets/d/1uu4nAn4Dbi1XREnLKKotUANlKXa7yCgRcgq8HEzQYW8/edit?usp=sharing"",""พะเยา!J709"")+IMPORTRANGE(""https://docs.google.com/spreadsheets/d/1xfJKIQxVOaPDIICqsflNlL"&amp;"u3JacTDk1FP9RH4phX7mI/edit?usp=sharing"",""พิจิตร!J709"")+IMPORTRANGE(""https://docs.google.com/spreadsheets/d/1JtRfZkJMHtEhI5RdRHxYUG4FIZHqKDpNyIuN7A1Q0_k/edit?usp=sharing"",""พิษณุโลก!J709"")+IMPORTRANGE(""https://docs.google.com/spreadsheets/d/1xlcVZWU"&amp;"Nn6SuWm0c307h32SiGkd9BaeQWlAktfD3KO8/edit?usp=sharing"",""เพชรบูรณ์!J709"")+IMPORTRANGE(""https://docs.google.com/spreadsheets/d/1lOVebEIsI9qjGXl6EX66luk7wiuP2tBaryw-wKvv4e0/edit?usp=sharing"",""แพร่!J709"")+IMPORTRANGE(""https://docs.google.com/spreadshe"&amp;"ets/d/1dQrvX0vEcN7Gu0fnZ0B5S90AeR19zth4XlExFBeExMY/edit?usp=sharing"",""แม่ฮ่องสอน!J709"")+IMPORTRANGE(""https://docs.google.com/spreadsheets/d/1DY4XTNNwjluuxqdfdn6qvOSlMRrZqUtmYcZR0ttFiG4/edit?usp=sharing"",""ลำปาง!J709"")+IMPORTRANGE(""https://docs.goog"&amp;"le.com/spreadsheets/d/1ICwG78r0OFT8biBlxnBF8r7she7gNSzOvJ958PWT09c/edit?usp=sharing"",""ลำพูน!J709"")+IMPORTRANGE(""https://docs.google.com/spreadsheets/d/1B0f2xJpZUC6Z0xXnqKlZtEPzsf6L84eP1r1Q15seqRM/edit?usp=sharing"",""สุโขทัย!J709"")+IMPORTRANGE(""http"&amp;"s://docs.google.com/spreadsheets/d/1v0b9pFQCsKUVExMei7AgY2yQkdeNQvtOssygGsXbiKo/edit?usp=sharing"",""อุตรดิตถ์!J709"")+IMPORTRANGE(""https://docs.google.com/spreadsheets/d/1UsNK1e-WWiCo2PvGqdNfdme4m17_Ezd3J69EeeiQPD0/edit?usp=sharing"",""อุทัยธานี!J709"")"),48)</f>
        <v>48</v>
      </c>
      <c r="K709" s="46">
        <f t="shared" ca="1" si="486"/>
        <v>77.41935483870968</v>
      </c>
      <c r="L709" s="45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25" t="s">
        <v>264</v>
      </c>
      <c r="F710" s="40"/>
      <c r="G710" s="42"/>
      <c r="H710" s="175" t="s">
        <v>46</v>
      </c>
      <c r="I710" s="184">
        <v>0</v>
      </c>
      <c r="J710" s="166">
        <f ca="1">IFERROR(__xludf.DUMMYFUNCTION("IMPORTRANGE(""https://docs.google.com/spreadsheets/d/1jTcq05yEiRwXcBMLjiodW9e4biSGYWAHcDj22rKWQ3s/edit?usp=sharing"",""กำแพงเพชร!J710"")+IMPORTRANGE(""https://docs.google.com/spreadsheets/d/1KS0zmDSZPk8KnTAbGN-Xk6MtX1YRZD0ldgdt20K4CRk/edit?usp=sharing"","&amp;"""เชียงราย!J710"")+IMPORTRANGE(""https://docs.google.com/spreadsheets/d/1rEDxBtusbi64tE0zunoIbsTVV16HeL0oJ6trHQeQ7K8/edit?usp=sharing"",""เชียงใหม่!J710"")+IMPORTRANGE(""https://docs.google.com/spreadsheets/d/1W6MnUbDkMi6xHnHko_XkFDO9kkuL6Wqyc-6OCDFjW9I/e"&amp;"dit?usp=sharing"",""ตาก!J710"")+IMPORTRANGE(""https://docs.google.com/spreadsheets/d/1IQAWArduLkta9LpYo4a_ULsyqdta6-6aDDiwpUnQT6c/edit?usp=sharing"",""นครสวรรค์!J710"")+IMPORTRANGE(""https://docs.google.com/spreadsheets/d/10s13Sk5xrltsiR-Zkbmk5DwIaDIKO8Xl"&amp;"bJAfqyT7Gvg/edit?usp=sharing"",""น่าน!J710"")+IMPORTRANGE(""https://docs.google.com/spreadsheets/d/1uu4nAn4Dbi1XREnLKKotUANlKXa7yCgRcgq8HEzQYW8/edit?usp=sharing"",""พะเยา!J710"")+IMPORTRANGE(""https://docs.google.com/spreadsheets/d/1xfJKIQxVOaPDIICqsflNlL"&amp;"u3JacTDk1FP9RH4phX7mI/edit?usp=sharing"",""พิจิตร!J710"")+IMPORTRANGE(""https://docs.google.com/spreadsheets/d/1JtRfZkJMHtEhI5RdRHxYUG4FIZHqKDpNyIuN7A1Q0_k/edit?usp=sharing"",""พิษณุโลก!J710"")+IMPORTRANGE(""https://docs.google.com/spreadsheets/d/1xlcVZWU"&amp;"Nn6SuWm0c307h32SiGkd9BaeQWlAktfD3KO8/edit?usp=sharing"",""เพชรบูรณ์!J710"")+IMPORTRANGE(""https://docs.google.com/spreadsheets/d/1lOVebEIsI9qjGXl6EX66luk7wiuP2tBaryw-wKvv4e0/edit?usp=sharing"",""แพร่!J710"")+IMPORTRANGE(""https://docs.google.com/spreadshe"&amp;"ets/d/1dQrvX0vEcN7Gu0fnZ0B5S90AeR19zth4XlExFBeExMY/edit?usp=sharing"",""แม่ฮ่องสอน!J710"")+IMPORTRANGE(""https://docs.google.com/spreadsheets/d/1DY4XTNNwjluuxqdfdn6qvOSlMRrZqUtmYcZR0ttFiG4/edit?usp=sharing"",""ลำปาง!J710"")+IMPORTRANGE(""https://docs.goog"&amp;"le.com/spreadsheets/d/1ICwG78r0OFT8biBlxnBF8r7she7gNSzOvJ958PWT09c/edit?usp=sharing"",""ลำพูน!J710"")+IMPORTRANGE(""https://docs.google.com/spreadsheets/d/1B0f2xJpZUC6Z0xXnqKlZtEPzsf6L84eP1r1Q15seqRM/edit?usp=sharing"",""สุโขทัย!J710"")+IMPORTRANGE(""http"&amp;"s://docs.google.com/spreadsheets/d/1v0b9pFQCsKUVExMei7AgY2yQkdeNQvtOssygGsXbiKo/edit?usp=sharing"",""อุตรดิตถ์!J710"")+IMPORTRANGE(""https://docs.google.com/spreadsheets/d/1UsNK1e-WWiCo2PvGqdNfdme4m17_Ezd3J69EeeiQPD0/edit?usp=sharing"",""อุทัยธานี!J710"")"),0)</f>
        <v>0</v>
      </c>
      <c r="K710" s="46">
        <f t="shared" si="486"/>
        <v>0</v>
      </c>
      <c r="L710" s="45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319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x14ac:dyDescent="0.3">
      <c r="A712" s="394"/>
      <c r="B712" s="426" t="s">
        <v>265</v>
      </c>
      <c r="C712" s="394"/>
      <c r="D712" s="396"/>
      <c r="E712" s="396"/>
      <c r="F712" s="396"/>
      <c r="G712" s="397"/>
      <c r="H712" s="427" t="s">
        <v>46</v>
      </c>
      <c r="I712" s="399"/>
      <c r="J712" s="399">
        <f>J724</f>
        <v>0</v>
      </c>
      <c r="K712" s="428">
        <f>IF(I712&gt;0,J712*100/I712,0)</f>
        <v>0</v>
      </c>
      <c r="L712" s="400"/>
      <c r="M712" s="400"/>
      <c r="N712" s="400"/>
      <c r="O712" s="400"/>
      <c r="P712" s="400"/>
      <c r="Q712" s="400"/>
      <c r="R712" s="400"/>
      <c r="S712" s="400"/>
      <c r="T712" s="400"/>
      <c r="U712" s="400"/>
    </row>
    <row r="713" spans="1:21" ht="19.5" x14ac:dyDescent="0.3">
      <c r="A713" s="394"/>
      <c r="B713" s="426" t="s">
        <v>266</v>
      </c>
      <c r="C713" s="394"/>
      <c r="D713" s="396"/>
      <c r="E713" s="396"/>
      <c r="F713" s="396"/>
      <c r="G713" s="397"/>
      <c r="H713" s="398"/>
      <c r="I713" s="399"/>
      <c r="J713" s="399"/>
      <c r="K713" s="400"/>
      <c r="L713" s="400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x14ac:dyDescent="0.3">
      <c r="A714" s="128"/>
      <c r="B714" s="158"/>
      <c r="C714" s="314" t="s">
        <v>18</v>
      </c>
      <c r="D714" s="792" t="s">
        <v>19</v>
      </c>
      <c r="E714" s="793"/>
      <c r="F714" s="793"/>
      <c r="G714" s="794"/>
      <c r="H714" s="372" t="s">
        <v>14</v>
      </c>
      <c r="I714" s="44"/>
      <c r="J714" s="44"/>
      <c r="K714" s="45"/>
      <c r="L714" s="132">
        <f t="shared" ref="L714:N714" ca="1" si="488">L715+L716</f>
        <v>0</v>
      </c>
      <c r="M714" s="132">
        <f t="shared" ca="1" si="488"/>
        <v>0</v>
      </c>
      <c r="N714" s="132">
        <f t="shared" ca="1" si="488"/>
        <v>0</v>
      </c>
      <c r="O714" s="132">
        <f t="shared" ref="O714:O722" ca="1" si="489">IF(L714&gt;0,N714*100/L714,0)</f>
        <v>0</v>
      </c>
      <c r="P714" s="132">
        <f t="shared" ref="P714:P722" ca="1" si="490">IF(M714&gt;0,N714*100/M714,0)</f>
        <v>0</v>
      </c>
      <c r="Q714" s="132">
        <f t="shared" ref="Q714:S714" ca="1" si="491">Q715+Q716</f>
        <v>0</v>
      </c>
      <c r="R714" s="132">
        <f t="shared" ca="1" si="491"/>
        <v>0</v>
      </c>
      <c r="S714" s="132">
        <f t="shared" ca="1" si="491"/>
        <v>0</v>
      </c>
      <c r="T714" s="132">
        <f t="shared" ref="T714:T722" ca="1" si="492">IF(Q714&gt;0,S714*100/Q714,0)</f>
        <v>0</v>
      </c>
      <c r="U714" s="132">
        <f t="shared" ref="U714:U722" ca="1" si="493">IF(R714&gt;0,S714*100/R714,0)</f>
        <v>0</v>
      </c>
    </row>
    <row r="715" spans="1:21" ht="18.75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48">
        <f t="shared" ref="L715:N715" ca="1" si="494">L718+L721</f>
        <v>0</v>
      </c>
      <c r="M715" s="48">
        <f t="shared" ca="1" si="494"/>
        <v>0</v>
      </c>
      <c r="N715" s="48">
        <f t="shared" ca="1" si="494"/>
        <v>0</v>
      </c>
      <c r="O715" s="48">
        <f t="shared" ca="1" si="489"/>
        <v>0</v>
      </c>
      <c r="P715" s="48">
        <f t="shared" ca="1" si="490"/>
        <v>0</v>
      </c>
      <c r="Q715" s="48">
        <f t="shared" ref="Q715:S715" ca="1" si="495">Q718+Q721</f>
        <v>0</v>
      </c>
      <c r="R715" s="48">
        <f t="shared" ca="1" si="495"/>
        <v>0</v>
      </c>
      <c r="S715" s="48">
        <f t="shared" ca="1" si="495"/>
        <v>0</v>
      </c>
      <c r="T715" s="48">
        <f t="shared" ca="1" si="492"/>
        <v>0</v>
      </c>
      <c r="U715" s="48">
        <f t="shared" ca="1" si="493"/>
        <v>0</v>
      </c>
    </row>
    <row r="716" spans="1:21" ht="18.75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46">
        <f t="shared" ref="L716:N716" ca="1" si="496">L719+L722</f>
        <v>0</v>
      </c>
      <c r="M716" s="46">
        <f t="shared" ca="1" si="496"/>
        <v>0</v>
      </c>
      <c r="N716" s="46">
        <f t="shared" ca="1" si="496"/>
        <v>0</v>
      </c>
      <c r="O716" s="46">
        <f t="shared" ca="1" si="489"/>
        <v>0</v>
      </c>
      <c r="P716" s="46">
        <f t="shared" ca="1" si="490"/>
        <v>0</v>
      </c>
      <c r="Q716" s="46">
        <f t="shared" ref="Q716:S716" ca="1" si="497">Q719+Q722</f>
        <v>0</v>
      </c>
      <c r="R716" s="46">
        <f t="shared" ca="1" si="497"/>
        <v>0</v>
      </c>
      <c r="S716" s="46">
        <f t="shared" ca="1" si="497"/>
        <v>0</v>
      </c>
      <c r="T716" s="46">
        <f t="shared" ca="1" si="492"/>
        <v>0</v>
      </c>
      <c r="U716" s="46">
        <f t="shared" ca="1" si="493"/>
        <v>0</v>
      </c>
    </row>
    <row r="717" spans="1:21" ht="19.5" x14ac:dyDescent="0.3">
      <c r="A717" s="128"/>
      <c r="B717" s="158"/>
      <c r="C717" s="158"/>
      <c r="D717" s="373" t="s">
        <v>22</v>
      </c>
      <c r="E717" s="40"/>
      <c r="F717" s="40"/>
      <c r="G717" s="42"/>
      <c r="H717" s="372" t="s">
        <v>14</v>
      </c>
      <c r="I717" s="135"/>
      <c r="J717" s="135"/>
      <c r="K717" s="136"/>
      <c r="L717" s="46">
        <f t="shared" ref="L717:N717" ca="1" si="498">L718+L719</f>
        <v>0</v>
      </c>
      <c r="M717" s="46">
        <f t="shared" ca="1" si="498"/>
        <v>0</v>
      </c>
      <c r="N717" s="46">
        <f t="shared" ca="1" si="498"/>
        <v>0</v>
      </c>
      <c r="O717" s="46">
        <f t="shared" ca="1" si="489"/>
        <v>0</v>
      </c>
      <c r="P717" s="46">
        <f t="shared" ca="1" si="490"/>
        <v>0</v>
      </c>
      <c r="Q717" s="46">
        <f t="shared" ref="Q717:S717" ca="1" si="499">Q718+Q719</f>
        <v>0</v>
      </c>
      <c r="R717" s="46">
        <f t="shared" ca="1" si="499"/>
        <v>0</v>
      </c>
      <c r="S717" s="46">
        <f t="shared" ca="1" si="499"/>
        <v>0</v>
      </c>
      <c r="T717" s="46">
        <f t="shared" ca="1" si="492"/>
        <v>0</v>
      </c>
      <c r="U717" s="46">
        <f t="shared" ca="1" si="493"/>
        <v>0</v>
      </c>
    </row>
    <row r="718" spans="1:21" ht="18.75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48">
        <f ca="1">IFERROR(__xludf.DUMMYFUNCTION("IMPORTRANGE(""https://docs.google.com/spreadsheets/d/1jTcq05yEiRwXcBMLjiodW9e4biSGYWAHcDj22rKWQ3s/edit?usp=sharing"",""กำแพงเพชร!L718"")+IMPORTRANGE(""https://docs.google.com/spreadsheets/d/1KS0zmDSZPk8KnTAbGN-Xk6MtX1YRZD0ldgdt20K4CRk/edit?usp=sharing"","&amp;"""เชียงราย!L718"")+IMPORTRANGE(""https://docs.google.com/spreadsheets/d/1rEDxBtusbi64tE0zunoIbsTVV16HeL0oJ6trHQeQ7K8/edit?usp=sharing"",""เชียงใหม่!L718"")+IMPORTRANGE(""https://docs.google.com/spreadsheets/d/1W6MnUbDkMi6xHnHko_XkFDO9kkuL6Wqyc-6OCDFjW9I/e"&amp;"dit?usp=sharing"",""ตาก!L718"")+IMPORTRANGE(""https://docs.google.com/spreadsheets/d/1IQAWArduLkta9LpYo4a_ULsyqdta6-6aDDiwpUnQT6c/edit?usp=sharing"",""นครสวรรค์!L718"")+IMPORTRANGE(""https://docs.google.com/spreadsheets/d/10s13Sk5xrltsiR-Zkbmk5DwIaDIKO8Xl"&amp;"bJAfqyT7Gvg/edit?usp=sharing"",""น่าน!L718"")+IMPORTRANGE(""https://docs.google.com/spreadsheets/d/1uu4nAn4Dbi1XREnLKKotUANlKXa7yCgRcgq8HEzQYW8/edit?usp=sharing"",""พะเยา!L718"")+IMPORTRANGE(""https://docs.google.com/spreadsheets/d/1xfJKIQxVOaPDIICqsflNlL"&amp;"u3JacTDk1FP9RH4phX7mI/edit?usp=sharing"",""พิจิตร!L718"")+IMPORTRANGE(""https://docs.google.com/spreadsheets/d/1JtRfZkJMHtEhI5RdRHxYUG4FIZHqKDpNyIuN7A1Q0_k/edit?usp=sharing"",""พิษณุโลก!L718"")+IMPORTRANGE(""https://docs.google.com/spreadsheets/d/1xlcVZWU"&amp;"Nn6SuWm0c307h32SiGkd9BaeQWlAktfD3KO8/edit?usp=sharing"",""เพชรบูรณ์!L718"")+IMPORTRANGE(""https://docs.google.com/spreadsheets/d/1lOVebEIsI9qjGXl6EX66luk7wiuP2tBaryw-wKvv4e0/edit?usp=sharing"",""แพร่!L718"")+IMPORTRANGE(""https://docs.google.com/spreadshe"&amp;"ets/d/1dQrvX0vEcN7Gu0fnZ0B5S90AeR19zth4XlExFBeExMY/edit?usp=sharing"",""แม่ฮ่องสอน!L718"")+IMPORTRANGE(""https://docs.google.com/spreadsheets/d/1DY4XTNNwjluuxqdfdn6qvOSlMRrZqUtmYcZR0ttFiG4/edit?usp=sharing"",""ลำปาง!L718"")+IMPORTRANGE(""https://docs.goog"&amp;"le.com/spreadsheets/d/1ICwG78r0OFT8biBlxnBF8r7she7gNSzOvJ958PWT09c/edit?usp=sharing"",""ลำพูน!L718"")+IMPORTRANGE(""https://docs.google.com/spreadsheets/d/1B0f2xJpZUC6Z0xXnqKlZtEPzsf6L84eP1r1Q15seqRM/edit?usp=sharing"",""สุโขทัย!L718"")+IMPORTRANGE(""http"&amp;"s://docs.google.com/spreadsheets/d/1v0b9pFQCsKUVExMei7AgY2yQkdeNQvtOssygGsXbiKo/edit?usp=sharing"",""อุตรดิตถ์!L718"")+IMPORTRANGE(""https://docs.google.com/spreadsheets/d/1UsNK1e-WWiCo2PvGqdNfdme4m17_Ezd3J69EeeiQPD0/edit?usp=sharing"",""อุทัยธานี!L718"")"),0)</f>
        <v>0</v>
      </c>
      <c r="M718" s="48">
        <f ca="1">IFERROR(__xludf.DUMMYFUNCTION("IMPORTRANGE(""https://docs.google.com/spreadsheets/d/1jTcq05yEiRwXcBMLjiodW9e4biSGYWAHcDj22rKWQ3s/edit?usp=sharing"",""กำแพงเพชร!M718"")+IMPORTRANGE(""https://docs.google.com/spreadsheets/d/1KS0zmDSZPk8KnTAbGN-Xk6MtX1YRZD0ldgdt20K4CRk/edit?usp=sharing"","&amp;"""เชียงราย!M718"")+IMPORTRANGE(""https://docs.google.com/spreadsheets/d/1rEDxBtusbi64tE0zunoIbsTVV16HeL0oJ6trHQeQ7K8/edit?usp=sharing"",""เชียงใหม่!M718"")+IMPORTRANGE(""https://docs.google.com/spreadsheets/d/1W6MnUbDkMi6xHnHko_XkFDO9kkuL6Wqyc-6OCDFjW9I/e"&amp;"dit?usp=sharing"",""ตาก!M718"")+IMPORTRANGE(""https://docs.google.com/spreadsheets/d/1IQAWArduLkta9LpYo4a_ULsyqdta6-6aDDiwpUnQT6c/edit?usp=sharing"",""นครสวรรค์!M718"")+IMPORTRANGE(""https://docs.google.com/spreadsheets/d/10s13Sk5xrltsiR-Zkbmk5DwIaDIKO8Xl"&amp;"bJAfqyT7Gvg/edit?usp=sharing"",""น่าน!M718"")+IMPORTRANGE(""https://docs.google.com/spreadsheets/d/1uu4nAn4Dbi1XREnLKKotUANlKXa7yCgRcgq8HEzQYW8/edit?usp=sharing"",""พะเยา!M718"")+IMPORTRANGE(""https://docs.google.com/spreadsheets/d/1xfJKIQxVOaPDIICqsflNlL"&amp;"u3JacTDk1FP9RH4phX7mI/edit?usp=sharing"",""พิจิตร!M718"")+IMPORTRANGE(""https://docs.google.com/spreadsheets/d/1JtRfZkJMHtEhI5RdRHxYUG4FIZHqKDpNyIuN7A1Q0_k/edit?usp=sharing"",""พิษณุโลก!M718"")+IMPORTRANGE(""https://docs.google.com/spreadsheets/d/1xlcVZWU"&amp;"Nn6SuWm0c307h32SiGkd9BaeQWlAktfD3KO8/edit?usp=sharing"",""เพชรบูรณ์!M718"")+IMPORTRANGE(""https://docs.google.com/spreadsheets/d/1lOVebEIsI9qjGXl6EX66luk7wiuP2tBaryw-wKvv4e0/edit?usp=sharing"",""แพร่!M718"")+IMPORTRANGE(""https://docs.google.com/spreadshe"&amp;"ets/d/1dQrvX0vEcN7Gu0fnZ0B5S90AeR19zth4XlExFBeExMY/edit?usp=sharing"",""แม่ฮ่องสอน!M718"")+IMPORTRANGE(""https://docs.google.com/spreadsheets/d/1DY4XTNNwjluuxqdfdn6qvOSlMRrZqUtmYcZR0ttFiG4/edit?usp=sharing"",""ลำปาง!M718"")+IMPORTRANGE(""https://docs.goog"&amp;"le.com/spreadsheets/d/1ICwG78r0OFT8biBlxnBF8r7she7gNSzOvJ958PWT09c/edit?usp=sharing"",""ลำพูน!M718"")+IMPORTRANGE(""https://docs.google.com/spreadsheets/d/1B0f2xJpZUC6Z0xXnqKlZtEPzsf6L84eP1r1Q15seqRM/edit?usp=sharing"",""สุโขทัย!M718"")+IMPORTRANGE(""http"&amp;"s://docs.google.com/spreadsheets/d/1v0b9pFQCsKUVExMei7AgY2yQkdeNQvtOssygGsXbiKo/edit?usp=sharing"",""อุตรดิตถ์!M718"")+IMPORTRANGE(""https://docs.google.com/spreadsheets/d/1UsNK1e-WWiCo2PvGqdNfdme4m17_Ezd3J69EeeiQPD0/edit?usp=sharing"",""อุทัยธานี!M718"")"),0)</f>
        <v>0</v>
      </c>
      <c r="N718" s="48">
        <f ca="1">IFERROR(__xludf.DUMMYFUNCTION("IMPORTRANGE(""https://docs.google.com/spreadsheets/d/1jTcq05yEiRwXcBMLjiodW9e4biSGYWAHcDj22rKWQ3s/edit?usp=sharing"",""กำแพงเพชร!N718"")+IMPORTRANGE(""https://docs.google.com/spreadsheets/d/1KS0zmDSZPk8KnTAbGN-Xk6MtX1YRZD0ldgdt20K4CRk/edit?usp=sharing"","&amp;"""เชียงราย!N718"")+IMPORTRANGE(""https://docs.google.com/spreadsheets/d/1rEDxBtusbi64tE0zunoIbsTVV16HeL0oJ6trHQeQ7K8/edit?usp=sharing"",""เชียงใหม่!N718"")+IMPORTRANGE(""https://docs.google.com/spreadsheets/d/1W6MnUbDkMi6xHnHko_XkFDO9kkuL6Wqyc-6OCDFjW9I/e"&amp;"dit?usp=sharing"",""ตาก!N718"")+IMPORTRANGE(""https://docs.google.com/spreadsheets/d/1IQAWArduLkta9LpYo4a_ULsyqdta6-6aDDiwpUnQT6c/edit?usp=sharing"",""นครสวรรค์!N718"")+IMPORTRANGE(""https://docs.google.com/spreadsheets/d/10s13Sk5xrltsiR-Zkbmk5DwIaDIKO8Xl"&amp;"bJAfqyT7Gvg/edit?usp=sharing"",""น่าน!N718"")+IMPORTRANGE(""https://docs.google.com/spreadsheets/d/1uu4nAn4Dbi1XREnLKKotUANlKXa7yCgRcgq8HEzQYW8/edit?usp=sharing"",""พะเยา!N718"")+IMPORTRANGE(""https://docs.google.com/spreadsheets/d/1xfJKIQxVOaPDIICqsflNlL"&amp;"u3JacTDk1FP9RH4phX7mI/edit?usp=sharing"",""พิจิตร!N718"")+IMPORTRANGE(""https://docs.google.com/spreadsheets/d/1JtRfZkJMHtEhI5RdRHxYUG4FIZHqKDpNyIuN7A1Q0_k/edit?usp=sharing"",""พิษณุโลก!N718"")+IMPORTRANGE(""https://docs.google.com/spreadsheets/d/1xlcVZWU"&amp;"Nn6SuWm0c307h32SiGkd9BaeQWlAktfD3KO8/edit?usp=sharing"",""เพชรบูรณ์!N718"")+IMPORTRANGE(""https://docs.google.com/spreadsheets/d/1lOVebEIsI9qjGXl6EX66luk7wiuP2tBaryw-wKvv4e0/edit?usp=sharing"",""แพร่!N718"")+IMPORTRANGE(""https://docs.google.com/spreadshe"&amp;"ets/d/1dQrvX0vEcN7Gu0fnZ0B5S90AeR19zth4XlExFBeExMY/edit?usp=sharing"",""แม่ฮ่องสอน!N718"")+IMPORTRANGE(""https://docs.google.com/spreadsheets/d/1DY4XTNNwjluuxqdfdn6qvOSlMRrZqUtmYcZR0ttFiG4/edit?usp=sharing"",""ลำปาง!N718"")+IMPORTRANGE(""https://docs.goog"&amp;"le.com/spreadsheets/d/1ICwG78r0OFT8biBlxnBF8r7she7gNSzOvJ958PWT09c/edit?usp=sharing"",""ลำพูน!N718"")+IMPORTRANGE(""https://docs.google.com/spreadsheets/d/1B0f2xJpZUC6Z0xXnqKlZtEPzsf6L84eP1r1Q15seqRM/edit?usp=sharing"",""สุโขทัย!N718"")+IMPORTRANGE(""http"&amp;"s://docs.google.com/spreadsheets/d/1v0b9pFQCsKUVExMei7AgY2yQkdeNQvtOssygGsXbiKo/edit?usp=sharing"",""อุตรดิตถ์!N718"")+IMPORTRANGE(""https://docs.google.com/spreadsheets/d/1UsNK1e-WWiCo2PvGqdNfdme4m17_Ezd3J69EeeiQPD0/edit?usp=sharing"",""อุทัยธานี!N718"")"),0)</f>
        <v>0</v>
      </c>
      <c r="O718" s="48">
        <f t="shared" ca="1" si="489"/>
        <v>0</v>
      </c>
      <c r="P718" s="48">
        <f t="shared" ca="1" si="490"/>
        <v>0</v>
      </c>
      <c r="Q718" s="48">
        <f ca="1">IFERROR(__xludf.DUMMYFUNCTION("IMPORTRANGE(""https://docs.google.com/spreadsheets/d/1jTcq05yEiRwXcBMLjiodW9e4biSGYWAHcDj22rKWQ3s/edit?usp=sharing"",""กำแพงเพชร!Q718"")+IMPORTRANGE(""https://docs.google.com/spreadsheets/d/1KS0zmDSZPk8KnTAbGN-Xk6MtX1YRZD0ldgdt20K4CRk/edit?usp=sharing"","&amp;"""เชียงราย!Q718"")+IMPORTRANGE(""https://docs.google.com/spreadsheets/d/1rEDxBtusbi64tE0zunoIbsTVV16HeL0oJ6trHQeQ7K8/edit?usp=sharing"",""เชียงใหม่!Q718"")+IMPORTRANGE(""https://docs.google.com/spreadsheets/d/1W6MnUbDkMi6xHnHko_XkFDO9kkuL6Wqyc-6OCDFjW9I/e"&amp;"dit?usp=sharing"",""ตาก!Q718"")+IMPORTRANGE(""https://docs.google.com/spreadsheets/d/1IQAWArduLkta9LpYo4a_ULsyqdta6-6aDDiwpUnQT6c/edit?usp=sharing"",""นครสวรรค์!Q718"")+IMPORTRANGE(""https://docs.google.com/spreadsheets/d/10s13Sk5xrltsiR-Zkbmk5DwIaDIKO8Xl"&amp;"bJAfqyT7Gvg/edit?usp=sharing"",""น่าน!Q718"")+IMPORTRANGE(""https://docs.google.com/spreadsheets/d/1uu4nAn4Dbi1XREnLKKotUANlKXa7yCgRcgq8HEzQYW8/edit?usp=sharing"",""พะเยา!Q718"")+IMPORTRANGE(""https://docs.google.com/spreadsheets/d/1xfJKIQxVOaPDIICqsflNlL"&amp;"u3JacTDk1FP9RH4phX7mI/edit?usp=sharing"",""พิจิตร!Q718"")+IMPORTRANGE(""https://docs.google.com/spreadsheets/d/1JtRfZkJMHtEhI5RdRHxYUG4FIZHqKDpNyIuN7A1Q0_k/edit?usp=sharing"",""พิษณุโลก!Q718"")+IMPORTRANGE(""https://docs.google.com/spreadsheets/d/1xlcVZWU"&amp;"Nn6SuWm0c307h32SiGkd9BaeQWlAktfD3KO8/edit?usp=sharing"",""เพชรบูรณ์!Q718"")+IMPORTRANGE(""https://docs.google.com/spreadsheets/d/1lOVebEIsI9qjGXl6EX66luk7wiuP2tBaryw-wKvv4e0/edit?usp=sharing"",""แพร่!Q718"")+IMPORTRANGE(""https://docs.google.com/spreadshe"&amp;"ets/d/1dQrvX0vEcN7Gu0fnZ0B5S90AeR19zth4XlExFBeExMY/edit?usp=sharing"",""แม่ฮ่องสอน!Q718"")+IMPORTRANGE(""https://docs.google.com/spreadsheets/d/1DY4XTNNwjluuxqdfdn6qvOSlMRrZqUtmYcZR0ttFiG4/edit?usp=sharing"",""ลำปาง!Q718"")+IMPORTRANGE(""https://docs.goog"&amp;"le.com/spreadsheets/d/1ICwG78r0OFT8biBlxnBF8r7she7gNSzOvJ958PWT09c/edit?usp=sharing"",""ลำพูน!Q718"")+IMPORTRANGE(""https://docs.google.com/spreadsheets/d/1B0f2xJpZUC6Z0xXnqKlZtEPzsf6L84eP1r1Q15seqRM/edit?usp=sharing"",""สุโขทัย!Q718"")+IMPORTRANGE(""http"&amp;"s://docs.google.com/spreadsheets/d/1v0b9pFQCsKUVExMei7AgY2yQkdeNQvtOssygGsXbiKo/edit?usp=sharing"",""อุตรดิตถ์!Q718"")+IMPORTRANGE(""https://docs.google.com/spreadsheets/d/1UsNK1e-WWiCo2PvGqdNfdme4m17_Ezd3J69EeeiQPD0/edit?usp=sharing"",""อุทัยธานี!Q718"")"),0)</f>
        <v>0</v>
      </c>
      <c r="R718" s="48">
        <f ca="1">IFERROR(__xludf.DUMMYFUNCTION("IMPORTRANGE(""https://docs.google.com/spreadsheets/d/1jTcq05yEiRwXcBMLjiodW9e4biSGYWAHcDj22rKWQ3s/edit?usp=sharing"",""กำแพงเพชร!R718"")+IMPORTRANGE(""https://docs.google.com/spreadsheets/d/1KS0zmDSZPk8KnTAbGN-Xk6MtX1YRZD0ldgdt20K4CRk/edit?usp=sharing"","&amp;"""เชียงราย!R718"")+IMPORTRANGE(""https://docs.google.com/spreadsheets/d/1rEDxBtusbi64tE0zunoIbsTVV16HeL0oJ6trHQeQ7K8/edit?usp=sharing"",""เชียงใหม่!R718"")+IMPORTRANGE(""https://docs.google.com/spreadsheets/d/1W6MnUbDkMi6xHnHko_XkFDO9kkuL6Wqyc-6OCDFjW9I/e"&amp;"dit?usp=sharing"",""ตาก!R718"")+IMPORTRANGE(""https://docs.google.com/spreadsheets/d/1IQAWArduLkta9LpYo4a_ULsyqdta6-6aDDiwpUnQT6c/edit?usp=sharing"",""นครสวรรค์!R718"")+IMPORTRANGE(""https://docs.google.com/spreadsheets/d/10s13Sk5xrltsiR-Zkbmk5DwIaDIKO8Xl"&amp;"bJAfqyT7Gvg/edit?usp=sharing"",""น่าน!R718"")+IMPORTRANGE(""https://docs.google.com/spreadsheets/d/1uu4nAn4Dbi1XREnLKKotUANlKXa7yCgRcgq8HEzQYW8/edit?usp=sharing"",""พะเยา!R718"")+IMPORTRANGE(""https://docs.google.com/spreadsheets/d/1xfJKIQxVOaPDIICqsflNlL"&amp;"u3JacTDk1FP9RH4phX7mI/edit?usp=sharing"",""พิจิตร!R718"")+IMPORTRANGE(""https://docs.google.com/spreadsheets/d/1JtRfZkJMHtEhI5RdRHxYUG4FIZHqKDpNyIuN7A1Q0_k/edit?usp=sharing"",""พิษณุโลก!R718"")+IMPORTRANGE(""https://docs.google.com/spreadsheets/d/1xlcVZWU"&amp;"Nn6SuWm0c307h32SiGkd9BaeQWlAktfD3KO8/edit?usp=sharing"",""เพชรบูรณ์!R718"")+IMPORTRANGE(""https://docs.google.com/spreadsheets/d/1lOVebEIsI9qjGXl6EX66luk7wiuP2tBaryw-wKvv4e0/edit?usp=sharing"",""แพร่!R718"")+IMPORTRANGE(""https://docs.google.com/spreadshe"&amp;"ets/d/1dQrvX0vEcN7Gu0fnZ0B5S90AeR19zth4XlExFBeExMY/edit?usp=sharing"",""แม่ฮ่องสอน!R718"")+IMPORTRANGE(""https://docs.google.com/spreadsheets/d/1DY4XTNNwjluuxqdfdn6qvOSlMRrZqUtmYcZR0ttFiG4/edit?usp=sharing"",""ลำปาง!R718"")+IMPORTRANGE(""https://docs.goog"&amp;"le.com/spreadsheets/d/1ICwG78r0OFT8biBlxnBF8r7she7gNSzOvJ958PWT09c/edit?usp=sharing"",""ลำพูน!R718"")+IMPORTRANGE(""https://docs.google.com/spreadsheets/d/1B0f2xJpZUC6Z0xXnqKlZtEPzsf6L84eP1r1Q15seqRM/edit?usp=sharing"",""สุโขทัย!R718"")+IMPORTRANGE(""http"&amp;"s://docs.google.com/spreadsheets/d/1v0b9pFQCsKUVExMei7AgY2yQkdeNQvtOssygGsXbiKo/edit?usp=sharing"",""อุตรดิตถ์!R718"")+IMPORTRANGE(""https://docs.google.com/spreadsheets/d/1UsNK1e-WWiCo2PvGqdNfdme4m17_Ezd3J69EeeiQPD0/edit?usp=sharing"",""อุทัยธานี!R718"")"),0)</f>
        <v>0</v>
      </c>
      <c r="S718" s="48">
        <f ca="1">IFERROR(__xludf.DUMMYFUNCTION("IMPORTRANGE(""https://docs.google.com/spreadsheets/d/1jTcq05yEiRwXcBMLjiodW9e4biSGYWAHcDj22rKWQ3s/edit?usp=sharing"",""กำแพงเพชร!S718"")+IMPORTRANGE(""https://docs.google.com/spreadsheets/d/1KS0zmDSZPk8KnTAbGN-Xk6MtX1YRZD0ldgdt20K4CRk/edit?usp=sharing"","&amp;"""เชียงราย!S718"")+IMPORTRANGE(""https://docs.google.com/spreadsheets/d/1rEDxBtusbi64tE0zunoIbsTVV16HeL0oJ6trHQeQ7K8/edit?usp=sharing"",""เชียงใหม่!S718"")+IMPORTRANGE(""https://docs.google.com/spreadsheets/d/1W6MnUbDkMi6xHnHko_XkFDO9kkuL6Wqyc-6OCDFjW9I/e"&amp;"dit?usp=sharing"",""ตาก!S718"")+IMPORTRANGE(""https://docs.google.com/spreadsheets/d/1IQAWArduLkta9LpYo4a_ULsyqdta6-6aDDiwpUnQT6c/edit?usp=sharing"",""นครสวรรค์!S718"")+IMPORTRANGE(""https://docs.google.com/spreadsheets/d/10s13Sk5xrltsiR-Zkbmk5DwIaDIKO8Xl"&amp;"bJAfqyT7Gvg/edit?usp=sharing"",""น่าน!S718"")+IMPORTRANGE(""https://docs.google.com/spreadsheets/d/1uu4nAn4Dbi1XREnLKKotUANlKXa7yCgRcgq8HEzQYW8/edit?usp=sharing"",""พะเยา!S718"")+IMPORTRANGE(""https://docs.google.com/spreadsheets/d/1xfJKIQxVOaPDIICqsflNlL"&amp;"u3JacTDk1FP9RH4phX7mI/edit?usp=sharing"",""พิจิตร!S718"")+IMPORTRANGE(""https://docs.google.com/spreadsheets/d/1JtRfZkJMHtEhI5RdRHxYUG4FIZHqKDpNyIuN7A1Q0_k/edit?usp=sharing"",""พิษณุโลก!S718"")+IMPORTRANGE(""https://docs.google.com/spreadsheets/d/1xlcVZWU"&amp;"Nn6SuWm0c307h32SiGkd9BaeQWlAktfD3KO8/edit?usp=sharing"",""เพชรบูรณ์!S718"")+IMPORTRANGE(""https://docs.google.com/spreadsheets/d/1lOVebEIsI9qjGXl6EX66luk7wiuP2tBaryw-wKvv4e0/edit?usp=sharing"",""แพร่!S718"")+IMPORTRANGE(""https://docs.google.com/spreadshe"&amp;"ets/d/1dQrvX0vEcN7Gu0fnZ0B5S90AeR19zth4XlExFBeExMY/edit?usp=sharing"",""แม่ฮ่องสอน!S718"")+IMPORTRANGE(""https://docs.google.com/spreadsheets/d/1DY4XTNNwjluuxqdfdn6qvOSlMRrZqUtmYcZR0ttFiG4/edit?usp=sharing"",""ลำปาง!S718"")+IMPORTRANGE(""https://docs.goog"&amp;"le.com/spreadsheets/d/1ICwG78r0OFT8biBlxnBF8r7she7gNSzOvJ958PWT09c/edit?usp=sharing"",""ลำพูน!S718"")+IMPORTRANGE(""https://docs.google.com/spreadsheets/d/1B0f2xJpZUC6Z0xXnqKlZtEPzsf6L84eP1r1Q15seqRM/edit?usp=sharing"",""สุโขทัย!S718"")+IMPORTRANGE(""http"&amp;"s://docs.google.com/spreadsheets/d/1v0b9pFQCsKUVExMei7AgY2yQkdeNQvtOssygGsXbiKo/edit?usp=sharing"",""อุตรดิตถ์!S718"")+IMPORTRANGE(""https://docs.google.com/spreadsheets/d/1UsNK1e-WWiCo2PvGqdNfdme4m17_Ezd3J69EeeiQPD0/edit?usp=sharing"",""อุทัยธานี!S718"")"),0)</f>
        <v>0</v>
      </c>
      <c r="T718" s="48">
        <f t="shared" ca="1" si="492"/>
        <v>0</v>
      </c>
      <c r="U718" s="48">
        <f t="shared" ca="1" si="493"/>
        <v>0</v>
      </c>
    </row>
    <row r="719" spans="1:21" ht="18.75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46">
        <f ca="1">IFERROR(__xludf.DUMMYFUNCTION("IMPORTRANGE(""https://docs.google.com/spreadsheets/d/1jTcq05yEiRwXcBMLjiodW9e4biSGYWAHcDj22rKWQ3s/edit?usp=sharing"",""กำแพงเพชร!L719"")+IMPORTRANGE(""https://docs.google.com/spreadsheets/d/1KS0zmDSZPk8KnTAbGN-Xk6MtX1YRZD0ldgdt20K4CRk/edit?usp=sharing"","&amp;"""เชียงราย!L719"")+IMPORTRANGE(""https://docs.google.com/spreadsheets/d/1rEDxBtusbi64tE0zunoIbsTVV16HeL0oJ6trHQeQ7K8/edit?usp=sharing"",""เชียงใหม่!L719"")+IMPORTRANGE(""https://docs.google.com/spreadsheets/d/1W6MnUbDkMi6xHnHko_XkFDO9kkuL6Wqyc-6OCDFjW9I/e"&amp;"dit?usp=sharing"",""ตาก!L719"")+IMPORTRANGE(""https://docs.google.com/spreadsheets/d/1IQAWArduLkta9LpYo4a_ULsyqdta6-6aDDiwpUnQT6c/edit?usp=sharing"",""นครสวรรค์!L719"")+IMPORTRANGE(""https://docs.google.com/spreadsheets/d/10s13Sk5xrltsiR-Zkbmk5DwIaDIKO8Xl"&amp;"bJAfqyT7Gvg/edit?usp=sharing"",""น่าน!L719"")+IMPORTRANGE(""https://docs.google.com/spreadsheets/d/1uu4nAn4Dbi1XREnLKKotUANlKXa7yCgRcgq8HEzQYW8/edit?usp=sharing"",""พะเยา!L719"")+IMPORTRANGE(""https://docs.google.com/spreadsheets/d/1xfJKIQxVOaPDIICqsflNlL"&amp;"u3JacTDk1FP9RH4phX7mI/edit?usp=sharing"",""พิจิตร!L719"")+IMPORTRANGE(""https://docs.google.com/spreadsheets/d/1JtRfZkJMHtEhI5RdRHxYUG4FIZHqKDpNyIuN7A1Q0_k/edit?usp=sharing"",""พิษณุโลก!L719"")+IMPORTRANGE(""https://docs.google.com/spreadsheets/d/1xlcVZWU"&amp;"Nn6SuWm0c307h32SiGkd9BaeQWlAktfD3KO8/edit?usp=sharing"",""เพชรบูรณ์!L719"")+IMPORTRANGE(""https://docs.google.com/spreadsheets/d/1lOVebEIsI9qjGXl6EX66luk7wiuP2tBaryw-wKvv4e0/edit?usp=sharing"",""แพร่!L719"")+IMPORTRANGE(""https://docs.google.com/spreadshe"&amp;"ets/d/1dQrvX0vEcN7Gu0fnZ0B5S90AeR19zth4XlExFBeExMY/edit?usp=sharing"",""แม่ฮ่องสอน!L719"")+IMPORTRANGE(""https://docs.google.com/spreadsheets/d/1DY4XTNNwjluuxqdfdn6qvOSlMRrZqUtmYcZR0ttFiG4/edit?usp=sharing"",""ลำปาง!L719"")+IMPORTRANGE(""https://docs.goog"&amp;"le.com/spreadsheets/d/1ICwG78r0OFT8biBlxnBF8r7she7gNSzOvJ958PWT09c/edit?usp=sharing"",""ลำพูน!L719"")+IMPORTRANGE(""https://docs.google.com/spreadsheets/d/1B0f2xJpZUC6Z0xXnqKlZtEPzsf6L84eP1r1Q15seqRM/edit?usp=sharing"",""สุโขทัย!L719"")+IMPORTRANGE(""http"&amp;"s://docs.google.com/spreadsheets/d/1v0b9pFQCsKUVExMei7AgY2yQkdeNQvtOssygGsXbiKo/edit?usp=sharing"",""อุตรดิตถ์!L719"")+IMPORTRANGE(""https://docs.google.com/spreadsheets/d/1UsNK1e-WWiCo2PvGqdNfdme4m17_Ezd3J69EeeiQPD0/edit?usp=sharing"",""อุทัยธานี!L719"")"),0)</f>
        <v>0</v>
      </c>
      <c r="M719" s="46">
        <f ca="1">IFERROR(__xludf.DUMMYFUNCTION("IMPORTRANGE(""https://docs.google.com/spreadsheets/d/1jTcq05yEiRwXcBMLjiodW9e4biSGYWAHcDj22rKWQ3s/edit?usp=sharing"",""กำแพงเพชร!M719"")+IMPORTRANGE(""https://docs.google.com/spreadsheets/d/1KS0zmDSZPk8KnTAbGN-Xk6MtX1YRZD0ldgdt20K4CRk/edit?usp=sharing"","&amp;"""เชียงราย!M719"")+IMPORTRANGE(""https://docs.google.com/spreadsheets/d/1rEDxBtusbi64tE0zunoIbsTVV16HeL0oJ6trHQeQ7K8/edit?usp=sharing"",""เชียงใหม่!M719"")+IMPORTRANGE(""https://docs.google.com/spreadsheets/d/1W6MnUbDkMi6xHnHko_XkFDO9kkuL6Wqyc-6OCDFjW9I/e"&amp;"dit?usp=sharing"",""ตาก!M719"")+IMPORTRANGE(""https://docs.google.com/spreadsheets/d/1IQAWArduLkta9LpYo4a_ULsyqdta6-6aDDiwpUnQT6c/edit?usp=sharing"",""นครสวรรค์!M719"")+IMPORTRANGE(""https://docs.google.com/spreadsheets/d/10s13Sk5xrltsiR-Zkbmk5DwIaDIKO8Xl"&amp;"bJAfqyT7Gvg/edit?usp=sharing"",""น่าน!M719"")+IMPORTRANGE(""https://docs.google.com/spreadsheets/d/1uu4nAn4Dbi1XREnLKKotUANlKXa7yCgRcgq8HEzQYW8/edit?usp=sharing"",""พะเยา!M719"")+IMPORTRANGE(""https://docs.google.com/spreadsheets/d/1xfJKIQxVOaPDIICqsflNlL"&amp;"u3JacTDk1FP9RH4phX7mI/edit?usp=sharing"",""พิจิตร!M719"")+IMPORTRANGE(""https://docs.google.com/spreadsheets/d/1JtRfZkJMHtEhI5RdRHxYUG4FIZHqKDpNyIuN7A1Q0_k/edit?usp=sharing"",""พิษณุโลก!M719"")+IMPORTRANGE(""https://docs.google.com/spreadsheets/d/1xlcVZWU"&amp;"Nn6SuWm0c307h32SiGkd9BaeQWlAktfD3KO8/edit?usp=sharing"",""เพชรบูรณ์!M719"")+IMPORTRANGE(""https://docs.google.com/spreadsheets/d/1lOVebEIsI9qjGXl6EX66luk7wiuP2tBaryw-wKvv4e0/edit?usp=sharing"",""แพร่!M719"")+IMPORTRANGE(""https://docs.google.com/spreadshe"&amp;"ets/d/1dQrvX0vEcN7Gu0fnZ0B5S90AeR19zth4XlExFBeExMY/edit?usp=sharing"",""แม่ฮ่องสอน!M719"")+IMPORTRANGE(""https://docs.google.com/spreadsheets/d/1DY4XTNNwjluuxqdfdn6qvOSlMRrZqUtmYcZR0ttFiG4/edit?usp=sharing"",""ลำปาง!M719"")+IMPORTRANGE(""https://docs.goog"&amp;"le.com/spreadsheets/d/1ICwG78r0OFT8biBlxnBF8r7she7gNSzOvJ958PWT09c/edit?usp=sharing"",""ลำพูน!M719"")+IMPORTRANGE(""https://docs.google.com/spreadsheets/d/1B0f2xJpZUC6Z0xXnqKlZtEPzsf6L84eP1r1Q15seqRM/edit?usp=sharing"",""สุโขทัย!M719"")+IMPORTRANGE(""http"&amp;"s://docs.google.com/spreadsheets/d/1v0b9pFQCsKUVExMei7AgY2yQkdeNQvtOssygGsXbiKo/edit?usp=sharing"",""อุตรดิตถ์!M719"")+IMPORTRANGE(""https://docs.google.com/spreadsheets/d/1UsNK1e-WWiCo2PvGqdNfdme4m17_Ezd3J69EeeiQPD0/edit?usp=sharing"",""อุทัยธานี!M719"")"),0)</f>
        <v>0</v>
      </c>
      <c r="N719" s="46">
        <f ca="1">IFERROR(__xludf.DUMMYFUNCTION("IMPORTRANGE(""https://docs.google.com/spreadsheets/d/1jTcq05yEiRwXcBMLjiodW9e4biSGYWAHcDj22rKWQ3s/edit?usp=sharing"",""กำแพงเพชร!N719"")+IMPORTRANGE(""https://docs.google.com/spreadsheets/d/1KS0zmDSZPk8KnTAbGN-Xk6MtX1YRZD0ldgdt20K4CRk/edit?usp=sharing"","&amp;"""เชียงราย!N719"")+IMPORTRANGE(""https://docs.google.com/spreadsheets/d/1rEDxBtusbi64tE0zunoIbsTVV16HeL0oJ6trHQeQ7K8/edit?usp=sharing"",""เชียงใหม่!N719"")+IMPORTRANGE(""https://docs.google.com/spreadsheets/d/1W6MnUbDkMi6xHnHko_XkFDO9kkuL6Wqyc-6OCDFjW9I/e"&amp;"dit?usp=sharing"",""ตาก!N719"")+IMPORTRANGE(""https://docs.google.com/spreadsheets/d/1IQAWArduLkta9LpYo4a_ULsyqdta6-6aDDiwpUnQT6c/edit?usp=sharing"",""นครสวรรค์!N719"")+IMPORTRANGE(""https://docs.google.com/spreadsheets/d/10s13Sk5xrltsiR-Zkbmk5DwIaDIKO8Xl"&amp;"bJAfqyT7Gvg/edit?usp=sharing"",""น่าน!N719"")+IMPORTRANGE(""https://docs.google.com/spreadsheets/d/1uu4nAn4Dbi1XREnLKKotUANlKXa7yCgRcgq8HEzQYW8/edit?usp=sharing"",""พะเยา!N719"")+IMPORTRANGE(""https://docs.google.com/spreadsheets/d/1xfJKIQxVOaPDIICqsflNlL"&amp;"u3JacTDk1FP9RH4phX7mI/edit?usp=sharing"",""พิจิตร!N719"")+IMPORTRANGE(""https://docs.google.com/spreadsheets/d/1JtRfZkJMHtEhI5RdRHxYUG4FIZHqKDpNyIuN7A1Q0_k/edit?usp=sharing"",""พิษณุโลก!N719"")+IMPORTRANGE(""https://docs.google.com/spreadsheets/d/1xlcVZWU"&amp;"Nn6SuWm0c307h32SiGkd9BaeQWlAktfD3KO8/edit?usp=sharing"",""เพชรบูรณ์!N719"")+IMPORTRANGE(""https://docs.google.com/spreadsheets/d/1lOVebEIsI9qjGXl6EX66luk7wiuP2tBaryw-wKvv4e0/edit?usp=sharing"",""แพร่!N719"")+IMPORTRANGE(""https://docs.google.com/spreadshe"&amp;"ets/d/1dQrvX0vEcN7Gu0fnZ0B5S90AeR19zth4XlExFBeExMY/edit?usp=sharing"",""แม่ฮ่องสอน!N719"")+IMPORTRANGE(""https://docs.google.com/spreadsheets/d/1DY4XTNNwjluuxqdfdn6qvOSlMRrZqUtmYcZR0ttFiG4/edit?usp=sharing"",""ลำปาง!N719"")+IMPORTRANGE(""https://docs.goog"&amp;"le.com/spreadsheets/d/1ICwG78r0OFT8biBlxnBF8r7she7gNSzOvJ958PWT09c/edit?usp=sharing"",""ลำพูน!N719"")+IMPORTRANGE(""https://docs.google.com/spreadsheets/d/1B0f2xJpZUC6Z0xXnqKlZtEPzsf6L84eP1r1Q15seqRM/edit?usp=sharing"",""สุโขทัย!N719"")+IMPORTRANGE(""http"&amp;"s://docs.google.com/spreadsheets/d/1v0b9pFQCsKUVExMei7AgY2yQkdeNQvtOssygGsXbiKo/edit?usp=sharing"",""อุตรดิตถ์!N719"")+IMPORTRANGE(""https://docs.google.com/spreadsheets/d/1UsNK1e-WWiCo2PvGqdNfdme4m17_Ezd3J69EeeiQPD0/edit?usp=sharing"",""อุทัยธานี!N719"")"),0)</f>
        <v>0</v>
      </c>
      <c r="O719" s="46">
        <f t="shared" ca="1" si="489"/>
        <v>0</v>
      </c>
      <c r="P719" s="46">
        <f t="shared" ca="1" si="490"/>
        <v>0</v>
      </c>
      <c r="Q719" s="46">
        <f ca="1">IFERROR(__xludf.DUMMYFUNCTION("IMPORTRANGE(""https://docs.google.com/spreadsheets/d/1jTcq05yEiRwXcBMLjiodW9e4biSGYWAHcDj22rKWQ3s/edit?usp=sharing"",""กำแพงเพชร!Q719"")+IMPORTRANGE(""https://docs.google.com/spreadsheets/d/1KS0zmDSZPk8KnTAbGN-Xk6MtX1YRZD0ldgdt20K4CRk/edit?usp=sharing"","&amp;"""เชียงราย!Q719"")+IMPORTRANGE(""https://docs.google.com/spreadsheets/d/1rEDxBtusbi64tE0zunoIbsTVV16HeL0oJ6trHQeQ7K8/edit?usp=sharing"",""เชียงใหม่!Q719"")+IMPORTRANGE(""https://docs.google.com/spreadsheets/d/1W6MnUbDkMi6xHnHko_XkFDO9kkuL6Wqyc-6OCDFjW9I/e"&amp;"dit?usp=sharing"",""ตาก!Q719"")+IMPORTRANGE(""https://docs.google.com/spreadsheets/d/1IQAWArduLkta9LpYo4a_ULsyqdta6-6aDDiwpUnQT6c/edit?usp=sharing"",""นครสวรรค์!Q719"")+IMPORTRANGE(""https://docs.google.com/spreadsheets/d/10s13Sk5xrltsiR-Zkbmk5DwIaDIKO8Xl"&amp;"bJAfqyT7Gvg/edit?usp=sharing"",""น่าน!Q719"")+IMPORTRANGE(""https://docs.google.com/spreadsheets/d/1uu4nAn4Dbi1XREnLKKotUANlKXa7yCgRcgq8HEzQYW8/edit?usp=sharing"",""พะเยา!Q719"")+IMPORTRANGE(""https://docs.google.com/spreadsheets/d/1xfJKIQxVOaPDIICqsflNlL"&amp;"u3JacTDk1FP9RH4phX7mI/edit?usp=sharing"",""พิจิตร!Q719"")+IMPORTRANGE(""https://docs.google.com/spreadsheets/d/1JtRfZkJMHtEhI5RdRHxYUG4FIZHqKDpNyIuN7A1Q0_k/edit?usp=sharing"",""พิษณุโลก!Q719"")+IMPORTRANGE(""https://docs.google.com/spreadsheets/d/1xlcVZWU"&amp;"Nn6SuWm0c307h32SiGkd9BaeQWlAktfD3KO8/edit?usp=sharing"",""เพชรบูรณ์!Q719"")+IMPORTRANGE(""https://docs.google.com/spreadsheets/d/1lOVebEIsI9qjGXl6EX66luk7wiuP2tBaryw-wKvv4e0/edit?usp=sharing"",""แพร่!Q719"")+IMPORTRANGE(""https://docs.google.com/spreadshe"&amp;"ets/d/1dQrvX0vEcN7Gu0fnZ0B5S90AeR19zth4XlExFBeExMY/edit?usp=sharing"",""แม่ฮ่องสอน!Q719"")+IMPORTRANGE(""https://docs.google.com/spreadsheets/d/1DY4XTNNwjluuxqdfdn6qvOSlMRrZqUtmYcZR0ttFiG4/edit?usp=sharing"",""ลำปาง!Q719"")+IMPORTRANGE(""https://docs.goog"&amp;"le.com/spreadsheets/d/1ICwG78r0OFT8biBlxnBF8r7she7gNSzOvJ958PWT09c/edit?usp=sharing"",""ลำพูน!Q719"")+IMPORTRANGE(""https://docs.google.com/spreadsheets/d/1B0f2xJpZUC6Z0xXnqKlZtEPzsf6L84eP1r1Q15seqRM/edit?usp=sharing"",""สุโขทัย!Q719"")+IMPORTRANGE(""http"&amp;"s://docs.google.com/spreadsheets/d/1v0b9pFQCsKUVExMei7AgY2yQkdeNQvtOssygGsXbiKo/edit?usp=sharing"",""อุตรดิตถ์!Q719"")+IMPORTRANGE(""https://docs.google.com/spreadsheets/d/1UsNK1e-WWiCo2PvGqdNfdme4m17_Ezd3J69EeeiQPD0/edit?usp=sharing"",""อุทัยธานี!Q719"")"),0)</f>
        <v>0</v>
      </c>
      <c r="R719" s="46">
        <f ca="1">IFERROR(__xludf.DUMMYFUNCTION("IMPORTRANGE(""https://docs.google.com/spreadsheets/d/1jTcq05yEiRwXcBMLjiodW9e4biSGYWAHcDj22rKWQ3s/edit?usp=sharing"",""กำแพงเพชร!R719"")+IMPORTRANGE(""https://docs.google.com/spreadsheets/d/1KS0zmDSZPk8KnTAbGN-Xk6MtX1YRZD0ldgdt20K4CRk/edit?usp=sharing"","&amp;"""เชียงราย!R719"")+IMPORTRANGE(""https://docs.google.com/spreadsheets/d/1rEDxBtusbi64tE0zunoIbsTVV16HeL0oJ6trHQeQ7K8/edit?usp=sharing"",""เชียงใหม่!R719"")+IMPORTRANGE(""https://docs.google.com/spreadsheets/d/1W6MnUbDkMi6xHnHko_XkFDO9kkuL6Wqyc-6OCDFjW9I/e"&amp;"dit?usp=sharing"",""ตาก!R719"")+IMPORTRANGE(""https://docs.google.com/spreadsheets/d/1IQAWArduLkta9LpYo4a_ULsyqdta6-6aDDiwpUnQT6c/edit?usp=sharing"",""นครสวรรค์!R719"")+IMPORTRANGE(""https://docs.google.com/spreadsheets/d/10s13Sk5xrltsiR-Zkbmk5DwIaDIKO8Xl"&amp;"bJAfqyT7Gvg/edit?usp=sharing"",""น่าน!R719"")+IMPORTRANGE(""https://docs.google.com/spreadsheets/d/1uu4nAn4Dbi1XREnLKKotUANlKXa7yCgRcgq8HEzQYW8/edit?usp=sharing"",""พะเยา!R719"")+IMPORTRANGE(""https://docs.google.com/spreadsheets/d/1xfJKIQxVOaPDIICqsflNlL"&amp;"u3JacTDk1FP9RH4phX7mI/edit?usp=sharing"",""พิจิตร!R719"")+IMPORTRANGE(""https://docs.google.com/spreadsheets/d/1JtRfZkJMHtEhI5RdRHxYUG4FIZHqKDpNyIuN7A1Q0_k/edit?usp=sharing"",""พิษณุโลก!R719"")+IMPORTRANGE(""https://docs.google.com/spreadsheets/d/1xlcVZWU"&amp;"Nn6SuWm0c307h32SiGkd9BaeQWlAktfD3KO8/edit?usp=sharing"",""เพชรบูรณ์!R719"")+IMPORTRANGE(""https://docs.google.com/spreadsheets/d/1lOVebEIsI9qjGXl6EX66luk7wiuP2tBaryw-wKvv4e0/edit?usp=sharing"",""แพร่!R719"")+IMPORTRANGE(""https://docs.google.com/spreadshe"&amp;"ets/d/1dQrvX0vEcN7Gu0fnZ0B5S90AeR19zth4XlExFBeExMY/edit?usp=sharing"",""แม่ฮ่องสอน!R719"")+IMPORTRANGE(""https://docs.google.com/spreadsheets/d/1DY4XTNNwjluuxqdfdn6qvOSlMRrZqUtmYcZR0ttFiG4/edit?usp=sharing"",""ลำปาง!R719"")+IMPORTRANGE(""https://docs.goog"&amp;"le.com/spreadsheets/d/1ICwG78r0OFT8biBlxnBF8r7she7gNSzOvJ958PWT09c/edit?usp=sharing"",""ลำพูน!R719"")+IMPORTRANGE(""https://docs.google.com/spreadsheets/d/1B0f2xJpZUC6Z0xXnqKlZtEPzsf6L84eP1r1Q15seqRM/edit?usp=sharing"",""สุโขทัย!R719"")+IMPORTRANGE(""http"&amp;"s://docs.google.com/spreadsheets/d/1v0b9pFQCsKUVExMei7AgY2yQkdeNQvtOssygGsXbiKo/edit?usp=sharing"",""อุตรดิตถ์!R719"")+IMPORTRANGE(""https://docs.google.com/spreadsheets/d/1UsNK1e-WWiCo2PvGqdNfdme4m17_Ezd3J69EeeiQPD0/edit?usp=sharing"",""อุทัยธานี!R719"")"),0)</f>
        <v>0</v>
      </c>
      <c r="S719" s="46">
        <f ca="1">IFERROR(__xludf.DUMMYFUNCTION("IMPORTRANGE(""https://docs.google.com/spreadsheets/d/1jTcq05yEiRwXcBMLjiodW9e4biSGYWAHcDj22rKWQ3s/edit?usp=sharing"",""กำแพงเพชร!S719"")+IMPORTRANGE(""https://docs.google.com/spreadsheets/d/1KS0zmDSZPk8KnTAbGN-Xk6MtX1YRZD0ldgdt20K4CRk/edit?usp=sharing"","&amp;"""เชียงราย!S719"")+IMPORTRANGE(""https://docs.google.com/spreadsheets/d/1rEDxBtusbi64tE0zunoIbsTVV16HeL0oJ6trHQeQ7K8/edit?usp=sharing"",""เชียงใหม่!S719"")+IMPORTRANGE(""https://docs.google.com/spreadsheets/d/1W6MnUbDkMi6xHnHko_XkFDO9kkuL6Wqyc-6OCDFjW9I/e"&amp;"dit?usp=sharing"",""ตาก!S719"")+IMPORTRANGE(""https://docs.google.com/spreadsheets/d/1IQAWArduLkta9LpYo4a_ULsyqdta6-6aDDiwpUnQT6c/edit?usp=sharing"",""นครสวรรค์!S719"")+IMPORTRANGE(""https://docs.google.com/spreadsheets/d/10s13Sk5xrltsiR-Zkbmk5DwIaDIKO8Xl"&amp;"bJAfqyT7Gvg/edit?usp=sharing"",""น่าน!S719"")+IMPORTRANGE(""https://docs.google.com/spreadsheets/d/1uu4nAn4Dbi1XREnLKKotUANlKXa7yCgRcgq8HEzQYW8/edit?usp=sharing"",""พะเยา!S719"")+IMPORTRANGE(""https://docs.google.com/spreadsheets/d/1xfJKIQxVOaPDIICqsflNlL"&amp;"u3JacTDk1FP9RH4phX7mI/edit?usp=sharing"",""พิจิตร!S719"")+IMPORTRANGE(""https://docs.google.com/spreadsheets/d/1JtRfZkJMHtEhI5RdRHxYUG4FIZHqKDpNyIuN7A1Q0_k/edit?usp=sharing"",""พิษณุโลก!S719"")+IMPORTRANGE(""https://docs.google.com/spreadsheets/d/1xlcVZWU"&amp;"Nn6SuWm0c307h32SiGkd9BaeQWlAktfD3KO8/edit?usp=sharing"",""เพชรบูรณ์!S719"")+IMPORTRANGE(""https://docs.google.com/spreadsheets/d/1lOVebEIsI9qjGXl6EX66luk7wiuP2tBaryw-wKvv4e0/edit?usp=sharing"",""แพร่!S719"")+IMPORTRANGE(""https://docs.google.com/spreadshe"&amp;"ets/d/1dQrvX0vEcN7Gu0fnZ0B5S90AeR19zth4XlExFBeExMY/edit?usp=sharing"",""แม่ฮ่องสอน!S719"")+IMPORTRANGE(""https://docs.google.com/spreadsheets/d/1DY4XTNNwjluuxqdfdn6qvOSlMRrZqUtmYcZR0ttFiG4/edit?usp=sharing"",""ลำปาง!S719"")+IMPORTRANGE(""https://docs.goog"&amp;"le.com/spreadsheets/d/1ICwG78r0OFT8biBlxnBF8r7she7gNSzOvJ958PWT09c/edit?usp=sharing"",""ลำพูน!S719"")+IMPORTRANGE(""https://docs.google.com/spreadsheets/d/1B0f2xJpZUC6Z0xXnqKlZtEPzsf6L84eP1r1Q15seqRM/edit?usp=sharing"",""สุโขทัย!S719"")+IMPORTRANGE(""http"&amp;"s://docs.google.com/spreadsheets/d/1v0b9pFQCsKUVExMei7AgY2yQkdeNQvtOssygGsXbiKo/edit?usp=sharing"",""อุตรดิตถ์!S719"")+IMPORTRANGE(""https://docs.google.com/spreadsheets/d/1UsNK1e-WWiCo2PvGqdNfdme4m17_Ezd3J69EeeiQPD0/edit?usp=sharing"",""อุทัยธานี!S719"")"),0)</f>
        <v>0</v>
      </c>
      <c r="T719" s="46">
        <f t="shared" ca="1" si="492"/>
        <v>0</v>
      </c>
      <c r="U719" s="46">
        <f t="shared" ca="1" si="493"/>
        <v>0</v>
      </c>
    </row>
    <row r="720" spans="1:21" ht="19.5" x14ac:dyDescent="0.3">
      <c r="A720" s="128"/>
      <c r="B720" s="158"/>
      <c r="C720" s="158"/>
      <c r="D720" s="373" t="s">
        <v>23</v>
      </c>
      <c r="E720" s="40"/>
      <c r="F720" s="40"/>
      <c r="G720" s="42"/>
      <c r="H720" s="374" t="s">
        <v>14</v>
      </c>
      <c r="I720" s="135"/>
      <c r="J720" s="135"/>
      <c r="K720" s="136"/>
      <c r="L720" s="46">
        <f t="shared" ref="L720:N720" ca="1" si="500">L721+L722</f>
        <v>0</v>
      </c>
      <c r="M720" s="46">
        <f t="shared" ca="1" si="500"/>
        <v>0</v>
      </c>
      <c r="N720" s="46">
        <f t="shared" ca="1" si="500"/>
        <v>0</v>
      </c>
      <c r="O720" s="46">
        <f t="shared" ca="1" si="489"/>
        <v>0</v>
      </c>
      <c r="P720" s="46">
        <f t="shared" ca="1" si="490"/>
        <v>0</v>
      </c>
      <c r="Q720" s="46">
        <f t="shared" ref="Q720:S720" ca="1" si="501">Q721+Q722</f>
        <v>0</v>
      </c>
      <c r="R720" s="46">
        <f t="shared" ca="1" si="501"/>
        <v>0</v>
      </c>
      <c r="S720" s="46">
        <f t="shared" ca="1" si="501"/>
        <v>0</v>
      </c>
      <c r="T720" s="46">
        <f t="shared" ca="1" si="492"/>
        <v>0</v>
      </c>
      <c r="U720" s="46">
        <f t="shared" ca="1" si="493"/>
        <v>0</v>
      </c>
    </row>
    <row r="721" spans="1:21" ht="18.75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48">
        <f ca="1">IFERROR(__xludf.DUMMYFUNCTION("IMPORTRANGE(""https://docs.google.com/spreadsheets/d/1jTcq05yEiRwXcBMLjiodW9e4biSGYWAHcDj22rKWQ3s/edit?usp=sharing"",""กำแพงเพชร!L721"")+IMPORTRANGE(""https://docs.google.com/spreadsheets/d/1KS0zmDSZPk8KnTAbGN-Xk6MtX1YRZD0ldgdt20K4CRk/edit?usp=sharing"","&amp;"""เชียงราย!L721"")+IMPORTRANGE(""https://docs.google.com/spreadsheets/d/1rEDxBtusbi64tE0zunoIbsTVV16HeL0oJ6trHQeQ7K8/edit?usp=sharing"",""เชียงใหม่!L721"")+IMPORTRANGE(""https://docs.google.com/spreadsheets/d/1W6MnUbDkMi6xHnHko_XkFDO9kkuL6Wqyc-6OCDFjW9I/e"&amp;"dit?usp=sharing"",""ตาก!L721"")+IMPORTRANGE(""https://docs.google.com/spreadsheets/d/1IQAWArduLkta9LpYo4a_ULsyqdta6-6aDDiwpUnQT6c/edit?usp=sharing"",""นครสวรรค์!L721"")+IMPORTRANGE(""https://docs.google.com/spreadsheets/d/10s13Sk5xrltsiR-Zkbmk5DwIaDIKO8Xl"&amp;"bJAfqyT7Gvg/edit?usp=sharing"",""น่าน!L721"")+IMPORTRANGE(""https://docs.google.com/spreadsheets/d/1uu4nAn4Dbi1XREnLKKotUANlKXa7yCgRcgq8HEzQYW8/edit?usp=sharing"",""พะเยา!L721"")+IMPORTRANGE(""https://docs.google.com/spreadsheets/d/1xfJKIQxVOaPDIICqsflNlL"&amp;"u3JacTDk1FP9RH4phX7mI/edit?usp=sharing"",""พิจิตร!L721"")+IMPORTRANGE(""https://docs.google.com/spreadsheets/d/1JtRfZkJMHtEhI5RdRHxYUG4FIZHqKDpNyIuN7A1Q0_k/edit?usp=sharing"",""พิษณุโลก!L721"")+IMPORTRANGE(""https://docs.google.com/spreadsheets/d/1xlcVZWU"&amp;"Nn6SuWm0c307h32SiGkd9BaeQWlAktfD3KO8/edit?usp=sharing"",""เพชรบูรณ์!L721"")+IMPORTRANGE(""https://docs.google.com/spreadsheets/d/1lOVebEIsI9qjGXl6EX66luk7wiuP2tBaryw-wKvv4e0/edit?usp=sharing"",""แพร่!L721"")+IMPORTRANGE(""https://docs.google.com/spreadshe"&amp;"ets/d/1dQrvX0vEcN7Gu0fnZ0B5S90AeR19zth4XlExFBeExMY/edit?usp=sharing"",""แม่ฮ่องสอน!L721"")+IMPORTRANGE(""https://docs.google.com/spreadsheets/d/1DY4XTNNwjluuxqdfdn6qvOSlMRrZqUtmYcZR0ttFiG4/edit?usp=sharing"",""ลำปาง!L721"")+IMPORTRANGE(""https://docs.goog"&amp;"le.com/spreadsheets/d/1ICwG78r0OFT8biBlxnBF8r7she7gNSzOvJ958PWT09c/edit?usp=sharing"",""ลำพูน!L721"")+IMPORTRANGE(""https://docs.google.com/spreadsheets/d/1B0f2xJpZUC6Z0xXnqKlZtEPzsf6L84eP1r1Q15seqRM/edit?usp=sharing"",""สุโขทัย!L721"")+IMPORTRANGE(""http"&amp;"s://docs.google.com/spreadsheets/d/1v0b9pFQCsKUVExMei7AgY2yQkdeNQvtOssygGsXbiKo/edit?usp=sharing"",""อุตรดิตถ์!L721"")+IMPORTRANGE(""https://docs.google.com/spreadsheets/d/1UsNK1e-WWiCo2PvGqdNfdme4m17_Ezd3J69EeeiQPD0/edit?usp=sharing"",""อุทัยธานี!L721"")"),0)</f>
        <v>0</v>
      </c>
      <c r="M721" s="48">
        <f ca="1">IFERROR(__xludf.DUMMYFUNCTION("IMPORTRANGE(""https://docs.google.com/spreadsheets/d/1jTcq05yEiRwXcBMLjiodW9e4biSGYWAHcDj22rKWQ3s/edit?usp=sharing"",""กำแพงเพชร!M721"")+IMPORTRANGE(""https://docs.google.com/spreadsheets/d/1KS0zmDSZPk8KnTAbGN-Xk6MtX1YRZD0ldgdt20K4CRk/edit?usp=sharing"","&amp;"""เชียงราย!M721"")+IMPORTRANGE(""https://docs.google.com/spreadsheets/d/1rEDxBtusbi64tE0zunoIbsTVV16HeL0oJ6trHQeQ7K8/edit?usp=sharing"",""เชียงใหม่!M721"")+IMPORTRANGE(""https://docs.google.com/spreadsheets/d/1W6MnUbDkMi6xHnHko_XkFDO9kkuL6Wqyc-6OCDFjW9I/e"&amp;"dit?usp=sharing"",""ตาก!M721"")+IMPORTRANGE(""https://docs.google.com/spreadsheets/d/1IQAWArduLkta9LpYo4a_ULsyqdta6-6aDDiwpUnQT6c/edit?usp=sharing"",""นครสวรรค์!M721"")+IMPORTRANGE(""https://docs.google.com/spreadsheets/d/10s13Sk5xrltsiR-Zkbmk5DwIaDIKO8Xl"&amp;"bJAfqyT7Gvg/edit?usp=sharing"",""น่าน!M721"")+IMPORTRANGE(""https://docs.google.com/spreadsheets/d/1uu4nAn4Dbi1XREnLKKotUANlKXa7yCgRcgq8HEzQYW8/edit?usp=sharing"",""พะเยา!M721"")+IMPORTRANGE(""https://docs.google.com/spreadsheets/d/1xfJKIQxVOaPDIICqsflNlL"&amp;"u3JacTDk1FP9RH4phX7mI/edit?usp=sharing"",""พิจิตร!M721"")+IMPORTRANGE(""https://docs.google.com/spreadsheets/d/1JtRfZkJMHtEhI5RdRHxYUG4FIZHqKDpNyIuN7A1Q0_k/edit?usp=sharing"",""พิษณุโลก!M721"")+IMPORTRANGE(""https://docs.google.com/spreadsheets/d/1xlcVZWU"&amp;"Nn6SuWm0c307h32SiGkd9BaeQWlAktfD3KO8/edit?usp=sharing"",""เพชรบูรณ์!M721"")+IMPORTRANGE(""https://docs.google.com/spreadsheets/d/1lOVebEIsI9qjGXl6EX66luk7wiuP2tBaryw-wKvv4e0/edit?usp=sharing"",""แพร่!M721"")+IMPORTRANGE(""https://docs.google.com/spreadshe"&amp;"ets/d/1dQrvX0vEcN7Gu0fnZ0B5S90AeR19zth4XlExFBeExMY/edit?usp=sharing"",""แม่ฮ่องสอน!M721"")+IMPORTRANGE(""https://docs.google.com/spreadsheets/d/1DY4XTNNwjluuxqdfdn6qvOSlMRrZqUtmYcZR0ttFiG4/edit?usp=sharing"",""ลำปาง!M721"")+IMPORTRANGE(""https://docs.goog"&amp;"le.com/spreadsheets/d/1ICwG78r0OFT8biBlxnBF8r7she7gNSzOvJ958PWT09c/edit?usp=sharing"",""ลำพูน!M721"")+IMPORTRANGE(""https://docs.google.com/spreadsheets/d/1B0f2xJpZUC6Z0xXnqKlZtEPzsf6L84eP1r1Q15seqRM/edit?usp=sharing"",""สุโขทัย!M721"")+IMPORTRANGE(""http"&amp;"s://docs.google.com/spreadsheets/d/1v0b9pFQCsKUVExMei7AgY2yQkdeNQvtOssygGsXbiKo/edit?usp=sharing"",""อุตรดิตถ์!M721"")+IMPORTRANGE(""https://docs.google.com/spreadsheets/d/1UsNK1e-WWiCo2PvGqdNfdme4m17_Ezd3J69EeeiQPD0/edit?usp=sharing"",""อุทัยธานี!M721"")"),0)</f>
        <v>0</v>
      </c>
      <c r="N721" s="48">
        <f ca="1">IFERROR(__xludf.DUMMYFUNCTION("IMPORTRANGE(""https://docs.google.com/spreadsheets/d/1jTcq05yEiRwXcBMLjiodW9e4biSGYWAHcDj22rKWQ3s/edit?usp=sharing"",""กำแพงเพชร!N721"")+IMPORTRANGE(""https://docs.google.com/spreadsheets/d/1KS0zmDSZPk8KnTAbGN-Xk6MtX1YRZD0ldgdt20K4CRk/edit?usp=sharing"","&amp;"""เชียงราย!N721"")+IMPORTRANGE(""https://docs.google.com/spreadsheets/d/1rEDxBtusbi64tE0zunoIbsTVV16HeL0oJ6trHQeQ7K8/edit?usp=sharing"",""เชียงใหม่!N721"")+IMPORTRANGE(""https://docs.google.com/spreadsheets/d/1W6MnUbDkMi6xHnHko_XkFDO9kkuL6Wqyc-6OCDFjW9I/e"&amp;"dit?usp=sharing"",""ตาก!N721"")+IMPORTRANGE(""https://docs.google.com/spreadsheets/d/1IQAWArduLkta9LpYo4a_ULsyqdta6-6aDDiwpUnQT6c/edit?usp=sharing"",""นครสวรรค์!N721"")+IMPORTRANGE(""https://docs.google.com/spreadsheets/d/10s13Sk5xrltsiR-Zkbmk5DwIaDIKO8Xl"&amp;"bJAfqyT7Gvg/edit?usp=sharing"",""น่าน!N721"")+IMPORTRANGE(""https://docs.google.com/spreadsheets/d/1uu4nAn4Dbi1XREnLKKotUANlKXa7yCgRcgq8HEzQYW8/edit?usp=sharing"",""พะเยา!N721"")+IMPORTRANGE(""https://docs.google.com/spreadsheets/d/1xfJKIQxVOaPDIICqsflNlL"&amp;"u3JacTDk1FP9RH4phX7mI/edit?usp=sharing"",""พิจิตร!N721"")+IMPORTRANGE(""https://docs.google.com/spreadsheets/d/1JtRfZkJMHtEhI5RdRHxYUG4FIZHqKDpNyIuN7A1Q0_k/edit?usp=sharing"",""พิษณุโลก!N721"")+IMPORTRANGE(""https://docs.google.com/spreadsheets/d/1xlcVZWU"&amp;"Nn6SuWm0c307h32SiGkd9BaeQWlAktfD3KO8/edit?usp=sharing"",""เพชรบูรณ์!N721"")+IMPORTRANGE(""https://docs.google.com/spreadsheets/d/1lOVebEIsI9qjGXl6EX66luk7wiuP2tBaryw-wKvv4e0/edit?usp=sharing"",""แพร่!N721"")+IMPORTRANGE(""https://docs.google.com/spreadshe"&amp;"ets/d/1dQrvX0vEcN7Gu0fnZ0B5S90AeR19zth4XlExFBeExMY/edit?usp=sharing"",""แม่ฮ่องสอน!N721"")+IMPORTRANGE(""https://docs.google.com/spreadsheets/d/1DY4XTNNwjluuxqdfdn6qvOSlMRrZqUtmYcZR0ttFiG4/edit?usp=sharing"",""ลำปาง!N721"")+IMPORTRANGE(""https://docs.goog"&amp;"le.com/spreadsheets/d/1ICwG78r0OFT8biBlxnBF8r7she7gNSzOvJ958PWT09c/edit?usp=sharing"",""ลำพูน!N721"")+IMPORTRANGE(""https://docs.google.com/spreadsheets/d/1B0f2xJpZUC6Z0xXnqKlZtEPzsf6L84eP1r1Q15seqRM/edit?usp=sharing"",""สุโขทัย!N721"")+IMPORTRANGE(""http"&amp;"s://docs.google.com/spreadsheets/d/1v0b9pFQCsKUVExMei7AgY2yQkdeNQvtOssygGsXbiKo/edit?usp=sharing"",""อุตรดิตถ์!N721"")+IMPORTRANGE(""https://docs.google.com/spreadsheets/d/1UsNK1e-WWiCo2PvGqdNfdme4m17_Ezd3J69EeeiQPD0/edit?usp=sharing"",""อุทัยธานี!N721"")"),0)</f>
        <v>0</v>
      </c>
      <c r="O721" s="48">
        <f t="shared" ca="1" si="489"/>
        <v>0</v>
      </c>
      <c r="P721" s="48">
        <f t="shared" ca="1" si="490"/>
        <v>0</v>
      </c>
      <c r="Q721" s="48">
        <f ca="1">IFERROR(__xludf.DUMMYFUNCTION("IMPORTRANGE(""https://docs.google.com/spreadsheets/d/1jTcq05yEiRwXcBMLjiodW9e4biSGYWAHcDj22rKWQ3s/edit?usp=sharing"",""กำแพงเพชร!Q721"")+IMPORTRANGE(""https://docs.google.com/spreadsheets/d/1KS0zmDSZPk8KnTAbGN-Xk6MtX1YRZD0ldgdt20K4CRk/edit?usp=sharing"","&amp;"""เชียงราย!Q721"")+IMPORTRANGE(""https://docs.google.com/spreadsheets/d/1rEDxBtusbi64tE0zunoIbsTVV16HeL0oJ6trHQeQ7K8/edit?usp=sharing"",""เชียงใหม่!Q721"")+IMPORTRANGE(""https://docs.google.com/spreadsheets/d/1W6MnUbDkMi6xHnHko_XkFDO9kkuL6Wqyc-6OCDFjW9I/e"&amp;"dit?usp=sharing"",""ตาก!Q721"")+IMPORTRANGE(""https://docs.google.com/spreadsheets/d/1IQAWArduLkta9LpYo4a_ULsyqdta6-6aDDiwpUnQT6c/edit?usp=sharing"",""นครสวรรค์!Q721"")+IMPORTRANGE(""https://docs.google.com/spreadsheets/d/10s13Sk5xrltsiR-Zkbmk5DwIaDIKO8Xl"&amp;"bJAfqyT7Gvg/edit?usp=sharing"",""น่าน!Q721"")+IMPORTRANGE(""https://docs.google.com/spreadsheets/d/1uu4nAn4Dbi1XREnLKKotUANlKXa7yCgRcgq8HEzQYW8/edit?usp=sharing"",""พะเยา!Q721"")+IMPORTRANGE(""https://docs.google.com/spreadsheets/d/1xfJKIQxVOaPDIICqsflNlL"&amp;"u3JacTDk1FP9RH4phX7mI/edit?usp=sharing"",""พิจิตร!Q721"")+IMPORTRANGE(""https://docs.google.com/spreadsheets/d/1JtRfZkJMHtEhI5RdRHxYUG4FIZHqKDpNyIuN7A1Q0_k/edit?usp=sharing"",""พิษณุโลก!Q721"")+IMPORTRANGE(""https://docs.google.com/spreadsheets/d/1xlcVZWU"&amp;"Nn6SuWm0c307h32SiGkd9BaeQWlAktfD3KO8/edit?usp=sharing"",""เพชรบูรณ์!Q721"")+IMPORTRANGE(""https://docs.google.com/spreadsheets/d/1lOVebEIsI9qjGXl6EX66luk7wiuP2tBaryw-wKvv4e0/edit?usp=sharing"",""แพร่!Q721"")+IMPORTRANGE(""https://docs.google.com/spreadshe"&amp;"ets/d/1dQrvX0vEcN7Gu0fnZ0B5S90AeR19zth4XlExFBeExMY/edit?usp=sharing"",""แม่ฮ่องสอน!Q721"")+IMPORTRANGE(""https://docs.google.com/spreadsheets/d/1DY4XTNNwjluuxqdfdn6qvOSlMRrZqUtmYcZR0ttFiG4/edit?usp=sharing"",""ลำปาง!Q721"")+IMPORTRANGE(""https://docs.goog"&amp;"le.com/spreadsheets/d/1ICwG78r0OFT8biBlxnBF8r7she7gNSzOvJ958PWT09c/edit?usp=sharing"",""ลำพูน!Q721"")+IMPORTRANGE(""https://docs.google.com/spreadsheets/d/1B0f2xJpZUC6Z0xXnqKlZtEPzsf6L84eP1r1Q15seqRM/edit?usp=sharing"",""สุโขทัย!Q721"")+IMPORTRANGE(""http"&amp;"s://docs.google.com/spreadsheets/d/1v0b9pFQCsKUVExMei7AgY2yQkdeNQvtOssygGsXbiKo/edit?usp=sharing"",""อุตรดิตถ์!Q721"")+IMPORTRANGE(""https://docs.google.com/spreadsheets/d/1UsNK1e-WWiCo2PvGqdNfdme4m17_Ezd3J69EeeiQPD0/edit?usp=sharing"",""อุทัยธานี!Q721"")"),0)</f>
        <v>0</v>
      </c>
      <c r="R721" s="48">
        <f ca="1">IFERROR(__xludf.DUMMYFUNCTION("IMPORTRANGE(""https://docs.google.com/spreadsheets/d/1jTcq05yEiRwXcBMLjiodW9e4biSGYWAHcDj22rKWQ3s/edit?usp=sharing"",""กำแพงเพชร!R721"")+IMPORTRANGE(""https://docs.google.com/spreadsheets/d/1KS0zmDSZPk8KnTAbGN-Xk6MtX1YRZD0ldgdt20K4CRk/edit?usp=sharing"","&amp;"""เชียงราย!R721"")+IMPORTRANGE(""https://docs.google.com/spreadsheets/d/1rEDxBtusbi64tE0zunoIbsTVV16HeL0oJ6trHQeQ7K8/edit?usp=sharing"",""เชียงใหม่!R721"")+IMPORTRANGE(""https://docs.google.com/spreadsheets/d/1W6MnUbDkMi6xHnHko_XkFDO9kkuL6Wqyc-6OCDFjW9I/e"&amp;"dit?usp=sharing"",""ตาก!R721"")+IMPORTRANGE(""https://docs.google.com/spreadsheets/d/1IQAWArduLkta9LpYo4a_ULsyqdta6-6aDDiwpUnQT6c/edit?usp=sharing"",""นครสวรรค์!R721"")+IMPORTRANGE(""https://docs.google.com/spreadsheets/d/10s13Sk5xrltsiR-Zkbmk5DwIaDIKO8Xl"&amp;"bJAfqyT7Gvg/edit?usp=sharing"",""น่าน!R721"")+IMPORTRANGE(""https://docs.google.com/spreadsheets/d/1uu4nAn4Dbi1XREnLKKotUANlKXa7yCgRcgq8HEzQYW8/edit?usp=sharing"",""พะเยา!R721"")+IMPORTRANGE(""https://docs.google.com/spreadsheets/d/1xfJKIQxVOaPDIICqsflNlL"&amp;"u3JacTDk1FP9RH4phX7mI/edit?usp=sharing"",""พิจิตร!R721"")+IMPORTRANGE(""https://docs.google.com/spreadsheets/d/1JtRfZkJMHtEhI5RdRHxYUG4FIZHqKDpNyIuN7A1Q0_k/edit?usp=sharing"",""พิษณุโลก!R721"")+IMPORTRANGE(""https://docs.google.com/spreadsheets/d/1xlcVZWU"&amp;"Nn6SuWm0c307h32SiGkd9BaeQWlAktfD3KO8/edit?usp=sharing"",""เพชรบูรณ์!R721"")+IMPORTRANGE(""https://docs.google.com/spreadsheets/d/1lOVebEIsI9qjGXl6EX66luk7wiuP2tBaryw-wKvv4e0/edit?usp=sharing"",""แพร่!R721"")+IMPORTRANGE(""https://docs.google.com/spreadshe"&amp;"ets/d/1dQrvX0vEcN7Gu0fnZ0B5S90AeR19zth4XlExFBeExMY/edit?usp=sharing"",""แม่ฮ่องสอน!R721"")+IMPORTRANGE(""https://docs.google.com/spreadsheets/d/1DY4XTNNwjluuxqdfdn6qvOSlMRrZqUtmYcZR0ttFiG4/edit?usp=sharing"",""ลำปาง!R721"")+IMPORTRANGE(""https://docs.goog"&amp;"le.com/spreadsheets/d/1ICwG78r0OFT8biBlxnBF8r7she7gNSzOvJ958PWT09c/edit?usp=sharing"",""ลำพูน!R721"")+IMPORTRANGE(""https://docs.google.com/spreadsheets/d/1B0f2xJpZUC6Z0xXnqKlZtEPzsf6L84eP1r1Q15seqRM/edit?usp=sharing"",""สุโขทัย!R721"")+IMPORTRANGE(""http"&amp;"s://docs.google.com/spreadsheets/d/1v0b9pFQCsKUVExMei7AgY2yQkdeNQvtOssygGsXbiKo/edit?usp=sharing"",""อุตรดิตถ์!R721"")+IMPORTRANGE(""https://docs.google.com/spreadsheets/d/1UsNK1e-WWiCo2PvGqdNfdme4m17_Ezd3J69EeeiQPD0/edit?usp=sharing"",""อุทัยธานี!R721"")"),0)</f>
        <v>0</v>
      </c>
      <c r="S721" s="48">
        <f ca="1">IFERROR(__xludf.DUMMYFUNCTION("IMPORTRANGE(""https://docs.google.com/spreadsheets/d/1jTcq05yEiRwXcBMLjiodW9e4biSGYWAHcDj22rKWQ3s/edit?usp=sharing"",""กำแพงเพชร!S721"")+IMPORTRANGE(""https://docs.google.com/spreadsheets/d/1KS0zmDSZPk8KnTAbGN-Xk6MtX1YRZD0ldgdt20K4CRk/edit?usp=sharing"","&amp;"""เชียงราย!S721"")+IMPORTRANGE(""https://docs.google.com/spreadsheets/d/1rEDxBtusbi64tE0zunoIbsTVV16HeL0oJ6trHQeQ7K8/edit?usp=sharing"",""เชียงใหม่!S721"")+IMPORTRANGE(""https://docs.google.com/spreadsheets/d/1W6MnUbDkMi6xHnHko_XkFDO9kkuL6Wqyc-6OCDFjW9I/e"&amp;"dit?usp=sharing"",""ตาก!S721"")+IMPORTRANGE(""https://docs.google.com/spreadsheets/d/1IQAWArduLkta9LpYo4a_ULsyqdta6-6aDDiwpUnQT6c/edit?usp=sharing"",""นครสวรรค์!S721"")+IMPORTRANGE(""https://docs.google.com/spreadsheets/d/10s13Sk5xrltsiR-Zkbmk5DwIaDIKO8Xl"&amp;"bJAfqyT7Gvg/edit?usp=sharing"",""น่าน!S721"")+IMPORTRANGE(""https://docs.google.com/spreadsheets/d/1uu4nAn4Dbi1XREnLKKotUANlKXa7yCgRcgq8HEzQYW8/edit?usp=sharing"",""พะเยา!S721"")+IMPORTRANGE(""https://docs.google.com/spreadsheets/d/1xfJKIQxVOaPDIICqsflNlL"&amp;"u3JacTDk1FP9RH4phX7mI/edit?usp=sharing"",""พิจิตร!S721"")+IMPORTRANGE(""https://docs.google.com/spreadsheets/d/1JtRfZkJMHtEhI5RdRHxYUG4FIZHqKDpNyIuN7A1Q0_k/edit?usp=sharing"",""พิษณุโลก!S721"")+IMPORTRANGE(""https://docs.google.com/spreadsheets/d/1xlcVZWU"&amp;"Nn6SuWm0c307h32SiGkd9BaeQWlAktfD3KO8/edit?usp=sharing"",""เพชรบูรณ์!S721"")+IMPORTRANGE(""https://docs.google.com/spreadsheets/d/1lOVebEIsI9qjGXl6EX66luk7wiuP2tBaryw-wKvv4e0/edit?usp=sharing"",""แพร่!S721"")+IMPORTRANGE(""https://docs.google.com/spreadshe"&amp;"ets/d/1dQrvX0vEcN7Gu0fnZ0B5S90AeR19zth4XlExFBeExMY/edit?usp=sharing"",""แม่ฮ่องสอน!S721"")+IMPORTRANGE(""https://docs.google.com/spreadsheets/d/1DY4XTNNwjluuxqdfdn6qvOSlMRrZqUtmYcZR0ttFiG4/edit?usp=sharing"",""ลำปาง!S721"")+IMPORTRANGE(""https://docs.goog"&amp;"le.com/spreadsheets/d/1ICwG78r0OFT8biBlxnBF8r7she7gNSzOvJ958PWT09c/edit?usp=sharing"",""ลำพูน!S721"")+IMPORTRANGE(""https://docs.google.com/spreadsheets/d/1B0f2xJpZUC6Z0xXnqKlZtEPzsf6L84eP1r1Q15seqRM/edit?usp=sharing"",""สุโขทัย!S721"")+IMPORTRANGE(""http"&amp;"s://docs.google.com/spreadsheets/d/1v0b9pFQCsKUVExMei7AgY2yQkdeNQvtOssygGsXbiKo/edit?usp=sharing"",""อุตรดิตถ์!S721"")+IMPORTRANGE(""https://docs.google.com/spreadsheets/d/1UsNK1e-WWiCo2PvGqdNfdme4m17_Ezd3J69EeeiQPD0/edit?usp=sharing"",""อุทัยธานี!S721"")"),0)</f>
        <v>0</v>
      </c>
      <c r="T721" s="48">
        <f t="shared" ca="1" si="492"/>
        <v>0</v>
      </c>
      <c r="U721" s="48">
        <f t="shared" ca="1" si="493"/>
        <v>0</v>
      </c>
    </row>
    <row r="722" spans="1:21" ht="18.75" x14ac:dyDescent="0.25">
      <c r="A722" s="128"/>
      <c r="B722" s="158"/>
      <c r="C722" s="158"/>
      <c r="D722" s="40"/>
      <c r="E722" s="156" t="s">
        <v>21</v>
      </c>
      <c r="F722" s="40"/>
      <c r="G722" s="42"/>
      <c r="H722" s="375" t="s">
        <v>14</v>
      </c>
      <c r="I722" s="135"/>
      <c r="J722" s="135"/>
      <c r="K722" s="136"/>
      <c r="L722" s="46">
        <f ca="1">IFERROR(__xludf.DUMMYFUNCTION("IMPORTRANGE(""https://docs.google.com/spreadsheets/d/1jTcq05yEiRwXcBMLjiodW9e4biSGYWAHcDj22rKWQ3s/edit?usp=sharing"",""กำแพงเพชร!L722"")+IMPORTRANGE(""https://docs.google.com/spreadsheets/d/1KS0zmDSZPk8KnTAbGN-Xk6MtX1YRZD0ldgdt20K4CRk/edit?usp=sharing"","&amp;"""เชียงราย!L722"")+IMPORTRANGE(""https://docs.google.com/spreadsheets/d/1rEDxBtusbi64tE0zunoIbsTVV16HeL0oJ6trHQeQ7K8/edit?usp=sharing"",""เชียงใหม่!L722"")+IMPORTRANGE(""https://docs.google.com/spreadsheets/d/1W6MnUbDkMi6xHnHko_XkFDO9kkuL6Wqyc-6OCDFjW9I/e"&amp;"dit?usp=sharing"",""ตาก!L722"")+IMPORTRANGE(""https://docs.google.com/spreadsheets/d/1IQAWArduLkta9LpYo4a_ULsyqdta6-6aDDiwpUnQT6c/edit?usp=sharing"",""นครสวรรค์!L722"")+IMPORTRANGE(""https://docs.google.com/spreadsheets/d/10s13Sk5xrltsiR-Zkbmk5DwIaDIKO8Xl"&amp;"bJAfqyT7Gvg/edit?usp=sharing"",""น่าน!L722"")+IMPORTRANGE(""https://docs.google.com/spreadsheets/d/1uu4nAn4Dbi1XREnLKKotUANlKXa7yCgRcgq8HEzQYW8/edit?usp=sharing"",""พะเยา!L722"")+IMPORTRANGE(""https://docs.google.com/spreadsheets/d/1xfJKIQxVOaPDIICqsflNlL"&amp;"u3JacTDk1FP9RH4phX7mI/edit?usp=sharing"",""พิจิตร!L722"")+IMPORTRANGE(""https://docs.google.com/spreadsheets/d/1JtRfZkJMHtEhI5RdRHxYUG4FIZHqKDpNyIuN7A1Q0_k/edit?usp=sharing"",""พิษณุโลก!L722"")+IMPORTRANGE(""https://docs.google.com/spreadsheets/d/1xlcVZWU"&amp;"Nn6SuWm0c307h32SiGkd9BaeQWlAktfD3KO8/edit?usp=sharing"",""เพชรบูรณ์!L722"")+IMPORTRANGE(""https://docs.google.com/spreadsheets/d/1lOVebEIsI9qjGXl6EX66luk7wiuP2tBaryw-wKvv4e0/edit?usp=sharing"",""แพร่!L722"")+IMPORTRANGE(""https://docs.google.com/spreadshe"&amp;"ets/d/1dQrvX0vEcN7Gu0fnZ0B5S90AeR19zth4XlExFBeExMY/edit?usp=sharing"",""แม่ฮ่องสอน!L722"")+IMPORTRANGE(""https://docs.google.com/spreadsheets/d/1DY4XTNNwjluuxqdfdn6qvOSlMRrZqUtmYcZR0ttFiG4/edit?usp=sharing"",""ลำปาง!L722"")+IMPORTRANGE(""https://docs.goog"&amp;"le.com/spreadsheets/d/1ICwG78r0OFT8biBlxnBF8r7she7gNSzOvJ958PWT09c/edit?usp=sharing"",""ลำพูน!L722"")+IMPORTRANGE(""https://docs.google.com/spreadsheets/d/1B0f2xJpZUC6Z0xXnqKlZtEPzsf6L84eP1r1Q15seqRM/edit?usp=sharing"",""สุโขทัย!L722"")+IMPORTRANGE(""http"&amp;"s://docs.google.com/spreadsheets/d/1v0b9pFQCsKUVExMei7AgY2yQkdeNQvtOssygGsXbiKo/edit?usp=sharing"",""อุตรดิตถ์!L722"")+IMPORTRANGE(""https://docs.google.com/spreadsheets/d/1UsNK1e-WWiCo2PvGqdNfdme4m17_Ezd3J69EeeiQPD0/edit?usp=sharing"",""อุทัยธานี!L722"")"),0)</f>
        <v>0</v>
      </c>
      <c r="M722" s="46">
        <f ca="1">IFERROR(__xludf.DUMMYFUNCTION("IMPORTRANGE(""https://docs.google.com/spreadsheets/d/1jTcq05yEiRwXcBMLjiodW9e4biSGYWAHcDj22rKWQ3s/edit?usp=sharing"",""กำแพงเพชร!M722"")+IMPORTRANGE(""https://docs.google.com/spreadsheets/d/1KS0zmDSZPk8KnTAbGN-Xk6MtX1YRZD0ldgdt20K4CRk/edit?usp=sharing"","&amp;"""เชียงราย!M722"")+IMPORTRANGE(""https://docs.google.com/spreadsheets/d/1rEDxBtusbi64tE0zunoIbsTVV16HeL0oJ6trHQeQ7K8/edit?usp=sharing"",""เชียงใหม่!M722"")+IMPORTRANGE(""https://docs.google.com/spreadsheets/d/1W6MnUbDkMi6xHnHko_XkFDO9kkuL6Wqyc-6OCDFjW9I/e"&amp;"dit?usp=sharing"",""ตาก!M722"")+IMPORTRANGE(""https://docs.google.com/spreadsheets/d/1IQAWArduLkta9LpYo4a_ULsyqdta6-6aDDiwpUnQT6c/edit?usp=sharing"",""นครสวรรค์!M722"")+IMPORTRANGE(""https://docs.google.com/spreadsheets/d/10s13Sk5xrltsiR-Zkbmk5DwIaDIKO8Xl"&amp;"bJAfqyT7Gvg/edit?usp=sharing"",""น่าน!M722"")+IMPORTRANGE(""https://docs.google.com/spreadsheets/d/1uu4nAn4Dbi1XREnLKKotUANlKXa7yCgRcgq8HEzQYW8/edit?usp=sharing"",""พะเยา!M722"")+IMPORTRANGE(""https://docs.google.com/spreadsheets/d/1xfJKIQxVOaPDIICqsflNlL"&amp;"u3JacTDk1FP9RH4phX7mI/edit?usp=sharing"",""พิจิตร!M722"")+IMPORTRANGE(""https://docs.google.com/spreadsheets/d/1JtRfZkJMHtEhI5RdRHxYUG4FIZHqKDpNyIuN7A1Q0_k/edit?usp=sharing"",""พิษณุโลก!M722"")+IMPORTRANGE(""https://docs.google.com/spreadsheets/d/1xlcVZWU"&amp;"Nn6SuWm0c307h32SiGkd9BaeQWlAktfD3KO8/edit?usp=sharing"",""เพชรบูรณ์!M722"")+IMPORTRANGE(""https://docs.google.com/spreadsheets/d/1lOVebEIsI9qjGXl6EX66luk7wiuP2tBaryw-wKvv4e0/edit?usp=sharing"",""แพร่!M722"")+IMPORTRANGE(""https://docs.google.com/spreadshe"&amp;"ets/d/1dQrvX0vEcN7Gu0fnZ0B5S90AeR19zth4XlExFBeExMY/edit?usp=sharing"",""แม่ฮ่องสอน!M722"")+IMPORTRANGE(""https://docs.google.com/spreadsheets/d/1DY4XTNNwjluuxqdfdn6qvOSlMRrZqUtmYcZR0ttFiG4/edit?usp=sharing"",""ลำปาง!M722"")+IMPORTRANGE(""https://docs.goog"&amp;"le.com/spreadsheets/d/1ICwG78r0OFT8biBlxnBF8r7she7gNSzOvJ958PWT09c/edit?usp=sharing"",""ลำพูน!M722"")+IMPORTRANGE(""https://docs.google.com/spreadsheets/d/1B0f2xJpZUC6Z0xXnqKlZtEPzsf6L84eP1r1Q15seqRM/edit?usp=sharing"",""สุโขทัย!M722"")+IMPORTRANGE(""http"&amp;"s://docs.google.com/spreadsheets/d/1v0b9pFQCsKUVExMei7AgY2yQkdeNQvtOssygGsXbiKo/edit?usp=sharing"",""อุตรดิตถ์!M722"")+IMPORTRANGE(""https://docs.google.com/spreadsheets/d/1UsNK1e-WWiCo2PvGqdNfdme4m17_Ezd3J69EeeiQPD0/edit?usp=sharing"",""อุทัยธานี!M722"")"),0)</f>
        <v>0</v>
      </c>
      <c r="N722" s="46">
        <f ca="1">IFERROR(__xludf.DUMMYFUNCTION("IMPORTRANGE(""https://docs.google.com/spreadsheets/d/1jTcq05yEiRwXcBMLjiodW9e4biSGYWAHcDj22rKWQ3s/edit?usp=sharing"",""กำแพงเพชร!N722"")+IMPORTRANGE(""https://docs.google.com/spreadsheets/d/1KS0zmDSZPk8KnTAbGN-Xk6MtX1YRZD0ldgdt20K4CRk/edit?usp=sharing"","&amp;"""เชียงราย!N722"")+IMPORTRANGE(""https://docs.google.com/spreadsheets/d/1rEDxBtusbi64tE0zunoIbsTVV16HeL0oJ6trHQeQ7K8/edit?usp=sharing"",""เชียงใหม่!N722"")+IMPORTRANGE(""https://docs.google.com/spreadsheets/d/1W6MnUbDkMi6xHnHko_XkFDO9kkuL6Wqyc-6OCDFjW9I/e"&amp;"dit?usp=sharing"",""ตาก!N722"")+IMPORTRANGE(""https://docs.google.com/spreadsheets/d/1IQAWArduLkta9LpYo4a_ULsyqdta6-6aDDiwpUnQT6c/edit?usp=sharing"",""นครสวรรค์!N722"")+IMPORTRANGE(""https://docs.google.com/spreadsheets/d/10s13Sk5xrltsiR-Zkbmk5DwIaDIKO8Xl"&amp;"bJAfqyT7Gvg/edit?usp=sharing"",""น่าน!N722"")+IMPORTRANGE(""https://docs.google.com/spreadsheets/d/1uu4nAn4Dbi1XREnLKKotUANlKXa7yCgRcgq8HEzQYW8/edit?usp=sharing"",""พะเยา!N722"")+IMPORTRANGE(""https://docs.google.com/spreadsheets/d/1xfJKIQxVOaPDIICqsflNlL"&amp;"u3JacTDk1FP9RH4phX7mI/edit?usp=sharing"",""พิจิตร!N722"")+IMPORTRANGE(""https://docs.google.com/spreadsheets/d/1JtRfZkJMHtEhI5RdRHxYUG4FIZHqKDpNyIuN7A1Q0_k/edit?usp=sharing"",""พิษณุโลก!N722"")+IMPORTRANGE(""https://docs.google.com/spreadsheets/d/1xlcVZWU"&amp;"Nn6SuWm0c307h32SiGkd9BaeQWlAktfD3KO8/edit?usp=sharing"",""เพชรบูรณ์!N722"")+IMPORTRANGE(""https://docs.google.com/spreadsheets/d/1lOVebEIsI9qjGXl6EX66luk7wiuP2tBaryw-wKvv4e0/edit?usp=sharing"",""แพร่!N722"")+IMPORTRANGE(""https://docs.google.com/spreadshe"&amp;"ets/d/1dQrvX0vEcN7Gu0fnZ0B5S90AeR19zth4XlExFBeExMY/edit?usp=sharing"",""แม่ฮ่องสอน!N722"")+IMPORTRANGE(""https://docs.google.com/spreadsheets/d/1DY4XTNNwjluuxqdfdn6qvOSlMRrZqUtmYcZR0ttFiG4/edit?usp=sharing"",""ลำปาง!N722"")+IMPORTRANGE(""https://docs.goog"&amp;"le.com/spreadsheets/d/1ICwG78r0OFT8biBlxnBF8r7she7gNSzOvJ958PWT09c/edit?usp=sharing"",""ลำพูน!N722"")+IMPORTRANGE(""https://docs.google.com/spreadsheets/d/1B0f2xJpZUC6Z0xXnqKlZtEPzsf6L84eP1r1Q15seqRM/edit?usp=sharing"",""สุโขทัย!N722"")+IMPORTRANGE(""http"&amp;"s://docs.google.com/spreadsheets/d/1v0b9pFQCsKUVExMei7AgY2yQkdeNQvtOssygGsXbiKo/edit?usp=sharing"",""อุตรดิตถ์!N722"")+IMPORTRANGE(""https://docs.google.com/spreadsheets/d/1UsNK1e-WWiCo2PvGqdNfdme4m17_Ezd3J69EeeiQPD0/edit?usp=sharing"",""อุทัยธานี!N722"")"),0)</f>
        <v>0</v>
      </c>
      <c r="O722" s="46">
        <f t="shared" ca="1" si="489"/>
        <v>0</v>
      </c>
      <c r="P722" s="46">
        <f t="shared" ca="1" si="490"/>
        <v>0</v>
      </c>
      <c r="Q722" s="46">
        <f ca="1">IFERROR(__xludf.DUMMYFUNCTION("IMPORTRANGE(""https://docs.google.com/spreadsheets/d/1jTcq05yEiRwXcBMLjiodW9e4biSGYWAHcDj22rKWQ3s/edit?usp=sharing"",""กำแพงเพชร!Q722"")+IMPORTRANGE(""https://docs.google.com/spreadsheets/d/1KS0zmDSZPk8KnTAbGN-Xk6MtX1YRZD0ldgdt20K4CRk/edit?usp=sharing"","&amp;"""เชียงราย!Q722"")+IMPORTRANGE(""https://docs.google.com/spreadsheets/d/1rEDxBtusbi64tE0zunoIbsTVV16HeL0oJ6trHQeQ7K8/edit?usp=sharing"",""เชียงใหม่!Q722"")+IMPORTRANGE(""https://docs.google.com/spreadsheets/d/1W6MnUbDkMi6xHnHko_XkFDO9kkuL6Wqyc-6OCDFjW9I/e"&amp;"dit?usp=sharing"",""ตาก!Q722"")+IMPORTRANGE(""https://docs.google.com/spreadsheets/d/1IQAWArduLkta9LpYo4a_ULsyqdta6-6aDDiwpUnQT6c/edit?usp=sharing"",""นครสวรรค์!Q722"")+IMPORTRANGE(""https://docs.google.com/spreadsheets/d/10s13Sk5xrltsiR-Zkbmk5DwIaDIKO8Xl"&amp;"bJAfqyT7Gvg/edit?usp=sharing"",""น่าน!Q722"")+IMPORTRANGE(""https://docs.google.com/spreadsheets/d/1uu4nAn4Dbi1XREnLKKotUANlKXa7yCgRcgq8HEzQYW8/edit?usp=sharing"",""พะเยา!Q722"")+IMPORTRANGE(""https://docs.google.com/spreadsheets/d/1xfJKIQxVOaPDIICqsflNlL"&amp;"u3JacTDk1FP9RH4phX7mI/edit?usp=sharing"",""พิจิตร!Q722"")+IMPORTRANGE(""https://docs.google.com/spreadsheets/d/1JtRfZkJMHtEhI5RdRHxYUG4FIZHqKDpNyIuN7A1Q0_k/edit?usp=sharing"",""พิษณุโลก!Q722"")+IMPORTRANGE(""https://docs.google.com/spreadsheets/d/1xlcVZWU"&amp;"Nn6SuWm0c307h32SiGkd9BaeQWlAktfD3KO8/edit?usp=sharing"",""เพชรบูรณ์!Q722"")+IMPORTRANGE(""https://docs.google.com/spreadsheets/d/1lOVebEIsI9qjGXl6EX66luk7wiuP2tBaryw-wKvv4e0/edit?usp=sharing"",""แพร่!Q722"")+IMPORTRANGE(""https://docs.google.com/spreadshe"&amp;"ets/d/1dQrvX0vEcN7Gu0fnZ0B5S90AeR19zth4XlExFBeExMY/edit?usp=sharing"",""แม่ฮ่องสอน!Q722"")+IMPORTRANGE(""https://docs.google.com/spreadsheets/d/1DY4XTNNwjluuxqdfdn6qvOSlMRrZqUtmYcZR0ttFiG4/edit?usp=sharing"",""ลำปาง!Q722"")+IMPORTRANGE(""https://docs.goog"&amp;"le.com/spreadsheets/d/1ICwG78r0OFT8biBlxnBF8r7she7gNSzOvJ958PWT09c/edit?usp=sharing"",""ลำพูน!Q722"")+IMPORTRANGE(""https://docs.google.com/spreadsheets/d/1B0f2xJpZUC6Z0xXnqKlZtEPzsf6L84eP1r1Q15seqRM/edit?usp=sharing"",""สุโขทัย!Q722"")+IMPORTRANGE(""http"&amp;"s://docs.google.com/spreadsheets/d/1v0b9pFQCsKUVExMei7AgY2yQkdeNQvtOssygGsXbiKo/edit?usp=sharing"",""อุตรดิตถ์!Q722"")+IMPORTRANGE(""https://docs.google.com/spreadsheets/d/1UsNK1e-WWiCo2PvGqdNfdme4m17_Ezd3J69EeeiQPD0/edit?usp=sharing"",""อุทัยธานี!Q722"")"),0)</f>
        <v>0</v>
      </c>
      <c r="R722" s="46">
        <f ca="1">IFERROR(__xludf.DUMMYFUNCTION("IMPORTRANGE(""https://docs.google.com/spreadsheets/d/1jTcq05yEiRwXcBMLjiodW9e4biSGYWAHcDj22rKWQ3s/edit?usp=sharing"",""กำแพงเพชร!R722"")+IMPORTRANGE(""https://docs.google.com/spreadsheets/d/1KS0zmDSZPk8KnTAbGN-Xk6MtX1YRZD0ldgdt20K4CRk/edit?usp=sharing"","&amp;"""เชียงราย!R722"")+IMPORTRANGE(""https://docs.google.com/spreadsheets/d/1rEDxBtusbi64tE0zunoIbsTVV16HeL0oJ6trHQeQ7K8/edit?usp=sharing"",""เชียงใหม่!R722"")+IMPORTRANGE(""https://docs.google.com/spreadsheets/d/1W6MnUbDkMi6xHnHko_XkFDO9kkuL6Wqyc-6OCDFjW9I/e"&amp;"dit?usp=sharing"",""ตาก!R722"")+IMPORTRANGE(""https://docs.google.com/spreadsheets/d/1IQAWArduLkta9LpYo4a_ULsyqdta6-6aDDiwpUnQT6c/edit?usp=sharing"",""นครสวรรค์!R722"")+IMPORTRANGE(""https://docs.google.com/spreadsheets/d/10s13Sk5xrltsiR-Zkbmk5DwIaDIKO8Xl"&amp;"bJAfqyT7Gvg/edit?usp=sharing"",""น่าน!R722"")+IMPORTRANGE(""https://docs.google.com/spreadsheets/d/1uu4nAn4Dbi1XREnLKKotUANlKXa7yCgRcgq8HEzQYW8/edit?usp=sharing"",""พะเยา!R722"")+IMPORTRANGE(""https://docs.google.com/spreadsheets/d/1xfJKIQxVOaPDIICqsflNlL"&amp;"u3JacTDk1FP9RH4phX7mI/edit?usp=sharing"",""พิจิตร!R722"")+IMPORTRANGE(""https://docs.google.com/spreadsheets/d/1JtRfZkJMHtEhI5RdRHxYUG4FIZHqKDpNyIuN7A1Q0_k/edit?usp=sharing"",""พิษณุโลก!R722"")+IMPORTRANGE(""https://docs.google.com/spreadsheets/d/1xlcVZWU"&amp;"Nn6SuWm0c307h32SiGkd9BaeQWlAktfD3KO8/edit?usp=sharing"",""เพชรบูรณ์!R722"")+IMPORTRANGE(""https://docs.google.com/spreadsheets/d/1lOVebEIsI9qjGXl6EX66luk7wiuP2tBaryw-wKvv4e0/edit?usp=sharing"",""แพร่!R722"")+IMPORTRANGE(""https://docs.google.com/spreadshe"&amp;"ets/d/1dQrvX0vEcN7Gu0fnZ0B5S90AeR19zth4XlExFBeExMY/edit?usp=sharing"",""แม่ฮ่องสอน!R722"")+IMPORTRANGE(""https://docs.google.com/spreadsheets/d/1DY4XTNNwjluuxqdfdn6qvOSlMRrZqUtmYcZR0ttFiG4/edit?usp=sharing"",""ลำปาง!R722"")+IMPORTRANGE(""https://docs.goog"&amp;"le.com/spreadsheets/d/1ICwG78r0OFT8biBlxnBF8r7she7gNSzOvJ958PWT09c/edit?usp=sharing"",""ลำพูน!R722"")+IMPORTRANGE(""https://docs.google.com/spreadsheets/d/1B0f2xJpZUC6Z0xXnqKlZtEPzsf6L84eP1r1Q15seqRM/edit?usp=sharing"",""สุโขทัย!R722"")+IMPORTRANGE(""http"&amp;"s://docs.google.com/spreadsheets/d/1v0b9pFQCsKUVExMei7AgY2yQkdeNQvtOssygGsXbiKo/edit?usp=sharing"",""อุตรดิตถ์!R722"")+IMPORTRANGE(""https://docs.google.com/spreadsheets/d/1UsNK1e-WWiCo2PvGqdNfdme4m17_Ezd3J69EeeiQPD0/edit?usp=sharing"",""อุทัยธานี!R722"")"),0)</f>
        <v>0</v>
      </c>
      <c r="S722" s="46">
        <f ca="1">IFERROR(__xludf.DUMMYFUNCTION("IMPORTRANGE(""https://docs.google.com/spreadsheets/d/1jTcq05yEiRwXcBMLjiodW9e4biSGYWAHcDj22rKWQ3s/edit?usp=sharing"",""กำแพงเพชร!S722"")+IMPORTRANGE(""https://docs.google.com/spreadsheets/d/1KS0zmDSZPk8KnTAbGN-Xk6MtX1YRZD0ldgdt20K4CRk/edit?usp=sharing"","&amp;"""เชียงราย!S722"")+IMPORTRANGE(""https://docs.google.com/spreadsheets/d/1rEDxBtusbi64tE0zunoIbsTVV16HeL0oJ6trHQeQ7K8/edit?usp=sharing"",""เชียงใหม่!S722"")+IMPORTRANGE(""https://docs.google.com/spreadsheets/d/1W6MnUbDkMi6xHnHko_XkFDO9kkuL6Wqyc-6OCDFjW9I/e"&amp;"dit?usp=sharing"",""ตาก!S722"")+IMPORTRANGE(""https://docs.google.com/spreadsheets/d/1IQAWArduLkta9LpYo4a_ULsyqdta6-6aDDiwpUnQT6c/edit?usp=sharing"",""นครสวรรค์!S722"")+IMPORTRANGE(""https://docs.google.com/spreadsheets/d/10s13Sk5xrltsiR-Zkbmk5DwIaDIKO8Xl"&amp;"bJAfqyT7Gvg/edit?usp=sharing"",""น่าน!S722"")+IMPORTRANGE(""https://docs.google.com/spreadsheets/d/1uu4nAn4Dbi1XREnLKKotUANlKXa7yCgRcgq8HEzQYW8/edit?usp=sharing"",""พะเยา!S722"")+IMPORTRANGE(""https://docs.google.com/spreadsheets/d/1xfJKIQxVOaPDIICqsflNlL"&amp;"u3JacTDk1FP9RH4phX7mI/edit?usp=sharing"",""พิจิตร!S722"")+IMPORTRANGE(""https://docs.google.com/spreadsheets/d/1JtRfZkJMHtEhI5RdRHxYUG4FIZHqKDpNyIuN7A1Q0_k/edit?usp=sharing"",""พิษณุโลก!S722"")+IMPORTRANGE(""https://docs.google.com/spreadsheets/d/1xlcVZWU"&amp;"Nn6SuWm0c307h32SiGkd9BaeQWlAktfD3KO8/edit?usp=sharing"",""เพชรบูรณ์!S722"")+IMPORTRANGE(""https://docs.google.com/spreadsheets/d/1lOVebEIsI9qjGXl6EX66luk7wiuP2tBaryw-wKvv4e0/edit?usp=sharing"",""แพร่!S722"")+IMPORTRANGE(""https://docs.google.com/spreadshe"&amp;"ets/d/1dQrvX0vEcN7Gu0fnZ0B5S90AeR19zth4XlExFBeExMY/edit?usp=sharing"",""แม่ฮ่องสอน!S722"")+IMPORTRANGE(""https://docs.google.com/spreadsheets/d/1DY4XTNNwjluuxqdfdn6qvOSlMRrZqUtmYcZR0ttFiG4/edit?usp=sharing"",""ลำปาง!S722"")+IMPORTRANGE(""https://docs.goog"&amp;"le.com/spreadsheets/d/1ICwG78r0OFT8biBlxnBF8r7she7gNSzOvJ958PWT09c/edit?usp=sharing"",""ลำพูน!S722"")+IMPORTRANGE(""https://docs.google.com/spreadsheets/d/1B0f2xJpZUC6Z0xXnqKlZtEPzsf6L84eP1r1Q15seqRM/edit?usp=sharing"",""สุโขทัย!S722"")+IMPORTRANGE(""http"&amp;"s://docs.google.com/spreadsheets/d/1v0b9pFQCsKUVExMei7AgY2yQkdeNQvtOssygGsXbiKo/edit?usp=sharing"",""อุตรดิตถ์!S722"")+IMPORTRANGE(""https://docs.google.com/spreadsheets/d/1UsNK1e-WWiCo2PvGqdNfdme4m17_Ezd3J69EeeiQPD0/edit?usp=sharing"",""อุทัยธานี!S722"")"),0)</f>
        <v>0</v>
      </c>
      <c r="T722" s="46">
        <f t="shared" ca="1" si="492"/>
        <v>0</v>
      </c>
      <c r="U722" s="46">
        <f t="shared" ca="1" si="493"/>
        <v>0</v>
      </c>
    </row>
    <row r="723" spans="1:21" ht="19.5" x14ac:dyDescent="0.3">
      <c r="A723" s="138"/>
      <c r="B723" s="139"/>
      <c r="C723" s="314" t="s">
        <v>18</v>
      </c>
      <c r="D723" s="429" t="s">
        <v>38</v>
      </c>
      <c r="E723" s="141"/>
      <c r="F723" s="141"/>
      <c r="G723" s="142"/>
      <c r="H723" s="178"/>
      <c r="I723" s="135"/>
      <c r="J723" s="135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30">
        <v>0</v>
      </c>
      <c r="J724" s="44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x14ac:dyDescent="0.25">
      <c r="A725" s="329"/>
      <c r="B725" s="2"/>
      <c r="C725" s="2"/>
      <c r="D725" s="1"/>
      <c r="E725" s="431" t="s">
        <v>268</v>
      </c>
      <c r="F725" s="1"/>
      <c r="G725" s="52"/>
      <c r="H725" s="432" t="s">
        <v>46</v>
      </c>
      <c r="I725" s="433">
        <v>0</v>
      </c>
      <c r="J725" s="54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94"/>
      <c r="B726" s="395" t="s">
        <v>269</v>
      </c>
      <c r="C726" s="394"/>
      <c r="D726" s="396"/>
      <c r="E726" s="396"/>
      <c r="F726" s="396"/>
      <c r="G726" s="397"/>
      <c r="H726" s="434" t="s">
        <v>35</v>
      </c>
      <c r="I726" s="435">
        <f ca="1">IFERROR(__xludf.DUMMYFUNCTION("IMPORTRANGE(""https://docs.google.com/spreadsheets/d/1jTcq05yEiRwXcBMLjiodW9e4biSGYWAHcDj22rKWQ3s/edit?usp=sharing"",""กำแพงเพชร!I726"")+IMPORTRANGE(""https://docs.google.com/spreadsheets/d/1KS0zmDSZPk8KnTAbGN-Xk6MtX1YRZD0ldgdt20K4CRk/edit?usp=sharing"","&amp;"""เชียงราย!I726"")+IMPORTRANGE(""https://docs.google.com/spreadsheets/d/1rEDxBtusbi64tE0zunoIbsTVV16HeL0oJ6trHQeQ7K8/edit?usp=sharing"",""เชียงใหม่!I726"")+IMPORTRANGE(""https://docs.google.com/spreadsheets/d/1W6MnUbDkMi6xHnHko_XkFDO9kkuL6Wqyc-6OCDFjW9I/e"&amp;"dit?usp=sharing"",""ตาก!I726"")+IMPORTRANGE(""https://docs.google.com/spreadsheets/d/1IQAWArduLkta9LpYo4a_ULsyqdta6-6aDDiwpUnQT6c/edit?usp=sharing"",""นครสวรรค์!I726"")+IMPORTRANGE(""https://docs.google.com/spreadsheets/d/10s13Sk5xrltsiR-Zkbmk5DwIaDIKO8Xl"&amp;"bJAfqyT7Gvg/edit?usp=sharing"",""น่าน!I726"")+IMPORTRANGE(""https://docs.google.com/spreadsheets/d/1uu4nAn4Dbi1XREnLKKotUANlKXa7yCgRcgq8HEzQYW8/edit?usp=sharing"",""พะเยา!I726"")+IMPORTRANGE(""https://docs.google.com/spreadsheets/d/1xfJKIQxVOaPDIICqsflNlL"&amp;"u3JacTDk1FP9RH4phX7mI/edit?usp=sharing"",""พิจิตร!I726"")+IMPORTRANGE(""https://docs.google.com/spreadsheets/d/1JtRfZkJMHtEhI5RdRHxYUG4FIZHqKDpNyIuN7A1Q0_k/edit?usp=sharing"",""พิษณุโลก!I726"")+IMPORTRANGE(""https://docs.google.com/spreadsheets/d/1xlcVZWU"&amp;"Nn6SuWm0c307h32SiGkd9BaeQWlAktfD3KO8/edit?usp=sharing"",""เพชรบูรณ์!I726"")+IMPORTRANGE(""https://docs.google.com/spreadsheets/d/1lOVebEIsI9qjGXl6EX66luk7wiuP2tBaryw-wKvv4e0/edit?usp=sharing"",""แพร่!I726"")+IMPORTRANGE(""https://docs.google.com/spreadshe"&amp;"ets/d/1dQrvX0vEcN7Gu0fnZ0B5S90AeR19zth4XlExFBeExMY/edit?usp=sharing"",""แม่ฮ่องสอน!I726"")+IMPORTRANGE(""https://docs.google.com/spreadsheets/d/1DY4XTNNwjluuxqdfdn6qvOSlMRrZqUtmYcZR0ttFiG4/edit?usp=sharing"",""ลำปาง!I726"")+IMPORTRANGE(""https://docs.goog"&amp;"le.com/spreadsheets/d/1ICwG78r0OFT8biBlxnBF8r7she7gNSzOvJ958PWT09c/edit?usp=sharing"",""ลำพูน!I726"")+IMPORTRANGE(""https://docs.google.com/spreadsheets/d/1B0f2xJpZUC6Z0xXnqKlZtEPzsf6L84eP1r1Q15seqRM/edit?usp=sharing"",""สุโขทัย!I726"")+IMPORTRANGE(""http"&amp;"s://docs.google.com/spreadsheets/d/1v0b9pFQCsKUVExMei7AgY2yQkdeNQvtOssygGsXbiKo/edit?usp=sharing"",""อุตรดิตถ์!I726"")+IMPORTRANGE(""https://docs.google.com/spreadsheets/d/1UsNK1e-WWiCo2PvGqdNfdme4m17_Ezd3J69EeeiQPD0/edit?usp=sharing"",""อุทัยธานี!I726"")"),1436)</f>
        <v>1436</v>
      </c>
      <c r="J726" s="435">
        <f ca="1">J742+J746+J749</f>
        <v>757</v>
      </c>
      <c r="K726" s="423">
        <f t="shared" ref="K726:K727" ca="1" si="502">IF(I726&gt;0,J726*100/I726,0)</f>
        <v>52.715877437325908</v>
      </c>
      <c r="L726" s="400"/>
      <c r="M726" s="400"/>
      <c r="N726" s="400"/>
      <c r="O726" s="400"/>
      <c r="P726" s="400"/>
      <c r="Q726" s="400"/>
      <c r="R726" s="400"/>
      <c r="S726" s="400"/>
      <c r="T726" s="400"/>
      <c r="U726" s="400"/>
    </row>
    <row r="727" spans="1:21" ht="19.5" x14ac:dyDescent="0.3">
      <c r="A727" s="436"/>
      <c r="B727" s="394"/>
      <c r="C727" s="394"/>
      <c r="D727" s="396"/>
      <c r="E727" s="396"/>
      <c r="F727" s="396"/>
      <c r="G727" s="397"/>
      <c r="H727" s="434" t="s">
        <v>46</v>
      </c>
      <c r="I727" s="435">
        <f ca="1">IFERROR(__xludf.DUMMYFUNCTION("IMPORTRANGE(""https://docs.google.com/spreadsheets/d/1jTcq05yEiRwXcBMLjiodW9e4biSGYWAHcDj22rKWQ3s/edit?usp=sharing"",""กำแพงเพชร!I727"")+IMPORTRANGE(""https://docs.google.com/spreadsheets/d/1KS0zmDSZPk8KnTAbGN-Xk6MtX1YRZD0ldgdt20K4CRk/edit?usp=sharing"","&amp;"""เชียงราย!I727"")+IMPORTRANGE(""https://docs.google.com/spreadsheets/d/1rEDxBtusbi64tE0zunoIbsTVV16HeL0oJ6trHQeQ7K8/edit?usp=sharing"",""เชียงใหม่!I727"")+IMPORTRANGE(""https://docs.google.com/spreadsheets/d/1W6MnUbDkMi6xHnHko_XkFDO9kkuL6Wqyc-6OCDFjW9I/e"&amp;"dit?usp=sharing"",""ตาก!I727"")+IMPORTRANGE(""https://docs.google.com/spreadsheets/d/1IQAWArduLkta9LpYo4a_ULsyqdta6-6aDDiwpUnQT6c/edit?usp=sharing"",""นครสวรรค์!I727"")+IMPORTRANGE(""https://docs.google.com/spreadsheets/d/10s13Sk5xrltsiR-Zkbmk5DwIaDIKO8Xl"&amp;"bJAfqyT7Gvg/edit?usp=sharing"",""น่าน!I727"")+IMPORTRANGE(""https://docs.google.com/spreadsheets/d/1uu4nAn4Dbi1XREnLKKotUANlKXa7yCgRcgq8HEzQYW8/edit?usp=sharing"",""พะเยา!I727"")+IMPORTRANGE(""https://docs.google.com/spreadsheets/d/1xfJKIQxVOaPDIICqsflNlL"&amp;"u3JacTDk1FP9RH4phX7mI/edit?usp=sharing"",""พิจิตร!I727"")+IMPORTRANGE(""https://docs.google.com/spreadsheets/d/1JtRfZkJMHtEhI5RdRHxYUG4FIZHqKDpNyIuN7A1Q0_k/edit?usp=sharing"",""พิษณุโลก!I727"")+IMPORTRANGE(""https://docs.google.com/spreadsheets/d/1xlcVZWU"&amp;"Nn6SuWm0c307h32SiGkd9BaeQWlAktfD3KO8/edit?usp=sharing"",""เพชรบูรณ์!I727"")+IMPORTRANGE(""https://docs.google.com/spreadsheets/d/1lOVebEIsI9qjGXl6EX66luk7wiuP2tBaryw-wKvv4e0/edit?usp=sharing"",""แพร่!I727"")+IMPORTRANGE(""https://docs.google.com/spreadshe"&amp;"ets/d/1dQrvX0vEcN7Gu0fnZ0B5S90AeR19zth4XlExFBeExMY/edit?usp=sharing"",""แม่ฮ่องสอน!I727"")+IMPORTRANGE(""https://docs.google.com/spreadsheets/d/1DY4XTNNwjluuxqdfdn6qvOSlMRrZqUtmYcZR0ttFiG4/edit?usp=sharing"",""ลำปาง!I727"")+IMPORTRANGE(""https://docs.goog"&amp;"le.com/spreadsheets/d/1ICwG78r0OFT8biBlxnBF8r7she7gNSzOvJ958PWT09c/edit?usp=sharing"",""ลำพูน!I727"")+IMPORTRANGE(""https://docs.google.com/spreadsheets/d/1B0f2xJpZUC6Z0xXnqKlZtEPzsf6L84eP1r1Q15seqRM/edit?usp=sharing"",""สุโขทัย!I727"")+IMPORTRANGE(""http"&amp;"s://docs.google.com/spreadsheets/d/1v0b9pFQCsKUVExMei7AgY2yQkdeNQvtOssygGsXbiKo/edit?usp=sharing"",""อุตรดิตถ์!I727"")+IMPORTRANGE(""https://docs.google.com/spreadsheets/d/1UsNK1e-WWiCo2PvGqdNfdme4m17_Ezd3J69EeeiQPD0/edit?usp=sharing"",""อุทัยธานี!I727"")"),14000)</f>
        <v>14000</v>
      </c>
      <c r="J727" s="435">
        <f ca="1">J752+J755</f>
        <v>0</v>
      </c>
      <c r="K727" s="423">
        <f t="shared" ca="1" si="502"/>
        <v>0</v>
      </c>
      <c r="L727" s="400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128"/>
      <c r="B728" s="158"/>
      <c r="C728" s="177" t="s">
        <v>18</v>
      </c>
      <c r="D728" s="795" t="s">
        <v>19</v>
      </c>
      <c r="E728" s="793"/>
      <c r="F728" s="793"/>
      <c r="G728" s="794"/>
      <c r="H728" s="221" t="s">
        <v>14</v>
      </c>
      <c r="I728" s="44"/>
      <c r="J728" s="44"/>
      <c r="K728" s="45"/>
      <c r="L728" s="132">
        <f t="shared" ref="L728:N728" ca="1" si="503">L729+L730</f>
        <v>0</v>
      </c>
      <c r="M728" s="132">
        <f t="shared" ca="1" si="503"/>
        <v>0</v>
      </c>
      <c r="N728" s="132">
        <f t="shared" ca="1" si="503"/>
        <v>0</v>
      </c>
      <c r="O728" s="132">
        <f t="shared" ref="O728:O736" ca="1" si="504">IF(L728&gt;0,N728*100/L728,0)</f>
        <v>0</v>
      </c>
      <c r="P728" s="132">
        <f t="shared" ref="P728:P736" ca="1" si="505">IF(M728&gt;0,N728*100/M728,0)</f>
        <v>0</v>
      </c>
      <c r="Q728" s="132">
        <f t="shared" ref="Q728:S728" ca="1" si="506">Q729+Q730</f>
        <v>11271490</v>
      </c>
      <c r="R728" s="132">
        <f t="shared" ca="1" si="506"/>
        <v>11271490</v>
      </c>
      <c r="S728" s="132">
        <f t="shared" ca="1" si="506"/>
        <v>1068357.1599999999</v>
      </c>
      <c r="T728" s="132">
        <f t="shared" ref="T728:T736" ca="1" si="507">IF(Q728&gt;0,S728*100/Q728,0)</f>
        <v>9.4784022343097476</v>
      </c>
      <c r="U728" s="132">
        <f t="shared" ref="U728:U736" ca="1" si="508">IF(R728&gt;0,S728*100/R728,0)</f>
        <v>9.4784022343097476</v>
      </c>
    </row>
    <row r="729" spans="1:21" ht="18.75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48">
        <f t="shared" ref="L729:N729" ca="1" si="509">L732+L735</f>
        <v>0</v>
      </c>
      <c r="M729" s="48">
        <f t="shared" ca="1" si="509"/>
        <v>0</v>
      </c>
      <c r="N729" s="48">
        <f t="shared" ca="1" si="509"/>
        <v>0</v>
      </c>
      <c r="O729" s="48">
        <f t="shared" ca="1" si="504"/>
        <v>0</v>
      </c>
      <c r="P729" s="48">
        <f t="shared" ca="1" si="505"/>
        <v>0</v>
      </c>
      <c r="Q729" s="48">
        <f t="shared" ref="Q729:S729" ca="1" si="510">Q732+Q735</f>
        <v>0</v>
      </c>
      <c r="R729" s="48">
        <f t="shared" ca="1" si="510"/>
        <v>0</v>
      </c>
      <c r="S729" s="48">
        <f t="shared" ca="1" si="510"/>
        <v>0</v>
      </c>
      <c r="T729" s="48">
        <f t="shared" ca="1" si="507"/>
        <v>0</v>
      </c>
      <c r="U729" s="48">
        <f t="shared" ca="1" si="508"/>
        <v>0</v>
      </c>
    </row>
    <row r="730" spans="1:21" ht="18.75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46">
        <f t="shared" ref="L730:N730" ca="1" si="511">L733+L736</f>
        <v>0</v>
      </c>
      <c r="M730" s="46">
        <f t="shared" ca="1" si="511"/>
        <v>0</v>
      </c>
      <c r="N730" s="46">
        <f t="shared" ca="1" si="511"/>
        <v>0</v>
      </c>
      <c r="O730" s="46">
        <f t="shared" ca="1" si="504"/>
        <v>0</v>
      </c>
      <c r="P730" s="46">
        <f t="shared" ca="1" si="505"/>
        <v>0</v>
      </c>
      <c r="Q730" s="46">
        <f t="shared" ref="Q730:S730" ca="1" si="512">Q733+Q736</f>
        <v>11271490</v>
      </c>
      <c r="R730" s="46">
        <f t="shared" ca="1" si="512"/>
        <v>11271490</v>
      </c>
      <c r="S730" s="46">
        <f t="shared" ca="1" si="512"/>
        <v>1068357.1599999999</v>
      </c>
      <c r="T730" s="46">
        <f t="shared" ca="1" si="507"/>
        <v>9.4784022343097476</v>
      </c>
      <c r="U730" s="46">
        <f t="shared" ca="1" si="508"/>
        <v>9.4784022343097476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46">
        <f t="shared" ref="L731:N731" ca="1" si="513">L732+L733</f>
        <v>0</v>
      </c>
      <c r="M731" s="46">
        <f t="shared" ca="1" si="513"/>
        <v>0</v>
      </c>
      <c r="N731" s="46">
        <f t="shared" ca="1" si="513"/>
        <v>0</v>
      </c>
      <c r="O731" s="46">
        <f t="shared" ca="1" si="504"/>
        <v>0</v>
      </c>
      <c r="P731" s="46">
        <f t="shared" ca="1" si="505"/>
        <v>0</v>
      </c>
      <c r="Q731" s="46">
        <f t="shared" ref="Q731:S731" ca="1" si="514">Q732+Q733</f>
        <v>11271490</v>
      </c>
      <c r="R731" s="46">
        <f t="shared" ca="1" si="514"/>
        <v>11271490</v>
      </c>
      <c r="S731" s="46">
        <f t="shared" ca="1" si="514"/>
        <v>1068357.1599999999</v>
      </c>
      <c r="T731" s="46">
        <f t="shared" ca="1" si="507"/>
        <v>9.4784022343097476</v>
      </c>
      <c r="U731" s="46">
        <f t="shared" ca="1" si="508"/>
        <v>9.4784022343097476</v>
      </c>
    </row>
    <row r="732" spans="1:21" ht="18.75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48">
        <f ca="1">IFERROR(__xludf.DUMMYFUNCTION("IMPORTRANGE(""https://docs.google.com/spreadsheets/d/1jTcq05yEiRwXcBMLjiodW9e4biSGYWAHcDj22rKWQ3s/edit?usp=sharing"",""กำแพงเพชร!L732"")+IMPORTRANGE(""https://docs.google.com/spreadsheets/d/1KS0zmDSZPk8KnTAbGN-Xk6MtX1YRZD0ldgdt20K4CRk/edit?usp=sharing"","&amp;"""เชียงราย!L732"")+IMPORTRANGE(""https://docs.google.com/spreadsheets/d/1rEDxBtusbi64tE0zunoIbsTVV16HeL0oJ6trHQeQ7K8/edit?usp=sharing"",""เชียงใหม่!L732"")+IMPORTRANGE(""https://docs.google.com/spreadsheets/d/1W6MnUbDkMi6xHnHko_XkFDO9kkuL6Wqyc-6OCDFjW9I/e"&amp;"dit?usp=sharing"",""ตาก!L732"")+IMPORTRANGE(""https://docs.google.com/spreadsheets/d/1IQAWArduLkta9LpYo4a_ULsyqdta6-6aDDiwpUnQT6c/edit?usp=sharing"",""นครสวรรค์!L732"")+IMPORTRANGE(""https://docs.google.com/spreadsheets/d/10s13Sk5xrltsiR-Zkbmk5DwIaDIKO8Xl"&amp;"bJAfqyT7Gvg/edit?usp=sharing"",""น่าน!L732"")+IMPORTRANGE(""https://docs.google.com/spreadsheets/d/1uu4nAn4Dbi1XREnLKKotUANlKXa7yCgRcgq8HEzQYW8/edit?usp=sharing"",""พะเยา!L732"")+IMPORTRANGE(""https://docs.google.com/spreadsheets/d/1xfJKIQxVOaPDIICqsflNlL"&amp;"u3JacTDk1FP9RH4phX7mI/edit?usp=sharing"",""พิจิตร!L732"")+IMPORTRANGE(""https://docs.google.com/spreadsheets/d/1JtRfZkJMHtEhI5RdRHxYUG4FIZHqKDpNyIuN7A1Q0_k/edit?usp=sharing"",""พิษณุโลก!L732"")+IMPORTRANGE(""https://docs.google.com/spreadsheets/d/1xlcVZWU"&amp;"Nn6SuWm0c307h32SiGkd9BaeQWlAktfD3KO8/edit?usp=sharing"",""เพชรบูรณ์!L732"")+IMPORTRANGE(""https://docs.google.com/spreadsheets/d/1lOVebEIsI9qjGXl6EX66luk7wiuP2tBaryw-wKvv4e0/edit?usp=sharing"",""แพร่!L732"")+IMPORTRANGE(""https://docs.google.com/spreadshe"&amp;"ets/d/1dQrvX0vEcN7Gu0fnZ0B5S90AeR19zth4XlExFBeExMY/edit?usp=sharing"",""แม่ฮ่องสอน!L732"")+IMPORTRANGE(""https://docs.google.com/spreadsheets/d/1DY4XTNNwjluuxqdfdn6qvOSlMRrZqUtmYcZR0ttFiG4/edit?usp=sharing"",""ลำปาง!L732"")+IMPORTRANGE(""https://docs.goog"&amp;"le.com/spreadsheets/d/1ICwG78r0OFT8biBlxnBF8r7she7gNSzOvJ958PWT09c/edit?usp=sharing"",""ลำพูน!L732"")+IMPORTRANGE(""https://docs.google.com/spreadsheets/d/1B0f2xJpZUC6Z0xXnqKlZtEPzsf6L84eP1r1Q15seqRM/edit?usp=sharing"",""สุโขทัย!L732"")+IMPORTRANGE(""http"&amp;"s://docs.google.com/spreadsheets/d/1v0b9pFQCsKUVExMei7AgY2yQkdeNQvtOssygGsXbiKo/edit?usp=sharing"",""อุตรดิตถ์!L732"")+IMPORTRANGE(""https://docs.google.com/spreadsheets/d/1UsNK1e-WWiCo2PvGqdNfdme4m17_Ezd3J69EeeiQPD0/edit?usp=sharing"",""อุทัยธานี!L732"")"),0)</f>
        <v>0</v>
      </c>
      <c r="M732" s="48">
        <f ca="1">IFERROR(__xludf.DUMMYFUNCTION("IMPORTRANGE(""https://docs.google.com/spreadsheets/d/1jTcq05yEiRwXcBMLjiodW9e4biSGYWAHcDj22rKWQ3s/edit?usp=sharing"",""กำแพงเพชร!M732"")+IMPORTRANGE(""https://docs.google.com/spreadsheets/d/1KS0zmDSZPk8KnTAbGN-Xk6MtX1YRZD0ldgdt20K4CRk/edit?usp=sharing"","&amp;"""เชียงราย!M732"")+IMPORTRANGE(""https://docs.google.com/spreadsheets/d/1rEDxBtusbi64tE0zunoIbsTVV16HeL0oJ6trHQeQ7K8/edit?usp=sharing"",""เชียงใหม่!M732"")+IMPORTRANGE(""https://docs.google.com/spreadsheets/d/1W6MnUbDkMi6xHnHko_XkFDO9kkuL6Wqyc-6OCDFjW9I/e"&amp;"dit?usp=sharing"",""ตาก!M732"")+IMPORTRANGE(""https://docs.google.com/spreadsheets/d/1IQAWArduLkta9LpYo4a_ULsyqdta6-6aDDiwpUnQT6c/edit?usp=sharing"",""นครสวรรค์!M732"")+IMPORTRANGE(""https://docs.google.com/spreadsheets/d/10s13Sk5xrltsiR-Zkbmk5DwIaDIKO8Xl"&amp;"bJAfqyT7Gvg/edit?usp=sharing"",""น่าน!M732"")+IMPORTRANGE(""https://docs.google.com/spreadsheets/d/1uu4nAn4Dbi1XREnLKKotUANlKXa7yCgRcgq8HEzQYW8/edit?usp=sharing"",""พะเยา!M732"")+IMPORTRANGE(""https://docs.google.com/spreadsheets/d/1xfJKIQxVOaPDIICqsflNlL"&amp;"u3JacTDk1FP9RH4phX7mI/edit?usp=sharing"",""พิจิตร!M732"")+IMPORTRANGE(""https://docs.google.com/spreadsheets/d/1JtRfZkJMHtEhI5RdRHxYUG4FIZHqKDpNyIuN7A1Q0_k/edit?usp=sharing"",""พิษณุโลก!M732"")+IMPORTRANGE(""https://docs.google.com/spreadsheets/d/1xlcVZWU"&amp;"Nn6SuWm0c307h32SiGkd9BaeQWlAktfD3KO8/edit?usp=sharing"",""เพชรบูรณ์!M732"")+IMPORTRANGE(""https://docs.google.com/spreadsheets/d/1lOVebEIsI9qjGXl6EX66luk7wiuP2tBaryw-wKvv4e0/edit?usp=sharing"",""แพร่!M732"")+IMPORTRANGE(""https://docs.google.com/spreadshe"&amp;"ets/d/1dQrvX0vEcN7Gu0fnZ0B5S90AeR19zth4XlExFBeExMY/edit?usp=sharing"",""แม่ฮ่องสอน!M732"")+IMPORTRANGE(""https://docs.google.com/spreadsheets/d/1DY4XTNNwjluuxqdfdn6qvOSlMRrZqUtmYcZR0ttFiG4/edit?usp=sharing"",""ลำปาง!M732"")+IMPORTRANGE(""https://docs.goog"&amp;"le.com/spreadsheets/d/1ICwG78r0OFT8biBlxnBF8r7she7gNSzOvJ958PWT09c/edit?usp=sharing"",""ลำพูน!M732"")+IMPORTRANGE(""https://docs.google.com/spreadsheets/d/1B0f2xJpZUC6Z0xXnqKlZtEPzsf6L84eP1r1Q15seqRM/edit?usp=sharing"",""สุโขทัย!M732"")+IMPORTRANGE(""http"&amp;"s://docs.google.com/spreadsheets/d/1v0b9pFQCsKUVExMei7AgY2yQkdeNQvtOssygGsXbiKo/edit?usp=sharing"",""อุตรดิตถ์!M732"")+IMPORTRANGE(""https://docs.google.com/spreadsheets/d/1UsNK1e-WWiCo2PvGqdNfdme4m17_Ezd3J69EeeiQPD0/edit?usp=sharing"",""อุทัยธานี!M732"")"),0)</f>
        <v>0</v>
      </c>
      <c r="N732" s="48">
        <f ca="1">IFERROR(__xludf.DUMMYFUNCTION("IMPORTRANGE(""https://docs.google.com/spreadsheets/d/1jTcq05yEiRwXcBMLjiodW9e4biSGYWAHcDj22rKWQ3s/edit?usp=sharing"",""กำแพงเพชร!N732"")+IMPORTRANGE(""https://docs.google.com/spreadsheets/d/1KS0zmDSZPk8KnTAbGN-Xk6MtX1YRZD0ldgdt20K4CRk/edit?usp=sharing"","&amp;"""เชียงราย!N732"")+IMPORTRANGE(""https://docs.google.com/spreadsheets/d/1rEDxBtusbi64tE0zunoIbsTVV16HeL0oJ6trHQeQ7K8/edit?usp=sharing"",""เชียงใหม่!N732"")+IMPORTRANGE(""https://docs.google.com/spreadsheets/d/1W6MnUbDkMi6xHnHko_XkFDO9kkuL6Wqyc-6OCDFjW9I/e"&amp;"dit?usp=sharing"",""ตาก!N732"")+IMPORTRANGE(""https://docs.google.com/spreadsheets/d/1IQAWArduLkta9LpYo4a_ULsyqdta6-6aDDiwpUnQT6c/edit?usp=sharing"",""นครสวรรค์!N732"")+IMPORTRANGE(""https://docs.google.com/spreadsheets/d/10s13Sk5xrltsiR-Zkbmk5DwIaDIKO8Xl"&amp;"bJAfqyT7Gvg/edit?usp=sharing"",""น่าน!N732"")+IMPORTRANGE(""https://docs.google.com/spreadsheets/d/1uu4nAn4Dbi1XREnLKKotUANlKXa7yCgRcgq8HEzQYW8/edit?usp=sharing"",""พะเยา!N732"")+IMPORTRANGE(""https://docs.google.com/spreadsheets/d/1xfJKIQxVOaPDIICqsflNlL"&amp;"u3JacTDk1FP9RH4phX7mI/edit?usp=sharing"",""พิจิตร!N732"")+IMPORTRANGE(""https://docs.google.com/spreadsheets/d/1JtRfZkJMHtEhI5RdRHxYUG4FIZHqKDpNyIuN7A1Q0_k/edit?usp=sharing"",""พิษณุโลก!N732"")+IMPORTRANGE(""https://docs.google.com/spreadsheets/d/1xlcVZWU"&amp;"Nn6SuWm0c307h32SiGkd9BaeQWlAktfD3KO8/edit?usp=sharing"",""เพชรบูรณ์!N732"")+IMPORTRANGE(""https://docs.google.com/spreadsheets/d/1lOVebEIsI9qjGXl6EX66luk7wiuP2tBaryw-wKvv4e0/edit?usp=sharing"",""แพร่!N732"")+IMPORTRANGE(""https://docs.google.com/spreadshe"&amp;"ets/d/1dQrvX0vEcN7Gu0fnZ0B5S90AeR19zth4XlExFBeExMY/edit?usp=sharing"",""แม่ฮ่องสอน!N732"")+IMPORTRANGE(""https://docs.google.com/spreadsheets/d/1DY4XTNNwjluuxqdfdn6qvOSlMRrZqUtmYcZR0ttFiG4/edit?usp=sharing"",""ลำปาง!N732"")+IMPORTRANGE(""https://docs.goog"&amp;"le.com/spreadsheets/d/1ICwG78r0OFT8biBlxnBF8r7she7gNSzOvJ958PWT09c/edit?usp=sharing"",""ลำพูน!N732"")+IMPORTRANGE(""https://docs.google.com/spreadsheets/d/1B0f2xJpZUC6Z0xXnqKlZtEPzsf6L84eP1r1Q15seqRM/edit?usp=sharing"",""สุโขทัย!N732"")+IMPORTRANGE(""http"&amp;"s://docs.google.com/spreadsheets/d/1v0b9pFQCsKUVExMei7AgY2yQkdeNQvtOssygGsXbiKo/edit?usp=sharing"",""อุตรดิตถ์!N732"")+IMPORTRANGE(""https://docs.google.com/spreadsheets/d/1UsNK1e-WWiCo2PvGqdNfdme4m17_Ezd3J69EeeiQPD0/edit?usp=sharing"",""อุทัยธานี!N732"")"),0)</f>
        <v>0</v>
      </c>
      <c r="O732" s="48">
        <f t="shared" ca="1" si="504"/>
        <v>0</v>
      </c>
      <c r="P732" s="48">
        <f t="shared" ca="1" si="505"/>
        <v>0</v>
      </c>
      <c r="Q732" s="48">
        <f ca="1">IFERROR(__xludf.DUMMYFUNCTION("IMPORTRANGE(""https://docs.google.com/spreadsheets/d/1jTcq05yEiRwXcBMLjiodW9e4biSGYWAHcDj22rKWQ3s/edit?usp=sharing"",""กำแพงเพชร!Q732"")+IMPORTRANGE(""https://docs.google.com/spreadsheets/d/1KS0zmDSZPk8KnTAbGN-Xk6MtX1YRZD0ldgdt20K4CRk/edit?usp=sharing"","&amp;"""เชียงราย!Q732"")+IMPORTRANGE(""https://docs.google.com/spreadsheets/d/1rEDxBtusbi64tE0zunoIbsTVV16HeL0oJ6trHQeQ7K8/edit?usp=sharing"",""เชียงใหม่!Q732"")+IMPORTRANGE(""https://docs.google.com/spreadsheets/d/1W6MnUbDkMi6xHnHko_XkFDO9kkuL6Wqyc-6OCDFjW9I/e"&amp;"dit?usp=sharing"",""ตาก!Q732"")+IMPORTRANGE(""https://docs.google.com/spreadsheets/d/1IQAWArduLkta9LpYo4a_ULsyqdta6-6aDDiwpUnQT6c/edit?usp=sharing"",""นครสวรรค์!Q732"")+IMPORTRANGE(""https://docs.google.com/spreadsheets/d/10s13Sk5xrltsiR-Zkbmk5DwIaDIKO8Xl"&amp;"bJAfqyT7Gvg/edit?usp=sharing"",""น่าน!Q732"")+IMPORTRANGE(""https://docs.google.com/spreadsheets/d/1uu4nAn4Dbi1XREnLKKotUANlKXa7yCgRcgq8HEzQYW8/edit?usp=sharing"",""พะเยา!Q732"")+IMPORTRANGE(""https://docs.google.com/spreadsheets/d/1xfJKIQxVOaPDIICqsflNlL"&amp;"u3JacTDk1FP9RH4phX7mI/edit?usp=sharing"",""พิจิตร!Q732"")+IMPORTRANGE(""https://docs.google.com/spreadsheets/d/1JtRfZkJMHtEhI5RdRHxYUG4FIZHqKDpNyIuN7A1Q0_k/edit?usp=sharing"",""พิษณุโลก!Q732"")+IMPORTRANGE(""https://docs.google.com/spreadsheets/d/1xlcVZWU"&amp;"Nn6SuWm0c307h32SiGkd9BaeQWlAktfD3KO8/edit?usp=sharing"",""เพชรบูรณ์!Q732"")+IMPORTRANGE(""https://docs.google.com/spreadsheets/d/1lOVebEIsI9qjGXl6EX66luk7wiuP2tBaryw-wKvv4e0/edit?usp=sharing"",""แพร่!Q732"")+IMPORTRANGE(""https://docs.google.com/spreadshe"&amp;"ets/d/1dQrvX0vEcN7Gu0fnZ0B5S90AeR19zth4XlExFBeExMY/edit?usp=sharing"",""แม่ฮ่องสอน!Q732"")+IMPORTRANGE(""https://docs.google.com/spreadsheets/d/1DY4XTNNwjluuxqdfdn6qvOSlMRrZqUtmYcZR0ttFiG4/edit?usp=sharing"",""ลำปาง!Q732"")+IMPORTRANGE(""https://docs.goog"&amp;"le.com/spreadsheets/d/1ICwG78r0OFT8biBlxnBF8r7she7gNSzOvJ958PWT09c/edit?usp=sharing"",""ลำพูน!Q732"")+IMPORTRANGE(""https://docs.google.com/spreadsheets/d/1B0f2xJpZUC6Z0xXnqKlZtEPzsf6L84eP1r1Q15seqRM/edit?usp=sharing"",""สุโขทัย!Q732"")+IMPORTRANGE(""http"&amp;"s://docs.google.com/spreadsheets/d/1v0b9pFQCsKUVExMei7AgY2yQkdeNQvtOssygGsXbiKo/edit?usp=sharing"",""อุตรดิตถ์!Q732"")+IMPORTRANGE(""https://docs.google.com/spreadsheets/d/1UsNK1e-WWiCo2PvGqdNfdme4m17_Ezd3J69EeeiQPD0/edit?usp=sharing"",""อุทัยธานี!Q732"")"),0)</f>
        <v>0</v>
      </c>
      <c r="R732" s="48">
        <f ca="1">IFERROR(__xludf.DUMMYFUNCTION("IMPORTRANGE(""https://docs.google.com/spreadsheets/d/1jTcq05yEiRwXcBMLjiodW9e4biSGYWAHcDj22rKWQ3s/edit?usp=sharing"",""กำแพงเพชร!R732"")+IMPORTRANGE(""https://docs.google.com/spreadsheets/d/1KS0zmDSZPk8KnTAbGN-Xk6MtX1YRZD0ldgdt20K4CRk/edit?usp=sharing"","&amp;"""เชียงราย!R732"")+IMPORTRANGE(""https://docs.google.com/spreadsheets/d/1rEDxBtusbi64tE0zunoIbsTVV16HeL0oJ6trHQeQ7K8/edit?usp=sharing"",""เชียงใหม่!R732"")+IMPORTRANGE(""https://docs.google.com/spreadsheets/d/1W6MnUbDkMi6xHnHko_XkFDO9kkuL6Wqyc-6OCDFjW9I/e"&amp;"dit?usp=sharing"",""ตาก!R732"")+IMPORTRANGE(""https://docs.google.com/spreadsheets/d/1IQAWArduLkta9LpYo4a_ULsyqdta6-6aDDiwpUnQT6c/edit?usp=sharing"",""นครสวรรค์!R732"")+IMPORTRANGE(""https://docs.google.com/spreadsheets/d/10s13Sk5xrltsiR-Zkbmk5DwIaDIKO8Xl"&amp;"bJAfqyT7Gvg/edit?usp=sharing"",""น่าน!R732"")+IMPORTRANGE(""https://docs.google.com/spreadsheets/d/1uu4nAn4Dbi1XREnLKKotUANlKXa7yCgRcgq8HEzQYW8/edit?usp=sharing"",""พะเยา!R732"")+IMPORTRANGE(""https://docs.google.com/spreadsheets/d/1xfJKIQxVOaPDIICqsflNlL"&amp;"u3JacTDk1FP9RH4phX7mI/edit?usp=sharing"",""พิจิตร!R732"")+IMPORTRANGE(""https://docs.google.com/spreadsheets/d/1JtRfZkJMHtEhI5RdRHxYUG4FIZHqKDpNyIuN7A1Q0_k/edit?usp=sharing"",""พิษณุโลก!R732"")+IMPORTRANGE(""https://docs.google.com/spreadsheets/d/1xlcVZWU"&amp;"Nn6SuWm0c307h32SiGkd9BaeQWlAktfD3KO8/edit?usp=sharing"",""เพชรบูรณ์!R732"")+IMPORTRANGE(""https://docs.google.com/spreadsheets/d/1lOVebEIsI9qjGXl6EX66luk7wiuP2tBaryw-wKvv4e0/edit?usp=sharing"",""แพร่!R732"")+IMPORTRANGE(""https://docs.google.com/spreadshe"&amp;"ets/d/1dQrvX0vEcN7Gu0fnZ0B5S90AeR19zth4XlExFBeExMY/edit?usp=sharing"",""แม่ฮ่องสอน!R732"")+IMPORTRANGE(""https://docs.google.com/spreadsheets/d/1DY4XTNNwjluuxqdfdn6qvOSlMRrZqUtmYcZR0ttFiG4/edit?usp=sharing"",""ลำปาง!R732"")+IMPORTRANGE(""https://docs.goog"&amp;"le.com/spreadsheets/d/1ICwG78r0OFT8biBlxnBF8r7she7gNSzOvJ958PWT09c/edit?usp=sharing"",""ลำพูน!R732"")+IMPORTRANGE(""https://docs.google.com/spreadsheets/d/1B0f2xJpZUC6Z0xXnqKlZtEPzsf6L84eP1r1Q15seqRM/edit?usp=sharing"",""สุโขทัย!R732"")+IMPORTRANGE(""http"&amp;"s://docs.google.com/spreadsheets/d/1v0b9pFQCsKUVExMei7AgY2yQkdeNQvtOssygGsXbiKo/edit?usp=sharing"",""อุตรดิตถ์!R732"")+IMPORTRANGE(""https://docs.google.com/spreadsheets/d/1UsNK1e-WWiCo2PvGqdNfdme4m17_Ezd3J69EeeiQPD0/edit?usp=sharing"",""อุทัยธานี!R732"")"),0)</f>
        <v>0</v>
      </c>
      <c r="S732" s="48">
        <f ca="1">IFERROR(__xludf.DUMMYFUNCTION("IMPORTRANGE(""https://docs.google.com/spreadsheets/d/1jTcq05yEiRwXcBMLjiodW9e4biSGYWAHcDj22rKWQ3s/edit?usp=sharing"",""กำแพงเพชร!S732"")+IMPORTRANGE(""https://docs.google.com/spreadsheets/d/1KS0zmDSZPk8KnTAbGN-Xk6MtX1YRZD0ldgdt20K4CRk/edit?usp=sharing"","&amp;"""เชียงราย!S732"")+IMPORTRANGE(""https://docs.google.com/spreadsheets/d/1rEDxBtusbi64tE0zunoIbsTVV16HeL0oJ6trHQeQ7K8/edit?usp=sharing"",""เชียงใหม่!S732"")+IMPORTRANGE(""https://docs.google.com/spreadsheets/d/1W6MnUbDkMi6xHnHko_XkFDO9kkuL6Wqyc-6OCDFjW9I/e"&amp;"dit?usp=sharing"",""ตาก!S732"")+IMPORTRANGE(""https://docs.google.com/spreadsheets/d/1IQAWArduLkta9LpYo4a_ULsyqdta6-6aDDiwpUnQT6c/edit?usp=sharing"",""นครสวรรค์!S732"")+IMPORTRANGE(""https://docs.google.com/spreadsheets/d/10s13Sk5xrltsiR-Zkbmk5DwIaDIKO8Xl"&amp;"bJAfqyT7Gvg/edit?usp=sharing"",""น่าน!S732"")+IMPORTRANGE(""https://docs.google.com/spreadsheets/d/1uu4nAn4Dbi1XREnLKKotUANlKXa7yCgRcgq8HEzQYW8/edit?usp=sharing"",""พะเยา!S732"")+IMPORTRANGE(""https://docs.google.com/spreadsheets/d/1xfJKIQxVOaPDIICqsflNlL"&amp;"u3JacTDk1FP9RH4phX7mI/edit?usp=sharing"",""พิจิตร!S732"")+IMPORTRANGE(""https://docs.google.com/spreadsheets/d/1JtRfZkJMHtEhI5RdRHxYUG4FIZHqKDpNyIuN7A1Q0_k/edit?usp=sharing"",""พิษณุโลก!S732"")+IMPORTRANGE(""https://docs.google.com/spreadsheets/d/1xlcVZWU"&amp;"Nn6SuWm0c307h32SiGkd9BaeQWlAktfD3KO8/edit?usp=sharing"",""เพชรบูรณ์!S732"")+IMPORTRANGE(""https://docs.google.com/spreadsheets/d/1lOVebEIsI9qjGXl6EX66luk7wiuP2tBaryw-wKvv4e0/edit?usp=sharing"",""แพร่!S732"")+IMPORTRANGE(""https://docs.google.com/spreadshe"&amp;"ets/d/1dQrvX0vEcN7Gu0fnZ0B5S90AeR19zth4XlExFBeExMY/edit?usp=sharing"",""แม่ฮ่องสอน!S732"")+IMPORTRANGE(""https://docs.google.com/spreadsheets/d/1DY4XTNNwjluuxqdfdn6qvOSlMRrZqUtmYcZR0ttFiG4/edit?usp=sharing"",""ลำปาง!S732"")+IMPORTRANGE(""https://docs.goog"&amp;"le.com/spreadsheets/d/1ICwG78r0OFT8biBlxnBF8r7she7gNSzOvJ958PWT09c/edit?usp=sharing"",""ลำพูน!S732"")+IMPORTRANGE(""https://docs.google.com/spreadsheets/d/1B0f2xJpZUC6Z0xXnqKlZtEPzsf6L84eP1r1Q15seqRM/edit?usp=sharing"",""สุโขทัย!S732"")+IMPORTRANGE(""http"&amp;"s://docs.google.com/spreadsheets/d/1v0b9pFQCsKUVExMei7AgY2yQkdeNQvtOssygGsXbiKo/edit?usp=sharing"",""อุตรดิตถ์!S732"")+IMPORTRANGE(""https://docs.google.com/spreadsheets/d/1UsNK1e-WWiCo2PvGqdNfdme4m17_Ezd3J69EeeiQPD0/edit?usp=sharing"",""อุทัยธานี!S732"")"),0)</f>
        <v>0</v>
      </c>
      <c r="T732" s="48">
        <f t="shared" ca="1" si="507"/>
        <v>0</v>
      </c>
      <c r="U732" s="48">
        <f t="shared" ca="1" si="508"/>
        <v>0</v>
      </c>
    </row>
    <row r="733" spans="1:21" ht="18.75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46">
        <f ca="1">IFERROR(__xludf.DUMMYFUNCTION("IMPORTRANGE(""https://docs.google.com/spreadsheets/d/1jTcq05yEiRwXcBMLjiodW9e4biSGYWAHcDj22rKWQ3s/edit?usp=sharing"",""กำแพงเพชร!L733"")+IMPORTRANGE(""https://docs.google.com/spreadsheets/d/1KS0zmDSZPk8KnTAbGN-Xk6MtX1YRZD0ldgdt20K4CRk/edit?usp=sharing"","&amp;"""เชียงราย!L733"")+IMPORTRANGE(""https://docs.google.com/spreadsheets/d/1rEDxBtusbi64tE0zunoIbsTVV16HeL0oJ6trHQeQ7K8/edit?usp=sharing"",""เชียงใหม่!L733"")+IMPORTRANGE(""https://docs.google.com/spreadsheets/d/1W6MnUbDkMi6xHnHko_XkFDO9kkuL6Wqyc-6OCDFjW9I/e"&amp;"dit?usp=sharing"",""ตาก!L733"")+IMPORTRANGE(""https://docs.google.com/spreadsheets/d/1IQAWArduLkta9LpYo4a_ULsyqdta6-6aDDiwpUnQT6c/edit?usp=sharing"",""นครสวรรค์!L733"")+IMPORTRANGE(""https://docs.google.com/spreadsheets/d/10s13Sk5xrltsiR-Zkbmk5DwIaDIKO8Xl"&amp;"bJAfqyT7Gvg/edit?usp=sharing"",""น่าน!L733"")+IMPORTRANGE(""https://docs.google.com/spreadsheets/d/1uu4nAn4Dbi1XREnLKKotUANlKXa7yCgRcgq8HEzQYW8/edit?usp=sharing"",""พะเยา!L733"")+IMPORTRANGE(""https://docs.google.com/spreadsheets/d/1xfJKIQxVOaPDIICqsflNlL"&amp;"u3JacTDk1FP9RH4phX7mI/edit?usp=sharing"",""พิจิตร!L733"")+IMPORTRANGE(""https://docs.google.com/spreadsheets/d/1JtRfZkJMHtEhI5RdRHxYUG4FIZHqKDpNyIuN7A1Q0_k/edit?usp=sharing"",""พิษณุโลก!L733"")+IMPORTRANGE(""https://docs.google.com/spreadsheets/d/1xlcVZWU"&amp;"Nn6SuWm0c307h32SiGkd9BaeQWlAktfD3KO8/edit?usp=sharing"",""เพชรบูรณ์!L733"")+IMPORTRANGE(""https://docs.google.com/spreadsheets/d/1lOVebEIsI9qjGXl6EX66luk7wiuP2tBaryw-wKvv4e0/edit?usp=sharing"",""แพร่!L733"")+IMPORTRANGE(""https://docs.google.com/spreadshe"&amp;"ets/d/1dQrvX0vEcN7Gu0fnZ0B5S90AeR19zth4XlExFBeExMY/edit?usp=sharing"",""แม่ฮ่องสอน!L733"")+IMPORTRANGE(""https://docs.google.com/spreadsheets/d/1DY4XTNNwjluuxqdfdn6qvOSlMRrZqUtmYcZR0ttFiG4/edit?usp=sharing"",""ลำปาง!L733"")+IMPORTRANGE(""https://docs.goog"&amp;"le.com/spreadsheets/d/1ICwG78r0OFT8biBlxnBF8r7she7gNSzOvJ958PWT09c/edit?usp=sharing"",""ลำพูน!L733"")+IMPORTRANGE(""https://docs.google.com/spreadsheets/d/1B0f2xJpZUC6Z0xXnqKlZtEPzsf6L84eP1r1Q15seqRM/edit?usp=sharing"",""สุโขทัย!L733"")+IMPORTRANGE(""http"&amp;"s://docs.google.com/spreadsheets/d/1v0b9pFQCsKUVExMei7AgY2yQkdeNQvtOssygGsXbiKo/edit?usp=sharing"",""อุตรดิตถ์!L733"")+IMPORTRANGE(""https://docs.google.com/spreadsheets/d/1UsNK1e-WWiCo2PvGqdNfdme4m17_Ezd3J69EeeiQPD0/edit?usp=sharing"",""อุทัยธานี!L733"")"),0)</f>
        <v>0</v>
      </c>
      <c r="M733" s="46">
        <f ca="1">IFERROR(__xludf.DUMMYFUNCTION("IMPORTRANGE(""https://docs.google.com/spreadsheets/d/1jTcq05yEiRwXcBMLjiodW9e4biSGYWAHcDj22rKWQ3s/edit?usp=sharing"",""กำแพงเพชร!M733"")+IMPORTRANGE(""https://docs.google.com/spreadsheets/d/1KS0zmDSZPk8KnTAbGN-Xk6MtX1YRZD0ldgdt20K4CRk/edit?usp=sharing"","&amp;"""เชียงราย!M733"")+IMPORTRANGE(""https://docs.google.com/spreadsheets/d/1rEDxBtusbi64tE0zunoIbsTVV16HeL0oJ6trHQeQ7K8/edit?usp=sharing"",""เชียงใหม่!M733"")+IMPORTRANGE(""https://docs.google.com/spreadsheets/d/1W6MnUbDkMi6xHnHko_XkFDO9kkuL6Wqyc-6OCDFjW9I/e"&amp;"dit?usp=sharing"",""ตาก!M733"")+IMPORTRANGE(""https://docs.google.com/spreadsheets/d/1IQAWArduLkta9LpYo4a_ULsyqdta6-6aDDiwpUnQT6c/edit?usp=sharing"",""นครสวรรค์!M733"")+IMPORTRANGE(""https://docs.google.com/spreadsheets/d/10s13Sk5xrltsiR-Zkbmk5DwIaDIKO8Xl"&amp;"bJAfqyT7Gvg/edit?usp=sharing"",""น่าน!M733"")+IMPORTRANGE(""https://docs.google.com/spreadsheets/d/1uu4nAn4Dbi1XREnLKKotUANlKXa7yCgRcgq8HEzQYW8/edit?usp=sharing"",""พะเยา!M733"")+IMPORTRANGE(""https://docs.google.com/spreadsheets/d/1xfJKIQxVOaPDIICqsflNlL"&amp;"u3JacTDk1FP9RH4phX7mI/edit?usp=sharing"",""พิจิตร!M733"")+IMPORTRANGE(""https://docs.google.com/spreadsheets/d/1JtRfZkJMHtEhI5RdRHxYUG4FIZHqKDpNyIuN7A1Q0_k/edit?usp=sharing"",""พิษณุโลก!M733"")+IMPORTRANGE(""https://docs.google.com/spreadsheets/d/1xlcVZWU"&amp;"Nn6SuWm0c307h32SiGkd9BaeQWlAktfD3KO8/edit?usp=sharing"",""เพชรบูรณ์!M733"")+IMPORTRANGE(""https://docs.google.com/spreadsheets/d/1lOVebEIsI9qjGXl6EX66luk7wiuP2tBaryw-wKvv4e0/edit?usp=sharing"",""แพร่!M733"")+IMPORTRANGE(""https://docs.google.com/spreadshe"&amp;"ets/d/1dQrvX0vEcN7Gu0fnZ0B5S90AeR19zth4XlExFBeExMY/edit?usp=sharing"",""แม่ฮ่องสอน!M733"")+IMPORTRANGE(""https://docs.google.com/spreadsheets/d/1DY4XTNNwjluuxqdfdn6qvOSlMRrZqUtmYcZR0ttFiG4/edit?usp=sharing"",""ลำปาง!M733"")+IMPORTRANGE(""https://docs.goog"&amp;"le.com/spreadsheets/d/1ICwG78r0OFT8biBlxnBF8r7she7gNSzOvJ958PWT09c/edit?usp=sharing"",""ลำพูน!M733"")+IMPORTRANGE(""https://docs.google.com/spreadsheets/d/1B0f2xJpZUC6Z0xXnqKlZtEPzsf6L84eP1r1Q15seqRM/edit?usp=sharing"",""สุโขทัย!M733"")+IMPORTRANGE(""http"&amp;"s://docs.google.com/spreadsheets/d/1v0b9pFQCsKUVExMei7AgY2yQkdeNQvtOssygGsXbiKo/edit?usp=sharing"",""อุตรดิตถ์!M733"")+IMPORTRANGE(""https://docs.google.com/spreadsheets/d/1UsNK1e-WWiCo2PvGqdNfdme4m17_Ezd3J69EeeiQPD0/edit?usp=sharing"",""อุทัยธานี!M733"")"),0)</f>
        <v>0</v>
      </c>
      <c r="N733" s="46">
        <f ca="1">IFERROR(__xludf.DUMMYFUNCTION("IMPORTRANGE(""https://docs.google.com/spreadsheets/d/1jTcq05yEiRwXcBMLjiodW9e4biSGYWAHcDj22rKWQ3s/edit?usp=sharing"",""กำแพงเพชร!N733"")+IMPORTRANGE(""https://docs.google.com/spreadsheets/d/1KS0zmDSZPk8KnTAbGN-Xk6MtX1YRZD0ldgdt20K4CRk/edit?usp=sharing"","&amp;"""เชียงราย!N733"")+IMPORTRANGE(""https://docs.google.com/spreadsheets/d/1rEDxBtusbi64tE0zunoIbsTVV16HeL0oJ6trHQeQ7K8/edit?usp=sharing"",""เชียงใหม่!N733"")+IMPORTRANGE(""https://docs.google.com/spreadsheets/d/1W6MnUbDkMi6xHnHko_XkFDO9kkuL6Wqyc-6OCDFjW9I/e"&amp;"dit?usp=sharing"",""ตาก!N733"")+IMPORTRANGE(""https://docs.google.com/spreadsheets/d/1IQAWArduLkta9LpYo4a_ULsyqdta6-6aDDiwpUnQT6c/edit?usp=sharing"",""นครสวรรค์!N733"")+IMPORTRANGE(""https://docs.google.com/spreadsheets/d/10s13Sk5xrltsiR-Zkbmk5DwIaDIKO8Xl"&amp;"bJAfqyT7Gvg/edit?usp=sharing"",""น่าน!N733"")+IMPORTRANGE(""https://docs.google.com/spreadsheets/d/1uu4nAn4Dbi1XREnLKKotUANlKXa7yCgRcgq8HEzQYW8/edit?usp=sharing"",""พะเยา!N733"")+IMPORTRANGE(""https://docs.google.com/spreadsheets/d/1xfJKIQxVOaPDIICqsflNlL"&amp;"u3JacTDk1FP9RH4phX7mI/edit?usp=sharing"",""พิจิตร!N733"")+IMPORTRANGE(""https://docs.google.com/spreadsheets/d/1JtRfZkJMHtEhI5RdRHxYUG4FIZHqKDpNyIuN7A1Q0_k/edit?usp=sharing"",""พิษณุโลก!N733"")+IMPORTRANGE(""https://docs.google.com/spreadsheets/d/1xlcVZWU"&amp;"Nn6SuWm0c307h32SiGkd9BaeQWlAktfD3KO8/edit?usp=sharing"",""เพชรบูรณ์!N733"")+IMPORTRANGE(""https://docs.google.com/spreadsheets/d/1lOVebEIsI9qjGXl6EX66luk7wiuP2tBaryw-wKvv4e0/edit?usp=sharing"",""แพร่!N733"")+IMPORTRANGE(""https://docs.google.com/spreadshe"&amp;"ets/d/1dQrvX0vEcN7Gu0fnZ0B5S90AeR19zth4XlExFBeExMY/edit?usp=sharing"",""แม่ฮ่องสอน!N733"")+IMPORTRANGE(""https://docs.google.com/spreadsheets/d/1DY4XTNNwjluuxqdfdn6qvOSlMRrZqUtmYcZR0ttFiG4/edit?usp=sharing"",""ลำปาง!N733"")+IMPORTRANGE(""https://docs.goog"&amp;"le.com/spreadsheets/d/1ICwG78r0OFT8biBlxnBF8r7she7gNSzOvJ958PWT09c/edit?usp=sharing"",""ลำพูน!N733"")+IMPORTRANGE(""https://docs.google.com/spreadsheets/d/1B0f2xJpZUC6Z0xXnqKlZtEPzsf6L84eP1r1Q15seqRM/edit?usp=sharing"",""สุโขทัย!N733"")+IMPORTRANGE(""http"&amp;"s://docs.google.com/spreadsheets/d/1v0b9pFQCsKUVExMei7AgY2yQkdeNQvtOssygGsXbiKo/edit?usp=sharing"",""อุตรดิตถ์!N733"")+IMPORTRANGE(""https://docs.google.com/spreadsheets/d/1UsNK1e-WWiCo2PvGqdNfdme4m17_Ezd3J69EeeiQPD0/edit?usp=sharing"",""อุทัยธานี!N733"")"),0)</f>
        <v>0</v>
      </c>
      <c r="O733" s="46">
        <f t="shared" ca="1" si="504"/>
        <v>0</v>
      </c>
      <c r="P733" s="46">
        <f t="shared" ca="1" si="505"/>
        <v>0</v>
      </c>
      <c r="Q733" s="46">
        <f ca="1">IFERROR(__xludf.DUMMYFUNCTION("IMPORTRANGE(""https://docs.google.com/spreadsheets/d/1jTcq05yEiRwXcBMLjiodW9e4biSGYWAHcDj22rKWQ3s/edit?usp=sharing"",""กำแพงเพชร!Q733"")+IMPORTRANGE(""https://docs.google.com/spreadsheets/d/1KS0zmDSZPk8KnTAbGN-Xk6MtX1YRZD0ldgdt20K4CRk/edit?usp=sharing"","&amp;"""เชียงราย!Q733"")+IMPORTRANGE(""https://docs.google.com/spreadsheets/d/1rEDxBtusbi64tE0zunoIbsTVV16HeL0oJ6trHQeQ7K8/edit?usp=sharing"",""เชียงใหม่!Q733"")+IMPORTRANGE(""https://docs.google.com/spreadsheets/d/1W6MnUbDkMi6xHnHko_XkFDO9kkuL6Wqyc-6OCDFjW9I/e"&amp;"dit?usp=sharing"",""ตาก!Q733"")+IMPORTRANGE(""https://docs.google.com/spreadsheets/d/1IQAWArduLkta9LpYo4a_ULsyqdta6-6aDDiwpUnQT6c/edit?usp=sharing"",""นครสวรรค์!Q733"")+IMPORTRANGE(""https://docs.google.com/spreadsheets/d/10s13Sk5xrltsiR-Zkbmk5DwIaDIKO8Xl"&amp;"bJAfqyT7Gvg/edit?usp=sharing"",""น่าน!Q733"")+IMPORTRANGE(""https://docs.google.com/spreadsheets/d/1uu4nAn4Dbi1XREnLKKotUANlKXa7yCgRcgq8HEzQYW8/edit?usp=sharing"",""พะเยา!Q733"")+IMPORTRANGE(""https://docs.google.com/spreadsheets/d/1xfJKIQxVOaPDIICqsflNlL"&amp;"u3JacTDk1FP9RH4phX7mI/edit?usp=sharing"",""พิจิตร!Q733"")+IMPORTRANGE(""https://docs.google.com/spreadsheets/d/1JtRfZkJMHtEhI5RdRHxYUG4FIZHqKDpNyIuN7A1Q0_k/edit?usp=sharing"",""พิษณุโลก!Q733"")+IMPORTRANGE(""https://docs.google.com/spreadsheets/d/1xlcVZWU"&amp;"Nn6SuWm0c307h32SiGkd9BaeQWlAktfD3KO8/edit?usp=sharing"",""เพชรบูรณ์!Q733"")+IMPORTRANGE(""https://docs.google.com/spreadsheets/d/1lOVebEIsI9qjGXl6EX66luk7wiuP2tBaryw-wKvv4e0/edit?usp=sharing"",""แพร่!Q733"")+IMPORTRANGE(""https://docs.google.com/spreadshe"&amp;"ets/d/1dQrvX0vEcN7Gu0fnZ0B5S90AeR19zth4XlExFBeExMY/edit?usp=sharing"",""แม่ฮ่องสอน!Q733"")+IMPORTRANGE(""https://docs.google.com/spreadsheets/d/1DY4XTNNwjluuxqdfdn6qvOSlMRrZqUtmYcZR0ttFiG4/edit?usp=sharing"",""ลำปาง!Q733"")+IMPORTRANGE(""https://docs.goog"&amp;"le.com/spreadsheets/d/1ICwG78r0OFT8biBlxnBF8r7she7gNSzOvJ958PWT09c/edit?usp=sharing"",""ลำพูน!Q733"")+IMPORTRANGE(""https://docs.google.com/spreadsheets/d/1B0f2xJpZUC6Z0xXnqKlZtEPzsf6L84eP1r1Q15seqRM/edit?usp=sharing"",""สุโขทัย!Q733"")+IMPORTRANGE(""http"&amp;"s://docs.google.com/spreadsheets/d/1v0b9pFQCsKUVExMei7AgY2yQkdeNQvtOssygGsXbiKo/edit?usp=sharing"",""อุตรดิตถ์!Q733"")+IMPORTRANGE(""https://docs.google.com/spreadsheets/d/1UsNK1e-WWiCo2PvGqdNfdme4m17_Ezd3J69EeeiQPD0/edit?usp=sharing"",""อุทัยธานี!Q733"")"),11271490)</f>
        <v>11271490</v>
      </c>
      <c r="R733" s="46">
        <f ca="1">IFERROR(__xludf.DUMMYFUNCTION("IMPORTRANGE(""https://docs.google.com/spreadsheets/d/1jTcq05yEiRwXcBMLjiodW9e4biSGYWAHcDj22rKWQ3s/edit?usp=sharing"",""กำแพงเพชร!R733"")+IMPORTRANGE(""https://docs.google.com/spreadsheets/d/1KS0zmDSZPk8KnTAbGN-Xk6MtX1YRZD0ldgdt20K4CRk/edit?usp=sharing"","&amp;"""เชียงราย!R733"")+IMPORTRANGE(""https://docs.google.com/spreadsheets/d/1rEDxBtusbi64tE0zunoIbsTVV16HeL0oJ6trHQeQ7K8/edit?usp=sharing"",""เชียงใหม่!R733"")+IMPORTRANGE(""https://docs.google.com/spreadsheets/d/1W6MnUbDkMi6xHnHko_XkFDO9kkuL6Wqyc-6OCDFjW9I/e"&amp;"dit?usp=sharing"",""ตาก!R733"")+IMPORTRANGE(""https://docs.google.com/spreadsheets/d/1IQAWArduLkta9LpYo4a_ULsyqdta6-6aDDiwpUnQT6c/edit?usp=sharing"",""นครสวรรค์!R733"")+IMPORTRANGE(""https://docs.google.com/spreadsheets/d/10s13Sk5xrltsiR-Zkbmk5DwIaDIKO8Xl"&amp;"bJAfqyT7Gvg/edit?usp=sharing"",""น่าน!R733"")+IMPORTRANGE(""https://docs.google.com/spreadsheets/d/1uu4nAn4Dbi1XREnLKKotUANlKXa7yCgRcgq8HEzQYW8/edit?usp=sharing"",""พะเยา!R733"")+IMPORTRANGE(""https://docs.google.com/spreadsheets/d/1xfJKIQxVOaPDIICqsflNlL"&amp;"u3JacTDk1FP9RH4phX7mI/edit?usp=sharing"",""พิจิตร!R733"")+IMPORTRANGE(""https://docs.google.com/spreadsheets/d/1JtRfZkJMHtEhI5RdRHxYUG4FIZHqKDpNyIuN7A1Q0_k/edit?usp=sharing"",""พิษณุโลก!R733"")+IMPORTRANGE(""https://docs.google.com/spreadsheets/d/1xlcVZWU"&amp;"Nn6SuWm0c307h32SiGkd9BaeQWlAktfD3KO8/edit?usp=sharing"",""เพชรบูรณ์!R733"")+IMPORTRANGE(""https://docs.google.com/spreadsheets/d/1lOVebEIsI9qjGXl6EX66luk7wiuP2tBaryw-wKvv4e0/edit?usp=sharing"",""แพร่!R733"")+IMPORTRANGE(""https://docs.google.com/spreadshe"&amp;"ets/d/1dQrvX0vEcN7Gu0fnZ0B5S90AeR19zth4XlExFBeExMY/edit?usp=sharing"",""แม่ฮ่องสอน!R733"")+IMPORTRANGE(""https://docs.google.com/spreadsheets/d/1DY4XTNNwjluuxqdfdn6qvOSlMRrZqUtmYcZR0ttFiG4/edit?usp=sharing"",""ลำปาง!R733"")+IMPORTRANGE(""https://docs.goog"&amp;"le.com/spreadsheets/d/1ICwG78r0OFT8biBlxnBF8r7she7gNSzOvJ958PWT09c/edit?usp=sharing"",""ลำพูน!R733"")+IMPORTRANGE(""https://docs.google.com/spreadsheets/d/1B0f2xJpZUC6Z0xXnqKlZtEPzsf6L84eP1r1Q15seqRM/edit?usp=sharing"",""สุโขทัย!R733"")+IMPORTRANGE(""http"&amp;"s://docs.google.com/spreadsheets/d/1v0b9pFQCsKUVExMei7AgY2yQkdeNQvtOssygGsXbiKo/edit?usp=sharing"",""อุตรดิตถ์!R733"")+IMPORTRANGE(""https://docs.google.com/spreadsheets/d/1UsNK1e-WWiCo2PvGqdNfdme4m17_Ezd3J69EeeiQPD0/edit?usp=sharing"",""อุทัยธานี!R733"")"),11271490)</f>
        <v>11271490</v>
      </c>
      <c r="S733" s="46">
        <f ca="1">IFERROR(__xludf.DUMMYFUNCTION("IMPORTRANGE(""https://docs.google.com/spreadsheets/d/1jTcq05yEiRwXcBMLjiodW9e4biSGYWAHcDj22rKWQ3s/edit?usp=sharing"",""กำแพงเพชร!S733"")+IMPORTRANGE(""https://docs.google.com/spreadsheets/d/1KS0zmDSZPk8KnTAbGN-Xk6MtX1YRZD0ldgdt20K4CRk/edit?usp=sharing"","&amp;"""เชียงราย!S733"")+IMPORTRANGE(""https://docs.google.com/spreadsheets/d/1rEDxBtusbi64tE0zunoIbsTVV16HeL0oJ6trHQeQ7K8/edit?usp=sharing"",""เชียงใหม่!S733"")+IMPORTRANGE(""https://docs.google.com/spreadsheets/d/1W6MnUbDkMi6xHnHko_XkFDO9kkuL6Wqyc-6OCDFjW9I/e"&amp;"dit?usp=sharing"",""ตาก!S733"")+IMPORTRANGE(""https://docs.google.com/spreadsheets/d/1IQAWArduLkta9LpYo4a_ULsyqdta6-6aDDiwpUnQT6c/edit?usp=sharing"",""นครสวรรค์!S733"")+IMPORTRANGE(""https://docs.google.com/spreadsheets/d/10s13Sk5xrltsiR-Zkbmk5DwIaDIKO8Xl"&amp;"bJAfqyT7Gvg/edit?usp=sharing"",""น่าน!S733"")+IMPORTRANGE(""https://docs.google.com/spreadsheets/d/1uu4nAn4Dbi1XREnLKKotUANlKXa7yCgRcgq8HEzQYW8/edit?usp=sharing"",""พะเยา!S733"")+IMPORTRANGE(""https://docs.google.com/spreadsheets/d/1xfJKIQxVOaPDIICqsflNlL"&amp;"u3JacTDk1FP9RH4phX7mI/edit?usp=sharing"",""พิจิตร!S733"")+IMPORTRANGE(""https://docs.google.com/spreadsheets/d/1JtRfZkJMHtEhI5RdRHxYUG4FIZHqKDpNyIuN7A1Q0_k/edit?usp=sharing"",""พิษณุโลก!S733"")+IMPORTRANGE(""https://docs.google.com/spreadsheets/d/1xlcVZWU"&amp;"Nn6SuWm0c307h32SiGkd9BaeQWlAktfD3KO8/edit?usp=sharing"",""เพชรบูรณ์!S733"")+IMPORTRANGE(""https://docs.google.com/spreadsheets/d/1lOVebEIsI9qjGXl6EX66luk7wiuP2tBaryw-wKvv4e0/edit?usp=sharing"",""แพร่!S733"")+IMPORTRANGE(""https://docs.google.com/spreadshe"&amp;"ets/d/1dQrvX0vEcN7Gu0fnZ0B5S90AeR19zth4XlExFBeExMY/edit?usp=sharing"",""แม่ฮ่องสอน!S733"")+IMPORTRANGE(""https://docs.google.com/spreadsheets/d/1DY4XTNNwjluuxqdfdn6qvOSlMRrZqUtmYcZR0ttFiG4/edit?usp=sharing"",""ลำปาง!S733"")+IMPORTRANGE(""https://docs.goog"&amp;"le.com/spreadsheets/d/1ICwG78r0OFT8biBlxnBF8r7she7gNSzOvJ958PWT09c/edit?usp=sharing"",""ลำพูน!S733"")+IMPORTRANGE(""https://docs.google.com/spreadsheets/d/1B0f2xJpZUC6Z0xXnqKlZtEPzsf6L84eP1r1Q15seqRM/edit?usp=sharing"",""สุโขทัย!S733"")+IMPORTRANGE(""http"&amp;"s://docs.google.com/spreadsheets/d/1v0b9pFQCsKUVExMei7AgY2yQkdeNQvtOssygGsXbiKo/edit?usp=sharing"",""อุตรดิตถ์!S733"")+IMPORTRANGE(""https://docs.google.com/spreadsheets/d/1UsNK1e-WWiCo2PvGqdNfdme4m17_Ezd3J69EeeiQPD0/edit?usp=sharing"",""อุทัยธานี!S733"")"),1068357.16)</f>
        <v>1068357.1599999999</v>
      </c>
      <c r="T733" s="46">
        <f t="shared" ca="1" si="507"/>
        <v>9.4784022343097476</v>
      </c>
      <c r="U733" s="46">
        <f t="shared" ca="1" si="508"/>
        <v>9.4784022343097476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46">
        <f t="shared" ref="L734:N734" ca="1" si="515">L735+L736</f>
        <v>0</v>
      </c>
      <c r="M734" s="46">
        <f t="shared" ca="1" si="515"/>
        <v>0</v>
      </c>
      <c r="N734" s="46">
        <f t="shared" ca="1" si="515"/>
        <v>0</v>
      </c>
      <c r="O734" s="46">
        <f t="shared" ca="1" si="504"/>
        <v>0</v>
      </c>
      <c r="P734" s="46">
        <f t="shared" ca="1" si="505"/>
        <v>0</v>
      </c>
      <c r="Q734" s="46">
        <f t="shared" ref="Q734:S734" ca="1" si="516">Q735+Q736</f>
        <v>0</v>
      </c>
      <c r="R734" s="46">
        <f t="shared" ca="1" si="516"/>
        <v>0</v>
      </c>
      <c r="S734" s="46">
        <f t="shared" ca="1" si="516"/>
        <v>0</v>
      </c>
      <c r="T734" s="46">
        <f t="shared" ca="1" si="507"/>
        <v>0</v>
      </c>
      <c r="U734" s="46">
        <f t="shared" ca="1" si="508"/>
        <v>0</v>
      </c>
    </row>
    <row r="735" spans="1:21" ht="18.75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48">
        <f ca="1">IFERROR(__xludf.DUMMYFUNCTION("IMPORTRANGE(""https://docs.google.com/spreadsheets/d/1jTcq05yEiRwXcBMLjiodW9e4biSGYWAHcDj22rKWQ3s/edit?usp=sharing"",""กำแพงเพชร!L735"")+IMPORTRANGE(""https://docs.google.com/spreadsheets/d/1KS0zmDSZPk8KnTAbGN-Xk6MtX1YRZD0ldgdt20K4CRk/edit?usp=sharing"","&amp;"""เชียงราย!L735"")+IMPORTRANGE(""https://docs.google.com/spreadsheets/d/1rEDxBtusbi64tE0zunoIbsTVV16HeL0oJ6trHQeQ7K8/edit?usp=sharing"",""เชียงใหม่!L735"")+IMPORTRANGE(""https://docs.google.com/spreadsheets/d/1W6MnUbDkMi6xHnHko_XkFDO9kkuL6Wqyc-6OCDFjW9I/e"&amp;"dit?usp=sharing"",""ตาก!L735"")+IMPORTRANGE(""https://docs.google.com/spreadsheets/d/1IQAWArduLkta9LpYo4a_ULsyqdta6-6aDDiwpUnQT6c/edit?usp=sharing"",""นครสวรรค์!L735"")+IMPORTRANGE(""https://docs.google.com/spreadsheets/d/10s13Sk5xrltsiR-Zkbmk5DwIaDIKO8Xl"&amp;"bJAfqyT7Gvg/edit?usp=sharing"",""น่าน!L735"")+IMPORTRANGE(""https://docs.google.com/spreadsheets/d/1uu4nAn4Dbi1XREnLKKotUANlKXa7yCgRcgq8HEzQYW8/edit?usp=sharing"",""พะเยา!L735"")+IMPORTRANGE(""https://docs.google.com/spreadsheets/d/1xfJKIQxVOaPDIICqsflNlL"&amp;"u3JacTDk1FP9RH4phX7mI/edit?usp=sharing"",""พิจิตร!L735"")+IMPORTRANGE(""https://docs.google.com/spreadsheets/d/1JtRfZkJMHtEhI5RdRHxYUG4FIZHqKDpNyIuN7A1Q0_k/edit?usp=sharing"",""พิษณุโลก!L735"")+IMPORTRANGE(""https://docs.google.com/spreadsheets/d/1xlcVZWU"&amp;"Nn6SuWm0c307h32SiGkd9BaeQWlAktfD3KO8/edit?usp=sharing"",""เพชรบูรณ์!L735"")+IMPORTRANGE(""https://docs.google.com/spreadsheets/d/1lOVebEIsI9qjGXl6EX66luk7wiuP2tBaryw-wKvv4e0/edit?usp=sharing"",""แพร่!L735"")+IMPORTRANGE(""https://docs.google.com/spreadshe"&amp;"ets/d/1dQrvX0vEcN7Gu0fnZ0B5S90AeR19zth4XlExFBeExMY/edit?usp=sharing"",""แม่ฮ่องสอน!L735"")+IMPORTRANGE(""https://docs.google.com/spreadsheets/d/1DY4XTNNwjluuxqdfdn6qvOSlMRrZqUtmYcZR0ttFiG4/edit?usp=sharing"",""ลำปาง!L735"")+IMPORTRANGE(""https://docs.goog"&amp;"le.com/spreadsheets/d/1ICwG78r0OFT8biBlxnBF8r7she7gNSzOvJ958PWT09c/edit?usp=sharing"",""ลำพูน!L735"")+IMPORTRANGE(""https://docs.google.com/spreadsheets/d/1B0f2xJpZUC6Z0xXnqKlZtEPzsf6L84eP1r1Q15seqRM/edit?usp=sharing"",""สุโขทัย!L735"")+IMPORTRANGE(""http"&amp;"s://docs.google.com/spreadsheets/d/1v0b9pFQCsKUVExMei7AgY2yQkdeNQvtOssygGsXbiKo/edit?usp=sharing"",""อุตรดิตถ์!L735"")+IMPORTRANGE(""https://docs.google.com/spreadsheets/d/1UsNK1e-WWiCo2PvGqdNfdme4m17_Ezd3J69EeeiQPD0/edit?usp=sharing"",""อุทัยธานี!L735"")"),0)</f>
        <v>0</v>
      </c>
      <c r="M735" s="48">
        <f ca="1">IFERROR(__xludf.DUMMYFUNCTION("IMPORTRANGE(""https://docs.google.com/spreadsheets/d/1jTcq05yEiRwXcBMLjiodW9e4biSGYWAHcDj22rKWQ3s/edit?usp=sharing"",""กำแพงเพชร!M735"")+IMPORTRANGE(""https://docs.google.com/spreadsheets/d/1KS0zmDSZPk8KnTAbGN-Xk6MtX1YRZD0ldgdt20K4CRk/edit?usp=sharing"","&amp;"""เชียงราย!M735"")+IMPORTRANGE(""https://docs.google.com/spreadsheets/d/1rEDxBtusbi64tE0zunoIbsTVV16HeL0oJ6trHQeQ7K8/edit?usp=sharing"",""เชียงใหม่!M735"")+IMPORTRANGE(""https://docs.google.com/spreadsheets/d/1W6MnUbDkMi6xHnHko_XkFDO9kkuL6Wqyc-6OCDFjW9I/e"&amp;"dit?usp=sharing"",""ตาก!M735"")+IMPORTRANGE(""https://docs.google.com/spreadsheets/d/1IQAWArduLkta9LpYo4a_ULsyqdta6-6aDDiwpUnQT6c/edit?usp=sharing"",""นครสวรรค์!M735"")+IMPORTRANGE(""https://docs.google.com/spreadsheets/d/10s13Sk5xrltsiR-Zkbmk5DwIaDIKO8Xl"&amp;"bJAfqyT7Gvg/edit?usp=sharing"",""น่าน!M735"")+IMPORTRANGE(""https://docs.google.com/spreadsheets/d/1uu4nAn4Dbi1XREnLKKotUANlKXa7yCgRcgq8HEzQYW8/edit?usp=sharing"",""พะเยา!M735"")+IMPORTRANGE(""https://docs.google.com/spreadsheets/d/1xfJKIQxVOaPDIICqsflNlL"&amp;"u3JacTDk1FP9RH4phX7mI/edit?usp=sharing"",""พิจิตร!M735"")+IMPORTRANGE(""https://docs.google.com/spreadsheets/d/1JtRfZkJMHtEhI5RdRHxYUG4FIZHqKDpNyIuN7A1Q0_k/edit?usp=sharing"",""พิษณุโลก!M735"")+IMPORTRANGE(""https://docs.google.com/spreadsheets/d/1xlcVZWU"&amp;"Nn6SuWm0c307h32SiGkd9BaeQWlAktfD3KO8/edit?usp=sharing"",""เพชรบูรณ์!M735"")+IMPORTRANGE(""https://docs.google.com/spreadsheets/d/1lOVebEIsI9qjGXl6EX66luk7wiuP2tBaryw-wKvv4e0/edit?usp=sharing"",""แพร่!M735"")+IMPORTRANGE(""https://docs.google.com/spreadshe"&amp;"ets/d/1dQrvX0vEcN7Gu0fnZ0B5S90AeR19zth4XlExFBeExMY/edit?usp=sharing"",""แม่ฮ่องสอน!M735"")+IMPORTRANGE(""https://docs.google.com/spreadsheets/d/1DY4XTNNwjluuxqdfdn6qvOSlMRrZqUtmYcZR0ttFiG4/edit?usp=sharing"",""ลำปาง!M735"")+IMPORTRANGE(""https://docs.goog"&amp;"le.com/spreadsheets/d/1ICwG78r0OFT8biBlxnBF8r7she7gNSzOvJ958PWT09c/edit?usp=sharing"",""ลำพูน!M735"")+IMPORTRANGE(""https://docs.google.com/spreadsheets/d/1B0f2xJpZUC6Z0xXnqKlZtEPzsf6L84eP1r1Q15seqRM/edit?usp=sharing"",""สุโขทัย!M735"")+IMPORTRANGE(""http"&amp;"s://docs.google.com/spreadsheets/d/1v0b9pFQCsKUVExMei7AgY2yQkdeNQvtOssygGsXbiKo/edit?usp=sharing"",""อุตรดิตถ์!M735"")+IMPORTRANGE(""https://docs.google.com/spreadsheets/d/1UsNK1e-WWiCo2PvGqdNfdme4m17_Ezd3J69EeeiQPD0/edit?usp=sharing"",""อุทัยธานี!M735"")"),0)</f>
        <v>0</v>
      </c>
      <c r="N735" s="48">
        <f ca="1">IFERROR(__xludf.DUMMYFUNCTION("IMPORTRANGE(""https://docs.google.com/spreadsheets/d/1jTcq05yEiRwXcBMLjiodW9e4biSGYWAHcDj22rKWQ3s/edit?usp=sharing"",""กำแพงเพชร!N735"")+IMPORTRANGE(""https://docs.google.com/spreadsheets/d/1KS0zmDSZPk8KnTAbGN-Xk6MtX1YRZD0ldgdt20K4CRk/edit?usp=sharing"","&amp;"""เชียงราย!N735"")+IMPORTRANGE(""https://docs.google.com/spreadsheets/d/1rEDxBtusbi64tE0zunoIbsTVV16HeL0oJ6trHQeQ7K8/edit?usp=sharing"",""เชียงใหม่!N735"")+IMPORTRANGE(""https://docs.google.com/spreadsheets/d/1W6MnUbDkMi6xHnHko_XkFDO9kkuL6Wqyc-6OCDFjW9I/e"&amp;"dit?usp=sharing"",""ตาก!N735"")+IMPORTRANGE(""https://docs.google.com/spreadsheets/d/1IQAWArduLkta9LpYo4a_ULsyqdta6-6aDDiwpUnQT6c/edit?usp=sharing"",""นครสวรรค์!N735"")+IMPORTRANGE(""https://docs.google.com/spreadsheets/d/10s13Sk5xrltsiR-Zkbmk5DwIaDIKO8Xl"&amp;"bJAfqyT7Gvg/edit?usp=sharing"",""น่าน!N735"")+IMPORTRANGE(""https://docs.google.com/spreadsheets/d/1uu4nAn4Dbi1XREnLKKotUANlKXa7yCgRcgq8HEzQYW8/edit?usp=sharing"",""พะเยา!N735"")+IMPORTRANGE(""https://docs.google.com/spreadsheets/d/1xfJKIQxVOaPDIICqsflNlL"&amp;"u3JacTDk1FP9RH4phX7mI/edit?usp=sharing"",""พิจิตร!N735"")+IMPORTRANGE(""https://docs.google.com/spreadsheets/d/1JtRfZkJMHtEhI5RdRHxYUG4FIZHqKDpNyIuN7A1Q0_k/edit?usp=sharing"",""พิษณุโลก!N735"")+IMPORTRANGE(""https://docs.google.com/spreadsheets/d/1xlcVZWU"&amp;"Nn6SuWm0c307h32SiGkd9BaeQWlAktfD3KO8/edit?usp=sharing"",""เพชรบูรณ์!N735"")+IMPORTRANGE(""https://docs.google.com/spreadsheets/d/1lOVebEIsI9qjGXl6EX66luk7wiuP2tBaryw-wKvv4e0/edit?usp=sharing"",""แพร่!N735"")+IMPORTRANGE(""https://docs.google.com/spreadshe"&amp;"ets/d/1dQrvX0vEcN7Gu0fnZ0B5S90AeR19zth4XlExFBeExMY/edit?usp=sharing"",""แม่ฮ่องสอน!N735"")+IMPORTRANGE(""https://docs.google.com/spreadsheets/d/1DY4XTNNwjluuxqdfdn6qvOSlMRrZqUtmYcZR0ttFiG4/edit?usp=sharing"",""ลำปาง!N735"")+IMPORTRANGE(""https://docs.goog"&amp;"le.com/spreadsheets/d/1ICwG78r0OFT8biBlxnBF8r7she7gNSzOvJ958PWT09c/edit?usp=sharing"",""ลำพูน!N735"")+IMPORTRANGE(""https://docs.google.com/spreadsheets/d/1B0f2xJpZUC6Z0xXnqKlZtEPzsf6L84eP1r1Q15seqRM/edit?usp=sharing"",""สุโขทัย!N735"")+IMPORTRANGE(""http"&amp;"s://docs.google.com/spreadsheets/d/1v0b9pFQCsKUVExMei7AgY2yQkdeNQvtOssygGsXbiKo/edit?usp=sharing"",""อุตรดิตถ์!N735"")+IMPORTRANGE(""https://docs.google.com/spreadsheets/d/1UsNK1e-WWiCo2PvGqdNfdme4m17_Ezd3J69EeeiQPD0/edit?usp=sharing"",""อุทัยธานี!N735"")"),0)</f>
        <v>0</v>
      </c>
      <c r="O735" s="48">
        <f t="shared" ca="1" si="504"/>
        <v>0</v>
      </c>
      <c r="P735" s="48">
        <f t="shared" ca="1" si="505"/>
        <v>0</v>
      </c>
      <c r="Q735" s="48">
        <f ca="1">IFERROR(__xludf.DUMMYFUNCTION("IMPORTRANGE(""https://docs.google.com/spreadsheets/d/1jTcq05yEiRwXcBMLjiodW9e4biSGYWAHcDj22rKWQ3s/edit?usp=sharing"",""กำแพงเพชร!Q735"")+IMPORTRANGE(""https://docs.google.com/spreadsheets/d/1KS0zmDSZPk8KnTAbGN-Xk6MtX1YRZD0ldgdt20K4CRk/edit?usp=sharing"","&amp;"""เชียงราย!Q735"")+IMPORTRANGE(""https://docs.google.com/spreadsheets/d/1rEDxBtusbi64tE0zunoIbsTVV16HeL0oJ6trHQeQ7K8/edit?usp=sharing"",""เชียงใหม่!Q735"")+IMPORTRANGE(""https://docs.google.com/spreadsheets/d/1W6MnUbDkMi6xHnHko_XkFDO9kkuL6Wqyc-6OCDFjW9I/e"&amp;"dit?usp=sharing"",""ตาก!Q735"")+IMPORTRANGE(""https://docs.google.com/spreadsheets/d/1IQAWArduLkta9LpYo4a_ULsyqdta6-6aDDiwpUnQT6c/edit?usp=sharing"",""นครสวรรค์!Q735"")+IMPORTRANGE(""https://docs.google.com/spreadsheets/d/10s13Sk5xrltsiR-Zkbmk5DwIaDIKO8Xl"&amp;"bJAfqyT7Gvg/edit?usp=sharing"",""น่าน!Q735"")+IMPORTRANGE(""https://docs.google.com/spreadsheets/d/1uu4nAn4Dbi1XREnLKKotUANlKXa7yCgRcgq8HEzQYW8/edit?usp=sharing"",""พะเยา!Q735"")+IMPORTRANGE(""https://docs.google.com/spreadsheets/d/1xfJKIQxVOaPDIICqsflNlL"&amp;"u3JacTDk1FP9RH4phX7mI/edit?usp=sharing"",""พิจิตร!Q735"")+IMPORTRANGE(""https://docs.google.com/spreadsheets/d/1JtRfZkJMHtEhI5RdRHxYUG4FIZHqKDpNyIuN7A1Q0_k/edit?usp=sharing"",""พิษณุโลก!Q735"")+IMPORTRANGE(""https://docs.google.com/spreadsheets/d/1xlcVZWU"&amp;"Nn6SuWm0c307h32SiGkd9BaeQWlAktfD3KO8/edit?usp=sharing"",""เพชรบูรณ์!Q735"")+IMPORTRANGE(""https://docs.google.com/spreadsheets/d/1lOVebEIsI9qjGXl6EX66luk7wiuP2tBaryw-wKvv4e0/edit?usp=sharing"",""แพร่!Q735"")+IMPORTRANGE(""https://docs.google.com/spreadshe"&amp;"ets/d/1dQrvX0vEcN7Gu0fnZ0B5S90AeR19zth4XlExFBeExMY/edit?usp=sharing"",""แม่ฮ่องสอน!Q735"")+IMPORTRANGE(""https://docs.google.com/spreadsheets/d/1DY4XTNNwjluuxqdfdn6qvOSlMRrZqUtmYcZR0ttFiG4/edit?usp=sharing"",""ลำปาง!Q735"")+IMPORTRANGE(""https://docs.goog"&amp;"le.com/spreadsheets/d/1ICwG78r0OFT8biBlxnBF8r7she7gNSzOvJ958PWT09c/edit?usp=sharing"",""ลำพูน!Q735"")+IMPORTRANGE(""https://docs.google.com/spreadsheets/d/1B0f2xJpZUC6Z0xXnqKlZtEPzsf6L84eP1r1Q15seqRM/edit?usp=sharing"",""สุโขทัย!Q735"")+IMPORTRANGE(""http"&amp;"s://docs.google.com/spreadsheets/d/1v0b9pFQCsKUVExMei7AgY2yQkdeNQvtOssygGsXbiKo/edit?usp=sharing"",""อุตรดิตถ์!Q735"")+IMPORTRANGE(""https://docs.google.com/spreadsheets/d/1UsNK1e-WWiCo2PvGqdNfdme4m17_Ezd3J69EeeiQPD0/edit?usp=sharing"",""อุทัยธานี!Q735"")"),0)</f>
        <v>0</v>
      </c>
      <c r="R735" s="48">
        <f ca="1">IFERROR(__xludf.DUMMYFUNCTION("IMPORTRANGE(""https://docs.google.com/spreadsheets/d/1jTcq05yEiRwXcBMLjiodW9e4biSGYWAHcDj22rKWQ3s/edit?usp=sharing"",""กำแพงเพชร!R735"")+IMPORTRANGE(""https://docs.google.com/spreadsheets/d/1KS0zmDSZPk8KnTAbGN-Xk6MtX1YRZD0ldgdt20K4CRk/edit?usp=sharing"","&amp;"""เชียงราย!R735"")+IMPORTRANGE(""https://docs.google.com/spreadsheets/d/1rEDxBtusbi64tE0zunoIbsTVV16HeL0oJ6trHQeQ7K8/edit?usp=sharing"",""เชียงใหม่!R735"")+IMPORTRANGE(""https://docs.google.com/spreadsheets/d/1W6MnUbDkMi6xHnHko_XkFDO9kkuL6Wqyc-6OCDFjW9I/e"&amp;"dit?usp=sharing"",""ตาก!R735"")+IMPORTRANGE(""https://docs.google.com/spreadsheets/d/1IQAWArduLkta9LpYo4a_ULsyqdta6-6aDDiwpUnQT6c/edit?usp=sharing"",""นครสวรรค์!R735"")+IMPORTRANGE(""https://docs.google.com/spreadsheets/d/10s13Sk5xrltsiR-Zkbmk5DwIaDIKO8Xl"&amp;"bJAfqyT7Gvg/edit?usp=sharing"",""น่าน!R735"")+IMPORTRANGE(""https://docs.google.com/spreadsheets/d/1uu4nAn4Dbi1XREnLKKotUANlKXa7yCgRcgq8HEzQYW8/edit?usp=sharing"",""พะเยา!R735"")+IMPORTRANGE(""https://docs.google.com/spreadsheets/d/1xfJKIQxVOaPDIICqsflNlL"&amp;"u3JacTDk1FP9RH4phX7mI/edit?usp=sharing"",""พิจิตร!R735"")+IMPORTRANGE(""https://docs.google.com/spreadsheets/d/1JtRfZkJMHtEhI5RdRHxYUG4FIZHqKDpNyIuN7A1Q0_k/edit?usp=sharing"",""พิษณุโลก!R735"")+IMPORTRANGE(""https://docs.google.com/spreadsheets/d/1xlcVZWU"&amp;"Nn6SuWm0c307h32SiGkd9BaeQWlAktfD3KO8/edit?usp=sharing"",""เพชรบูรณ์!R735"")+IMPORTRANGE(""https://docs.google.com/spreadsheets/d/1lOVebEIsI9qjGXl6EX66luk7wiuP2tBaryw-wKvv4e0/edit?usp=sharing"",""แพร่!R735"")+IMPORTRANGE(""https://docs.google.com/spreadshe"&amp;"ets/d/1dQrvX0vEcN7Gu0fnZ0B5S90AeR19zth4XlExFBeExMY/edit?usp=sharing"",""แม่ฮ่องสอน!R735"")+IMPORTRANGE(""https://docs.google.com/spreadsheets/d/1DY4XTNNwjluuxqdfdn6qvOSlMRrZqUtmYcZR0ttFiG4/edit?usp=sharing"",""ลำปาง!R735"")+IMPORTRANGE(""https://docs.goog"&amp;"le.com/spreadsheets/d/1ICwG78r0OFT8biBlxnBF8r7she7gNSzOvJ958PWT09c/edit?usp=sharing"",""ลำพูน!R735"")+IMPORTRANGE(""https://docs.google.com/spreadsheets/d/1B0f2xJpZUC6Z0xXnqKlZtEPzsf6L84eP1r1Q15seqRM/edit?usp=sharing"",""สุโขทัย!R735"")+IMPORTRANGE(""http"&amp;"s://docs.google.com/spreadsheets/d/1v0b9pFQCsKUVExMei7AgY2yQkdeNQvtOssygGsXbiKo/edit?usp=sharing"",""อุตรดิตถ์!R735"")+IMPORTRANGE(""https://docs.google.com/spreadsheets/d/1UsNK1e-WWiCo2PvGqdNfdme4m17_Ezd3J69EeeiQPD0/edit?usp=sharing"",""อุทัยธานี!R735"")"),0)</f>
        <v>0</v>
      </c>
      <c r="S735" s="48">
        <f ca="1">IFERROR(__xludf.DUMMYFUNCTION("IMPORTRANGE(""https://docs.google.com/spreadsheets/d/1jTcq05yEiRwXcBMLjiodW9e4biSGYWAHcDj22rKWQ3s/edit?usp=sharing"",""กำแพงเพชร!S735"")+IMPORTRANGE(""https://docs.google.com/spreadsheets/d/1KS0zmDSZPk8KnTAbGN-Xk6MtX1YRZD0ldgdt20K4CRk/edit?usp=sharing"","&amp;"""เชียงราย!S735"")+IMPORTRANGE(""https://docs.google.com/spreadsheets/d/1rEDxBtusbi64tE0zunoIbsTVV16HeL0oJ6trHQeQ7K8/edit?usp=sharing"",""เชียงใหม่!S735"")+IMPORTRANGE(""https://docs.google.com/spreadsheets/d/1W6MnUbDkMi6xHnHko_XkFDO9kkuL6Wqyc-6OCDFjW9I/e"&amp;"dit?usp=sharing"",""ตาก!S735"")+IMPORTRANGE(""https://docs.google.com/spreadsheets/d/1IQAWArduLkta9LpYo4a_ULsyqdta6-6aDDiwpUnQT6c/edit?usp=sharing"",""นครสวรรค์!S735"")+IMPORTRANGE(""https://docs.google.com/spreadsheets/d/10s13Sk5xrltsiR-Zkbmk5DwIaDIKO8Xl"&amp;"bJAfqyT7Gvg/edit?usp=sharing"",""น่าน!S735"")+IMPORTRANGE(""https://docs.google.com/spreadsheets/d/1uu4nAn4Dbi1XREnLKKotUANlKXa7yCgRcgq8HEzQYW8/edit?usp=sharing"",""พะเยา!S735"")+IMPORTRANGE(""https://docs.google.com/spreadsheets/d/1xfJKIQxVOaPDIICqsflNlL"&amp;"u3JacTDk1FP9RH4phX7mI/edit?usp=sharing"",""พิจิตร!S735"")+IMPORTRANGE(""https://docs.google.com/spreadsheets/d/1JtRfZkJMHtEhI5RdRHxYUG4FIZHqKDpNyIuN7A1Q0_k/edit?usp=sharing"",""พิษณุโลก!S735"")+IMPORTRANGE(""https://docs.google.com/spreadsheets/d/1xlcVZWU"&amp;"Nn6SuWm0c307h32SiGkd9BaeQWlAktfD3KO8/edit?usp=sharing"",""เพชรบูรณ์!S735"")+IMPORTRANGE(""https://docs.google.com/spreadsheets/d/1lOVebEIsI9qjGXl6EX66luk7wiuP2tBaryw-wKvv4e0/edit?usp=sharing"",""แพร่!S735"")+IMPORTRANGE(""https://docs.google.com/spreadshe"&amp;"ets/d/1dQrvX0vEcN7Gu0fnZ0B5S90AeR19zth4XlExFBeExMY/edit?usp=sharing"",""แม่ฮ่องสอน!S735"")+IMPORTRANGE(""https://docs.google.com/spreadsheets/d/1DY4XTNNwjluuxqdfdn6qvOSlMRrZqUtmYcZR0ttFiG4/edit?usp=sharing"",""ลำปาง!S735"")+IMPORTRANGE(""https://docs.goog"&amp;"le.com/spreadsheets/d/1ICwG78r0OFT8biBlxnBF8r7she7gNSzOvJ958PWT09c/edit?usp=sharing"",""ลำพูน!S735"")+IMPORTRANGE(""https://docs.google.com/spreadsheets/d/1B0f2xJpZUC6Z0xXnqKlZtEPzsf6L84eP1r1Q15seqRM/edit?usp=sharing"",""สุโขทัย!S735"")+IMPORTRANGE(""http"&amp;"s://docs.google.com/spreadsheets/d/1v0b9pFQCsKUVExMei7AgY2yQkdeNQvtOssygGsXbiKo/edit?usp=sharing"",""อุตรดิตถ์!S735"")+IMPORTRANGE(""https://docs.google.com/spreadsheets/d/1UsNK1e-WWiCo2PvGqdNfdme4m17_Ezd3J69EeeiQPD0/edit?usp=sharing"",""อุทัยธานี!S735"")"),0)</f>
        <v>0</v>
      </c>
      <c r="T735" s="48">
        <f t="shared" ca="1" si="507"/>
        <v>0</v>
      </c>
      <c r="U735" s="48">
        <f t="shared" ca="1" si="508"/>
        <v>0</v>
      </c>
    </row>
    <row r="736" spans="1:21" ht="18.75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46">
        <f ca="1">IFERROR(__xludf.DUMMYFUNCTION("IMPORTRANGE(""https://docs.google.com/spreadsheets/d/1jTcq05yEiRwXcBMLjiodW9e4biSGYWAHcDj22rKWQ3s/edit?usp=sharing"",""กำแพงเพชร!L736"")+IMPORTRANGE(""https://docs.google.com/spreadsheets/d/1KS0zmDSZPk8KnTAbGN-Xk6MtX1YRZD0ldgdt20K4CRk/edit?usp=sharing"","&amp;"""เชียงราย!L736"")+IMPORTRANGE(""https://docs.google.com/spreadsheets/d/1rEDxBtusbi64tE0zunoIbsTVV16HeL0oJ6trHQeQ7K8/edit?usp=sharing"",""เชียงใหม่!L736"")+IMPORTRANGE(""https://docs.google.com/spreadsheets/d/1W6MnUbDkMi6xHnHko_XkFDO9kkuL6Wqyc-6OCDFjW9I/e"&amp;"dit?usp=sharing"",""ตาก!L736"")+IMPORTRANGE(""https://docs.google.com/spreadsheets/d/1IQAWArduLkta9LpYo4a_ULsyqdta6-6aDDiwpUnQT6c/edit?usp=sharing"",""นครสวรรค์!L736"")+IMPORTRANGE(""https://docs.google.com/spreadsheets/d/10s13Sk5xrltsiR-Zkbmk5DwIaDIKO8Xl"&amp;"bJAfqyT7Gvg/edit?usp=sharing"",""น่าน!L736"")+IMPORTRANGE(""https://docs.google.com/spreadsheets/d/1uu4nAn4Dbi1XREnLKKotUANlKXa7yCgRcgq8HEzQYW8/edit?usp=sharing"",""พะเยา!L736"")+IMPORTRANGE(""https://docs.google.com/spreadsheets/d/1xfJKIQxVOaPDIICqsflNlL"&amp;"u3JacTDk1FP9RH4phX7mI/edit?usp=sharing"",""พิจิตร!L736"")+IMPORTRANGE(""https://docs.google.com/spreadsheets/d/1JtRfZkJMHtEhI5RdRHxYUG4FIZHqKDpNyIuN7A1Q0_k/edit?usp=sharing"",""พิษณุโลก!L736"")+IMPORTRANGE(""https://docs.google.com/spreadsheets/d/1xlcVZWU"&amp;"Nn6SuWm0c307h32SiGkd9BaeQWlAktfD3KO8/edit?usp=sharing"",""เพชรบูรณ์!L736"")+IMPORTRANGE(""https://docs.google.com/spreadsheets/d/1lOVebEIsI9qjGXl6EX66luk7wiuP2tBaryw-wKvv4e0/edit?usp=sharing"",""แพร่!L736"")+IMPORTRANGE(""https://docs.google.com/spreadshe"&amp;"ets/d/1dQrvX0vEcN7Gu0fnZ0B5S90AeR19zth4XlExFBeExMY/edit?usp=sharing"",""แม่ฮ่องสอน!L736"")+IMPORTRANGE(""https://docs.google.com/spreadsheets/d/1DY4XTNNwjluuxqdfdn6qvOSlMRrZqUtmYcZR0ttFiG4/edit?usp=sharing"",""ลำปาง!L736"")+IMPORTRANGE(""https://docs.goog"&amp;"le.com/spreadsheets/d/1ICwG78r0OFT8biBlxnBF8r7she7gNSzOvJ958PWT09c/edit?usp=sharing"",""ลำพูน!L736"")+IMPORTRANGE(""https://docs.google.com/spreadsheets/d/1B0f2xJpZUC6Z0xXnqKlZtEPzsf6L84eP1r1Q15seqRM/edit?usp=sharing"",""สุโขทัย!L736"")+IMPORTRANGE(""http"&amp;"s://docs.google.com/spreadsheets/d/1v0b9pFQCsKUVExMei7AgY2yQkdeNQvtOssygGsXbiKo/edit?usp=sharing"",""อุตรดิตถ์!L736"")+IMPORTRANGE(""https://docs.google.com/spreadsheets/d/1UsNK1e-WWiCo2PvGqdNfdme4m17_Ezd3J69EeeiQPD0/edit?usp=sharing"",""อุทัยธานี!L736"")"),0)</f>
        <v>0</v>
      </c>
      <c r="M736" s="46">
        <f ca="1">IFERROR(__xludf.DUMMYFUNCTION("IMPORTRANGE(""https://docs.google.com/spreadsheets/d/1jTcq05yEiRwXcBMLjiodW9e4biSGYWAHcDj22rKWQ3s/edit?usp=sharing"",""กำแพงเพชร!M736"")+IMPORTRANGE(""https://docs.google.com/spreadsheets/d/1KS0zmDSZPk8KnTAbGN-Xk6MtX1YRZD0ldgdt20K4CRk/edit?usp=sharing"","&amp;"""เชียงราย!M736"")+IMPORTRANGE(""https://docs.google.com/spreadsheets/d/1rEDxBtusbi64tE0zunoIbsTVV16HeL0oJ6trHQeQ7K8/edit?usp=sharing"",""เชียงใหม่!M736"")+IMPORTRANGE(""https://docs.google.com/spreadsheets/d/1W6MnUbDkMi6xHnHko_XkFDO9kkuL6Wqyc-6OCDFjW9I/e"&amp;"dit?usp=sharing"",""ตาก!M736"")+IMPORTRANGE(""https://docs.google.com/spreadsheets/d/1IQAWArduLkta9LpYo4a_ULsyqdta6-6aDDiwpUnQT6c/edit?usp=sharing"",""นครสวรรค์!M736"")+IMPORTRANGE(""https://docs.google.com/spreadsheets/d/10s13Sk5xrltsiR-Zkbmk5DwIaDIKO8Xl"&amp;"bJAfqyT7Gvg/edit?usp=sharing"",""น่าน!M736"")+IMPORTRANGE(""https://docs.google.com/spreadsheets/d/1uu4nAn4Dbi1XREnLKKotUANlKXa7yCgRcgq8HEzQYW8/edit?usp=sharing"",""พะเยา!M736"")+IMPORTRANGE(""https://docs.google.com/spreadsheets/d/1xfJKIQxVOaPDIICqsflNlL"&amp;"u3JacTDk1FP9RH4phX7mI/edit?usp=sharing"",""พิจิตร!M736"")+IMPORTRANGE(""https://docs.google.com/spreadsheets/d/1JtRfZkJMHtEhI5RdRHxYUG4FIZHqKDpNyIuN7A1Q0_k/edit?usp=sharing"",""พิษณุโลก!M736"")+IMPORTRANGE(""https://docs.google.com/spreadsheets/d/1xlcVZWU"&amp;"Nn6SuWm0c307h32SiGkd9BaeQWlAktfD3KO8/edit?usp=sharing"",""เพชรบูรณ์!M736"")+IMPORTRANGE(""https://docs.google.com/spreadsheets/d/1lOVebEIsI9qjGXl6EX66luk7wiuP2tBaryw-wKvv4e0/edit?usp=sharing"",""แพร่!M736"")+IMPORTRANGE(""https://docs.google.com/spreadshe"&amp;"ets/d/1dQrvX0vEcN7Gu0fnZ0B5S90AeR19zth4XlExFBeExMY/edit?usp=sharing"",""แม่ฮ่องสอน!M736"")+IMPORTRANGE(""https://docs.google.com/spreadsheets/d/1DY4XTNNwjluuxqdfdn6qvOSlMRrZqUtmYcZR0ttFiG4/edit?usp=sharing"",""ลำปาง!M736"")+IMPORTRANGE(""https://docs.goog"&amp;"le.com/spreadsheets/d/1ICwG78r0OFT8biBlxnBF8r7she7gNSzOvJ958PWT09c/edit?usp=sharing"",""ลำพูน!M736"")+IMPORTRANGE(""https://docs.google.com/spreadsheets/d/1B0f2xJpZUC6Z0xXnqKlZtEPzsf6L84eP1r1Q15seqRM/edit?usp=sharing"",""สุโขทัย!M736"")+IMPORTRANGE(""http"&amp;"s://docs.google.com/spreadsheets/d/1v0b9pFQCsKUVExMei7AgY2yQkdeNQvtOssygGsXbiKo/edit?usp=sharing"",""อุตรดิตถ์!M736"")+IMPORTRANGE(""https://docs.google.com/spreadsheets/d/1UsNK1e-WWiCo2PvGqdNfdme4m17_Ezd3J69EeeiQPD0/edit?usp=sharing"",""อุทัยธานี!M736"")"),0)</f>
        <v>0</v>
      </c>
      <c r="N736" s="46">
        <f ca="1">IFERROR(__xludf.DUMMYFUNCTION("IMPORTRANGE(""https://docs.google.com/spreadsheets/d/1jTcq05yEiRwXcBMLjiodW9e4biSGYWAHcDj22rKWQ3s/edit?usp=sharing"",""กำแพงเพชร!N736"")+IMPORTRANGE(""https://docs.google.com/spreadsheets/d/1KS0zmDSZPk8KnTAbGN-Xk6MtX1YRZD0ldgdt20K4CRk/edit?usp=sharing"","&amp;"""เชียงราย!N736"")+IMPORTRANGE(""https://docs.google.com/spreadsheets/d/1rEDxBtusbi64tE0zunoIbsTVV16HeL0oJ6trHQeQ7K8/edit?usp=sharing"",""เชียงใหม่!N736"")+IMPORTRANGE(""https://docs.google.com/spreadsheets/d/1W6MnUbDkMi6xHnHko_XkFDO9kkuL6Wqyc-6OCDFjW9I/e"&amp;"dit?usp=sharing"",""ตาก!N736"")+IMPORTRANGE(""https://docs.google.com/spreadsheets/d/1IQAWArduLkta9LpYo4a_ULsyqdta6-6aDDiwpUnQT6c/edit?usp=sharing"",""นครสวรรค์!N736"")+IMPORTRANGE(""https://docs.google.com/spreadsheets/d/10s13Sk5xrltsiR-Zkbmk5DwIaDIKO8Xl"&amp;"bJAfqyT7Gvg/edit?usp=sharing"",""น่าน!N736"")+IMPORTRANGE(""https://docs.google.com/spreadsheets/d/1uu4nAn4Dbi1XREnLKKotUANlKXa7yCgRcgq8HEzQYW8/edit?usp=sharing"",""พะเยา!N736"")+IMPORTRANGE(""https://docs.google.com/spreadsheets/d/1xfJKIQxVOaPDIICqsflNlL"&amp;"u3JacTDk1FP9RH4phX7mI/edit?usp=sharing"",""พิจิตร!N736"")+IMPORTRANGE(""https://docs.google.com/spreadsheets/d/1JtRfZkJMHtEhI5RdRHxYUG4FIZHqKDpNyIuN7A1Q0_k/edit?usp=sharing"",""พิษณุโลก!N736"")+IMPORTRANGE(""https://docs.google.com/spreadsheets/d/1xlcVZWU"&amp;"Nn6SuWm0c307h32SiGkd9BaeQWlAktfD3KO8/edit?usp=sharing"",""เพชรบูรณ์!N736"")+IMPORTRANGE(""https://docs.google.com/spreadsheets/d/1lOVebEIsI9qjGXl6EX66luk7wiuP2tBaryw-wKvv4e0/edit?usp=sharing"",""แพร่!N736"")+IMPORTRANGE(""https://docs.google.com/spreadshe"&amp;"ets/d/1dQrvX0vEcN7Gu0fnZ0B5S90AeR19zth4XlExFBeExMY/edit?usp=sharing"",""แม่ฮ่องสอน!N736"")+IMPORTRANGE(""https://docs.google.com/spreadsheets/d/1DY4XTNNwjluuxqdfdn6qvOSlMRrZqUtmYcZR0ttFiG4/edit?usp=sharing"",""ลำปาง!N736"")+IMPORTRANGE(""https://docs.goog"&amp;"le.com/spreadsheets/d/1ICwG78r0OFT8biBlxnBF8r7she7gNSzOvJ958PWT09c/edit?usp=sharing"",""ลำพูน!N736"")+IMPORTRANGE(""https://docs.google.com/spreadsheets/d/1B0f2xJpZUC6Z0xXnqKlZtEPzsf6L84eP1r1Q15seqRM/edit?usp=sharing"",""สุโขทัย!N736"")+IMPORTRANGE(""http"&amp;"s://docs.google.com/spreadsheets/d/1v0b9pFQCsKUVExMei7AgY2yQkdeNQvtOssygGsXbiKo/edit?usp=sharing"",""อุตรดิตถ์!N736"")+IMPORTRANGE(""https://docs.google.com/spreadsheets/d/1UsNK1e-WWiCo2PvGqdNfdme4m17_Ezd3J69EeeiQPD0/edit?usp=sharing"",""อุทัยธานี!N736"")"),0)</f>
        <v>0</v>
      </c>
      <c r="O736" s="46">
        <f t="shared" ca="1" si="504"/>
        <v>0</v>
      </c>
      <c r="P736" s="46">
        <f t="shared" ca="1" si="505"/>
        <v>0</v>
      </c>
      <c r="Q736" s="46">
        <f ca="1">IFERROR(__xludf.DUMMYFUNCTION("IMPORTRANGE(""https://docs.google.com/spreadsheets/d/1jTcq05yEiRwXcBMLjiodW9e4biSGYWAHcDj22rKWQ3s/edit?usp=sharing"",""กำแพงเพชร!Q736"")+IMPORTRANGE(""https://docs.google.com/spreadsheets/d/1KS0zmDSZPk8KnTAbGN-Xk6MtX1YRZD0ldgdt20K4CRk/edit?usp=sharing"","&amp;"""เชียงราย!Q736"")+IMPORTRANGE(""https://docs.google.com/spreadsheets/d/1rEDxBtusbi64tE0zunoIbsTVV16HeL0oJ6trHQeQ7K8/edit?usp=sharing"",""เชียงใหม่!Q736"")+IMPORTRANGE(""https://docs.google.com/spreadsheets/d/1W6MnUbDkMi6xHnHko_XkFDO9kkuL6Wqyc-6OCDFjW9I/e"&amp;"dit?usp=sharing"",""ตาก!Q736"")+IMPORTRANGE(""https://docs.google.com/spreadsheets/d/1IQAWArduLkta9LpYo4a_ULsyqdta6-6aDDiwpUnQT6c/edit?usp=sharing"",""นครสวรรค์!Q736"")+IMPORTRANGE(""https://docs.google.com/spreadsheets/d/10s13Sk5xrltsiR-Zkbmk5DwIaDIKO8Xl"&amp;"bJAfqyT7Gvg/edit?usp=sharing"",""น่าน!Q736"")+IMPORTRANGE(""https://docs.google.com/spreadsheets/d/1uu4nAn4Dbi1XREnLKKotUANlKXa7yCgRcgq8HEzQYW8/edit?usp=sharing"",""พะเยา!Q736"")+IMPORTRANGE(""https://docs.google.com/spreadsheets/d/1xfJKIQxVOaPDIICqsflNlL"&amp;"u3JacTDk1FP9RH4phX7mI/edit?usp=sharing"",""พิจิตร!Q736"")+IMPORTRANGE(""https://docs.google.com/spreadsheets/d/1JtRfZkJMHtEhI5RdRHxYUG4FIZHqKDpNyIuN7A1Q0_k/edit?usp=sharing"",""พิษณุโลก!Q736"")+IMPORTRANGE(""https://docs.google.com/spreadsheets/d/1xlcVZWU"&amp;"Nn6SuWm0c307h32SiGkd9BaeQWlAktfD3KO8/edit?usp=sharing"",""เพชรบูรณ์!Q736"")+IMPORTRANGE(""https://docs.google.com/spreadsheets/d/1lOVebEIsI9qjGXl6EX66luk7wiuP2tBaryw-wKvv4e0/edit?usp=sharing"",""แพร่!Q736"")+IMPORTRANGE(""https://docs.google.com/spreadshe"&amp;"ets/d/1dQrvX0vEcN7Gu0fnZ0B5S90AeR19zth4XlExFBeExMY/edit?usp=sharing"",""แม่ฮ่องสอน!Q736"")+IMPORTRANGE(""https://docs.google.com/spreadsheets/d/1DY4XTNNwjluuxqdfdn6qvOSlMRrZqUtmYcZR0ttFiG4/edit?usp=sharing"",""ลำปาง!Q736"")+IMPORTRANGE(""https://docs.goog"&amp;"le.com/spreadsheets/d/1ICwG78r0OFT8biBlxnBF8r7she7gNSzOvJ958PWT09c/edit?usp=sharing"",""ลำพูน!Q736"")+IMPORTRANGE(""https://docs.google.com/spreadsheets/d/1B0f2xJpZUC6Z0xXnqKlZtEPzsf6L84eP1r1Q15seqRM/edit?usp=sharing"",""สุโขทัย!Q736"")+IMPORTRANGE(""http"&amp;"s://docs.google.com/spreadsheets/d/1v0b9pFQCsKUVExMei7AgY2yQkdeNQvtOssygGsXbiKo/edit?usp=sharing"",""อุตรดิตถ์!Q736"")+IMPORTRANGE(""https://docs.google.com/spreadsheets/d/1UsNK1e-WWiCo2PvGqdNfdme4m17_Ezd3J69EeeiQPD0/edit?usp=sharing"",""อุทัยธานี!Q736"")"),0)</f>
        <v>0</v>
      </c>
      <c r="R736" s="46">
        <f ca="1">IFERROR(__xludf.DUMMYFUNCTION("IMPORTRANGE(""https://docs.google.com/spreadsheets/d/1jTcq05yEiRwXcBMLjiodW9e4biSGYWAHcDj22rKWQ3s/edit?usp=sharing"",""กำแพงเพชร!R736"")+IMPORTRANGE(""https://docs.google.com/spreadsheets/d/1KS0zmDSZPk8KnTAbGN-Xk6MtX1YRZD0ldgdt20K4CRk/edit?usp=sharing"","&amp;"""เชียงราย!R736"")+IMPORTRANGE(""https://docs.google.com/spreadsheets/d/1rEDxBtusbi64tE0zunoIbsTVV16HeL0oJ6trHQeQ7K8/edit?usp=sharing"",""เชียงใหม่!R736"")+IMPORTRANGE(""https://docs.google.com/spreadsheets/d/1W6MnUbDkMi6xHnHko_XkFDO9kkuL6Wqyc-6OCDFjW9I/e"&amp;"dit?usp=sharing"",""ตาก!R736"")+IMPORTRANGE(""https://docs.google.com/spreadsheets/d/1IQAWArduLkta9LpYo4a_ULsyqdta6-6aDDiwpUnQT6c/edit?usp=sharing"",""นครสวรรค์!R736"")+IMPORTRANGE(""https://docs.google.com/spreadsheets/d/10s13Sk5xrltsiR-Zkbmk5DwIaDIKO8Xl"&amp;"bJAfqyT7Gvg/edit?usp=sharing"",""น่าน!R736"")+IMPORTRANGE(""https://docs.google.com/spreadsheets/d/1uu4nAn4Dbi1XREnLKKotUANlKXa7yCgRcgq8HEzQYW8/edit?usp=sharing"",""พะเยา!R736"")+IMPORTRANGE(""https://docs.google.com/spreadsheets/d/1xfJKIQxVOaPDIICqsflNlL"&amp;"u3JacTDk1FP9RH4phX7mI/edit?usp=sharing"",""พิจิตร!R736"")+IMPORTRANGE(""https://docs.google.com/spreadsheets/d/1JtRfZkJMHtEhI5RdRHxYUG4FIZHqKDpNyIuN7A1Q0_k/edit?usp=sharing"",""พิษณุโลก!R736"")+IMPORTRANGE(""https://docs.google.com/spreadsheets/d/1xlcVZWU"&amp;"Nn6SuWm0c307h32SiGkd9BaeQWlAktfD3KO8/edit?usp=sharing"",""เพชรบูรณ์!R736"")+IMPORTRANGE(""https://docs.google.com/spreadsheets/d/1lOVebEIsI9qjGXl6EX66luk7wiuP2tBaryw-wKvv4e0/edit?usp=sharing"",""แพร่!R736"")+IMPORTRANGE(""https://docs.google.com/spreadshe"&amp;"ets/d/1dQrvX0vEcN7Gu0fnZ0B5S90AeR19zth4XlExFBeExMY/edit?usp=sharing"",""แม่ฮ่องสอน!R736"")+IMPORTRANGE(""https://docs.google.com/spreadsheets/d/1DY4XTNNwjluuxqdfdn6qvOSlMRrZqUtmYcZR0ttFiG4/edit?usp=sharing"",""ลำปาง!R736"")+IMPORTRANGE(""https://docs.goog"&amp;"le.com/spreadsheets/d/1ICwG78r0OFT8biBlxnBF8r7she7gNSzOvJ958PWT09c/edit?usp=sharing"",""ลำพูน!R736"")+IMPORTRANGE(""https://docs.google.com/spreadsheets/d/1B0f2xJpZUC6Z0xXnqKlZtEPzsf6L84eP1r1Q15seqRM/edit?usp=sharing"",""สุโขทัย!R736"")+IMPORTRANGE(""http"&amp;"s://docs.google.com/spreadsheets/d/1v0b9pFQCsKUVExMei7AgY2yQkdeNQvtOssygGsXbiKo/edit?usp=sharing"",""อุตรดิตถ์!R736"")+IMPORTRANGE(""https://docs.google.com/spreadsheets/d/1UsNK1e-WWiCo2PvGqdNfdme4m17_Ezd3J69EeeiQPD0/edit?usp=sharing"",""อุทัยธานี!R736"")"),0)</f>
        <v>0</v>
      </c>
      <c r="S736" s="46">
        <f ca="1">IFERROR(__xludf.DUMMYFUNCTION("IMPORTRANGE(""https://docs.google.com/spreadsheets/d/1jTcq05yEiRwXcBMLjiodW9e4biSGYWAHcDj22rKWQ3s/edit?usp=sharing"",""กำแพงเพชร!S736"")+IMPORTRANGE(""https://docs.google.com/spreadsheets/d/1KS0zmDSZPk8KnTAbGN-Xk6MtX1YRZD0ldgdt20K4CRk/edit?usp=sharing"","&amp;"""เชียงราย!S736"")+IMPORTRANGE(""https://docs.google.com/spreadsheets/d/1rEDxBtusbi64tE0zunoIbsTVV16HeL0oJ6trHQeQ7K8/edit?usp=sharing"",""เชียงใหม่!S736"")+IMPORTRANGE(""https://docs.google.com/spreadsheets/d/1W6MnUbDkMi6xHnHko_XkFDO9kkuL6Wqyc-6OCDFjW9I/e"&amp;"dit?usp=sharing"",""ตาก!S736"")+IMPORTRANGE(""https://docs.google.com/spreadsheets/d/1IQAWArduLkta9LpYo4a_ULsyqdta6-6aDDiwpUnQT6c/edit?usp=sharing"",""นครสวรรค์!S736"")+IMPORTRANGE(""https://docs.google.com/spreadsheets/d/10s13Sk5xrltsiR-Zkbmk5DwIaDIKO8Xl"&amp;"bJAfqyT7Gvg/edit?usp=sharing"",""น่าน!S736"")+IMPORTRANGE(""https://docs.google.com/spreadsheets/d/1uu4nAn4Dbi1XREnLKKotUANlKXa7yCgRcgq8HEzQYW8/edit?usp=sharing"",""พะเยา!S736"")+IMPORTRANGE(""https://docs.google.com/spreadsheets/d/1xfJKIQxVOaPDIICqsflNlL"&amp;"u3JacTDk1FP9RH4phX7mI/edit?usp=sharing"",""พิจิตร!S736"")+IMPORTRANGE(""https://docs.google.com/spreadsheets/d/1JtRfZkJMHtEhI5RdRHxYUG4FIZHqKDpNyIuN7A1Q0_k/edit?usp=sharing"",""พิษณุโลก!S736"")+IMPORTRANGE(""https://docs.google.com/spreadsheets/d/1xlcVZWU"&amp;"Nn6SuWm0c307h32SiGkd9BaeQWlAktfD3KO8/edit?usp=sharing"",""เพชรบูรณ์!S736"")+IMPORTRANGE(""https://docs.google.com/spreadsheets/d/1lOVebEIsI9qjGXl6EX66luk7wiuP2tBaryw-wKvv4e0/edit?usp=sharing"",""แพร่!S736"")+IMPORTRANGE(""https://docs.google.com/spreadshe"&amp;"ets/d/1dQrvX0vEcN7Gu0fnZ0B5S90AeR19zth4XlExFBeExMY/edit?usp=sharing"",""แม่ฮ่องสอน!S736"")+IMPORTRANGE(""https://docs.google.com/spreadsheets/d/1DY4XTNNwjluuxqdfdn6qvOSlMRrZqUtmYcZR0ttFiG4/edit?usp=sharing"",""ลำปาง!S736"")+IMPORTRANGE(""https://docs.goog"&amp;"le.com/spreadsheets/d/1ICwG78r0OFT8biBlxnBF8r7she7gNSzOvJ958PWT09c/edit?usp=sharing"",""ลำพูน!S736"")+IMPORTRANGE(""https://docs.google.com/spreadsheets/d/1B0f2xJpZUC6Z0xXnqKlZtEPzsf6L84eP1r1Q15seqRM/edit?usp=sharing"",""สุโขทัย!S736"")+IMPORTRANGE(""http"&amp;"s://docs.google.com/spreadsheets/d/1v0b9pFQCsKUVExMei7AgY2yQkdeNQvtOssygGsXbiKo/edit?usp=sharing"",""อุตรดิตถ์!S736"")+IMPORTRANGE(""https://docs.google.com/spreadsheets/d/1UsNK1e-WWiCo2PvGqdNfdme4m17_Ezd3J69EeeiQPD0/edit?usp=sharing"",""อุทัยธานี!S736"")"),0)</f>
        <v>0</v>
      </c>
      <c r="T736" s="46">
        <f t="shared" ca="1" si="507"/>
        <v>0</v>
      </c>
      <c r="U736" s="46">
        <f t="shared" ca="1" si="508"/>
        <v>0</v>
      </c>
    </row>
    <row r="737" spans="1:21" ht="19.5" x14ac:dyDescent="0.3">
      <c r="A737" s="138"/>
      <c r="B737" s="139"/>
      <c r="C737" s="177" t="s">
        <v>18</v>
      </c>
      <c r="D737" s="313" t="s">
        <v>38</v>
      </c>
      <c r="E737" s="203"/>
      <c r="F737" s="141"/>
      <c r="G737" s="142"/>
      <c r="H737" s="178"/>
      <c r="I737" s="44"/>
      <c r="J737" s="44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7" t="s">
        <v>121</v>
      </c>
      <c r="E738" s="139"/>
      <c r="F738" s="139"/>
      <c r="G738" s="143"/>
      <c r="H738" s="180"/>
      <c r="I738" s="44"/>
      <c r="J738" s="44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10" t="s">
        <v>270</v>
      </c>
      <c r="F739" s="139"/>
      <c r="G739" s="143"/>
      <c r="H739" s="180"/>
      <c r="I739" s="44"/>
      <c r="J739" s="44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10" t="s">
        <v>271</v>
      </c>
      <c r="G740" s="143"/>
      <c r="H740" s="133" t="s">
        <v>46</v>
      </c>
      <c r="I740" s="166">
        <f ca="1">IFERROR(__xludf.DUMMYFUNCTION("IMPORTRANGE(""https://docs.google.com/spreadsheets/d/1jTcq05yEiRwXcBMLjiodW9e4biSGYWAHcDj22rKWQ3s/edit?usp=sharing"",""กำแพงเพชร!I740"")+IMPORTRANGE(""https://docs.google.com/spreadsheets/d/1KS0zmDSZPk8KnTAbGN-Xk6MtX1YRZD0ldgdt20K4CRk/edit?usp=sharing"","&amp;"""เชียงราย!I740"")+IMPORTRANGE(""https://docs.google.com/spreadsheets/d/1rEDxBtusbi64tE0zunoIbsTVV16HeL0oJ6trHQeQ7K8/edit?usp=sharing"",""เชียงใหม่!I740"")+IMPORTRANGE(""https://docs.google.com/spreadsheets/d/1W6MnUbDkMi6xHnHko_XkFDO9kkuL6Wqyc-6OCDFjW9I/e"&amp;"dit?usp=sharing"",""ตาก!I740"")+IMPORTRANGE(""https://docs.google.com/spreadsheets/d/1IQAWArduLkta9LpYo4a_ULsyqdta6-6aDDiwpUnQT6c/edit?usp=sharing"",""นครสวรรค์!I740"")+IMPORTRANGE(""https://docs.google.com/spreadsheets/d/10s13Sk5xrltsiR-Zkbmk5DwIaDIKO8Xl"&amp;"bJAfqyT7Gvg/edit?usp=sharing"",""น่าน!I740"")+IMPORTRANGE(""https://docs.google.com/spreadsheets/d/1uu4nAn4Dbi1XREnLKKotUANlKXa7yCgRcgq8HEzQYW8/edit?usp=sharing"",""พะเยา!I740"")+IMPORTRANGE(""https://docs.google.com/spreadsheets/d/1xfJKIQxVOaPDIICqsflNlL"&amp;"u3JacTDk1FP9RH4phX7mI/edit?usp=sharing"",""พิจิตร!I740"")+IMPORTRANGE(""https://docs.google.com/spreadsheets/d/1JtRfZkJMHtEhI5RdRHxYUG4FIZHqKDpNyIuN7A1Q0_k/edit?usp=sharing"",""พิษณุโลก!I740"")+IMPORTRANGE(""https://docs.google.com/spreadsheets/d/1xlcVZWU"&amp;"Nn6SuWm0c307h32SiGkd9BaeQWlAktfD3KO8/edit?usp=sharing"",""เพชรบูรณ์!I740"")+IMPORTRANGE(""https://docs.google.com/spreadsheets/d/1lOVebEIsI9qjGXl6EX66luk7wiuP2tBaryw-wKvv4e0/edit?usp=sharing"",""แพร่!I740"")+IMPORTRANGE(""https://docs.google.com/spreadshe"&amp;"ets/d/1dQrvX0vEcN7Gu0fnZ0B5S90AeR19zth4XlExFBeExMY/edit?usp=sharing"",""แม่ฮ่องสอน!I740"")+IMPORTRANGE(""https://docs.google.com/spreadsheets/d/1DY4XTNNwjluuxqdfdn6qvOSlMRrZqUtmYcZR0ttFiG4/edit?usp=sharing"",""ลำปาง!I740"")+IMPORTRANGE(""https://docs.goog"&amp;"le.com/spreadsheets/d/1ICwG78r0OFT8biBlxnBF8r7she7gNSzOvJ958PWT09c/edit?usp=sharing"",""ลำพูน!I740"")+IMPORTRANGE(""https://docs.google.com/spreadsheets/d/1B0f2xJpZUC6Z0xXnqKlZtEPzsf6L84eP1r1Q15seqRM/edit?usp=sharing"",""สุโขทัย!I740"")+IMPORTRANGE(""http"&amp;"s://docs.google.com/spreadsheets/d/1v0b9pFQCsKUVExMei7AgY2yQkdeNQvtOssygGsXbiKo/edit?usp=sharing"",""อุตรดิตถ์!I740"")+IMPORTRANGE(""https://docs.google.com/spreadsheets/d/1UsNK1e-WWiCo2PvGqdNfdme4m17_Ezd3J69EeeiQPD0/edit?usp=sharing"",""อุทัยธานี!I740"")"),11200)</f>
        <v>11200</v>
      </c>
      <c r="J740" s="167">
        <f ca="1">IFERROR(__xludf.DUMMYFUNCTION("IMPORTRANGE(""https://docs.google.com/spreadsheets/d/1jTcq05yEiRwXcBMLjiodW9e4biSGYWAHcDj22rKWQ3s/edit?usp=sharing"",""กำแพงเพชร!J740"")+IMPORTRANGE(""https://docs.google.com/spreadsheets/d/1KS0zmDSZPk8KnTAbGN-Xk6MtX1YRZD0ldgdt20K4CRk/edit?usp=sharing"","&amp;"""เชียงราย!J740"")+IMPORTRANGE(""https://docs.google.com/spreadsheets/d/1rEDxBtusbi64tE0zunoIbsTVV16HeL0oJ6trHQeQ7K8/edit?usp=sharing"",""เชียงใหม่!J740"")+IMPORTRANGE(""https://docs.google.com/spreadsheets/d/1W6MnUbDkMi6xHnHko_XkFDO9kkuL6Wqyc-6OCDFjW9I/e"&amp;"dit?usp=sharing"",""ตาก!J740"")+IMPORTRANGE(""https://docs.google.com/spreadsheets/d/1IQAWArduLkta9LpYo4a_ULsyqdta6-6aDDiwpUnQT6c/edit?usp=sharing"",""นครสวรรค์!J740"")+IMPORTRANGE(""https://docs.google.com/spreadsheets/d/10s13Sk5xrltsiR-Zkbmk5DwIaDIKO8Xl"&amp;"bJAfqyT7Gvg/edit?usp=sharing"",""น่าน!J740"")+IMPORTRANGE(""https://docs.google.com/spreadsheets/d/1uu4nAn4Dbi1XREnLKKotUANlKXa7yCgRcgq8HEzQYW8/edit?usp=sharing"",""พะเยา!J740"")+IMPORTRANGE(""https://docs.google.com/spreadsheets/d/1xfJKIQxVOaPDIICqsflNlL"&amp;"u3JacTDk1FP9RH4phX7mI/edit?usp=sharing"",""พิจิตร!J740"")+IMPORTRANGE(""https://docs.google.com/spreadsheets/d/1JtRfZkJMHtEhI5RdRHxYUG4FIZHqKDpNyIuN7A1Q0_k/edit?usp=sharing"",""พิษณุโลก!J740"")+IMPORTRANGE(""https://docs.google.com/spreadsheets/d/1xlcVZWU"&amp;"Nn6SuWm0c307h32SiGkd9BaeQWlAktfD3KO8/edit?usp=sharing"",""เพชรบูรณ์!J740"")+IMPORTRANGE(""https://docs.google.com/spreadsheets/d/1lOVebEIsI9qjGXl6EX66luk7wiuP2tBaryw-wKvv4e0/edit?usp=sharing"",""แพร่!J740"")+IMPORTRANGE(""https://docs.google.com/spreadshe"&amp;"ets/d/1dQrvX0vEcN7Gu0fnZ0B5S90AeR19zth4XlExFBeExMY/edit?usp=sharing"",""แม่ฮ่องสอน!J740"")+IMPORTRANGE(""https://docs.google.com/spreadsheets/d/1DY4XTNNwjluuxqdfdn6qvOSlMRrZqUtmYcZR0ttFiG4/edit?usp=sharing"",""ลำปาง!J740"")+IMPORTRANGE(""https://docs.goog"&amp;"le.com/spreadsheets/d/1ICwG78r0OFT8biBlxnBF8r7she7gNSzOvJ958PWT09c/edit?usp=sharing"",""ลำพูน!J740"")+IMPORTRANGE(""https://docs.google.com/spreadsheets/d/1B0f2xJpZUC6Z0xXnqKlZtEPzsf6L84eP1r1Q15seqRM/edit?usp=sharing"",""สุโขทัย!J740"")+IMPORTRANGE(""http"&amp;"s://docs.google.com/spreadsheets/d/1v0b9pFQCsKUVExMei7AgY2yQkdeNQvtOssygGsXbiKo/edit?usp=sharing"",""อุตรดิตถ์!J740"")+IMPORTRANGE(""https://docs.google.com/spreadsheets/d/1UsNK1e-WWiCo2PvGqdNfdme4m17_Ezd3J69EeeiQPD0/edit?usp=sharing"",""อุทัยธานี!J740"")"),3720)</f>
        <v>3720</v>
      </c>
      <c r="K740" s="46">
        <f ca="1">IF(I740&gt;0,J740*100/I740,0)</f>
        <v>33.214285714285715</v>
      </c>
      <c r="L740" s="45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138"/>
      <c r="B741" s="139"/>
      <c r="C741" s="139"/>
      <c r="D741" s="139"/>
      <c r="E741" s="139"/>
      <c r="F741" s="410" t="s">
        <v>272</v>
      </c>
      <c r="G741" s="143"/>
      <c r="H741" s="133" t="s">
        <v>35</v>
      </c>
      <c r="I741" s="44"/>
      <c r="J741" s="167">
        <f ca="1">IFERROR(__xludf.DUMMYFUNCTION("IMPORTRANGE(""https://docs.google.com/spreadsheets/d/1jTcq05yEiRwXcBMLjiodW9e4biSGYWAHcDj22rKWQ3s/edit?usp=sharing"",""กำแพงเพชร!J741"")+IMPORTRANGE(""https://docs.google.com/spreadsheets/d/1KS0zmDSZPk8KnTAbGN-Xk6MtX1YRZD0ldgdt20K4CRk/edit?usp=sharing"","&amp;"""เชียงราย!J741"")+IMPORTRANGE(""https://docs.google.com/spreadsheets/d/1rEDxBtusbi64tE0zunoIbsTVV16HeL0oJ6trHQeQ7K8/edit?usp=sharing"",""เชียงใหม่!J741"")+IMPORTRANGE(""https://docs.google.com/spreadsheets/d/1W6MnUbDkMi6xHnHko_XkFDO9kkuL6Wqyc-6OCDFjW9I/e"&amp;"dit?usp=sharing"",""ตาก!J741"")+IMPORTRANGE(""https://docs.google.com/spreadsheets/d/1IQAWArduLkta9LpYo4a_ULsyqdta6-6aDDiwpUnQT6c/edit?usp=sharing"",""นครสวรรค์!J741"")+IMPORTRANGE(""https://docs.google.com/spreadsheets/d/10s13Sk5xrltsiR-Zkbmk5DwIaDIKO8Xl"&amp;"bJAfqyT7Gvg/edit?usp=sharing"",""น่าน!J741"")+IMPORTRANGE(""https://docs.google.com/spreadsheets/d/1uu4nAn4Dbi1XREnLKKotUANlKXa7yCgRcgq8HEzQYW8/edit?usp=sharing"",""พะเยา!J741"")+IMPORTRANGE(""https://docs.google.com/spreadsheets/d/1xfJKIQxVOaPDIICqsflNlL"&amp;"u3JacTDk1FP9RH4phX7mI/edit?usp=sharing"",""พิจิตร!J741"")+IMPORTRANGE(""https://docs.google.com/spreadsheets/d/1JtRfZkJMHtEhI5RdRHxYUG4FIZHqKDpNyIuN7A1Q0_k/edit?usp=sharing"",""พิษณุโลก!J741"")+IMPORTRANGE(""https://docs.google.com/spreadsheets/d/1xlcVZWU"&amp;"Nn6SuWm0c307h32SiGkd9BaeQWlAktfD3KO8/edit?usp=sharing"",""เพชรบูรณ์!J741"")+IMPORTRANGE(""https://docs.google.com/spreadsheets/d/1lOVebEIsI9qjGXl6EX66luk7wiuP2tBaryw-wKvv4e0/edit?usp=sharing"",""แพร่!J741"")+IMPORTRANGE(""https://docs.google.com/spreadshe"&amp;"ets/d/1dQrvX0vEcN7Gu0fnZ0B5S90AeR19zth4XlExFBeExMY/edit?usp=sharing"",""แม่ฮ่องสอน!J741"")+IMPORTRANGE(""https://docs.google.com/spreadsheets/d/1DY4XTNNwjluuxqdfdn6qvOSlMRrZqUtmYcZR0ttFiG4/edit?usp=sharing"",""ลำปาง!J741"")+IMPORTRANGE(""https://docs.goog"&amp;"le.com/spreadsheets/d/1ICwG78r0OFT8biBlxnBF8r7she7gNSzOvJ958PWT09c/edit?usp=sharing"",""ลำพูน!J741"")+IMPORTRANGE(""https://docs.google.com/spreadsheets/d/1B0f2xJpZUC6Z0xXnqKlZtEPzsf6L84eP1r1Q15seqRM/edit?usp=sharing"",""สุโขทัย!J741"")+IMPORTRANGE(""http"&amp;"s://docs.google.com/spreadsheets/d/1v0b9pFQCsKUVExMei7AgY2yQkdeNQvtOssygGsXbiKo/edit?usp=sharing"",""อุตรดิตถ์!J741"")+IMPORTRANGE(""https://docs.google.com/spreadsheets/d/1UsNK1e-WWiCo2PvGqdNfdme4m17_Ezd3J69EeeiQPD0/edit?usp=sharing"",""อุทัยธานี!J741"")"),205)</f>
        <v>205</v>
      </c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</row>
    <row r="742" spans="1:21" ht="18.75" x14ac:dyDescent="0.25">
      <c r="A742" s="138"/>
      <c r="B742" s="139"/>
      <c r="C742" s="139"/>
      <c r="D742" s="139"/>
      <c r="E742" s="139"/>
      <c r="F742" s="410" t="s">
        <v>273</v>
      </c>
      <c r="G742" s="143"/>
      <c r="H742" s="133" t="s">
        <v>35</v>
      </c>
      <c r="I742" s="166">
        <f ca="1">IFERROR(__xludf.DUMMYFUNCTION("IMPORTRANGE(""https://docs.google.com/spreadsheets/d/1jTcq05yEiRwXcBMLjiodW9e4biSGYWAHcDj22rKWQ3s/edit?usp=sharing"",""กำแพงเพชร!I742"")+IMPORTRANGE(""https://docs.google.com/spreadsheets/d/1KS0zmDSZPk8KnTAbGN-Xk6MtX1YRZD0ldgdt20K4CRk/edit?usp=sharing"","&amp;"""เชียงราย!I742"")+IMPORTRANGE(""https://docs.google.com/spreadsheets/d/1rEDxBtusbi64tE0zunoIbsTVV16HeL0oJ6trHQeQ7K8/edit?usp=sharing"",""เชียงใหม่!I742"")+IMPORTRANGE(""https://docs.google.com/spreadsheets/d/1W6MnUbDkMi6xHnHko_XkFDO9kkuL6Wqyc-6OCDFjW9I/e"&amp;"dit?usp=sharing"",""ตาก!I742"")+IMPORTRANGE(""https://docs.google.com/spreadsheets/d/1IQAWArduLkta9LpYo4a_ULsyqdta6-6aDDiwpUnQT6c/edit?usp=sharing"",""นครสวรรค์!I742"")+IMPORTRANGE(""https://docs.google.com/spreadsheets/d/10s13Sk5xrltsiR-Zkbmk5DwIaDIKO8Xl"&amp;"bJAfqyT7Gvg/edit?usp=sharing"",""น่าน!I742"")+IMPORTRANGE(""https://docs.google.com/spreadsheets/d/1uu4nAn4Dbi1XREnLKKotUANlKXa7yCgRcgq8HEzQYW8/edit?usp=sharing"",""พะเยา!I742"")+IMPORTRANGE(""https://docs.google.com/spreadsheets/d/1xfJKIQxVOaPDIICqsflNlL"&amp;"u3JacTDk1FP9RH4phX7mI/edit?usp=sharing"",""พิจิตร!I742"")+IMPORTRANGE(""https://docs.google.com/spreadsheets/d/1JtRfZkJMHtEhI5RdRHxYUG4FIZHqKDpNyIuN7A1Q0_k/edit?usp=sharing"",""พิษณุโลก!I742"")+IMPORTRANGE(""https://docs.google.com/spreadsheets/d/1xlcVZWU"&amp;"Nn6SuWm0c307h32SiGkd9BaeQWlAktfD3KO8/edit?usp=sharing"",""เพชรบูรณ์!I742"")+IMPORTRANGE(""https://docs.google.com/spreadsheets/d/1lOVebEIsI9qjGXl6EX66luk7wiuP2tBaryw-wKvv4e0/edit?usp=sharing"",""แพร่!I742"")+IMPORTRANGE(""https://docs.google.com/spreadshe"&amp;"ets/d/1dQrvX0vEcN7Gu0fnZ0B5S90AeR19zth4XlExFBeExMY/edit?usp=sharing"",""แม่ฮ่องสอน!I742"")+IMPORTRANGE(""https://docs.google.com/spreadsheets/d/1DY4XTNNwjluuxqdfdn6qvOSlMRrZqUtmYcZR0ttFiG4/edit?usp=sharing"",""ลำปาง!I742"")+IMPORTRANGE(""https://docs.goog"&amp;"le.com/spreadsheets/d/1ICwG78r0OFT8biBlxnBF8r7she7gNSzOvJ958PWT09c/edit?usp=sharing"",""ลำพูน!I742"")+IMPORTRANGE(""https://docs.google.com/spreadsheets/d/1B0f2xJpZUC6Z0xXnqKlZtEPzsf6L84eP1r1Q15seqRM/edit?usp=sharing"",""สุโขทัย!I742"")+IMPORTRANGE(""http"&amp;"s://docs.google.com/spreadsheets/d/1v0b9pFQCsKUVExMei7AgY2yQkdeNQvtOssygGsXbiKo/edit?usp=sharing"",""อุตรดิตถ์!I742"")+IMPORTRANGE(""https://docs.google.com/spreadsheets/d/1UsNK1e-WWiCo2PvGqdNfdme4m17_Ezd3J69EeeiQPD0/edit?usp=sharing"",""อุทัยธานี!I742"")"),1120)</f>
        <v>1120</v>
      </c>
      <c r="J742" s="167">
        <f ca="1">IFERROR(__xludf.DUMMYFUNCTION("IMPORTRANGE(""https://docs.google.com/spreadsheets/d/1jTcq05yEiRwXcBMLjiodW9e4biSGYWAHcDj22rKWQ3s/edit?usp=sharing"",""กำแพงเพชร!J742"")+IMPORTRANGE(""https://docs.google.com/spreadsheets/d/1KS0zmDSZPk8KnTAbGN-Xk6MtX1YRZD0ldgdt20K4CRk/edit?usp=sharing"","&amp;"""เชียงราย!J742"")+IMPORTRANGE(""https://docs.google.com/spreadsheets/d/1rEDxBtusbi64tE0zunoIbsTVV16HeL0oJ6trHQeQ7K8/edit?usp=sharing"",""เชียงใหม่!J742"")+IMPORTRANGE(""https://docs.google.com/spreadsheets/d/1W6MnUbDkMi6xHnHko_XkFDO9kkuL6Wqyc-6OCDFjW9I/e"&amp;"dit?usp=sharing"",""ตาก!J742"")+IMPORTRANGE(""https://docs.google.com/spreadsheets/d/1IQAWArduLkta9LpYo4a_ULsyqdta6-6aDDiwpUnQT6c/edit?usp=sharing"",""นครสวรรค์!J742"")+IMPORTRANGE(""https://docs.google.com/spreadsheets/d/10s13Sk5xrltsiR-Zkbmk5DwIaDIKO8Xl"&amp;"bJAfqyT7Gvg/edit?usp=sharing"",""น่าน!J742"")+IMPORTRANGE(""https://docs.google.com/spreadsheets/d/1uu4nAn4Dbi1XREnLKKotUANlKXa7yCgRcgq8HEzQYW8/edit?usp=sharing"",""พะเยา!J742"")+IMPORTRANGE(""https://docs.google.com/spreadsheets/d/1xfJKIQxVOaPDIICqsflNlL"&amp;"u3JacTDk1FP9RH4phX7mI/edit?usp=sharing"",""พิจิตร!J742"")+IMPORTRANGE(""https://docs.google.com/spreadsheets/d/1JtRfZkJMHtEhI5RdRHxYUG4FIZHqKDpNyIuN7A1Q0_k/edit?usp=sharing"",""พิษณุโลก!J742"")+IMPORTRANGE(""https://docs.google.com/spreadsheets/d/1xlcVZWU"&amp;"Nn6SuWm0c307h32SiGkd9BaeQWlAktfD3KO8/edit?usp=sharing"",""เพชรบูรณ์!J742"")+IMPORTRANGE(""https://docs.google.com/spreadsheets/d/1lOVebEIsI9qjGXl6EX66luk7wiuP2tBaryw-wKvv4e0/edit?usp=sharing"",""แพร่!J742"")+IMPORTRANGE(""https://docs.google.com/spreadshe"&amp;"ets/d/1dQrvX0vEcN7Gu0fnZ0B5S90AeR19zth4XlExFBeExMY/edit?usp=sharing"",""แม่ฮ่องสอน!J742"")+IMPORTRANGE(""https://docs.google.com/spreadsheets/d/1DY4XTNNwjluuxqdfdn6qvOSlMRrZqUtmYcZR0ttFiG4/edit?usp=sharing"",""ลำปาง!J742"")+IMPORTRANGE(""https://docs.goog"&amp;"le.com/spreadsheets/d/1ICwG78r0OFT8biBlxnBF8r7she7gNSzOvJ958PWT09c/edit?usp=sharing"",""ลำพูน!J742"")+IMPORTRANGE(""https://docs.google.com/spreadsheets/d/1B0f2xJpZUC6Z0xXnqKlZtEPzsf6L84eP1r1Q15seqRM/edit?usp=sharing"",""สุโขทัย!J742"")+IMPORTRANGE(""http"&amp;"s://docs.google.com/spreadsheets/d/1v0b9pFQCsKUVExMei7AgY2yQkdeNQvtOssygGsXbiKo/edit?usp=sharing"",""อุตรดิตถ์!J742"")+IMPORTRANGE(""https://docs.google.com/spreadsheets/d/1UsNK1e-WWiCo2PvGqdNfdme4m17_Ezd3J69EeeiQPD0/edit?usp=sharing"",""อุทัยธานี!J742"")"),641)</f>
        <v>641</v>
      </c>
      <c r="K742" s="46">
        <f ca="1">IF(I742&gt;0,J742*100/I742,0)</f>
        <v>57.232142857142854</v>
      </c>
      <c r="L742" s="45"/>
      <c r="M742" s="45"/>
      <c r="N742" s="45"/>
      <c r="O742" s="45"/>
      <c r="P742" s="45"/>
      <c r="Q742" s="45"/>
      <c r="R742" s="45"/>
      <c r="S742" s="45"/>
      <c r="T742" s="45"/>
      <c r="U742" s="45"/>
    </row>
    <row r="743" spans="1:21" ht="18.75" x14ac:dyDescent="0.25">
      <c r="A743" s="138"/>
      <c r="B743" s="139"/>
      <c r="C743" s="139"/>
      <c r="D743" s="139"/>
      <c r="E743" s="410" t="s">
        <v>274</v>
      </c>
      <c r="F743" s="139"/>
      <c r="G743" s="143"/>
      <c r="H743" s="180"/>
      <c r="I743" s="44"/>
      <c r="J743" s="44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</row>
    <row r="744" spans="1:21" ht="18.75" x14ac:dyDescent="0.25">
      <c r="A744" s="138"/>
      <c r="B744" s="139"/>
      <c r="C744" s="139"/>
      <c r="D744" s="139"/>
      <c r="E744" s="139"/>
      <c r="F744" s="410" t="s">
        <v>271</v>
      </c>
      <c r="G744" s="143"/>
      <c r="H744" s="133" t="s">
        <v>46</v>
      </c>
      <c r="I744" s="166">
        <f ca="1">IFERROR(__xludf.DUMMYFUNCTION("IMPORTRANGE(""https://docs.google.com/spreadsheets/d/1jTcq05yEiRwXcBMLjiodW9e4biSGYWAHcDj22rKWQ3s/edit?usp=sharing"",""กำแพงเพชร!I744"")+IMPORTRANGE(""https://docs.google.com/spreadsheets/d/1KS0zmDSZPk8KnTAbGN-Xk6MtX1YRZD0ldgdt20K4CRk/edit?usp=sharing"","&amp;"""เชียงราย!I744"")+IMPORTRANGE(""https://docs.google.com/spreadsheets/d/1rEDxBtusbi64tE0zunoIbsTVV16HeL0oJ6trHQeQ7K8/edit?usp=sharing"",""เชียงใหม่!I744"")+IMPORTRANGE(""https://docs.google.com/spreadsheets/d/1W6MnUbDkMi6xHnHko_XkFDO9kkuL6Wqyc-6OCDFjW9I/e"&amp;"dit?usp=sharing"",""ตาก!I744"")+IMPORTRANGE(""https://docs.google.com/spreadsheets/d/1IQAWArduLkta9LpYo4a_ULsyqdta6-6aDDiwpUnQT6c/edit?usp=sharing"",""นครสวรรค์!I744"")+IMPORTRANGE(""https://docs.google.com/spreadsheets/d/10s13Sk5xrltsiR-Zkbmk5DwIaDIKO8Xl"&amp;"bJAfqyT7Gvg/edit?usp=sharing"",""น่าน!I744"")+IMPORTRANGE(""https://docs.google.com/spreadsheets/d/1uu4nAn4Dbi1XREnLKKotUANlKXa7yCgRcgq8HEzQYW8/edit?usp=sharing"",""พะเยา!I744"")+IMPORTRANGE(""https://docs.google.com/spreadsheets/d/1xfJKIQxVOaPDIICqsflNlL"&amp;"u3JacTDk1FP9RH4phX7mI/edit?usp=sharing"",""พิจิตร!I744"")+IMPORTRANGE(""https://docs.google.com/spreadsheets/d/1JtRfZkJMHtEhI5RdRHxYUG4FIZHqKDpNyIuN7A1Q0_k/edit?usp=sharing"",""พิษณุโลก!I744"")+IMPORTRANGE(""https://docs.google.com/spreadsheets/d/1xlcVZWU"&amp;"Nn6SuWm0c307h32SiGkd9BaeQWlAktfD3KO8/edit?usp=sharing"",""เพชรบูรณ์!I744"")+IMPORTRANGE(""https://docs.google.com/spreadsheets/d/1lOVebEIsI9qjGXl6EX66luk7wiuP2tBaryw-wKvv4e0/edit?usp=sharing"",""แพร่!I744"")+IMPORTRANGE(""https://docs.google.com/spreadshe"&amp;"ets/d/1dQrvX0vEcN7Gu0fnZ0B5S90AeR19zth4XlExFBeExMY/edit?usp=sharing"",""แม่ฮ่องสอน!I744"")+IMPORTRANGE(""https://docs.google.com/spreadsheets/d/1DY4XTNNwjluuxqdfdn6qvOSlMRrZqUtmYcZR0ttFiG4/edit?usp=sharing"",""ลำปาง!I744"")+IMPORTRANGE(""https://docs.goog"&amp;"le.com/spreadsheets/d/1ICwG78r0OFT8biBlxnBF8r7she7gNSzOvJ958PWT09c/edit?usp=sharing"",""ลำพูน!I744"")+IMPORTRANGE(""https://docs.google.com/spreadsheets/d/1B0f2xJpZUC6Z0xXnqKlZtEPzsf6L84eP1r1Q15seqRM/edit?usp=sharing"",""สุโขทัย!I744"")+IMPORTRANGE(""http"&amp;"s://docs.google.com/spreadsheets/d/1v0b9pFQCsKUVExMei7AgY2yQkdeNQvtOssygGsXbiKo/edit?usp=sharing"",""อุตรดิตถ์!I744"")+IMPORTRANGE(""https://docs.google.com/spreadsheets/d/1UsNK1e-WWiCo2PvGqdNfdme4m17_Ezd3J69EeeiQPD0/edit?usp=sharing"",""อุทัยธานี!I744"")"),2800)</f>
        <v>2800</v>
      </c>
      <c r="J744" s="167">
        <f ca="1">IFERROR(__xludf.DUMMYFUNCTION("IMPORTRANGE(""https://docs.google.com/spreadsheets/d/1jTcq05yEiRwXcBMLjiodW9e4biSGYWAHcDj22rKWQ3s/edit?usp=sharing"",""กำแพงเพชร!J744"")+IMPORTRANGE(""https://docs.google.com/spreadsheets/d/1KS0zmDSZPk8KnTAbGN-Xk6MtX1YRZD0ldgdt20K4CRk/edit?usp=sharing"","&amp;"""เชียงราย!J744"")+IMPORTRANGE(""https://docs.google.com/spreadsheets/d/1rEDxBtusbi64tE0zunoIbsTVV16HeL0oJ6trHQeQ7K8/edit?usp=sharing"",""เชียงใหม่!J744"")+IMPORTRANGE(""https://docs.google.com/spreadsheets/d/1W6MnUbDkMi6xHnHko_XkFDO9kkuL6Wqyc-6OCDFjW9I/e"&amp;"dit?usp=sharing"",""ตาก!J744"")+IMPORTRANGE(""https://docs.google.com/spreadsheets/d/1IQAWArduLkta9LpYo4a_ULsyqdta6-6aDDiwpUnQT6c/edit?usp=sharing"",""นครสวรรค์!J744"")+IMPORTRANGE(""https://docs.google.com/spreadsheets/d/10s13Sk5xrltsiR-Zkbmk5DwIaDIKO8Xl"&amp;"bJAfqyT7Gvg/edit?usp=sharing"",""น่าน!J744"")+IMPORTRANGE(""https://docs.google.com/spreadsheets/d/1uu4nAn4Dbi1XREnLKKotUANlKXa7yCgRcgq8HEzQYW8/edit?usp=sharing"",""พะเยา!J744"")+IMPORTRANGE(""https://docs.google.com/spreadsheets/d/1xfJKIQxVOaPDIICqsflNlL"&amp;"u3JacTDk1FP9RH4phX7mI/edit?usp=sharing"",""พิจิตร!J744"")+IMPORTRANGE(""https://docs.google.com/spreadsheets/d/1JtRfZkJMHtEhI5RdRHxYUG4FIZHqKDpNyIuN7A1Q0_k/edit?usp=sharing"",""พิษณุโลก!J744"")+IMPORTRANGE(""https://docs.google.com/spreadsheets/d/1xlcVZWU"&amp;"Nn6SuWm0c307h32SiGkd9BaeQWlAktfD3KO8/edit?usp=sharing"",""เพชรบูรณ์!J744"")+IMPORTRANGE(""https://docs.google.com/spreadsheets/d/1lOVebEIsI9qjGXl6EX66luk7wiuP2tBaryw-wKvv4e0/edit?usp=sharing"",""แพร่!J744"")+IMPORTRANGE(""https://docs.google.com/spreadshe"&amp;"ets/d/1dQrvX0vEcN7Gu0fnZ0B5S90AeR19zth4XlExFBeExMY/edit?usp=sharing"",""แม่ฮ่องสอน!J744"")+IMPORTRANGE(""https://docs.google.com/spreadsheets/d/1DY4XTNNwjluuxqdfdn6qvOSlMRrZqUtmYcZR0ttFiG4/edit?usp=sharing"",""ลำปาง!J744"")+IMPORTRANGE(""https://docs.goog"&amp;"le.com/spreadsheets/d/1ICwG78r0OFT8biBlxnBF8r7she7gNSzOvJ958PWT09c/edit?usp=sharing"",""ลำพูน!J744"")+IMPORTRANGE(""https://docs.google.com/spreadsheets/d/1B0f2xJpZUC6Z0xXnqKlZtEPzsf6L84eP1r1Q15seqRM/edit?usp=sharing"",""สุโขทัย!J744"")+IMPORTRANGE(""http"&amp;"s://docs.google.com/spreadsheets/d/1v0b9pFQCsKUVExMei7AgY2yQkdeNQvtOssygGsXbiKo/edit?usp=sharing"",""อุตรดิตถ์!J744"")+IMPORTRANGE(""https://docs.google.com/spreadsheets/d/1UsNK1e-WWiCo2PvGqdNfdme4m17_Ezd3J69EeeiQPD0/edit?usp=sharing"",""อุทัยธานี!J744"")"),530)</f>
        <v>530</v>
      </c>
      <c r="K744" s="46">
        <f ca="1">IF(I744&gt;0,J744*100/I744,0)</f>
        <v>18.928571428571427</v>
      </c>
      <c r="L744" s="45"/>
      <c r="M744" s="45"/>
      <c r="N744" s="45"/>
      <c r="O744" s="45"/>
      <c r="P744" s="45"/>
      <c r="Q744" s="45"/>
      <c r="R744" s="45"/>
      <c r="S744" s="45"/>
      <c r="T744" s="45"/>
      <c r="U744" s="45"/>
    </row>
    <row r="745" spans="1:21" ht="18.75" x14ac:dyDescent="0.25">
      <c r="A745" s="138"/>
      <c r="B745" s="139"/>
      <c r="C745" s="139"/>
      <c r="D745" s="139"/>
      <c r="E745" s="139"/>
      <c r="F745" s="410" t="s">
        <v>275</v>
      </c>
      <c r="G745" s="143"/>
      <c r="H745" s="133" t="s">
        <v>35</v>
      </c>
      <c r="I745" s="44"/>
      <c r="J745" s="167">
        <f ca="1">IFERROR(__xludf.DUMMYFUNCTION("IMPORTRANGE(""https://docs.google.com/spreadsheets/d/1jTcq05yEiRwXcBMLjiodW9e4biSGYWAHcDj22rKWQ3s/edit?usp=sharing"",""กำแพงเพชร!J745"")+IMPORTRANGE(""https://docs.google.com/spreadsheets/d/1KS0zmDSZPk8KnTAbGN-Xk6MtX1YRZD0ldgdt20K4CRk/edit?usp=sharing"","&amp;"""เชียงราย!J745"")+IMPORTRANGE(""https://docs.google.com/spreadsheets/d/1rEDxBtusbi64tE0zunoIbsTVV16HeL0oJ6trHQeQ7K8/edit?usp=sharing"",""เชียงใหม่!J745"")+IMPORTRANGE(""https://docs.google.com/spreadsheets/d/1W6MnUbDkMi6xHnHko_XkFDO9kkuL6Wqyc-6OCDFjW9I/e"&amp;"dit?usp=sharing"",""ตาก!J745"")+IMPORTRANGE(""https://docs.google.com/spreadsheets/d/1IQAWArduLkta9LpYo4a_ULsyqdta6-6aDDiwpUnQT6c/edit?usp=sharing"",""นครสวรรค์!J745"")+IMPORTRANGE(""https://docs.google.com/spreadsheets/d/10s13Sk5xrltsiR-Zkbmk5DwIaDIKO8Xl"&amp;"bJAfqyT7Gvg/edit?usp=sharing"",""น่าน!J745"")+IMPORTRANGE(""https://docs.google.com/spreadsheets/d/1uu4nAn4Dbi1XREnLKKotUANlKXa7yCgRcgq8HEzQYW8/edit?usp=sharing"",""พะเยา!J745"")+IMPORTRANGE(""https://docs.google.com/spreadsheets/d/1xfJKIQxVOaPDIICqsflNlL"&amp;"u3JacTDk1FP9RH4phX7mI/edit?usp=sharing"",""พิจิตร!J745"")+IMPORTRANGE(""https://docs.google.com/spreadsheets/d/1JtRfZkJMHtEhI5RdRHxYUG4FIZHqKDpNyIuN7A1Q0_k/edit?usp=sharing"",""พิษณุโลก!J745"")+IMPORTRANGE(""https://docs.google.com/spreadsheets/d/1xlcVZWU"&amp;"Nn6SuWm0c307h32SiGkd9BaeQWlAktfD3KO8/edit?usp=sharing"",""เพชรบูรณ์!J745"")+IMPORTRANGE(""https://docs.google.com/spreadsheets/d/1lOVebEIsI9qjGXl6EX66luk7wiuP2tBaryw-wKvv4e0/edit?usp=sharing"",""แพร่!J745"")+IMPORTRANGE(""https://docs.google.com/spreadshe"&amp;"ets/d/1dQrvX0vEcN7Gu0fnZ0B5S90AeR19zth4XlExFBeExMY/edit?usp=sharing"",""แม่ฮ่องสอน!J745"")+IMPORTRANGE(""https://docs.google.com/spreadsheets/d/1DY4XTNNwjluuxqdfdn6qvOSlMRrZqUtmYcZR0ttFiG4/edit?usp=sharing"",""ลำปาง!J745"")+IMPORTRANGE(""https://docs.goog"&amp;"le.com/spreadsheets/d/1ICwG78r0OFT8biBlxnBF8r7she7gNSzOvJ958PWT09c/edit?usp=sharing"",""ลำพูน!J745"")+IMPORTRANGE(""https://docs.google.com/spreadsheets/d/1B0f2xJpZUC6Z0xXnqKlZtEPzsf6L84eP1r1Q15seqRM/edit?usp=sharing"",""สุโขทัย!J745"")+IMPORTRANGE(""http"&amp;"s://docs.google.com/spreadsheets/d/1v0b9pFQCsKUVExMei7AgY2yQkdeNQvtOssygGsXbiKo/edit?usp=sharing"",""อุตรดิตถ์!J745"")+IMPORTRANGE(""https://docs.google.com/spreadsheets/d/1UsNK1e-WWiCo2PvGqdNfdme4m17_Ezd3J69EeeiQPD0/edit?usp=sharing"",""อุทัยธานี!J745"")"),48)</f>
        <v>48</v>
      </c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</row>
    <row r="746" spans="1:21" ht="18.75" x14ac:dyDescent="0.25">
      <c r="A746" s="138"/>
      <c r="B746" s="139"/>
      <c r="C746" s="139"/>
      <c r="D746" s="139"/>
      <c r="E746" s="139"/>
      <c r="F746" s="410" t="s">
        <v>276</v>
      </c>
      <c r="G746" s="143"/>
      <c r="H746" s="133" t="s">
        <v>35</v>
      </c>
      <c r="I746" s="166">
        <f ca="1">IFERROR(__xludf.DUMMYFUNCTION("IMPORTRANGE(""https://docs.google.com/spreadsheets/d/1jTcq05yEiRwXcBMLjiodW9e4biSGYWAHcDj22rKWQ3s/edit?usp=sharing"",""กำแพงเพชร!I746"")+IMPORTRANGE(""https://docs.google.com/spreadsheets/d/1KS0zmDSZPk8KnTAbGN-Xk6MtX1YRZD0ldgdt20K4CRk/edit?usp=sharing"","&amp;"""เชียงราย!I746"")+IMPORTRANGE(""https://docs.google.com/spreadsheets/d/1rEDxBtusbi64tE0zunoIbsTVV16HeL0oJ6trHQeQ7K8/edit?usp=sharing"",""เชียงใหม่!I746"")+IMPORTRANGE(""https://docs.google.com/spreadsheets/d/1W6MnUbDkMi6xHnHko_XkFDO9kkuL6Wqyc-6OCDFjW9I/e"&amp;"dit?usp=sharing"",""ตาก!I746"")+IMPORTRANGE(""https://docs.google.com/spreadsheets/d/1IQAWArduLkta9LpYo4a_ULsyqdta6-6aDDiwpUnQT6c/edit?usp=sharing"",""นครสวรรค์!I746"")+IMPORTRANGE(""https://docs.google.com/spreadsheets/d/10s13Sk5xrltsiR-Zkbmk5DwIaDIKO8Xl"&amp;"bJAfqyT7Gvg/edit?usp=sharing"",""น่าน!I746"")+IMPORTRANGE(""https://docs.google.com/spreadsheets/d/1uu4nAn4Dbi1XREnLKKotUANlKXa7yCgRcgq8HEzQYW8/edit?usp=sharing"",""พะเยา!I746"")+IMPORTRANGE(""https://docs.google.com/spreadsheets/d/1xfJKIQxVOaPDIICqsflNlL"&amp;"u3JacTDk1FP9RH4phX7mI/edit?usp=sharing"",""พิจิตร!I746"")+IMPORTRANGE(""https://docs.google.com/spreadsheets/d/1JtRfZkJMHtEhI5RdRHxYUG4FIZHqKDpNyIuN7A1Q0_k/edit?usp=sharing"",""พิษณุโลก!I746"")+IMPORTRANGE(""https://docs.google.com/spreadsheets/d/1xlcVZWU"&amp;"Nn6SuWm0c307h32SiGkd9BaeQWlAktfD3KO8/edit?usp=sharing"",""เพชรบูรณ์!I746"")+IMPORTRANGE(""https://docs.google.com/spreadsheets/d/1lOVebEIsI9qjGXl6EX66luk7wiuP2tBaryw-wKvv4e0/edit?usp=sharing"",""แพร่!I746"")+IMPORTRANGE(""https://docs.google.com/spreadshe"&amp;"ets/d/1dQrvX0vEcN7Gu0fnZ0B5S90AeR19zth4XlExFBeExMY/edit?usp=sharing"",""แม่ฮ่องสอน!I746"")+IMPORTRANGE(""https://docs.google.com/spreadsheets/d/1DY4XTNNwjluuxqdfdn6qvOSlMRrZqUtmYcZR0ttFiG4/edit?usp=sharing"",""ลำปาง!I746"")+IMPORTRANGE(""https://docs.goog"&amp;"le.com/spreadsheets/d/1ICwG78r0OFT8biBlxnBF8r7she7gNSzOvJ958PWT09c/edit?usp=sharing"",""ลำพูน!I746"")+IMPORTRANGE(""https://docs.google.com/spreadsheets/d/1B0f2xJpZUC6Z0xXnqKlZtEPzsf6L84eP1r1Q15seqRM/edit?usp=sharing"",""สุโขทัย!I746"")+IMPORTRANGE(""http"&amp;"s://docs.google.com/spreadsheets/d/1v0b9pFQCsKUVExMei7AgY2yQkdeNQvtOssygGsXbiKo/edit?usp=sharing"",""อุตรดิตถ์!I746"")+IMPORTRANGE(""https://docs.google.com/spreadsheets/d/1UsNK1e-WWiCo2PvGqdNfdme4m17_Ezd3J69EeeiQPD0/edit?usp=sharing"",""อุทัยธานี!I746"")"),280)</f>
        <v>280</v>
      </c>
      <c r="J746" s="167">
        <f ca="1">IFERROR(__xludf.DUMMYFUNCTION("IMPORTRANGE(""https://docs.google.com/spreadsheets/d/1jTcq05yEiRwXcBMLjiodW9e4biSGYWAHcDj22rKWQ3s/edit?usp=sharing"",""กำแพงเพชร!J746"")+IMPORTRANGE(""https://docs.google.com/spreadsheets/d/1KS0zmDSZPk8KnTAbGN-Xk6MtX1YRZD0ldgdt20K4CRk/edit?usp=sharing"","&amp;"""เชียงราย!J746"")+IMPORTRANGE(""https://docs.google.com/spreadsheets/d/1rEDxBtusbi64tE0zunoIbsTVV16HeL0oJ6trHQeQ7K8/edit?usp=sharing"",""เชียงใหม่!J746"")+IMPORTRANGE(""https://docs.google.com/spreadsheets/d/1W6MnUbDkMi6xHnHko_XkFDO9kkuL6Wqyc-6OCDFjW9I/e"&amp;"dit?usp=sharing"",""ตาก!J746"")+IMPORTRANGE(""https://docs.google.com/spreadsheets/d/1IQAWArduLkta9LpYo4a_ULsyqdta6-6aDDiwpUnQT6c/edit?usp=sharing"",""นครสวรรค์!J746"")+IMPORTRANGE(""https://docs.google.com/spreadsheets/d/10s13Sk5xrltsiR-Zkbmk5DwIaDIKO8Xl"&amp;"bJAfqyT7Gvg/edit?usp=sharing"",""น่าน!J746"")+IMPORTRANGE(""https://docs.google.com/spreadsheets/d/1uu4nAn4Dbi1XREnLKKotUANlKXa7yCgRcgq8HEzQYW8/edit?usp=sharing"",""พะเยา!J746"")+IMPORTRANGE(""https://docs.google.com/spreadsheets/d/1xfJKIQxVOaPDIICqsflNlL"&amp;"u3JacTDk1FP9RH4phX7mI/edit?usp=sharing"",""พิจิตร!J746"")+IMPORTRANGE(""https://docs.google.com/spreadsheets/d/1JtRfZkJMHtEhI5RdRHxYUG4FIZHqKDpNyIuN7A1Q0_k/edit?usp=sharing"",""พิษณุโลก!J746"")+IMPORTRANGE(""https://docs.google.com/spreadsheets/d/1xlcVZWU"&amp;"Nn6SuWm0c307h32SiGkd9BaeQWlAktfD3KO8/edit?usp=sharing"",""เพชรบูรณ์!J746"")+IMPORTRANGE(""https://docs.google.com/spreadsheets/d/1lOVebEIsI9qjGXl6EX66luk7wiuP2tBaryw-wKvv4e0/edit?usp=sharing"",""แพร่!J746"")+IMPORTRANGE(""https://docs.google.com/spreadshe"&amp;"ets/d/1dQrvX0vEcN7Gu0fnZ0B5S90AeR19zth4XlExFBeExMY/edit?usp=sharing"",""แม่ฮ่องสอน!J746"")+IMPORTRANGE(""https://docs.google.com/spreadsheets/d/1DY4XTNNwjluuxqdfdn6qvOSlMRrZqUtmYcZR0ttFiG4/edit?usp=sharing"",""ลำปาง!J746"")+IMPORTRANGE(""https://docs.goog"&amp;"le.com/spreadsheets/d/1ICwG78r0OFT8biBlxnBF8r7she7gNSzOvJ958PWT09c/edit?usp=sharing"",""ลำพูน!J746"")+IMPORTRANGE(""https://docs.google.com/spreadsheets/d/1B0f2xJpZUC6Z0xXnqKlZtEPzsf6L84eP1r1Q15seqRM/edit?usp=sharing"",""สุโขทัย!J746"")+IMPORTRANGE(""http"&amp;"s://docs.google.com/spreadsheets/d/1v0b9pFQCsKUVExMei7AgY2yQkdeNQvtOssygGsXbiKo/edit?usp=sharing"",""อุตรดิตถ์!J746"")+IMPORTRANGE(""https://docs.google.com/spreadsheets/d/1UsNK1e-WWiCo2PvGqdNfdme4m17_Ezd3J69EeeiQPD0/edit?usp=sharing"",""อุทัยธานี!J746"")"),109)</f>
        <v>109</v>
      </c>
      <c r="K746" s="46">
        <f ca="1">IF(I746&gt;0,J746*100/I746,0)</f>
        <v>38.928571428571431</v>
      </c>
      <c r="L746" s="45"/>
      <c r="M746" s="45"/>
      <c r="N746" s="45"/>
      <c r="O746" s="45"/>
      <c r="P746" s="45"/>
      <c r="Q746" s="45"/>
      <c r="R746" s="45"/>
      <c r="S746" s="45"/>
      <c r="T746" s="45"/>
      <c r="U746" s="45"/>
    </row>
    <row r="747" spans="1:21" ht="18.75" x14ac:dyDescent="0.25">
      <c r="A747" s="138"/>
      <c r="B747" s="139"/>
      <c r="C747" s="139"/>
      <c r="D747" s="139"/>
      <c r="E747" s="410" t="s">
        <v>277</v>
      </c>
      <c r="F747" s="145"/>
      <c r="G747" s="143"/>
      <c r="H747" s="180"/>
      <c r="I747" s="44"/>
      <c r="J747" s="44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</row>
    <row r="748" spans="1:21" ht="18.75" x14ac:dyDescent="0.25">
      <c r="A748" s="138"/>
      <c r="B748" s="139"/>
      <c r="C748" s="139"/>
      <c r="D748" s="139"/>
      <c r="E748" s="139"/>
      <c r="F748" s="410" t="s">
        <v>278</v>
      </c>
      <c r="G748" s="143"/>
      <c r="H748" s="133" t="s">
        <v>35</v>
      </c>
      <c r="I748" s="44"/>
      <c r="J748" s="167">
        <f ca="1">IFERROR(__xludf.DUMMYFUNCTION("IMPORTRANGE(""https://docs.google.com/spreadsheets/d/1jTcq05yEiRwXcBMLjiodW9e4biSGYWAHcDj22rKWQ3s/edit?usp=sharing"",""กำแพงเพชร!J748"")+IMPORTRANGE(""https://docs.google.com/spreadsheets/d/1KS0zmDSZPk8KnTAbGN-Xk6MtX1YRZD0ldgdt20K4CRk/edit?usp=sharing"","&amp;"""เชียงราย!J748"")+IMPORTRANGE(""https://docs.google.com/spreadsheets/d/1rEDxBtusbi64tE0zunoIbsTVV16HeL0oJ6trHQeQ7K8/edit?usp=sharing"",""เชียงใหม่!J748"")+IMPORTRANGE(""https://docs.google.com/spreadsheets/d/1W6MnUbDkMi6xHnHko_XkFDO9kkuL6Wqyc-6OCDFjW9I/e"&amp;"dit?usp=sharing"",""ตาก!J748"")+IMPORTRANGE(""https://docs.google.com/spreadsheets/d/1IQAWArduLkta9LpYo4a_ULsyqdta6-6aDDiwpUnQT6c/edit?usp=sharing"",""นครสวรรค์!J748"")+IMPORTRANGE(""https://docs.google.com/spreadsheets/d/10s13Sk5xrltsiR-Zkbmk5DwIaDIKO8Xl"&amp;"bJAfqyT7Gvg/edit?usp=sharing"",""น่าน!J748"")+IMPORTRANGE(""https://docs.google.com/spreadsheets/d/1uu4nAn4Dbi1XREnLKKotUANlKXa7yCgRcgq8HEzQYW8/edit?usp=sharing"",""พะเยา!J748"")+IMPORTRANGE(""https://docs.google.com/spreadsheets/d/1xfJKIQxVOaPDIICqsflNlL"&amp;"u3JacTDk1FP9RH4phX7mI/edit?usp=sharing"",""พิจิตร!J748"")+IMPORTRANGE(""https://docs.google.com/spreadsheets/d/1JtRfZkJMHtEhI5RdRHxYUG4FIZHqKDpNyIuN7A1Q0_k/edit?usp=sharing"",""พิษณุโลก!J748"")+IMPORTRANGE(""https://docs.google.com/spreadsheets/d/1xlcVZWU"&amp;"Nn6SuWm0c307h32SiGkd9BaeQWlAktfD3KO8/edit?usp=sharing"",""เพชรบูรณ์!J748"")+IMPORTRANGE(""https://docs.google.com/spreadsheets/d/1lOVebEIsI9qjGXl6EX66luk7wiuP2tBaryw-wKvv4e0/edit?usp=sharing"",""แพร่!J748"")+IMPORTRANGE(""https://docs.google.com/spreadshe"&amp;"ets/d/1dQrvX0vEcN7Gu0fnZ0B5S90AeR19zth4XlExFBeExMY/edit?usp=sharing"",""แม่ฮ่องสอน!J748"")+IMPORTRANGE(""https://docs.google.com/spreadsheets/d/1DY4XTNNwjluuxqdfdn6qvOSlMRrZqUtmYcZR0ttFiG4/edit?usp=sharing"",""ลำปาง!J748"")+IMPORTRANGE(""https://docs.goog"&amp;"le.com/spreadsheets/d/1ICwG78r0OFT8biBlxnBF8r7she7gNSzOvJ958PWT09c/edit?usp=sharing"",""ลำพูน!J748"")+IMPORTRANGE(""https://docs.google.com/spreadsheets/d/1B0f2xJpZUC6Z0xXnqKlZtEPzsf6L84eP1r1Q15seqRM/edit?usp=sharing"",""สุโขทัย!J748"")+IMPORTRANGE(""http"&amp;"s://docs.google.com/spreadsheets/d/1v0b9pFQCsKUVExMei7AgY2yQkdeNQvtOssygGsXbiKo/edit?usp=sharing"",""อุตรดิตถ์!J748"")+IMPORTRANGE(""https://docs.google.com/spreadsheets/d/1UsNK1e-WWiCo2PvGqdNfdme4m17_Ezd3J69EeeiQPD0/edit?usp=sharing"",""อุทัยธานี!J748"")"),3)</f>
        <v>3</v>
      </c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</row>
    <row r="749" spans="1:21" ht="18.75" x14ac:dyDescent="0.25">
      <c r="A749" s="138"/>
      <c r="B749" s="139"/>
      <c r="C749" s="139"/>
      <c r="D749" s="139"/>
      <c r="E749" s="139"/>
      <c r="F749" s="410" t="s">
        <v>279</v>
      </c>
      <c r="G749" s="143"/>
      <c r="H749" s="133" t="s">
        <v>35</v>
      </c>
      <c r="I749" s="166">
        <f ca="1">IFERROR(__xludf.DUMMYFUNCTION("IMPORTRANGE(""https://docs.google.com/spreadsheets/d/1jTcq05yEiRwXcBMLjiodW9e4biSGYWAHcDj22rKWQ3s/edit?usp=sharing"",""กำแพงเพชร!I749"")+IMPORTRANGE(""https://docs.google.com/spreadsheets/d/1KS0zmDSZPk8KnTAbGN-Xk6MtX1YRZD0ldgdt20K4CRk/edit?usp=sharing"","&amp;"""เชียงราย!I749"")+IMPORTRANGE(""https://docs.google.com/spreadsheets/d/1rEDxBtusbi64tE0zunoIbsTVV16HeL0oJ6trHQeQ7K8/edit?usp=sharing"",""เชียงใหม่!I749"")+IMPORTRANGE(""https://docs.google.com/spreadsheets/d/1W6MnUbDkMi6xHnHko_XkFDO9kkuL6Wqyc-6OCDFjW9I/e"&amp;"dit?usp=sharing"",""ตาก!I749"")+IMPORTRANGE(""https://docs.google.com/spreadsheets/d/1IQAWArduLkta9LpYo4a_ULsyqdta6-6aDDiwpUnQT6c/edit?usp=sharing"",""นครสวรรค์!I749"")+IMPORTRANGE(""https://docs.google.com/spreadsheets/d/10s13Sk5xrltsiR-Zkbmk5DwIaDIKO8Xl"&amp;"bJAfqyT7Gvg/edit?usp=sharing"",""น่าน!I749"")+IMPORTRANGE(""https://docs.google.com/spreadsheets/d/1uu4nAn4Dbi1XREnLKKotUANlKXa7yCgRcgq8HEzQYW8/edit?usp=sharing"",""พะเยา!I749"")+IMPORTRANGE(""https://docs.google.com/spreadsheets/d/1xfJKIQxVOaPDIICqsflNlL"&amp;"u3JacTDk1FP9RH4phX7mI/edit?usp=sharing"",""พิจิตร!I749"")+IMPORTRANGE(""https://docs.google.com/spreadsheets/d/1JtRfZkJMHtEhI5RdRHxYUG4FIZHqKDpNyIuN7A1Q0_k/edit?usp=sharing"",""พิษณุโลก!I749"")+IMPORTRANGE(""https://docs.google.com/spreadsheets/d/1xlcVZWU"&amp;"Nn6SuWm0c307h32SiGkd9BaeQWlAktfD3KO8/edit?usp=sharing"",""เพชรบูรณ์!I749"")+IMPORTRANGE(""https://docs.google.com/spreadsheets/d/1lOVebEIsI9qjGXl6EX66luk7wiuP2tBaryw-wKvv4e0/edit?usp=sharing"",""แพร่!I749"")+IMPORTRANGE(""https://docs.google.com/spreadshe"&amp;"ets/d/1dQrvX0vEcN7Gu0fnZ0B5S90AeR19zth4XlExFBeExMY/edit?usp=sharing"",""แม่ฮ่องสอน!I749"")+IMPORTRANGE(""https://docs.google.com/spreadsheets/d/1DY4XTNNwjluuxqdfdn6qvOSlMRrZqUtmYcZR0ttFiG4/edit?usp=sharing"",""ลำปาง!I749"")+IMPORTRANGE(""https://docs.goog"&amp;"le.com/spreadsheets/d/1ICwG78r0OFT8biBlxnBF8r7she7gNSzOvJ958PWT09c/edit?usp=sharing"",""ลำพูน!I749"")+IMPORTRANGE(""https://docs.google.com/spreadsheets/d/1B0f2xJpZUC6Z0xXnqKlZtEPzsf6L84eP1r1Q15seqRM/edit?usp=sharing"",""สุโขทัย!I749"")+IMPORTRANGE(""http"&amp;"s://docs.google.com/spreadsheets/d/1v0b9pFQCsKUVExMei7AgY2yQkdeNQvtOssygGsXbiKo/edit?usp=sharing"",""อุตรดิตถ์!I749"")+IMPORTRANGE(""https://docs.google.com/spreadsheets/d/1UsNK1e-WWiCo2PvGqdNfdme4m17_Ezd3J69EeeiQPD0/edit?usp=sharing"",""อุทัยธานี!I749"")"),36)</f>
        <v>36</v>
      </c>
      <c r="J749" s="167">
        <f ca="1">IFERROR(__xludf.DUMMYFUNCTION("IMPORTRANGE(""https://docs.google.com/spreadsheets/d/1jTcq05yEiRwXcBMLjiodW9e4biSGYWAHcDj22rKWQ3s/edit?usp=sharing"",""กำแพงเพชร!J749"")+IMPORTRANGE(""https://docs.google.com/spreadsheets/d/1KS0zmDSZPk8KnTAbGN-Xk6MtX1YRZD0ldgdt20K4CRk/edit?usp=sharing"","&amp;"""เชียงราย!J749"")+IMPORTRANGE(""https://docs.google.com/spreadsheets/d/1rEDxBtusbi64tE0zunoIbsTVV16HeL0oJ6trHQeQ7K8/edit?usp=sharing"",""เชียงใหม่!J749"")+IMPORTRANGE(""https://docs.google.com/spreadsheets/d/1W6MnUbDkMi6xHnHko_XkFDO9kkuL6Wqyc-6OCDFjW9I/e"&amp;"dit?usp=sharing"",""ตาก!J749"")+IMPORTRANGE(""https://docs.google.com/spreadsheets/d/1IQAWArduLkta9LpYo4a_ULsyqdta6-6aDDiwpUnQT6c/edit?usp=sharing"",""นครสวรรค์!J749"")+IMPORTRANGE(""https://docs.google.com/spreadsheets/d/10s13Sk5xrltsiR-Zkbmk5DwIaDIKO8Xl"&amp;"bJAfqyT7Gvg/edit?usp=sharing"",""น่าน!J749"")+IMPORTRANGE(""https://docs.google.com/spreadsheets/d/1uu4nAn4Dbi1XREnLKKotUANlKXa7yCgRcgq8HEzQYW8/edit?usp=sharing"",""พะเยา!J749"")+IMPORTRANGE(""https://docs.google.com/spreadsheets/d/1xfJKIQxVOaPDIICqsflNlL"&amp;"u3JacTDk1FP9RH4phX7mI/edit?usp=sharing"",""พิจิตร!J749"")+IMPORTRANGE(""https://docs.google.com/spreadsheets/d/1JtRfZkJMHtEhI5RdRHxYUG4FIZHqKDpNyIuN7A1Q0_k/edit?usp=sharing"",""พิษณุโลก!J749"")+IMPORTRANGE(""https://docs.google.com/spreadsheets/d/1xlcVZWU"&amp;"Nn6SuWm0c307h32SiGkd9BaeQWlAktfD3KO8/edit?usp=sharing"",""เพชรบูรณ์!J749"")+IMPORTRANGE(""https://docs.google.com/spreadsheets/d/1lOVebEIsI9qjGXl6EX66luk7wiuP2tBaryw-wKvv4e0/edit?usp=sharing"",""แพร่!J749"")+IMPORTRANGE(""https://docs.google.com/spreadshe"&amp;"ets/d/1dQrvX0vEcN7Gu0fnZ0B5S90AeR19zth4XlExFBeExMY/edit?usp=sharing"",""แม่ฮ่องสอน!J749"")+IMPORTRANGE(""https://docs.google.com/spreadsheets/d/1DY4XTNNwjluuxqdfdn6qvOSlMRrZqUtmYcZR0ttFiG4/edit?usp=sharing"",""ลำปาง!J749"")+IMPORTRANGE(""https://docs.goog"&amp;"le.com/spreadsheets/d/1ICwG78r0OFT8biBlxnBF8r7she7gNSzOvJ958PWT09c/edit?usp=sharing"",""ลำพูน!J749"")+IMPORTRANGE(""https://docs.google.com/spreadsheets/d/1B0f2xJpZUC6Z0xXnqKlZtEPzsf6L84eP1r1Q15seqRM/edit?usp=sharing"",""สุโขทัย!J749"")+IMPORTRANGE(""http"&amp;"s://docs.google.com/spreadsheets/d/1v0b9pFQCsKUVExMei7AgY2yQkdeNQvtOssygGsXbiKo/edit?usp=sharing"",""อุตรดิตถ์!J749"")+IMPORTRANGE(""https://docs.google.com/spreadsheets/d/1UsNK1e-WWiCo2PvGqdNfdme4m17_Ezd3J69EeeiQPD0/edit?usp=sharing"",""อุทัยธานี!J749"")"),7)</f>
        <v>7</v>
      </c>
      <c r="K749" s="46">
        <f ca="1">IF(I749&gt;0,J749*100/I749,0)</f>
        <v>19.444444444444443</v>
      </c>
      <c r="L749" s="45"/>
      <c r="M749" s="45"/>
      <c r="N749" s="45"/>
      <c r="O749" s="45"/>
      <c r="P749" s="45"/>
      <c r="Q749" s="45"/>
      <c r="R749" s="45"/>
      <c r="S749" s="45"/>
      <c r="T749" s="45"/>
      <c r="U749" s="45"/>
    </row>
    <row r="750" spans="1:21" ht="19.5" x14ac:dyDescent="0.3">
      <c r="A750" s="138"/>
      <c r="B750" s="139"/>
      <c r="C750" s="139"/>
      <c r="D750" s="437" t="s">
        <v>50</v>
      </c>
      <c r="E750" s="139"/>
      <c r="F750" s="145"/>
      <c r="G750" s="143"/>
      <c r="H750" s="180"/>
      <c r="I750" s="44"/>
      <c r="J750" s="44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</row>
    <row r="751" spans="1:21" ht="18.75" x14ac:dyDescent="0.25">
      <c r="A751" s="138"/>
      <c r="B751" s="139"/>
      <c r="C751" s="139"/>
      <c r="D751" s="139"/>
      <c r="E751" s="410" t="s">
        <v>270</v>
      </c>
      <c r="F751" s="145"/>
      <c r="G751" s="143"/>
      <c r="H751" s="180"/>
      <c r="I751" s="44"/>
      <c r="J751" s="44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</row>
    <row r="752" spans="1:21" ht="18.75" x14ac:dyDescent="0.25">
      <c r="A752" s="138"/>
      <c r="B752" s="139"/>
      <c r="C752" s="139"/>
      <c r="D752" s="139"/>
      <c r="E752" s="139"/>
      <c r="F752" s="149" t="s">
        <v>280</v>
      </c>
      <c r="G752" s="143"/>
      <c r="H752" s="133" t="s">
        <v>46</v>
      </c>
      <c r="I752" s="166">
        <f ca="1">IFERROR(__xludf.DUMMYFUNCTION("IMPORTRANGE(""https://docs.google.com/spreadsheets/d/1jTcq05yEiRwXcBMLjiodW9e4biSGYWAHcDj22rKWQ3s/edit?usp=sharing"",""กำแพงเพชร!I752"")+IMPORTRANGE(""https://docs.google.com/spreadsheets/d/1KS0zmDSZPk8KnTAbGN-Xk6MtX1YRZD0ldgdt20K4CRk/edit?usp=sharing"","&amp;"""เชียงราย!I752"")+IMPORTRANGE(""https://docs.google.com/spreadsheets/d/1rEDxBtusbi64tE0zunoIbsTVV16HeL0oJ6trHQeQ7K8/edit?usp=sharing"",""เชียงใหม่!I752"")+IMPORTRANGE(""https://docs.google.com/spreadsheets/d/1W6MnUbDkMi6xHnHko_XkFDO9kkuL6Wqyc-6OCDFjW9I/e"&amp;"dit?usp=sharing"",""ตาก!I752"")+IMPORTRANGE(""https://docs.google.com/spreadsheets/d/1IQAWArduLkta9LpYo4a_ULsyqdta6-6aDDiwpUnQT6c/edit?usp=sharing"",""นครสวรรค์!I752"")+IMPORTRANGE(""https://docs.google.com/spreadsheets/d/10s13Sk5xrltsiR-Zkbmk5DwIaDIKO8Xl"&amp;"bJAfqyT7Gvg/edit?usp=sharing"",""น่าน!I752"")+IMPORTRANGE(""https://docs.google.com/spreadsheets/d/1uu4nAn4Dbi1XREnLKKotUANlKXa7yCgRcgq8HEzQYW8/edit?usp=sharing"",""พะเยา!I752"")+IMPORTRANGE(""https://docs.google.com/spreadsheets/d/1xfJKIQxVOaPDIICqsflNlL"&amp;"u3JacTDk1FP9RH4phX7mI/edit?usp=sharing"",""พิจิตร!I752"")+IMPORTRANGE(""https://docs.google.com/spreadsheets/d/1JtRfZkJMHtEhI5RdRHxYUG4FIZHqKDpNyIuN7A1Q0_k/edit?usp=sharing"",""พิษณุโลก!I752"")+IMPORTRANGE(""https://docs.google.com/spreadsheets/d/1xlcVZWU"&amp;"Nn6SuWm0c307h32SiGkd9BaeQWlAktfD3KO8/edit?usp=sharing"",""เพชรบูรณ์!I752"")+IMPORTRANGE(""https://docs.google.com/spreadsheets/d/1lOVebEIsI9qjGXl6EX66luk7wiuP2tBaryw-wKvv4e0/edit?usp=sharing"",""แพร่!I752"")+IMPORTRANGE(""https://docs.google.com/spreadshe"&amp;"ets/d/1dQrvX0vEcN7Gu0fnZ0B5S90AeR19zth4XlExFBeExMY/edit?usp=sharing"",""แม่ฮ่องสอน!I752"")+IMPORTRANGE(""https://docs.google.com/spreadsheets/d/1DY4XTNNwjluuxqdfdn6qvOSlMRrZqUtmYcZR0ttFiG4/edit?usp=sharing"",""ลำปาง!I752"")+IMPORTRANGE(""https://docs.goog"&amp;"le.com/spreadsheets/d/1ICwG78r0OFT8biBlxnBF8r7she7gNSzOvJ958PWT09c/edit?usp=sharing"",""ลำพูน!I752"")+IMPORTRANGE(""https://docs.google.com/spreadsheets/d/1B0f2xJpZUC6Z0xXnqKlZtEPzsf6L84eP1r1Q15seqRM/edit?usp=sharing"",""สุโขทัย!I752"")+IMPORTRANGE(""http"&amp;"s://docs.google.com/spreadsheets/d/1v0b9pFQCsKUVExMei7AgY2yQkdeNQvtOssygGsXbiKo/edit?usp=sharing"",""อุตรดิตถ์!I752"")+IMPORTRANGE(""https://docs.google.com/spreadsheets/d/1UsNK1e-WWiCo2PvGqdNfdme4m17_Ezd3J69EeeiQPD0/edit?usp=sharing"",""อุทัยธานี!I752"")"),11200)</f>
        <v>11200</v>
      </c>
      <c r="J752" s="167">
        <f ca="1">IFERROR(__xludf.DUMMYFUNCTION("IMPORTRANGE(""https://docs.google.com/spreadsheets/d/1jTcq05yEiRwXcBMLjiodW9e4biSGYWAHcDj22rKWQ3s/edit?usp=sharing"",""กำแพงเพชร!J752"")+IMPORTRANGE(""https://docs.google.com/spreadsheets/d/1KS0zmDSZPk8KnTAbGN-Xk6MtX1YRZD0ldgdt20K4CRk/edit?usp=sharing"","&amp;"""เชียงราย!J752"")+IMPORTRANGE(""https://docs.google.com/spreadsheets/d/1rEDxBtusbi64tE0zunoIbsTVV16HeL0oJ6trHQeQ7K8/edit?usp=sharing"",""เชียงใหม่!J752"")+IMPORTRANGE(""https://docs.google.com/spreadsheets/d/1W6MnUbDkMi6xHnHko_XkFDO9kkuL6Wqyc-6OCDFjW9I/e"&amp;"dit?usp=sharing"",""ตาก!J752"")+IMPORTRANGE(""https://docs.google.com/spreadsheets/d/1IQAWArduLkta9LpYo4a_ULsyqdta6-6aDDiwpUnQT6c/edit?usp=sharing"",""นครสวรรค์!J752"")+IMPORTRANGE(""https://docs.google.com/spreadsheets/d/10s13Sk5xrltsiR-Zkbmk5DwIaDIKO8Xl"&amp;"bJAfqyT7Gvg/edit?usp=sharing"",""น่าน!J752"")+IMPORTRANGE(""https://docs.google.com/spreadsheets/d/1uu4nAn4Dbi1XREnLKKotUANlKXa7yCgRcgq8HEzQYW8/edit?usp=sharing"",""พะเยา!J752"")+IMPORTRANGE(""https://docs.google.com/spreadsheets/d/1xfJKIQxVOaPDIICqsflNlL"&amp;"u3JacTDk1FP9RH4phX7mI/edit?usp=sharing"",""พิจิตร!J752"")+IMPORTRANGE(""https://docs.google.com/spreadsheets/d/1JtRfZkJMHtEhI5RdRHxYUG4FIZHqKDpNyIuN7A1Q0_k/edit?usp=sharing"",""พิษณุโลก!J752"")+IMPORTRANGE(""https://docs.google.com/spreadsheets/d/1xlcVZWU"&amp;"Nn6SuWm0c307h32SiGkd9BaeQWlAktfD3KO8/edit?usp=sharing"",""เพชรบูรณ์!J752"")+IMPORTRANGE(""https://docs.google.com/spreadsheets/d/1lOVebEIsI9qjGXl6EX66luk7wiuP2tBaryw-wKvv4e0/edit?usp=sharing"",""แพร่!J752"")+IMPORTRANGE(""https://docs.google.com/spreadshe"&amp;"ets/d/1dQrvX0vEcN7Gu0fnZ0B5S90AeR19zth4XlExFBeExMY/edit?usp=sharing"",""แม่ฮ่องสอน!J752"")+IMPORTRANGE(""https://docs.google.com/spreadsheets/d/1DY4XTNNwjluuxqdfdn6qvOSlMRrZqUtmYcZR0ttFiG4/edit?usp=sharing"",""ลำปาง!J752"")+IMPORTRANGE(""https://docs.goog"&amp;"le.com/spreadsheets/d/1ICwG78r0OFT8biBlxnBF8r7she7gNSzOvJ958PWT09c/edit?usp=sharing"",""ลำพูน!J752"")+IMPORTRANGE(""https://docs.google.com/spreadsheets/d/1B0f2xJpZUC6Z0xXnqKlZtEPzsf6L84eP1r1Q15seqRM/edit?usp=sharing"",""สุโขทัย!J752"")+IMPORTRANGE(""http"&amp;"s://docs.google.com/spreadsheets/d/1v0b9pFQCsKUVExMei7AgY2yQkdeNQvtOssygGsXbiKo/edit?usp=sharing"",""อุตรดิตถ์!J752"")+IMPORTRANGE(""https://docs.google.com/spreadsheets/d/1UsNK1e-WWiCo2PvGqdNfdme4m17_Ezd3J69EeeiQPD0/edit?usp=sharing"",""อุทัยธานี!J752"")"),0)</f>
        <v>0</v>
      </c>
      <c r="K752" s="46">
        <f ca="1">IF(I752&gt;0,J752*100/I752,0)</f>
        <v>0</v>
      </c>
      <c r="L752" s="45"/>
      <c r="M752" s="45"/>
      <c r="N752" s="45"/>
      <c r="O752" s="45"/>
      <c r="P752" s="45"/>
      <c r="Q752" s="45"/>
      <c r="R752" s="45"/>
      <c r="S752" s="45"/>
      <c r="T752" s="45"/>
      <c r="U752" s="45"/>
    </row>
    <row r="753" spans="1:21" ht="18.75" x14ac:dyDescent="0.25">
      <c r="A753" s="138"/>
      <c r="B753" s="139"/>
      <c r="C753" s="139"/>
      <c r="D753" s="139"/>
      <c r="E753" s="139"/>
      <c r="F753" s="149" t="s">
        <v>281</v>
      </c>
      <c r="G753" s="143"/>
      <c r="H753" s="133" t="s">
        <v>46</v>
      </c>
      <c r="I753" s="44"/>
      <c r="J753" s="167">
        <f ca="1">IFERROR(__xludf.DUMMYFUNCTION("IMPORTRANGE(""https://docs.google.com/spreadsheets/d/1jTcq05yEiRwXcBMLjiodW9e4biSGYWAHcDj22rKWQ3s/edit?usp=sharing"",""กำแพงเพชร!J753"")+IMPORTRANGE(""https://docs.google.com/spreadsheets/d/1KS0zmDSZPk8KnTAbGN-Xk6MtX1YRZD0ldgdt20K4CRk/edit?usp=sharing"","&amp;"""เชียงราย!J753"")+IMPORTRANGE(""https://docs.google.com/spreadsheets/d/1rEDxBtusbi64tE0zunoIbsTVV16HeL0oJ6trHQeQ7K8/edit?usp=sharing"",""เชียงใหม่!J753"")+IMPORTRANGE(""https://docs.google.com/spreadsheets/d/1W6MnUbDkMi6xHnHko_XkFDO9kkuL6Wqyc-6OCDFjW9I/e"&amp;"dit?usp=sharing"",""ตาก!J753"")+IMPORTRANGE(""https://docs.google.com/spreadsheets/d/1IQAWArduLkta9LpYo4a_ULsyqdta6-6aDDiwpUnQT6c/edit?usp=sharing"",""นครสวรรค์!J753"")+IMPORTRANGE(""https://docs.google.com/spreadsheets/d/10s13Sk5xrltsiR-Zkbmk5DwIaDIKO8Xl"&amp;"bJAfqyT7Gvg/edit?usp=sharing"",""น่าน!J753"")+IMPORTRANGE(""https://docs.google.com/spreadsheets/d/1uu4nAn4Dbi1XREnLKKotUANlKXa7yCgRcgq8HEzQYW8/edit?usp=sharing"",""พะเยา!J753"")+IMPORTRANGE(""https://docs.google.com/spreadsheets/d/1xfJKIQxVOaPDIICqsflNlL"&amp;"u3JacTDk1FP9RH4phX7mI/edit?usp=sharing"",""พิจิตร!J753"")+IMPORTRANGE(""https://docs.google.com/spreadsheets/d/1JtRfZkJMHtEhI5RdRHxYUG4FIZHqKDpNyIuN7A1Q0_k/edit?usp=sharing"",""พิษณุโลก!J753"")+IMPORTRANGE(""https://docs.google.com/spreadsheets/d/1xlcVZWU"&amp;"Nn6SuWm0c307h32SiGkd9BaeQWlAktfD3KO8/edit?usp=sharing"",""เพชรบูรณ์!J753"")+IMPORTRANGE(""https://docs.google.com/spreadsheets/d/1lOVebEIsI9qjGXl6EX66luk7wiuP2tBaryw-wKvv4e0/edit?usp=sharing"",""แพร่!J753"")+IMPORTRANGE(""https://docs.google.com/spreadshe"&amp;"ets/d/1dQrvX0vEcN7Gu0fnZ0B5S90AeR19zth4XlExFBeExMY/edit?usp=sharing"",""แม่ฮ่องสอน!J753"")+IMPORTRANGE(""https://docs.google.com/spreadsheets/d/1DY4XTNNwjluuxqdfdn6qvOSlMRrZqUtmYcZR0ttFiG4/edit?usp=sharing"",""ลำปาง!J753"")+IMPORTRANGE(""https://docs.goog"&amp;"le.com/spreadsheets/d/1ICwG78r0OFT8biBlxnBF8r7she7gNSzOvJ958PWT09c/edit?usp=sharing"",""ลำพูน!J753"")+IMPORTRANGE(""https://docs.google.com/spreadsheets/d/1B0f2xJpZUC6Z0xXnqKlZtEPzsf6L84eP1r1Q15seqRM/edit?usp=sharing"",""สุโขทัย!J753"")+IMPORTRANGE(""http"&amp;"s://docs.google.com/spreadsheets/d/1v0b9pFQCsKUVExMei7AgY2yQkdeNQvtOssygGsXbiKo/edit?usp=sharing"",""อุตรดิตถ์!J753"")+IMPORTRANGE(""https://docs.google.com/spreadsheets/d/1UsNK1e-WWiCo2PvGqdNfdme4m17_Ezd3J69EeeiQPD0/edit?usp=sharing"",""อุทัยธานี!J753"")"),0)</f>
        <v>0</v>
      </c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</row>
    <row r="754" spans="1:21" ht="18.75" x14ac:dyDescent="0.25">
      <c r="A754" s="138"/>
      <c r="B754" s="139"/>
      <c r="C754" s="139"/>
      <c r="D754" s="139"/>
      <c r="E754" s="410" t="s">
        <v>274</v>
      </c>
      <c r="F754" s="145"/>
      <c r="G754" s="143"/>
      <c r="H754" s="180"/>
      <c r="I754" s="44"/>
      <c r="J754" s="44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</row>
    <row r="755" spans="1:21" ht="18.75" x14ac:dyDescent="0.25">
      <c r="A755" s="138"/>
      <c r="B755" s="139"/>
      <c r="C755" s="139"/>
      <c r="D755" s="139"/>
      <c r="E755" s="145"/>
      <c r="F755" s="149" t="s">
        <v>282</v>
      </c>
      <c r="G755" s="143"/>
      <c r="H755" s="133" t="s">
        <v>46</v>
      </c>
      <c r="I755" s="166">
        <f ca="1">IFERROR(__xludf.DUMMYFUNCTION("IMPORTRANGE(""https://docs.google.com/spreadsheets/d/1jTcq05yEiRwXcBMLjiodW9e4biSGYWAHcDj22rKWQ3s/edit?usp=sharing"",""กำแพงเพชร!I755"")+IMPORTRANGE(""https://docs.google.com/spreadsheets/d/1KS0zmDSZPk8KnTAbGN-Xk6MtX1YRZD0ldgdt20K4CRk/edit?usp=sharing"","&amp;"""เชียงราย!I755"")+IMPORTRANGE(""https://docs.google.com/spreadsheets/d/1rEDxBtusbi64tE0zunoIbsTVV16HeL0oJ6trHQeQ7K8/edit?usp=sharing"",""เชียงใหม่!I755"")+IMPORTRANGE(""https://docs.google.com/spreadsheets/d/1W6MnUbDkMi6xHnHko_XkFDO9kkuL6Wqyc-6OCDFjW9I/e"&amp;"dit?usp=sharing"",""ตาก!I755"")+IMPORTRANGE(""https://docs.google.com/spreadsheets/d/1IQAWArduLkta9LpYo4a_ULsyqdta6-6aDDiwpUnQT6c/edit?usp=sharing"",""นครสวรรค์!I755"")+IMPORTRANGE(""https://docs.google.com/spreadsheets/d/10s13Sk5xrltsiR-Zkbmk5DwIaDIKO8Xl"&amp;"bJAfqyT7Gvg/edit?usp=sharing"",""น่าน!I755"")+IMPORTRANGE(""https://docs.google.com/spreadsheets/d/1uu4nAn4Dbi1XREnLKKotUANlKXa7yCgRcgq8HEzQYW8/edit?usp=sharing"",""พะเยา!I755"")+IMPORTRANGE(""https://docs.google.com/spreadsheets/d/1xfJKIQxVOaPDIICqsflNlL"&amp;"u3JacTDk1FP9RH4phX7mI/edit?usp=sharing"",""พิจิตร!I755"")+IMPORTRANGE(""https://docs.google.com/spreadsheets/d/1JtRfZkJMHtEhI5RdRHxYUG4FIZHqKDpNyIuN7A1Q0_k/edit?usp=sharing"",""พิษณุโลก!I755"")+IMPORTRANGE(""https://docs.google.com/spreadsheets/d/1xlcVZWU"&amp;"Nn6SuWm0c307h32SiGkd9BaeQWlAktfD3KO8/edit?usp=sharing"",""เพชรบูรณ์!I755"")+IMPORTRANGE(""https://docs.google.com/spreadsheets/d/1lOVebEIsI9qjGXl6EX66luk7wiuP2tBaryw-wKvv4e0/edit?usp=sharing"",""แพร่!I755"")+IMPORTRANGE(""https://docs.google.com/spreadshe"&amp;"ets/d/1dQrvX0vEcN7Gu0fnZ0B5S90AeR19zth4XlExFBeExMY/edit?usp=sharing"",""แม่ฮ่องสอน!I755"")+IMPORTRANGE(""https://docs.google.com/spreadsheets/d/1DY4XTNNwjluuxqdfdn6qvOSlMRrZqUtmYcZR0ttFiG4/edit?usp=sharing"",""ลำปาง!I755"")+IMPORTRANGE(""https://docs.goog"&amp;"le.com/spreadsheets/d/1ICwG78r0OFT8biBlxnBF8r7she7gNSzOvJ958PWT09c/edit?usp=sharing"",""ลำพูน!I755"")+IMPORTRANGE(""https://docs.google.com/spreadsheets/d/1B0f2xJpZUC6Z0xXnqKlZtEPzsf6L84eP1r1Q15seqRM/edit?usp=sharing"",""สุโขทัย!I755"")+IMPORTRANGE(""http"&amp;"s://docs.google.com/spreadsheets/d/1v0b9pFQCsKUVExMei7AgY2yQkdeNQvtOssygGsXbiKo/edit?usp=sharing"",""อุตรดิตถ์!I755"")+IMPORTRANGE(""https://docs.google.com/spreadsheets/d/1UsNK1e-WWiCo2PvGqdNfdme4m17_Ezd3J69EeeiQPD0/edit?usp=sharing"",""อุทัยธานี!I755"")"),2800)</f>
        <v>2800</v>
      </c>
      <c r="J755" s="167">
        <f ca="1">IFERROR(__xludf.DUMMYFUNCTION("IMPORTRANGE(""https://docs.google.com/spreadsheets/d/1jTcq05yEiRwXcBMLjiodW9e4biSGYWAHcDj22rKWQ3s/edit?usp=sharing"",""กำแพงเพชร!J755"")+IMPORTRANGE(""https://docs.google.com/spreadsheets/d/1KS0zmDSZPk8KnTAbGN-Xk6MtX1YRZD0ldgdt20K4CRk/edit?usp=sharing"","&amp;"""เชียงราย!J755"")+IMPORTRANGE(""https://docs.google.com/spreadsheets/d/1rEDxBtusbi64tE0zunoIbsTVV16HeL0oJ6trHQeQ7K8/edit?usp=sharing"",""เชียงใหม่!J755"")+IMPORTRANGE(""https://docs.google.com/spreadsheets/d/1W6MnUbDkMi6xHnHko_XkFDO9kkuL6Wqyc-6OCDFjW9I/e"&amp;"dit?usp=sharing"",""ตาก!J755"")+IMPORTRANGE(""https://docs.google.com/spreadsheets/d/1IQAWArduLkta9LpYo4a_ULsyqdta6-6aDDiwpUnQT6c/edit?usp=sharing"",""นครสวรรค์!J755"")+IMPORTRANGE(""https://docs.google.com/spreadsheets/d/10s13Sk5xrltsiR-Zkbmk5DwIaDIKO8Xl"&amp;"bJAfqyT7Gvg/edit?usp=sharing"",""น่าน!J755"")+IMPORTRANGE(""https://docs.google.com/spreadsheets/d/1uu4nAn4Dbi1XREnLKKotUANlKXa7yCgRcgq8HEzQYW8/edit?usp=sharing"",""พะเยา!J755"")+IMPORTRANGE(""https://docs.google.com/spreadsheets/d/1xfJKIQxVOaPDIICqsflNlL"&amp;"u3JacTDk1FP9RH4phX7mI/edit?usp=sharing"",""พิจิตร!J755"")+IMPORTRANGE(""https://docs.google.com/spreadsheets/d/1JtRfZkJMHtEhI5RdRHxYUG4FIZHqKDpNyIuN7A1Q0_k/edit?usp=sharing"",""พิษณุโลก!J755"")+IMPORTRANGE(""https://docs.google.com/spreadsheets/d/1xlcVZWU"&amp;"Nn6SuWm0c307h32SiGkd9BaeQWlAktfD3KO8/edit?usp=sharing"",""เพชรบูรณ์!J755"")+IMPORTRANGE(""https://docs.google.com/spreadsheets/d/1lOVebEIsI9qjGXl6EX66luk7wiuP2tBaryw-wKvv4e0/edit?usp=sharing"",""แพร่!J755"")+IMPORTRANGE(""https://docs.google.com/spreadshe"&amp;"ets/d/1dQrvX0vEcN7Gu0fnZ0B5S90AeR19zth4XlExFBeExMY/edit?usp=sharing"",""แม่ฮ่องสอน!J755"")+IMPORTRANGE(""https://docs.google.com/spreadsheets/d/1DY4XTNNwjluuxqdfdn6qvOSlMRrZqUtmYcZR0ttFiG4/edit?usp=sharing"",""ลำปาง!J755"")+IMPORTRANGE(""https://docs.goog"&amp;"le.com/spreadsheets/d/1ICwG78r0OFT8biBlxnBF8r7she7gNSzOvJ958PWT09c/edit?usp=sharing"",""ลำพูน!J755"")+IMPORTRANGE(""https://docs.google.com/spreadsheets/d/1B0f2xJpZUC6Z0xXnqKlZtEPzsf6L84eP1r1Q15seqRM/edit?usp=sharing"",""สุโขทัย!J755"")+IMPORTRANGE(""http"&amp;"s://docs.google.com/spreadsheets/d/1v0b9pFQCsKUVExMei7AgY2yQkdeNQvtOssygGsXbiKo/edit?usp=sharing"",""อุตรดิตถ์!J755"")+IMPORTRANGE(""https://docs.google.com/spreadsheets/d/1UsNK1e-WWiCo2PvGqdNfdme4m17_Ezd3J69EeeiQPD0/edit?usp=sharing"",""อุทัยธานี!J755"")"),0)</f>
        <v>0</v>
      </c>
      <c r="K755" s="46">
        <f ca="1">IF(I755&gt;0,J755*100/I755,0)</f>
        <v>0</v>
      </c>
      <c r="L755" s="45"/>
      <c r="M755" s="45"/>
      <c r="N755" s="45"/>
      <c r="O755" s="45"/>
      <c r="P755" s="45"/>
      <c r="Q755" s="45"/>
      <c r="R755" s="45"/>
      <c r="S755" s="45"/>
      <c r="T755" s="45"/>
      <c r="U755" s="45"/>
    </row>
    <row r="756" spans="1:21" ht="18.75" x14ac:dyDescent="0.25">
      <c r="A756" s="138"/>
      <c r="B756" s="139"/>
      <c r="C756" s="139"/>
      <c r="D756" s="139"/>
      <c r="E756" s="145"/>
      <c r="F756" s="149" t="s">
        <v>283</v>
      </c>
      <c r="G756" s="143"/>
      <c r="H756" s="133" t="s">
        <v>46</v>
      </c>
      <c r="I756" s="44"/>
      <c r="J756" s="167">
        <f ca="1">IFERROR(__xludf.DUMMYFUNCTION("IMPORTRANGE(""https://docs.google.com/spreadsheets/d/1jTcq05yEiRwXcBMLjiodW9e4biSGYWAHcDj22rKWQ3s/edit?usp=sharing"",""กำแพงเพชร!J756"")+IMPORTRANGE(""https://docs.google.com/spreadsheets/d/1KS0zmDSZPk8KnTAbGN-Xk6MtX1YRZD0ldgdt20K4CRk/edit?usp=sharing"","&amp;"""เชียงราย!J756"")+IMPORTRANGE(""https://docs.google.com/spreadsheets/d/1rEDxBtusbi64tE0zunoIbsTVV16HeL0oJ6trHQeQ7K8/edit?usp=sharing"",""เชียงใหม่!J756"")+IMPORTRANGE(""https://docs.google.com/spreadsheets/d/1W6MnUbDkMi6xHnHko_XkFDO9kkuL6Wqyc-6OCDFjW9I/e"&amp;"dit?usp=sharing"",""ตาก!J756"")+IMPORTRANGE(""https://docs.google.com/spreadsheets/d/1IQAWArduLkta9LpYo4a_ULsyqdta6-6aDDiwpUnQT6c/edit?usp=sharing"",""นครสวรรค์!J756"")+IMPORTRANGE(""https://docs.google.com/spreadsheets/d/10s13Sk5xrltsiR-Zkbmk5DwIaDIKO8Xl"&amp;"bJAfqyT7Gvg/edit?usp=sharing"",""น่าน!J756"")+IMPORTRANGE(""https://docs.google.com/spreadsheets/d/1uu4nAn4Dbi1XREnLKKotUANlKXa7yCgRcgq8HEzQYW8/edit?usp=sharing"",""พะเยา!J756"")+IMPORTRANGE(""https://docs.google.com/spreadsheets/d/1xfJKIQxVOaPDIICqsflNlL"&amp;"u3JacTDk1FP9RH4phX7mI/edit?usp=sharing"",""พิจิตร!J756"")+IMPORTRANGE(""https://docs.google.com/spreadsheets/d/1JtRfZkJMHtEhI5RdRHxYUG4FIZHqKDpNyIuN7A1Q0_k/edit?usp=sharing"",""พิษณุโลก!J756"")+IMPORTRANGE(""https://docs.google.com/spreadsheets/d/1xlcVZWU"&amp;"Nn6SuWm0c307h32SiGkd9BaeQWlAktfD3KO8/edit?usp=sharing"",""เพชรบูรณ์!J756"")+IMPORTRANGE(""https://docs.google.com/spreadsheets/d/1lOVebEIsI9qjGXl6EX66luk7wiuP2tBaryw-wKvv4e0/edit?usp=sharing"",""แพร่!J756"")+IMPORTRANGE(""https://docs.google.com/spreadshe"&amp;"ets/d/1dQrvX0vEcN7Gu0fnZ0B5S90AeR19zth4XlExFBeExMY/edit?usp=sharing"",""แม่ฮ่องสอน!J756"")+IMPORTRANGE(""https://docs.google.com/spreadsheets/d/1DY4XTNNwjluuxqdfdn6qvOSlMRrZqUtmYcZR0ttFiG4/edit?usp=sharing"",""ลำปาง!J756"")+IMPORTRANGE(""https://docs.goog"&amp;"le.com/spreadsheets/d/1ICwG78r0OFT8biBlxnBF8r7she7gNSzOvJ958PWT09c/edit?usp=sharing"",""ลำพูน!J756"")+IMPORTRANGE(""https://docs.google.com/spreadsheets/d/1B0f2xJpZUC6Z0xXnqKlZtEPzsf6L84eP1r1Q15seqRM/edit?usp=sharing"",""สุโขทัย!J756"")+IMPORTRANGE(""http"&amp;"s://docs.google.com/spreadsheets/d/1v0b9pFQCsKUVExMei7AgY2yQkdeNQvtOssygGsXbiKo/edit?usp=sharing"",""อุตรดิตถ์!J756"")+IMPORTRANGE(""https://docs.google.com/spreadsheets/d/1UsNK1e-WWiCo2PvGqdNfdme4m17_Ezd3J69EeeiQPD0/edit?usp=sharing"",""อุทัยธานี!J756"")"),0)</f>
        <v>0</v>
      </c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</row>
    <row r="757" spans="1:21" ht="18.75" x14ac:dyDescent="0.25">
      <c r="A757" s="438"/>
      <c r="B757" s="438"/>
      <c r="C757" s="438"/>
      <c r="D757" s="438"/>
      <c r="E757" s="439" t="s">
        <v>284</v>
      </c>
      <c r="F757" s="440"/>
      <c r="G757" s="441"/>
      <c r="H757" s="442" t="s">
        <v>35</v>
      </c>
      <c r="I757" s="443"/>
      <c r="J757" s="444">
        <f ca="1">IFERROR(__xludf.DUMMYFUNCTION("IMPORTRANGE(""https://docs.google.com/spreadsheets/d/1jTcq05yEiRwXcBMLjiodW9e4biSGYWAHcDj22rKWQ3s/edit?usp=sharing"",""กำแพงเพชร!J757"")+IMPORTRANGE(""https://docs.google.com/spreadsheets/d/1KS0zmDSZPk8KnTAbGN-Xk6MtX1YRZD0ldgdt20K4CRk/edit?usp=sharing"","&amp;"""เชียงราย!J757"")+IMPORTRANGE(""https://docs.google.com/spreadsheets/d/1rEDxBtusbi64tE0zunoIbsTVV16HeL0oJ6trHQeQ7K8/edit?usp=sharing"",""เชียงใหม่!J757"")+IMPORTRANGE(""https://docs.google.com/spreadsheets/d/1W6MnUbDkMi6xHnHko_XkFDO9kkuL6Wqyc-6OCDFjW9I/e"&amp;"dit?usp=sharing"",""ตาก!J757"")+IMPORTRANGE(""https://docs.google.com/spreadsheets/d/1IQAWArduLkta9LpYo4a_ULsyqdta6-6aDDiwpUnQT6c/edit?usp=sharing"",""นครสวรรค์!J757"")+IMPORTRANGE(""https://docs.google.com/spreadsheets/d/10s13Sk5xrltsiR-Zkbmk5DwIaDIKO8Xl"&amp;"bJAfqyT7Gvg/edit?usp=sharing"",""น่าน!J757"")+IMPORTRANGE(""https://docs.google.com/spreadsheets/d/1uu4nAn4Dbi1XREnLKKotUANlKXa7yCgRcgq8HEzQYW8/edit?usp=sharing"",""พะเยา!J757"")+IMPORTRANGE(""https://docs.google.com/spreadsheets/d/1xfJKIQxVOaPDIICqsflNlL"&amp;"u3JacTDk1FP9RH4phX7mI/edit?usp=sharing"",""พิจิตร!J757"")+IMPORTRANGE(""https://docs.google.com/spreadsheets/d/1JtRfZkJMHtEhI5RdRHxYUG4FIZHqKDpNyIuN7A1Q0_k/edit?usp=sharing"",""พิษณุโลก!J757"")+IMPORTRANGE(""https://docs.google.com/spreadsheets/d/1xlcVZWU"&amp;"Nn6SuWm0c307h32SiGkd9BaeQWlAktfD3KO8/edit?usp=sharing"",""เพชรบูรณ์!J757"")+IMPORTRANGE(""https://docs.google.com/spreadsheets/d/1lOVebEIsI9qjGXl6EX66luk7wiuP2tBaryw-wKvv4e0/edit?usp=sharing"",""แพร่!J757"")+IMPORTRANGE(""https://docs.google.com/spreadshe"&amp;"ets/d/1dQrvX0vEcN7Gu0fnZ0B5S90AeR19zth4XlExFBeExMY/edit?usp=sharing"",""แม่ฮ่องสอน!J757"")+IMPORTRANGE(""https://docs.google.com/spreadsheets/d/1DY4XTNNwjluuxqdfdn6qvOSlMRrZqUtmYcZR0ttFiG4/edit?usp=sharing"",""ลำปาง!J757"")+IMPORTRANGE(""https://docs.goog"&amp;"le.com/spreadsheets/d/1ICwG78r0OFT8biBlxnBF8r7she7gNSzOvJ958PWT09c/edit?usp=sharing"",""ลำพูน!J757"")+IMPORTRANGE(""https://docs.google.com/spreadsheets/d/1B0f2xJpZUC6Z0xXnqKlZtEPzsf6L84eP1r1Q15seqRM/edit?usp=sharing"",""สุโขทัย!J757"")+IMPORTRANGE(""http"&amp;"s://docs.google.com/spreadsheets/d/1v0b9pFQCsKUVExMei7AgY2yQkdeNQvtOssygGsXbiKo/edit?usp=sharing"",""อุตรดิตถ์!J757"")+IMPORTRANGE(""https://docs.google.com/spreadsheets/d/1UsNK1e-WWiCo2PvGqdNfdme4m17_Ezd3J69EeeiQPD0/edit?usp=sharing"",""อุทัยธานี!J757"")"),0)</f>
        <v>0</v>
      </c>
      <c r="K757" s="445"/>
      <c r="L757" s="445"/>
      <c r="M757" s="445"/>
      <c r="N757" s="445"/>
      <c r="O757" s="445"/>
      <c r="P757" s="445"/>
      <c r="Q757" s="445"/>
      <c r="R757" s="445"/>
      <c r="S757" s="445"/>
      <c r="T757" s="445"/>
      <c r="U757" s="445"/>
    </row>
    <row r="758" spans="1:21" ht="19.5" x14ac:dyDescent="0.3">
      <c r="A758" s="394"/>
      <c r="B758" s="395" t="s">
        <v>285</v>
      </c>
      <c r="C758" s="394"/>
      <c r="D758" s="396"/>
      <c r="E758" s="396"/>
      <c r="F758" s="396"/>
      <c r="G758" s="397"/>
      <c r="H758" s="434" t="s">
        <v>35</v>
      </c>
      <c r="I758" s="435">
        <f t="shared" ref="I758:J758" ca="1" si="517">I772</f>
        <v>1115</v>
      </c>
      <c r="J758" s="435">
        <f t="shared" ca="1" si="517"/>
        <v>619</v>
      </c>
      <c r="K758" s="423">
        <f t="shared" ref="K758:K759" ca="1" si="518">IF(I758&gt;0,J758*100/I758,0)</f>
        <v>55.515695067264573</v>
      </c>
      <c r="L758" s="400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6"/>
      <c r="B759" s="394"/>
      <c r="C759" s="394"/>
      <c r="D759" s="396"/>
      <c r="E759" s="396"/>
      <c r="F759" s="396"/>
      <c r="G759" s="397"/>
      <c r="H759" s="434" t="s">
        <v>46</v>
      </c>
      <c r="I759" s="435">
        <f t="shared" ref="I759:J759" ca="1" si="519">I774</f>
        <v>3235</v>
      </c>
      <c r="J759" s="435">
        <f t="shared" ca="1" si="519"/>
        <v>1063</v>
      </c>
      <c r="K759" s="423">
        <f t="shared" ca="1" si="518"/>
        <v>32.859350850077277</v>
      </c>
      <c r="L759" s="400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8"/>
      <c r="C760" s="177" t="s">
        <v>18</v>
      </c>
      <c r="D760" s="795" t="s">
        <v>19</v>
      </c>
      <c r="E760" s="793"/>
      <c r="F760" s="793"/>
      <c r="G760" s="794"/>
      <c r="H760" s="221" t="s">
        <v>14</v>
      </c>
      <c r="I760" s="44"/>
      <c r="J760" s="44"/>
      <c r="K760" s="45"/>
      <c r="L760" s="132">
        <f t="shared" ref="L760:N760" ca="1" si="520">L761+L762</f>
        <v>0</v>
      </c>
      <c r="M760" s="132">
        <f t="shared" ca="1" si="520"/>
        <v>0</v>
      </c>
      <c r="N760" s="132">
        <f t="shared" ca="1" si="520"/>
        <v>0</v>
      </c>
      <c r="O760" s="132">
        <f t="shared" ref="O760:O768" ca="1" si="521">IF(L760&gt;0,N760*100/L760,0)</f>
        <v>0</v>
      </c>
      <c r="P760" s="132">
        <f t="shared" ref="P760:P768" ca="1" si="522">IF(M760&gt;0,N760*100/M760,0)</f>
        <v>0</v>
      </c>
      <c r="Q760" s="132">
        <f t="shared" ref="Q760:S760" ca="1" si="523">Q761+Q762</f>
        <v>8462790</v>
      </c>
      <c r="R760" s="132">
        <f t="shared" ca="1" si="523"/>
        <v>8462790</v>
      </c>
      <c r="S760" s="132">
        <f t="shared" ca="1" si="523"/>
        <v>1890311.79</v>
      </c>
      <c r="T760" s="132">
        <f t="shared" ref="T760:T768" ca="1" si="524">IF(Q760&gt;0,S760*100/Q760,0)</f>
        <v>22.336744619682161</v>
      </c>
      <c r="U760" s="132">
        <f t="shared" ref="U760:U768" ca="1" si="525">IF(R760&gt;0,S760*100/R760,0)</f>
        <v>22.336744619682161</v>
      </c>
    </row>
    <row r="761" spans="1:21" ht="18.75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48">
        <f t="shared" ref="L761:N761" ca="1" si="526">L764+L767</f>
        <v>0</v>
      </c>
      <c r="M761" s="48">
        <f t="shared" ca="1" si="526"/>
        <v>0</v>
      </c>
      <c r="N761" s="48">
        <f t="shared" ca="1" si="526"/>
        <v>0</v>
      </c>
      <c r="O761" s="48">
        <f t="shared" ca="1" si="521"/>
        <v>0</v>
      </c>
      <c r="P761" s="48">
        <f t="shared" ca="1" si="522"/>
        <v>0</v>
      </c>
      <c r="Q761" s="48">
        <f t="shared" ref="Q761:S761" ca="1" si="527">Q764+Q767</f>
        <v>0</v>
      </c>
      <c r="R761" s="48">
        <f t="shared" ca="1" si="527"/>
        <v>0</v>
      </c>
      <c r="S761" s="48">
        <f t="shared" ca="1" si="527"/>
        <v>0</v>
      </c>
      <c r="T761" s="48">
        <f t="shared" ca="1" si="524"/>
        <v>0</v>
      </c>
      <c r="U761" s="48">
        <f t="shared" ca="1" si="525"/>
        <v>0</v>
      </c>
    </row>
    <row r="762" spans="1:21" ht="18.75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46">
        <f t="shared" ref="L762:N762" ca="1" si="528">L765+L768</f>
        <v>0</v>
      </c>
      <c r="M762" s="46">
        <f t="shared" ca="1" si="528"/>
        <v>0</v>
      </c>
      <c r="N762" s="46">
        <f t="shared" ca="1" si="528"/>
        <v>0</v>
      </c>
      <c r="O762" s="46">
        <f t="shared" ca="1" si="521"/>
        <v>0</v>
      </c>
      <c r="P762" s="46">
        <f t="shared" ca="1" si="522"/>
        <v>0</v>
      </c>
      <c r="Q762" s="46">
        <f t="shared" ref="Q762:S762" ca="1" si="529">Q765+Q768</f>
        <v>8462790</v>
      </c>
      <c r="R762" s="46">
        <f t="shared" ca="1" si="529"/>
        <v>8462790</v>
      </c>
      <c r="S762" s="46">
        <f t="shared" ca="1" si="529"/>
        <v>1890311.79</v>
      </c>
      <c r="T762" s="46">
        <f t="shared" ca="1" si="524"/>
        <v>22.336744619682161</v>
      </c>
      <c r="U762" s="46">
        <f t="shared" ca="1" si="525"/>
        <v>22.336744619682161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46">
        <f t="shared" ref="L763:N763" ca="1" si="530">L764+L765</f>
        <v>0</v>
      </c>
      <c r="M763" s="46">
        <f t="shared" ca="1" si="530"/>
        <v>0</v>
      </c>
      <c r="N763" s="46">
        <f t="shared" ca="1" si="530"/>
        <v>0</v>
      </c>
      <c r="O763" s="46">
        <f t="shared" ca="1" si="521"/>
        <v>0</v>
      </c>
      <c r="P763" s="46">
        <f t="shared" ca="1" si="522"/>
        <v>0</v>
      </c>
      <c r="Q763" s="46">
        <f t="shared" ref="Q763:S763" ca="1" si="531">Q764+Q765</f>
        <v>8462790</v>
      </c>
      <c r="R763" s="46">
        <f t="shared" ca="1" si="531"/>
        <v>8462790</v>
      </c>
      <c r="S763" s="46">
        <f t="shared" ca="1" si="531"/>
        <v>1890311.79</v>
      </c>
      <c r="T763" s="46">
        <f t="shared" ca="1" si="524"/>
        <v>22.336744619682161</v>
      </c>
      <c r="U763" s="46">
        <f t="shared" ca="1" si="525"/>
        <v>22.336744619682161</v>
      </c>
    </row>
    <row r="764" spans="1:21" ht="18.75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48">
        <f ca="1">IFERROR(__xludf.DUMMYFUNCTION("IMPORTRANGE(""https://docs.google.com/spreadsheets/d/1jTcq05yEiRwXcBMLjiodW9e4biSGYWAHcDj22rKWQ3s/edit?usp=sharing"",""กำแพงเพชร!L764"")+IMPORTRANGE(""https://docs.google.com/spreadsheets/d/1KS0zmDSZPk8KnTAbGN-Xk6MtX1YRZD0ldgdt20K4CRk/edit?usp=sharing"","&amp;"""เชียงราย!L764"")+IMPORTRANGE(""https://docs.google.com/spreadsheets/d/1rEDxBtusbi64tE0zunoIbsTVV16HeL0oJ6trHQeQ7K8/edit?usp=sharing"",""เชียงใหม่!L764"")+IMPORTRANGE(""https://docs.google.com/spreadsheets/d/1W6MnUbDkMi6xHnHko_XkFDO9kkuL6Wqyc-6OCDFjW9I/e"&amp;"dit?usp=sharing"",""ตาก!L764"")+IMPORTRANGE(""https://docs.google.com/spreadsheets/d/1IQAWArduLkta9LpYo4a_ULsyqdta6-6aDDiwpUnQT6c/edit?usp=sharing"",""นครสวรรค์!L764"")+IMPORTRANGE(""https://docs.google.com/spreadsheets/d/10s13Sk5xrltsiR-Zkbmk5DwIaDIKO8Xl"&amp;"bJAfqyT7Gvg/edit?usp=sharing"",""น่าน!L764"")+IMPORTRANGE(""https://docs.google.com/spreadsheets/d/1uu4nAn4Dbi1XREnLKKotUANlKXa7yCgRcgq8HEzQYW8/edit?usp=sharing"",""พะเยา!L764"")+IMPORTRANGE(""https://docs.google.com/spreadsheets/d/1xfJKIQxVOaPDIICqsflNlL"&amp;"u3JacTDk1FP9RH4phX7mI/edit?usp=sharing"",""พิจิตร!L764"")+IMPORTRANGE(""https://docs.google.com/spreadsheets/d/1JtRfZkJMHtEhI5RdRHxYUG4FIZHqKDpNyIuN7A1Q0_k/edit?usp=sharing"",""พิษณุโลก!L764"")+IMPORTRANGE(""https://docs.google.com/spreadsheets/d/1xlcVZWU"&amp;"Nn6SuWm0c307h32SiGkd9BaeQWlAktfD3KO8/edit?usp=sharing"",""เพชรบูรณ์!L764"")+IMPORTRANGE(""https://docs.google.com/spreadsheets/d/1lOVebEIsI9qjGXl6EX66luk7wiuP2tBaryw-wKvv4e0/edit?usp=sharing"",""แพร่!L764"")+IMPORTRANGE(""https://docs.google.com/spreadshe"&amp;"ets/d/1dQrvX0vEcN7Gu0fnZ0B5S90AeR19zth4XlExFBeExMY/edit?usp=sharing"",""แม่ฮ่องสอน!L764"")+IMPORTRANGE(""https://docs.google.com/spreadsheets/d/1DY4XTNNwjluuxqdfdn6qvOSlMRrZqUtmYcZR0ttFiG4/edit?usp=sharing"",""ลำปาง!L764"")+IMPORTRANGE(""https://docs.goog"&amp;"le.com/spreadsheets/d/1ICwG78r0OFT8biBlxnBF8r7she7gNSzOvJ958PWT09c/edit?usp=sharing"",""ลำพูน!L764"")+IMPORTRANGE(""https://docs.google.com/spreadsheets/d/1B0f2xJpZUC6Z0xXnqKlZtEPzsf6L84eP1r1Q15seqRM/edit?usp=sharing"",""สุโขทัย!L764"")+IMPORTRANGE(""http"&amp;"s://docs.google.com/spreadsheets/d/1v0b9pFQCsKUVExMei7AgY2yQkdeNQvtOssygGsXbiKo/edit?usp=sharing"",""อุตรดิตถ์!L764"")+IMPORTRANGE(""https://docs.google.com/spreadsheets/d/1UsNK1e-WWiCo2PvGqdNfdme4m17_Ezd3J69EeeiQPD0/edit?usp=sharing"",""อุทัยธานี!L764"")"),0)</f>
        <v>0</v>
      </c>
      <c r="M764" s="48">
        <f ca="1">IFERROR(__xludf.DUMMYFUNCTION("IMPORTRANGE(""https://docs.google.com/spreadsheets/d/1jTcq05yEiRwXcBMLjiodW9e4biSGYWAHcDj22rKWQ3s/edit?usp=sharing"",""กำแพงเพชร!M764"")+IMPORTRANGE(""https://docs.google.com/spreadsheets/d/1KS0zmDSZPk8KnTAbGN-Xk6MtX1YRZD0ldgdt20K4CRk/edit?usp=sharing"","&amp;"""เชียงราย!M764"")+IMPORTRANGE(""https://docs.google.com/spreadsheets/d/1rEDxBtusbi64tE0zunoIbsTVV16HeL0oJ6trHQeQ7K8/edit?usp=sharing"",""เชียงใหม่!M764"")+IMPORTRANGE(""https://docs.google.com/spreadsheets/d/1W6MnUbDkMi6xHnHko_XkFDO9kkuL6Wqyc-6OCDFjW9I/e"&amp;"dit?usp=sharing"",""ตาก!M764"")+IMPORTRANGE(""https://docs.google.com/spreadsheets/d/1IQAWArduLkta9LpYo4a_ULsyqdta6-6aDDiwpUnQT6c/edit?usp=sharing"",""นครสวรรค์!M764"")+IMPORTRANGE(""https://docs.google.com/spreadsheets/d/10s13Sk5xrltsiR-Zkbmk5DwIaDIKO8Xl"&amp;"bJAfqyT7Gvg/edit?usp=sharing"",""น่าน!M764"")+IMPORTRANGE(""https://docs.google.com/spreadsheets/d/1uu4nAn4Dbi1XREnLKKotUANlKXa7yCgRcgq8HEzQYW8/edit?usp=sharing"",""พะเยา!M764"")+IMPORTRANGE(""https://docs.google.com/spreadsheets/d/1xfJKIQxVOaPDIICqsflNlL"&amp;"u3JacTDk1FP9RH4phX7mI/edit?usp=sharing"",""พิจิตร!M764"")+IMPORTRANGE(""https://docs.google.com/spreadsheets/d/1JtRfZkJMHtEhI5RdRHxYUG4FIZHqKDpNyIuN7A1Q0_k/edit?usp=sharing"",""พิษณุโลก!M764"")+IMPORTRANGE(""https://docs.google.com/spreadsheets/d/1xlcVZWU"&amp;"Nn6SuWm0c307h32SiGkd9BaeQWlAktfD3KO8/edit?usp=sharing"",""เพชรบูรณ์!M764"")+IMPORTRANGE(""https://docs.google.com/spreadsheets/d/1lOVebEIsI9qjGXl6EX66luk7wiuP2tBaryw-wKvv4e0/edit?usp=sharing"",""แพร่!M764"")+IMPORTRANGE(""https://docs.google.com/spreadshe"&amp;"ets/d/1dQrvX0vEcN7Gu0fnZ0B5S90AeR19zth4XlExFBeExMY/edit?usp=sharing"",""แม่ฮ่องสอน!M764"")+IMPORTRANGE(""https://docs.google.com/spreadsheets/d/1DY4XTNNwjluuxqdfdn6qvOSlMRrZqUtmYcZR0ttFiG4/edit?usp=sharing"",""ลำปาง!M764"")+IMPORTRANGE(""https://docs.goog"&amp;"le.com/spreadsheets/d/1ICwG78r0OFT8biBlxnBF8r7she7gNSzOvJ958PWT09c/edit?usp=sharing"",""ลำพูน!M764"")+IMPORTRANGE(""https://docs.google.com/spreadsheets/d/1B0f2xJpZUC6Z0xXnqKlZtEPzsf6L84eP1r1Q15seqRM/edit?usp=sharing"",""สุโขทัย!M764"")+IMPORTRANGE(""http"&amp;"s://docs.google.com/spreadsheets/d/1v0b9pFQCsKUVExMei7AgY2yQkdeNQvtOssygGsXbiKo/edit?usp=sharing"",""อุตรดิตถ์!M764"")+IMPORTRANGE(""https://docs.google.com/spreadsheets/d/1UsNK1e-WWiCo2PvGqdNfdme4m17_Ezd3J69EeeiQPD0/edit?usp=sharing"",""อุทัยธานี!M764"")"),0)</f>
        <v>0</v>
      </c>
      <c r="N764" s="48">
        <f ca="1">IFERROR(__xludf.DUMMYFUNCTION("IMPORTRANGE(""https://docs.google.com/spreadsheets/d/1jTcq05yEiRwXcBMLjiodW9e4biSGYWAHcDj22rKWQ3s/edit?usp=sharing"",""กำแพงเพชร!N764"")+IMPORTRANGE(""https://docs.google.com/spreadsheets/d/1KS0zmDSZPk8KnTAbGN-Xk6MtX1YRZD0ldgdt20K4CRk/edit?usp=sharing"","&amp;"""เชียงราย!N764"")+IMPORTRANGE(""https://docs.google.com/spreadsheets/d/1rEDxBtusbi64tE0zunoIbsTVV16HeL0oJ6trHQeQ7K8/edit?usp=sharing"",""เชียงใหม่!N764"")+IMPORTRANGE(""https://docs.google.com/spreadsheets/d/1W6MnUbDkMi6xHnHko_XkFDO9kkuL6Wqyc-6OCDFjW9I/e"&amp;"dit?usp=sharing"",""ตาก!N764"")+IMPORTRANGE(""https://docs.google.com/spreadsheets/d/1IQAWArduLkta9LpYo4a_ULsyqdta6-6aDDiwpUnQT6c/edit?usp=sharing"",""นครสวรรค์!N764"")+IMPORTRANGE(""https://docs.google.com/spreadsheets/d/10s13Sk5xrltsiR-Zkbmk5DwIaDIKO8Xl"&amp;"bJAfqyT7Gvg/edit?usp=sharing"",""น่าน!N764"")+IMPORTRANGE(""https://docs.google.com/spreadsheets/d/1uu4nAn4Dbi1XREnLKKotUANlKXa7yCgRcgq8HEzQYW8/edit?usp=sharing"",""พะเยา!N764"")+IMPORTRANGE(""https://docs.google.com/spreadsheets/d/1xfJKIQxVOaPDIICqsflNlL"&amp;"u3JacTDk1FP9RH4phX7mI/edit?usp=sharing"",""พิจิตร!N764"")+IMPORTRANGE(""https://docs.google.com/spreadsheets/d/1JtRfZkJMHtEhI5RdRHxYUG4FIZHqKDpNyIuN7A1Q0_k/edit?usp=sharing"",""พิษณุโลก!N764"")+IMPORTRANGE(""https://docs.google.com/spreadsheets/d/1xlcVZWU"&amp;"Nn6SuWm0c307h32SiGkd9BaeQWlAktfD3KO8/edit?usp=sharing"",""เพชรบูรณ์!N764"")+IMPORTRANGE(""https://docs.google.com/spreadsheets/d/1lOVebEIsI9qjGXl6EX66luk7wiuP2tBaryw-wKvv4e0/edit?usp=sharing"",""แพร่!N764"")+IMPORTRANGE(""https://docs.google.com/spreadshe"&amp;"ets/d/1dQrvX0vEcN7Gu0fnZ0B5S90AeR19zth4XlExFBeExMY/edit?usp=sharing"",""แม่ฮ่องสอน!N764"")+IMPORTRANGE(""https://docs.google.com/spreadsheets/d/1DY4XTNNwjluuxqdfdn6qvOSlMRrZqUtmYcZR0ttFiG4/edit?usp=sharing"",""ลำปาง!N764"")+IMPORTRANGE(""https://docs.goog"&amp;"le.com/spreadsheets/d/1ICwG78r0OFT8biBlxnBF8r7she7gNSzOvJ958PWT09c/edit?usp=sharing"",""ลำพูน!N764"")+IMPORTRANGE(""https://docs.google.com/spreadsheets/d/1B0f2xJpZUC6Z0xXnqKlZtEPzsf6L84eP1r1Q15seqRM/edit?usp=sharing"",""สุโขทัย!N764"")+IMPORTRANGE(""http"&amp;"s://docs.google.com/spreadsheets/d/1v0b9pFQCsKUVExMei7AgY2yQkdeNQvtOssygGsXbiKo/edit?usp=sharing"",""อุตรดิตถ์!N764"")+IMPORTRANGE(""https://docs.google.com/spreadsheets/d/1UsNK1e-WWiCo2PvGqdNfdme4m17_Ezd3J69EeeiQPD0/edit?usp=sharing"",""อุทัยธานี!N764"")"),0)</f>
        <v>0</v>
      </c>
      <c r="O764" s="48">
        <f t="shared" ca="1" si="521"/>
        <v>0</v>
      </c>
      <c r="P764" s="48">
        <f t="shared" ca="1" si="522"/>
        <v>0</v>
      </c>
      <c r="Q764" s="48">
        <f ca="1">IFERROR(__xludf.DUMMYFUNCTION("IMPORTRANGE(""https://docs.google.com/spreadsheets/d/1jTcq05yEiRwXcBMLjiodW9e4biSGYWAHcDj22rKWQ3s/edit?usp=sharing"",""กำแพงเพชร!Q764"")+IMPORTRANGE(""https://docs.google.com/spreadsheets/d/1KS0zmDSZPk8KnTAbGN-Xk6MtX1YRZD0ldgdt20K4CRk/edit?usp=sharing"","&amp;"""เชียงราย!Q764"")+IMPORTRANGE(""https://docs.google.com/spreadsheets/d/1rEDxBtusbi64tE0zunoIbsTVV16HeL0oJ6trHQeQ7K8/edit?usp=sharing"",""เชียงใหม่!Q764"")+IMPORTRANGE(""https://docs.google.com/spreadsheets/d/1W6MnUbDkMi6xHnHko_XkFDO9kkuL6Wqyc-6OCDFjW9I/e"&amp;"dit?usp=sharing"",""ตาก!Q764"")+IMPORTRANGE(""https://docs.google.com/spreadsheets/d/1IQAWArduLkta9LpYo4a_ULsyqdta6-6aDDiwpUnQT6c/edit?usp=sharing"",""นครสวรรค์!Q764"")+IMPORTRANGE(""https://docs.google.com/spreadsheets/d/10s13Sk5xrltsiR-Zkbmk5DwIaDIKO8Xl"&amp;"bJAfqyT7Gvg/edit?usp=sharing"",""น่าน!Q764"")+IMPORTRANGE(""https://docs.google.com/spreadsheets/d/1uu4nAn4Dbi1XREnLKKotUANlKXa7yCgRcgq8HEzQYW8/edit?usp=sharing"",""พะเยา!Q764"")+IMPORTRANGE(""https://docs.google.com/spreadsheets/d/1xfJKIQxVOaPDIICqsflNlL"&amp;"u3JacTDk1FP9RH4phX7mI/edit?usp=sharing"",""พิจิตร!Q764"")+IMPORTRANGE(""https://docs.google.com/spreadsheets/d/1JtRfZkJMHtEhI5RdRHxYUG4FIZHqKDpNyIuN7A1Q0_k/edit?usp=sharing"",""พิษณุโลก!Q764"")+IMPORTRANGE(""https://docs.google.com/spreadsheets/d/1xlcVZWU"&amp;"Nn6SuWm0c307h32SiGkd9BaeQWlAktfD3KO8/edit?usp=sharing"",""เพชรบูรณ์!Q764"")+IMPORTRANGE(""https://docs.google.com/spreadsheets/d/1lOVebEIsI9qjGXl6EX66luk7wiuP2tBaryw-wKvv4e0/edit?usp=sharing"",""แพร่!Q764"")+IMPORTRANGE(""https://docs.google.com/spreadshe"&amp;"ets/d/1dQrvX0vEcN7Gu0fnZ0B5S90AeR19zth4XlExFBeExMY/edit?usp=sharing"",""แม่ฮ่องสอน!Q764"")+IMPORTRANGE(""https://docs.google.com/spreadsheets/d/1DY4XTNNwjluuxqdfdn6qvOSlMRrZqUtmYcZR0ttFiG4/edit?usp=sharing"",""ลำปาง!Q764"")+IMPORTRANGE(""https://docs.goog"&amp;"le.com/spreadsheets/d/1ICwG78r0OFT8biBlxnBF8r7she7gNSzOvJ958PWT09c/edit?usp=sharing"",""ลำพูน!Q764"")+IMPORTRANGE(""https://docs.google.com/spreadsheets/d/1B0f2xJpZUC6Z0xXnqKlZtEPzsf6L84eP1r1Q15seqRM/edit?usp=sharing"",""สุโขทัย!Q764"")+IMPORTRANGE(""http"&amp;"s://docs.google.com/spreadsheets/d/1v0b9pFQCsKUVExMei7AgY2yQkdeNQvtOssygGsXbiKo/edit?usp=sharing"",""อุตรดิตถ์!Q764"")+IMPORTRANGE(""https://docs.google.com/spreadsheets/d/1UsNK1e-WWiCo2PvGqdNfdme4m17_Ezd3J69EeeiQPD0/edit?usp=sharing"",""อุทัยธานี!Q764"")"),0)</f>
        <v>0</v>
      </c>
      <c r="R764" s="48">
        <f ca="1">IFERROR(__xludf.DUMMYFUNCTION("IMPORTRANGE(""https://docs.google.com/spreadsheets/d/1jTcq05yEiRwXcBMLjiodW9e4biSGYWAHcDj22rKWQ3s/edit?usp=sharing"",""กำแพงเพชร!R764"")+IMPORTRANGE(""https://docs.google.com/spreadsheets/d/1KS0zmDSZPk8KnTAbGN-Xk6MtX1YRZD0ldgdt20K4CRk/edit?usp=sharing"","&amp;"""เชียงราย!R764"")+IMPORTRANGE(""https://docs.google.com/spreadsheets/d/1rEDxBtusbi64tE0zunoIbsTVV16HeL0oJ6trHQeQ7K8/edit?usp=sharing"",""เชียงใหม่!R764"")+IMPORTRANGE(""https://docs.google.com/spreadsheets/d/1W6MnUbDkMi6xHnHko_XkFDO9kkuL6Wqyc-6OCDFjW9I/e"&amp;"dit?usp=sharing"",""ตาก!R764"")+IMPORTRANGE(""https://docs.google.com/spreadsheets/d/1IQAWArduLkta9LpYo4a_ULsyqdta6-6aDDiwpUnQT6c/edit?usp=sharing"",""นครสวรรค์!R764"")+IMPORTRANGE(""https://docs.google.com/spreadsheets/d/10s13Sk5xrltsiR-Zkbmk5DwIaDIKO8Xl"&amp;"bJAfqyT7Gvg/edit?usp=sharing"",""น่าน!R764"")+IMPORTRANGE(""https://docs.google.com/spreadsheets/d/1uu4nAn4Dbi1XREnLKKotUANlKXa7yCgRcgq8HEzQYW8/edit?usp=sharing"",""พะเยา!R764"")+IMPORTRANGE(""https://docs.google.com/spreadsheets/d/1xfJKIQxVOaPDIICqsflNlL"&amp;"u3JacTDk1FP9RH4phX7mI/edit?usp=sharing"",""พิจิตร!R764"")+IMPORTRANGE(""https://docs.google.com/spreadsheets/d/1JtRfZkJMHtEhI5RdRHxYUG4FIZHqKDpNyIuN7A1Q0_k/edit?usp=sharing"",""พิษณุโลก!R764"")+IMPORTRANGE(""https://docs.google.com/spreadsheets/d/1xlcVZWU"&amp;"Nn6SuWm0c307h32SiGkd9BaeQWlAktfD3KO8/edit?usp=sharing"",""เพชรบูรณ์!R764"")+IMPORTRANGE(""https://docs.google.com/spreadsheets/d/1lOVebEIsI9qjGXl6EX66luk7wiuP2tBaryw-wKvv4e0/edit?usp=sharing"",""แพร่!R764"")+IMPORTRANGE(""https://docs.google.com/spreadshe"&amp;"ets/d/1dQrvX0vEcN7Gu0fnZ0B5S90AeR19zth4XlExFBeExMY/edit?usp=sharing"",""แม่ฮ่องสอน!R764"")+IMPORTRANGE(""https://docs.google.com/spreadsheets/d/1DY4XTNNwjluuxqdfdn6qvOSlMRrZqUtmYcZR0ttFiG4/edit?usp=sharing"",""ลำปาง!R764"")+IMPORTRANGE(""https://docs.goog"&amp;"le.com/spreadsheets/d/1ICwG78r0OFT8biBlxnBF8r7she7gNSzOvJ958PWT09c/edit?usp=sharing"",""ลำพูน!R764"")+IMPORTRANGE(""https://docs.google.com/spreadsheets/d/1B0f2xJpZUC6Z0xXnqKlZtEPzsf6L84eP1r1Q15seqRM/edit?usp=sharing"",""สุโขทัย!R764"")+IMPORTRANGE(""http"&amp;"s://docs.google.com/spreadsheets/d/1v0b9pFQCsKUVExMei7AgY2yQkdeNQvtOssygGsXbiKo/edit?usp=sharing"",""อุตรดิตถ์!R764"")+IMPORTRANGE(""https://docs.google.com/spreadsheets/d/1UsNK1e-WWiCo2PvGqdNfdme4m17_Ezd3J69EeeiQPD0/edit?usp=sharing"",""อุทัยธานี!R764"")"),0)</f>
        <v>0</v>
      </c>
      <c r="S764" s="48">
        <f ca="1">IFERROR(__xludf.DUMMYFUNCTION("IMPORTRANGE(""https://docs.google.com/spreadsheets/d/1jTcq05yEiRwXcBMLjiodW9e4biSGYWAHcDj22rKWQ3s/edit?usp=sharing"",""กำแพงเพชร!S764"")+IMPORTRANGE(""https://docs.google.com/spreadsheets/d/1KS0zmDSZPk8KnTAbGN-Xk6MtX1YRZD0ldgdt20K4CRk/edit?usp=sharing"","&amp;"""เชียงราย!S764"")+IMPORTRANGE(""https://docs.google.com/spreadsheets/d/1rEDxBtusbi64tE0zunoIbsTVV16HeL0oJ6trHQeQ7K8/edit?usp=sharing"",""เชียงใหม่!S764"")+IMPORTRANGE(""https://docs.google.com/spreadsheets/d/1W6MnUbDkMi6xHnHko_XkFDO9kkuL6Wqyc-6OCDFjW9I/e"&amp;"dit?usp=sharing"",""ตาก!S764"")+IMPORTRANGE(""https://docs.google.com/spreadsheets/d/1IQAWArduLkta9LpYo4a_ULsyqdta6-6aDDiwpUnQT6c/edit?usp=sharing"",""นครสวรรค์!S764"")+IMPORTRANGE(""https://docs.google.com/spreadsheets/d/10s13Sk5xrltsiR-Zkbmk5DwIaDIKO8Xl"&amp;"bJAfqyT7Gvg/edit?usp=sharing"",""น่าน!S764"")+IMPORTRANGE(""https://docs.google.com/spreadsheets/d/1uu4nAn4Dbi1XREnLKKotUANlKXa7yCgRcgq8HEzQYW8/edit?usp=sharing"",""พะเยา!S764"")+IMPORTRANGE(""https://docs.google.com/spreadsheets/d/1xfJKIQxVOaPDIICqsflNlL"&amp;"u3JacTDk1FP9RH4phX7mI/edit?usp=sharing"",""พิจิตร!S764"")+IMPORTRANGE(""https://docs.google.com/spreadsheets/d/1JtRfZkJMHtEhI5RdRHxYUG4FIZHqKDpNyIuN7A1Q0_k/edit?usp=sharing"",""พิษณุโลก!S764"")+IMPORTRANGE(""https://docs.google.com/spreadsheets/d/1xlcVZWU"&amp;"Nn6SuWm0c307h32SiGkd9BaeQWlAktfD3KO8/edit?usp=sharing"",""เพชรบูรณ์!S764"")+IMPORTRANGE(""https://docs.google.com/spreadsheets/d/1lOVebEIsI9qjGXl6EX66luk7wiuP2tBaryw-wKvv4e0/edit?usp=sharing"",""แพร่!S764"")+IMPORTRANGE(""https://docs.google.com/spreadshe"&amp;"ets/d/1dQrvX0vEcN7Gu0fnZ0B5S90AeR19zth4XlExFBeExMY/edit?usp=sharing"",""แม่ฮ่องสอน!S764"")+IMPORTRANGE(""https://docs.google.com/spreadsheets/d/1DY4XTNNwjluuxqdfdn6qvOSlMRrZqUtmYcZR0ttFiG4/edit?usp=sharing"",""ลำปาง!S764"")+IMPORTRANGE(""https://docs.goog"&amp;"le.com/spreadsheets/d/1ICwG78r0OFT8biBlxnBF8r7she7gNSzOvJ958PWT09c/edit?usp=sharing"",""ลำพูน!S764"")+IMPORTRANGE(""https://docs.google.com/spreadsheets/d/1B0f2xJpZUC6Z0xXnqKlZtEPzsf6L84eP1r1Q15seqRM/edit?usp=sharing"",""สุโขทัย!S764"")+IMPORTRANGE(""http"&amp;"s://docs.google.com/spreadsheets/d/1v0b9pFQCsKUVExMei7AgY2yQkdeNQvtOssygGsXbiKo/edit?usp=sharing"",""อุตรดิตถ์!S764"")+IMPORTRANGE(""https://docs.google.com/spreadsheets/d/1UsNK1e-WWiCo2PvGqdNfdme4m17_Ezd3J69EeeiQPD0/edit?usp=sharing"",""อุทัยธานี!S764"")"),0)</f>
        <v>0</v>
      </c>
      <c r="T764" s="48">
        <f t="shared" ca="1" si="524"/>
        <v>0</v>
      </c>
      <c r="U764" s="48">
        <f t="shared" ca="1" si="525"/>
        <v>0</v>
      </c>
    </row>
    <row r="765" spans="1:21" ht="18.75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46">
        <f ca="1">IFERROR(__xludf.DUMMYFUNCTION("IMPORTRANGE(""https://docs.google.com/spreadsheets/d/1jTcq05yEiRwXcBMLjiodW9e4biSGYWAHcDj22rKWQ3s/edit?usp=sharing"",""กำแพงเพชร!L765"")+IMPORTRANGE(""https://docs.google.com/spreadsheets/d/1KS0zmDSZPk8KnTAbGN-Xk6MtX1YRZD0ldgdt20K4CRk/edit?usp=sharing"","&amp;"""เชียงราย!L765"")+IMPORTRANGE(""https://docs.google.com/spreadsheets/d/1rEDxBtusbi64tE0zunoIbsTVV16HeL0oJ6trHQeQ7K8/edit?usp=sharing"",""เชียงใหม่!L765"")+IMPORTRANGE(""https://docs.google.com/spreadsheets/d/1W6MnUbDkMi6xHnHko_XkFDO9kkuL6Wqyc-6OCDFjW9I/e"&amp;"dit?usp=sharing"",""ตาก!L765"")+IMPORTRANGE(""https://docs.google.com/spreadsheets/d/1IQAWArduLkta9LpYo4a_ULsyqdta6-6aDDiwpUnQT6c/edit?usp=sharing"",""นครสวรรค์!L765"")+IMPORTRANGE(""https://docs.google.com/spreadsheets/d/10s13Sk5xrltsiR-Zkbmk5DwIaDIKO8Xl"&amp;"bJAfqyT7Gvg/edit?usp=sharing"",""น่าน!L765"")+IMPORTRANGE(""https://docs.google.com/spreadsheets/d/1uu4nAn4Dbi1XREnLKKotUANlKXa7yCgRcgq8HEzQYW8/edit?usp=sharing"",""พะเยา!L765"")+IMPORTRANGE(""https://docs.google.com/spreadsheets/d/1xfJKIQxVOaPDIICqsflNlL"&amp;"u3JacTDk1FP9RH4phX7mI/edit?usp=sharing"",""พิจิตร!L765"")+IMPORTRANGE(""https://docs.google.com/spreadsheets/d/1JtRfZkJMHtEhI5RdRHxYUG4FIZHqKDpNyIuN7A1Q0_k/edit?usp=sharing"",""พิษณุโลก!L765"")+IMPORTRANGE(""https://docs.google.com/spreadsheets/d/1xlcVZWU"&amp;"Nn6SuWm0c307h32SiGkd9BaeQWlAktfD3KO8/edit?usp=sharing"",""เพชรบูรณ์!L765"")+IMPORTRANGE(""https://docs.google.com/spreadsheets/d/1lOVebEIsI9qjGXl6EX66luk7wiuP2tBaryw-wKvv4e0/edit?usp=sharing"",""แพร่!L765"")+IMPORTRANGE(""https://docs.google.com/spreadshe"&amp;"ets/d/1dQrvX0vEcN7Gu0fnZ0B5S90AeR19zth4XlExFBeExMY/edit?usp=sharing"",""แม่ฮ่องสอน!L765"")+IMPORTRANGE(""https://docs.google.com/spreadsheets/d/1DY4XTNNwjluuxqdfdn6qvOSlMRrZqUtmYcZR0ttFiG4/edit?usp=sharing"",""ลำปาง!L765"")+IMPORTRANGE(""https://docs.goog"&amp;"le.com/spreadsheets/d/1ICwG78r0OFT8biBlxnBF8r7she7gNSzOvJ958PWT09c/edit?usp=sharing"",""ลำพูน!L765"")+IMPORTRANGE(""https://docs.google.com/spreadsheets/d/1B0f2xJpZUC6Z0xXnqKlZtEPzsf6L84eP1r1Q15seqRM/edit?usp=sharing"",""สุโขทัย!L765"")+IMPORTRANGE(""http"&amp;"s://docs.google.com/spreadsheets/d/1v0b9pFQCsKUVExMei7AgY2yQkdeNQvtOssygGsXbiKo/edit?usp=sharing"",""อุตรดิตถ์!L765"")+IMPORTRANGE(""https://docs.google.com/spreadsheets/d/1UsNK1e-WWiCo2PvGqdNfdme4m17_Ezd3J69EeeiQPD0/edit?usp=sharing"",""อุทัยธานี!L765"")"),0)</f>
        <v>0</v>
      </c>
      <c r="M765" s="46">
        <f ca="1">IFERROR(__xludf.DUMMYFUNCTION("IMPORTRANGE(""https://docs.google.com/spreadsheets/d/1jTcq05yEiRwXcBMLjiodW9e4biSGYWAHcDj22rKWQ3s/edit?usp=sharing"",""กำแพงเพชร!M765"")+IMPORTRANGE(""https://docs.google.com/spreadsheets/d/1KS0zmDSZPk8KnTAbGN-Xk6MtX1YRZD0ldgdt20K4CRk/edit?usp=sharing"","&amp;"""เชียงราย!M765"")+IMPORTRANGE(""https://docs.google.com/spreadsheets/d/1rEDxBtusbi64tE0zunoIbsTVV16HeL0oJ6trHQeQ7K8/edit?usp=sharing"",""เชียงใหม่!M765"")+IMPORTRANGE(""https://docs.google.com/spreadsheets/d/1W6MnUbDkMi6xHnHko_XkFDO9kkuL6Wqyc-6OCDFjW9I/e"&amp;"dit?usp=sharing"",""ตาก!M765"")+IMPORTRANGE(""https://docs.google.com/spreadsheets/d/1IQAWArduLkta9LpYo4a_ULsyqdta6-6aDDiwpUnQT6c/edit?usp=sharing"",""นครสวรรค์!M765"")+IMPORTRANGE(""https://docs.google.com/spreadsheets/d/10s13Sk5xrltsiR-Zkbmk5DwIaDIKO8Xl"&amp;"bJAfqyT7Gvg/edit?usp=sharing"",""น่าน!M765"")+IMPORTRANGE(""https://docs.google.com/spreadsheets/d/1uu4nAn4Dbi1XREnLKKotUANlKXa7yCgRcgq8HEzQYW8/edit?usp=sharing"",""พะเยา!M765"")+IMPORTRANGE(""https://docs.google.com/spreadsheets/d/1xfJKIQxVOaPDIICqsflNlL"&amp;"u3JacTDk1FP9RH4phX7mI/edit?usp=sharing"",""พิจิตร!M765"")+IMPORTRANGE(""https://docs.google.com/spreadsheets/d/1JtRfZkJMHtEhI5RdRHxYUG4FIZHqKDpNyIuN7A1Q0_k/edit?usp=sharing"",""พิษณุโลก!M765"")+IMPORTRANGE(""https://docs.google.com/spreadsheets/d/1xlcVZWU"&amp;"Nn6SuWm0c307h32SiGkd9BaeQWlAktfD3KO8/edit?usp=sharing"",""เพชรบูรณ์!M765"")+IMPORTRANGE(""https://docs.google.com/spreadsheets/d/1lOVebEIsI9qjGXl6EX66luk7wiuP2tBaryw-wKvv4e0/edit?usp=sharing"",""แพร่!M765"")+IMPORTRANGE(""https://docs.google.com/spreadshe"&amp;"ets/d/1dQrvX0vEcN7Gu0fnZ0B5S90AeR19zth4XlExFBeExMY/edit?usp=sharing"",""แม่ฮ่องสอน!M765"")+IMPORTRANGE(""https://docs.google.com/spreadsheets/d/1DY4XTNNwjluuxqdfdn6qvOSlMRrZqUtmYcZR0ttFiG4/edit?usp=sharing"",""ลำปาง!M765"")+IMPORTRANGE(""https://docs.goog"&amp;"le.com/spreadsheets/d/1ICwG78r0OFT8biBlxnBF8r7she7gNSzOvJ958PWT09c/edit?usp=sharing"",""ลำพูน!M765"")+IMPORTRANGE(""https://docs.google.com/spreadsheets/d/1B0f2xJpZUC6Z0xXnqKlZtEPzsf6L84eP1r1Q15seqRM/edit?usp=sharing"",""สุโขทัย!M765"")+IMPORTRANGE(""http"&amp;"s://docs.google.com/spreadsheets/d/1v0b9pFQCsKUVExMei7AgY2yQkdeNQvtOssygGsXbiKo/edit?usp=sharing"",""อุตรดิตถ์!M765"")+IMPORTRANGE(""https://docs.google.com/spreadsheets/d/1UsNK1e-WWiCo2PvGqdNfdme4m17_Ezd3J69EeeiQPD0/edit?usp=sharing"",""อุทัยธานี!M765"")"),0)</f>
        <v>0</v>
      </c>
      <c r="N765" s="46">
        <f ca="1">IFERROR(__xludf.DUMMYFUNCTION("IMPORTRANGE(""https://docs.google.com/spreadsheets/d/1jTcq05yEiRwXcBMLjiodW9e4biSGYWAHcDj22rKWQ3s/edit?usp=sharing"",""กำแพงเพชร!N765"")+IMPORTRANGE(""https://docs.google.com/spreadsheets/d/1KS0zmDSZPk8KnTAbGN-Xk6MtX1YRZD0ldgdt20K4CRk/edit?usp=sharing"","&amp;"""เชียงราย!N765"")+IMPORTRANGE(""https://docs.google.com/spreadsheets/d/1rEDxBtusbi64tE0zunoIbsTVV16HeL0oJ6trHQeQ7K8/edit?usp=sharing"",""เชียงใหม่!N765"")+IMPORTRANGE(""https://docs.google.com/spreadsheets/d/1W6MnUbDkMi6xHnHko_XkFDO9kkuL6Wqyc-6OCDFjW9I/e"&amp;"dit?usp=sharing"",""ตาก!N765"")+IMPORTRANGE(""https://docs.google.com/spreadsheets/d/1IQAWArduLkta9LpYo4a_ULsyqdta6-6aDDiwpUnQT6c/edit?usp=sharing"",""นครสวรรค์!N765"")+IMPORTRANGE(""https://docs.google.com/spreadsheets/d/10s13Sk5xrltsiR-Zkbmk5DwIaDIKO8Xl"&amp;"bJAfqyT7Gvg/edit?usp=sharing"",""น่าน!N765"")+IMPORTRANGE(""https://docs.google.com/spreadsheets/d/1uu4nAn4Dbi1XREnLKKotUANlKXa7yCgRcgq8HEzQYW8/edit?usp=sharing"",""พะเยา!N765"")+IMPORTRANGE(""https://docs.google.com/spreadsheets/d/1xfJKIQxVOaPDIICqsflNlL"&amp;"u3JacTDk1FP9RH4phX7mI/edit?usp=sharing"",""พิจิตร!N765"")+IMPORTRANGE(""https://docs.google.com/spreadsheets/d/1JtRfZkJMHtEhI5RdRHxYUG4FIZHqKDpNyIuN7A1Q0_k/edit?usp=sharing"",""พิษณุโลก!N765"")+IMPORTRANGE(""https://docs.google.com/spreadsheets/d/1xlcVZWU"&amp;"Nn6SuWm0c307h32SiGkd9BaeQWlAktfD3KO8/edit?usp=sharing"",""เพชรบูรณ์!N765"")+IMPORTRANGE(""https://docs.google.com/spreadsheets/d/1lOVebEIsI9qjGXl6EX66luk7wiuP2tBaryw-wKvv4e0/edit?usp=sharing"",""แพร่!N765"")+IMPORTRANGE(""https://docs.google.com/spreadshe"&amp;"ets/d/1dQrvX0vEcN7Gu0fnZ0B5S90AeR19zth4XlExFBeExMY/edit?usp=sharing"",""แม่ฮ่องสอน!N765"")+IMPORTRANGE(""https://docs.google.com/spreadsheets/d/1DY4XTNNwjluuxqdfdn6qvOSlMRrZqUtmYcZR0ttFiG4/edit?usp=sharing"",""ลำปาง!N765"")+IMPORTRANGE(""https://docs.goog"&amp;"le.com/spreadsheets/d/1ICwG78r0OFT8biBlxnBF8r7she7gNSzOvJ958PWT09c/edit?usp=sharing"",""ลำพูน!N765"")+IMPORTRANGE(""https://docs.google.com/spreadsheets/d/1B0f2xJpZUC6Z0xXnqKlZtEPzsf6L84eP1r1Q15seqRM/edit?usp=sharing"",""สุโขทัย!N765"")+IMPORTRANGE(""http"&amp;"s://docs.google.com/spreadsheets/d/1v0b9pFQCsKUVExMei7AgY2yQkdeNQvtOssygGsXbiKo/edit?usp=sharing"",""อุตรดิตถ์!N765"")+IMPORTRANGE(""https://docs.google.com/spreadsheets/d/1UsNK1e-WWiCo2PvGqdNfdme4m17_Ezd3J69EeeiQPD0/edit?usp=sharing"",""อุทัยธานี!N765"")"),0)</f>
        <v>0</v>
      </c>
      <c r="O765" s="46">
        <f t="shared" ca="1" si="521"/>
        <v>0</v>
      </c>
      <c r="P765" s="46">
        <f t="shared" ca="1" si="522"/>
        <v>0</v>
      </c>
      <c r="Q765" s="46">
        <f ca="1">IFERROR(__xludf.DUMMYFUNCTION("IMPORTRANGE(""https://docs.google.com/spreadsheets/d/1jTcq05yEiRwXcBMLjiodW9e4biSGYWAHcDj22rKWQ3s/edit?usp=sharing"",""กำแพงเพชร!Q765"")+IMPORTRANGE(""https://docs.google.com/spreadsheets/d/1KS0zmDSZPk8KnTAbGN-Xk6MtX1YRZD0ldgdt20K4CRk/edit?usp=sharing"","&amp;"""เชียงราย!Q765"")+IMPORTRANGE(""https://docs.google.com/spreadsheets/d/1rEDxBtusbi64tE0zunoIbsTVV16HeL0oJ6trHQeQ7K8/edit?usp=sharing"",""เชียงใหม่!Q765"")+IMPORTRANGE(""https://docs.google.com/spreadsheets/d/1W6MnUbDkMi6xHnHko_XkFDO9kkuL6Wqyc-6OCDFjW9I/e"&amp;"dit?usp=sharing"",""ตาก!Q765"")+IMPORTRANGE(""https://docs.google.com/spreadsheets/d/1IQAWArduLkta9LpYo4a_ULsyqdta6-6aDDiwpUnQT6c/edit?usp=sharing"",""นครสวรรค์!Q765"")+IMPORTRANGE(""https://docs.google.com/spreadsheets/d/10s13Sk5xrltsiR-Zkbmk5DwIaDIKO8Xl"&amp;"bJAfqyT7Gvg/edit?usp=sharing"",""น่าน!Q765"")+IMPORTRANGE(""https://docs.google.com/spreadsheets/d/1uu4nAn4Dbi1XREnLKKotUANlKXa7yCgRcgq8HEzQYW8/edit?usp=sharing"",""พะเยา!Q765"")+IMPORTRANGE(""https://docs.google.com/spreadsheets/d/1xfJKIQxVOaPDIICqsflNlL"&amp;"u3JacTDk1FP9RH4phX7mI/edit?usp=sharing"",""พิจิตร!Q765"")+IMPORTRANGE(""https://docs.google.com/spreadsheets/d/1JtRfZkJMHtEhI5RdRHxYUG4FIZHqKDpNyIuN7A1Q0_k/edit?usp=sharing"",""พิษณุโลก!Q765"")+IMPORTRANGE(""https://docs.google.com/spreadsheets/d/1xlcVZWU"&amp;"Nn6SuWm0c307h32SiGkd9BaeQWlAktfD3KO8/edit?usp=sharing"",""เพชรบูรณ์!Q765"")+IMPORTRANGE(""https://docs.google.com/spreadsheets/d/1lOVebEIsI9qjGXl6EX66luk7wiuP2tBaryw-wKvv4e0/edit?usp=sharing"",""แพร่!Q765"")+IMPORTRANGE(""https://docs.google.com/spreadshe"&amp;"ets/d/1dQrvX0vEcN7Gu0fnZ0B5S90AeR19zth4XlExFBeExMY/edit?usp=sharing"",""แม่ฮ่องสอน!Q765"")+IMPORTRANGE(""https://docs.google.com/spreadsheets/d/1DY4XTNNwjluuxqdfdn6qvOSlMRrZqUtmYcZR0ttFiG4/edit?usp=sharing"",""ลำปาง!Q765"")+IMPORTRANGE(""https://docs.goog"&amp;"le.com/spreadsheets/d/1ICwG78r0OFT8biBlxnBF8r7she7gNSzOvJ958PWT09c/edit?usp=sharing"",""ลำพูน!Q765"")+IMPORTRANGE(""https://docs.google.com/spreadsheets/d/1B0f2xJpZUC6Z0xXnqKlZtEPzsf6L84eP1r1Q15seqRM/edit?usp=sharing"",""สุโขทัย!Q765"")+IMPORTRANGE(""http"&amp;"s://docs.google.com/spreadsheets/d/1v0b9pFQCsKUVExMei7AgY2yQkdeNQvtOssygGsXbiKo/edit?usp=sharing"",""อุตรดิตถ์!Q765"")+IMPORTRANGE(""https://docs.google.com/spreadsheets/d/1UsNK1e-WWiCo2PvGqdNfdme4m17_Ezd3J69EeeiQPD0/edit?usp=sharing"",""อุทัยธานี!Q765"")"),8462790)</f>
        <v>8462790</v>
      </c>
      <c r="R765" s="46">
        <f ca="1">IFERROR(__xludf.DUMMYFUNCTION("IMPORTRANGE(""https://docs.google.com/spreadsheets/d/1jTcq05yEiRwXcBMLjiodW9e4biSGYWAHcDj22rKWQ3s/edit?usp=sharing"",""กำแพงเพชร!R765"")+IMPORTRANGE(""https://docs.google.com/spreadsheets/d/1KS0zmDSZPk8KnTAbGN-Xk6MtX1YRZD0ldgdt20K4CRk/edit?usp=sharing"","&amp;"""เชียงราย!R765"")+IMPORTRANGE(""https://docs.google.com/spreadsheets/d/1rEDxBtusbi64tE0zunoIbsTVV16HeL0oJ6trHQeQ7K8/edit?usp=sharing"",""เชียงใหม่!R765"")+IMPORTRANGE(""https://docs.google.com/spreadsheets/d/1W6MnUbDkMi6xHnHko_XkFDO9kkuL6Wqyc-6OCDFjW9I/e"&amp;"dit?usp=sharing"",""ตาก!R765"")+IMPORTRANGE(""https://docs.google.com/spreadsheets/d/1IQAWArduLkta9LpYo4a_ULsyqdta6-6aDDiwpUnQT6c/edit?usp=sharing"",""นครสวรรค์!R765"")+IMPORTRANGE(""https://docs.google.com/spreadsheets/d/10s13Sk5xrltsiR-Zkbmk5DwIaDIKO8Xl"&amp;"bJAfqyT7Gvg/edit?usp=sharing"",""น่าน!R765"")+IMPORTRANGE(""https://docs.google.com/spreadsheets/d/1uu4nAn4Dbi1XREnLKKotUANlKXa7yCgRcgq8HEzQYW8/edit?usp=sharing"",""พะเยา!R765"")+IMPORTRANGE(""https://docs.google.com/spreadsheets/d/1xfJKIQxVOaPDIICqsflNlL"&amp;"u3JacTDk1FP9RH4phX7mI/edit?usp=sharing"",""พิจิตร!R765"")+IMPORTRANGE(""https://docs.google.com/spreadsheets/d/1JtRfZkJMHtEhI5RdRHxYUG4FIZHqKDpNyIuN7A1Q0_k/edit?usp=sharing"",""พิษณุโลก!R765"")+IMPORTRANGE(""https://docs.google.com/spreadsheets/d/1xlcVZWU"&amp;"Nn6SuWm0c307h32SiGkd9BaeQWlAktfD3KO8/edit?usp=sharing"",""เพชรบูรณ์!R765"")+IMPORTRANGE(""https://docs.google.com/spreadsheets/d/1lOVebEIsI9qjGXl6EX66luk7wiuP2tBaryw-wKvv4e0/edit?usp=sharing"",""แพร่!R765"")+IMPORTRANGE(""https://docs.google.com/spreadshe"&amp;"ets/d/1dQrvX0vEcN7Gu0fnZ0B5S90AeR19zth4XlExFBeExMY/edit?usp=sharing"",""แม่ฮ่องสอน!R765"")+IMPORTRANGE(""https://docs.google.com/spreadsheets/d/1DY4XTNNwjluuxqdfdn6qvOSlMRrZqUtmYcZR0ttFiG4/edit?usp=sharing"",""ลำปาง!R765"")+IMPORTRANGE(""https://docs.goog"&amp;"le.com/spreadsheets/d/1ICwG78r0OFT8biBlxnBF8r7she7gNSzOvJ958PWT09c/edit?usp=sharing"",""ลำพูน!R765"")+IMPORTRANGE(""https://docs.google.com/spreadsheets/d/1B0f2xJpZUC6Z0xXnqKlZtEPzsf6L84eP1r1Q15seqRM/edit?usp=sharing"",""สุโขทัย!R765"")+IMPORTRANGE(""http"&amp;"s://docs.google.com/spreadsheets/d/1v0b9pFQCsKUVExMei7AgY2yQkdeNQvtOssygGsXbiKo/edit?usp=sharing"",""อุตรดิตถ์!R765"")+IMPORTRANGE(""https://docs.google.com/spreadsheets/d/1UsNK1e-WWiCo2PvGqdNfdme4m17_Ezd3J69EeeiQPD0/edit?usp=sharing"",""อุทัยธานี!R765"")"),8462790)</f>
        <v>8462790</v>
      </c>
      <c r="S765" s="46">
        <f ca="1">IFERROR(__xludf.DUMMYFUNCTION("IMPORTRANGE(""https://docs.google.com/spreadsheets/d/1jTcq05yEiRwXcBMLjiodW9e4biSGYWAHcDj22rKWQ3s/edit?usp=sharing"",""กำแพงเพชร!S765"")+IMPORTRANGE(""https://docs.google.com/spreadsheets/d/1KS0zmDSZPk8KnTAbGN-Xk6MtX1YRZD0ldgdt20K4CRk/edit?usp=sharing"","&amp;"""เชียงราย!S765"")+IMPORTRANGE(""https://docs.google.com/spreadsheets/d/1rEDxBtusbi64tE0zunoIbsTVV16HeL0oJ6trHQeQ7K8/edit?usp=sharing"",""เชียงใหม่!S765"")+IMPORTRANGE(""https://docs.google.com/spreadsheets/d/1W6MnUbDkMi6xHnHko_XkFDO9kkuL6Wqyc-6OCDFjW9I/e"&amp;"dit?usp=sharing"",""ตาก!S765"")+IMPORTRANGE(""https://docs.google.com/spreadsheets/d/1IQAWArduLkta9LpYo4a_ULsyqdta6-6aDDiwpUnQT6c/edit?usp=sharing"",""นครสวรรค์!S765"")+IMPORTRANGE(""https://docs.google.com/spreadsheets/d/10s13Sk5xrltsiR-Zkbmk5DwIaDIKO8Xl"&amp;"bJAfqyT7Gvg/edit?usp=sharing"",""น่าน!S765"")+IMPORTRANGE(""https://docs.google.com/spreadsheets/d/1uu4nAn4Dbi1XREnLKKotUANlKXa7yCgRcgq8HEzQYW8/edit?usp=sharing"",""พะเยา!S765"")+IMPORTRANGE(""https://docs.google.com/spreadsheets/d/1xfJKIQxVOaPDIICqsflNlL"&amp;"u3JacTDk1FP9RH4phX7mI/edit?usp=sharing"",""พิจิตร!S765"")+IMPORTRANGE(""https://docs.google.com/spreadsheets/d/1JtRfZkJMHtEhI5RdRHxYUG4FIZHqKDpNyIuN7A1Q0_k/edit?usp=sharing"",""พิษณุโลก!S765"")+IMPORTRANGE(""https://docs.google.com/spreadsheets/d/1xlcVZWU"&amp;"Nn6SuWm0c307h32SiGkd9BaeQWlAktfD3KO8/edit?usp=sharing"",""เพชรบูรณ์!S765"")+IMPORTRANGE(""https://docs.google.com/spreadsheets/d/1lOVebEIsI9qjGXl6EX66luk7wiuP2tBaryw-wKvv4e0/edit?usp=sharing"",""แพร่!S765"")+IMPORTRANGE(""https://docs.google.com/spreadshe"&amp;"ets/d/1dQrvX0vEcN7Gu0fnZ0B5S90AeR19zth4XlExFBeExMY/edit?usp=sharing"",""แม่ฮ่องสอน!S765"")+IMPORTRANGE(""https://docs.google.com/spreadsheets/d/1DY4XTNNwjluuxqdfdn6qvOSlMRrZqUtmYcZR0ttFiG4/edit?usp=sharing"",""ลำปาง!S765"")+IMPORTRANGE(""https://docs.goog"&amp;"le.com/spreadsheets/d/1ICwG78r0OFT8biBlxnBF8r7she7gNSzOvJ958PWT09c/edit?usp=sharing"",""ลำพูน!S765"")+IMPORTRANGE(""https://docs.google.com/spreadsheets/d/1B0f2xJpZUC6Z0xXnqKlZtEPzsf6L84eP1r1Q15seqRM/edit?usp=sharing"",""สุโขทัย!S765"")+IMPORTRANGE(""http"&amp;"s://docs.google.com/spreadsheets/d/1v0b9pFQCsKUVExMei7AgY2yQkdeNQvtOssygGsXbiKo/edit?usp=sharing"",""อุตรดิตถ์!S765"")+IMPORTRANGE(""https://docs.google.com/spreadsheets/d/1UsNK1e-WWiCo2PvGqdNfdme4m17_Ezd3J69EeeiQPD0/edit?usp=sharing"",""อุทัยธานี!S765"")"),1890311.79)</f>
        <v>1890311.79</v>
      </c>
      <c r="T765" s="46">
        <f t="shared" ca="1" si="524"/>
        <v>22.336744619682161</v>
      </c>
      <c r="U765" s="46">
        <f t="shared" ca="1" si="525"/>
        <v>22.336744619682161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46">
        <f t="shared" ref="L766:N766" ca="1" si="532">L767+L768</f>
        <v>0</v>
      </c>
      <c r="M766" s="46">
        <f t="shared" ca="1" si="532"/>
        <v>0</v>
      </c>
      <c r="N766" s="46">
        <f t="shared" ca="1" si="532"/>
        <v>0</v>
      </c>
      <c r="O766" s="46">
        <f t="shared" ca="1" si="521"/>
        <v>0</v>
      </c>
      <c r="P766" s="46">
        <f t="shared" ca="1" si="522"/>
        <v>0</v>
      </c>
      <c r="Q766" s="46">
        <f t="shared" ref="Q766:S766" ca="1" si="533">Q767+Q768</f>
        <v>0</v>
      </c>
      <c r="R766" s="46">
        <f t="shared" ca="1" si="533"/>
        <v>0</v>
      </c>
      <c r="S766" s="46">
        <f t="shared" ca="1" si="533"/>
        <v>0</v>
      </c>
      <c r="T766" s="46">
        <f t="shared" ca="1" si="524"/>
        <v>0</v>
      </c>
      <c r="U766" s="46">
        <f t="shared" ca="1" si="525"/>
        <v>0</v>
      </c>
    </row>
    <row r="767" spans="1:21" ht="18.75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48">
        <f ca="1">IFERROR(__xludf.DUMMYFUNCTION("IMPORTRANGE(""https://docs.google.com/spreadsheets/d/1jTcq05yEiRwXcBMLjiodW9e4biSGYWAHcDj22rKWQ3s/edit?usp=sharing"",""กำแพงเพชร!L767"")+IMPORTRANGE(""https://docs.google.com/spreadsheets/d/1KS0zmDSZPk8KnTAbGN-Xk6MtX1YRZD0ldgdt20K4CRk/edit?usp=sharing"","&amp;"""เชียงราย!L767"")+IMPORTRANGE(""https://docs.google.com/spreadsheets/d/1rEDxBtusbi64tE0zunoIbsTVV16HeL0oJ6trHQeQ7K8/edit?usp=sharing"",""เชียงใหม่!L767"")+IMPORTRANGE(""https://docs.google.com/spreadsheets/d/1W6MnUbDkMi6xHnHko_XkFDO9kkuL6Wqyc-6OCDFjW9I/e"&amp;"dit?usp=sharing"",""ตาก!L767"")+IMPORTRANGE(""https://docs.google.com/spreadsheets/d/1IQAWArduLkta9LpYo4a_ULsyqdta6-6aDDiwpUnQT6c/edit?usp=sharing"",""นครสวรรค์!L767"")+IMPORTRANGE(""https://docs.google.com/spreadsheets/d/10s13Sk5xrltsiR-Zkbmk5DwIaDIKO8Xl"&amp;"bJAfqyT7Gvg/edit?usp=sharing"",""น่าน!L767"")+IMPORTRANGE(""https://docs.google.com/spreadsheets/d/1uu4nAn4Dbi1XREnLKKotUANlKXa7yCgRcgq8HEzQYW8/edit?usp=sharing"",""พะเยา!L767"")+IMPORTRANGE(""https://docs.google.com/spreadsheets/d/1xfJKIQxVOaPDIICqsflNlL"&amp;"u3JacTDk1FP9RH4phX7mI/edit?usp=sharing"",""พิจิตร!L767"")+IMPORTRANGE(""https://docs.google.com/spreadsheets/d/1JtRfZkJMHtEhI5RdRHxYUG4FIZHqKDpNyIuN7A1Q0_k/edit?usp=sharing"",""พิษณุโลก!L767"")+IMPORTRANGE(""https://docs.google.com/spreadsheets/d/1xlcVZWU"&amp;"Nn6SuWm0c307h32SiGkd9BaeQWlAktfD3KO8/edit?usp=sharing"",""เพชรบูรณ์!L767"")+IMPORTRANGE(""https://docs.google.com/spreadsheets/d/1lOVebEIsI9qjGXl6EX66luk7wiuP2tBaryw-wKvv4e0/edit?usp=sharing"",""แพร่!L767"")+IMPORTRANGE(""https://docs.google.com/spreadshe"&amp;"ets/d/1dQrvX0vEcN7Gu0fnZ0B5S90AeR19zth4XlExFBeExMY/edit?usp=sharing"",""แม่ฮ่องสอน!L767"")+IMPORTRANGE(""https://docs.google.com/spreadsheets/d/1DY4XTNNwjluuxqdfdn6qvOSlMRrZqUtmYcZR0ttFiG4/edit?usp=sharing"",""ลำปาง!L767"")+IMPORTRANGE(""https://docs.goog"&amp;"le.com/spreadsheets/d/1ICwG78r0OFT8biBlxnBF8r7she7gNSzOvJ958PWT09c/edit?usp=sharing"",""ลำพูน!L767"")+IMPORTRANGE(""https://docs.google.com/spreadsheets/d/1B0f2xJpZUC6Z0xXnqKlZtEPzsf6L84eP1r1Q15seqRM/edit?usp=sharing"",""สุโขทัย!L767"")+IMPORTRANGE(""http"&amp;"s://docs.google.com/spreadsheets/d/1v0b9pFQCsKUVExMei7AgY2yQkdeNQvtOssygGsXbiKo/edit?usp=sharing"",""อุตรดิตถ์!L767"")+IMPORTRANGE(""https://docs.google.com/spreadsheets/d/1UsNK1e-WWiCo2PvGqdNfdme4m17_Ezd3J69EeeiQPD0/edit?usp=sharing"",""อุทัยธานี!L767"")"),0)</f>
        <v>0</v>
      </c>
      <c r="M767" s="48">
        <f ca="1">IFERROR(__xludf.DUMMYFUNCTION("IMPORTRANGE(""https://docs.google.com/spreadsheets/d/1jTcq05yEiRwXcBMLjiodW9e4biSGYWAHcDj22rKWQ3s/edit?usp=sharing"",""กำแพงเพชร!M767"")+IMPORTRANGE(""https://docs.google.com/spreadsheets/d/1KS0zmDSZPk8KnTAbGN-Xk6MtX1YRZD0ldgdt20K4CRk/edit?usp=sharing"","&amp;"""เชียงราย!M767"")+IMPORTRANGE(""https://docs.google.com/spreadsheets/d/1rEDxBtusbi64tE0zunoIbsTVV16HeL0oJ6trHQeQ7K8/edit?usp=sharing"",""เชียงใหม่!M767"")+IMPORTRANGE(""https://docs.google.com/spreadsheets/d/1W6MnUbDkMi6xHnHko_XkFDO9kkuL6Wqyc-6OCDFjW9I/e"&amp;"dit?usp=sharing"",""ตาก!M767"")+IMPORTRANGE(""https://docs.google.com/spreadsheets/d/1IQAWArduLkta9LpYo4a_ULsyqdta6-6aDDiwpUnQT6c/edit?usp=sharing"",""นครสวรรค์!M767"")+IMPORTRANGE(""https://docs.google.com/spreadsheets/d/10s13Sk5xrltsiR-Zkbmk5DwIaDIKO8Xl"&amp;"bJAfqyT7Gvg/edit?usp=sharing"",""น่าน!M767"")+IMPORTRANGE(""https://docs.google.com/spreadsheets/d/1uu4nAn4Dbi1XREnLKKotUANlKXa7yCgRcgq8HEzQYW8/edit?usp=sharing"",""พะเยา!M767"")+IMPORTRANGE(""https://docs.google.com/spreadsheets/d/1xfJKIQxVOaPDIICqsflNlL"&amp;"u3JacTDk1FP9RH4phX7mI/edit?usp=sharing"",""พิจิตร!M767"")+IMPORTRANGE(""https://docs.google.com/spreadsheets/d/1JtRfZkJMHtEhI5RdRHxYUG4FIZHqKDpNyIuN7A1Q0_k/edit?usp=sharing"",""พิษณุโลก!M767"")+IMPORTRANGE(""https://docs.google.com/spreadsheets/d/1xlcVZWU"&amp;"Nn6SuWm0c307h32SiGkd9BaeQWlAktfD3KO8/edit?usp=sharing"",""เพชรบูรณ์!M767"")+IMPORTRANGE(""https://docs.google.com/spreadsheets/d/1lOVebEIsI9qjGXl6EX66luk7wiuP2tBaryw-wKvv4e0/edit?usp=sharing"",""แพร่!M767"")+IMPORTRANGE(""https://docs.google.com/spreadshe"&amp;"ets/d/1dQrvX0vEcN7Gu0fnZ0B5S90AeR19zth4XlExFBeExMY/edit?usp=sharing"",""แม่ฮ่องสอน!M767"")+IMPORTRANGE(""https://docs.google.com/spreadsheets/d/1DY4XTNNwjluuxqdfdn6qvOSlMRrZqUtmYcZR0ttFiG4/edit?usp=sharing"",""ลำปาง!M767"")+IMPORTRANGE(""https://docs.goog"&amp;"le.com/spreadsheets/d/1ICwG78r0OFT8biBlxnBF8r7she7gNSzOvJ958PWT09c/edit?usp=sharing"",""ลำพูน!M767"")+IMPORTRANGE(""https://docs.google.com/spreadsheets/d/1B0f2xJpZUC6Z0xXnqKlZtEPzsf6L84eP1r1Q15seqRM/edit?usp=sharing"",""สุโขทัย!M767"")+IMPORTRANGE(""http"&amp;"s://docs.google.com/spreadsheets/d/1v0b9pFQCsKUVExMei7AgY2yQkdeNQvtOssygGsXbiKo/edit?usp=sharing"",""อุตรดิตถ์!M767"")+IMPORTRANGE(""https://docs.google.com/spreadsheets/d/1UsNK1e-WWiCo2PvGqdNfdme4m17_Ezd3J69EeeiQPD0/edit?usp=sharing"",""อุทัยธานี!M767"")"),0)</f>
        <v>0</v>
      </c>
      <c r="N767" s="48">
        <f ca="1">IFERROR(__xludf.DUMMYFUNCTION("IMPORTRANGE(""https://docs.google.com/spreadsheets/d/1jTcq05yEiRwXcBMLjiodW9e4biSGYWAHcDj22rKWQ3s/edit?usp=sharing"",""กำแพงเพชร!N767"")+IMPORTRANGE(""https://docs.google.com/spreadsheets/d/1KS0zmDSZPk8KnTAbGN-Xk6MtX1YRZD0ldgdt20K4CRk/edit?usp=sharing"","&amp;"""เชียงราย!N767"")+IMPORTRANGE(""https://docs.google.com/spreadsheets/d/1rEDxBtusbi64tE0zunoIbsTVV16HeL0oJ6trHQeQ7K8/edit?usp=sharing"",""เชียงใหม่!N767"")+IMPORTRANGE(""https://docs.google.com/spreadsheets/d/1W6MnUbDkMi6xHnHko_XkFDO9kkuL6Wqyc-6OCDFjW9I/e"&amp;"dit?usp=sharing"",""ตาก!N767"")+IMPORTRANGE(""https://docs.google.com/spreadsheets/d/1IQAWArduLkta9LpYo4a_ULsyqdta6-6aDDiwpUnQT6c/edit?usp=sharing"",""นครสวรรค์!N767"")+IMPORTRANGE(""https://docs.google.com/spreadsheets/d/10s13Sk5xrltsiR-Zkbmk5DwIaDIKO8Xl"&amp;"bJAfqyT7Gvg/edit?usp=sharing"",""น่าน!N767"")+IMPORTRANGE(""https://docs.google.com/spreadsheets/d/1uu4nAn4Dbi1XREnLKKotUANlKXa7yCgRcgq8HEzQYW8/edit?usp=sharing"",""พะเยา!N767"")+IMPORTRANGE(""https://docs.google.com/spreadsheets/d/1xfJKIQxVOaPDIICqsflNlL"&amp;"u3JacTDk1FP9RH4phX7mI/edit?usp=sharing"",""พิจิตร!N767"")+IMPORTRANGE(""https://docs.google.com/spreadsheets/d/1JtRfZkJMHtEhI5RdRHxYUG4FIZHqKDpNyIuN7A1Q0_k/edit?usp=sharing"",""พิษณุโลก!N767"")+IMPORTRANGE(""https://docs.google.com/spreadsheets/d/1xlcVZWU"&amp;"Nn6SuWm0c307h32SiGkd9BaeQWlAktfD3KO8/edit?usp=sharing"",""เพชรบูรณ์!N767"")+IMPORTRANGE(""https://docs.google.com/spreadsheets/d/1lOVebEIsI9qjGXl6EX66luk7wiuP2tBaryw-wKvv4e0/edit?usp=sharing"",""แพร่!N767"")+IMPORTRANGE(""https://docs.google.com/spreadshe"&amp;"ets/d/1dQrvX0vEcN7Gu0fnZ0B5S90AeR19zth4XlExFBeExMY/edit?usp=sharing"",""แม่ฮ่องสอน!N767"")+IMPORTRANGE(""https://docs.google.com/spreadsheets/d/1DY4XTNNwjluuxqdfdn6qvOSlMRrZqUtmYcZR0ttFiG4/edit?usp=sharing"",""ลำปาง!N767"")+IMPORTRANGE(""https://docs.goog"&amp;"le.com/spreadsheets/d/1ICwG78r0OFT8biBlxnBF8r7she7gNSzOvJ958PWT09c/edit?usp=sharing"",""ลำพูน!N767"")+IMPORTRANGE(""https://docs.google.com/spreadsheets/d/1B0f2xJpZUC6Z0xXnqKlZtEPzsf6L84eP1r1Q15seqRM/edit?usp=sharing"",""สุโขทัย!N767"")+IMPORTRANGE(""http"&amp;"s://docs.google.com/spreadsheets/d/1v0b9pFQCsKUVExMei7AgY2yQkdeNQvtOssygGsXbiKo/edit?usp=sharing"",""อุตรดิตถ์!N767"")+IMPORTRANGE(""https://docs.google.com/spreadsheets/d/1UsNK1e-WWiCo2PvGqdNfdme4m17_Ezd3J69EeeiQPD0/edit?usp=sharing"",""อุทัยธานี!N767"")"),0)</f>
        <v>0</v>
      </c>
      <c r="O767" s="48">
        <f t="shared" ca="1" si="521"/>
        <v>0</v>
      </c>
      <c r="P767" s="48">
        <f t="shared" ca="1" si="522"/>
        <v>0</v>
      </c>
      <c r="Q767" s="48">
        <f ca="1">IFERROR(__xludf.DUMMYFUNCTION("IMPORTRANGE(""https://docs.google.com/spreadsheets/d/1jTcq05yEiRwXcBMLjiodW9e4biSGYWAHcDj22rKWQ3s/edit?usp=sharing"",""กำแพงเพชร!Q767"")+IMPORTRANGE(""https://docs.google.com/spreadsheets/d/1KS0zmDSZPk8KnTAbGN-Xk6MtX1YRZD0ldgdt20K4CRk/edit?usp=sharing"","&amp;"""เชียงราย!Q767"")+IMPORTRANGE(""https://docs.google.com/spreadsheets/d/1rEDxBtusbi64tE0zunoIbsTVV16HeL0oJ6trHQeQ7K8/edit?usp=sharing"",""เชียงใหม่!Q767"")+IMPORTRANGE(""https://docs.google.com/spreadsheets/d/1W6MnUbDkMi6xHnHko_XkFDO9kkuL6Wqyc-6OCDFjW9I/e"&amp;"dit?usp=sharing"",""ตาก!Q767"")+IMPORTRANGE(""https://docs.google.com/spreadsheets/d/1IQAWArduLkta9LpYo4a_ULsyqdta6-6aDDiwpUnQT6c/edit?usp=sharing"",""นครสวรรค์!Q767"")+IMPORTRANGE(""https://docs.google.com/spreadsheets/d/10s13Sk5xrltsiR-Zkbmk5DwIaDIKO8Xl"&amp;"bJAfqyT7Gvg/edit?usp=sharing"",""น่าน!Q767"")+IMPORTRANGE(""https://docs.google.com/spreadsheets/d/1uu4nAn4Dbi1XREnLKKotUANlKXa7yCgRcgq8HEzQYW8/edit?usp=sharing"",""พะเยา!Q767"")+IMPORTRANGE(""https://docs.google.com/spreadsheets/d/1xfJKIQxVOaPDIICqsflNlL"&amp;"u3JacTDk1FP9RH4phX7mI/edit?usp=sharing"",""พิจิตร!Q767"")+IMPORTRANGE(""https://docs.google.com/spreadsheets/d/1JtRfZkJMHtEhI5RdRHxYUG4FIZHqKDpNyIuN7A1Q0_k/edit?usp=sharing"",""พิษณุโลก!Q767"")+IMPORTRANGE(""https://docs.google.com/spreadsheets/d/1xlcVZWU"&amp;"Nn6SuWm0c307h32SiGkd9BaeQWlAktfD3KO8/edit?usp=sharing"",""เพชรบูรณ์!Q767"")+IMPORTRANGE(""https://docs.google.com/spreadsheets/d/1lOVebEIsI9qjGXl6EX66luk7wiuP2tBaryw-wKvv4e0/edit?usp=sharing"",""แพร่!Q767"")+IMPORTRANGE(""https://docs.google.com/spreadshe"&amp;"ets/d/1dQrvX0vEcN7Gu0fnZ0B5S90AeR19zth4XlExFBeExMY/edit?usp=sharing"",""แม่ฮ่องสอน!Q767"")+IMPORTRANGE(""https://docs.google.com/spreadsheets/d/1DY4XTNNwjluuxqdfdn6qvOSlMRrZqUtmYcZR0ttFiG4/edit?usp=sharing"",""ลำปาง!Q767"")+IMPORTRANGE(""https://docs.goog"&amp;"le.com/spreadsheets/d/1ICwG78r0OFT8biBlxnBF8r7she7gNSzOvJ958PWT09c/edit?usp=sharing"",""ลำพูน!Q767"")+IMPORTRANGE(""https://docs.google.com/spreadsheets/d/1B0f2xJpZUC6Z0xXnqKlZtEPzsf6L84eP1r1Q15seqRM/edit?usp=sharing"",""สุโขทัย!Q767"")+IMPORTRANGE(""http"&amp;"s://docs.google.com/spreadsheets/d/1v0b9pFQCsKUVExMei7AgY2yQkdeNQvtOssygGsXbiKo/edit?usp=sharing"",""อุตรดิตถ์!Q767"")+IMPORTRANGE(""https://docs.google.com/spreadsheets/d/1UsNK1e-WWiCo2PvGqdNfdme4m17_Ezd3J69EeeiQPD0/edit?usp=sharing"",""อุทัยธานี!Q767"")"),0)</f>
        <v>0</v>
      </c>
      <c r="R767" s="48">
        <f ca="1">IFERROR(__xludf.DUMMYFUNCTION("IMPORTRANGE(""https://docs.google.com/spreadsheets/d/1jTcq05yEiRwXcBMLjiodW9e4biSGYWAHcDj22rKWQ3s/edit?usp=sharing"",""กำแพงเพชร!R767"")+IMPORTRANGE(""https://docs.google.com/spreadsheets/d/1KS0zmDSZPk8KnTAbGN-Xk6MtX1YRZD0ldgdt20K4CRk/edit?usp=sharing"","&amp;"""เชียงราย!R767"")+IMPORTRANGE(""https://docs.google.com/spreadsheets/d/1rEDxBtusbi64tE0zunoIbsTVV16HeL0oJ6trHQeQ7K8/edit?usp=sharing"",""เชียงใหม่!R767"")+IMPORTRANGE(""https://docs.google.com/spreadsheets/d/1W6MnUbDkMi6xHnHko_XkFDO9kkuL6Wqyc-6OCDFjW9I/e"&amp;"dit?usp=sharing"",""ตาก!R767"")+IMPORTRANGE(""https://docs.google.com/spreadsheets/d/1IQAWArduLkta9LpYo4a_ULsyqdta6-6aDDiwpUnQT6c/edit?usp=sharing"",""นครสวรรค์!R767"")+IMPORTRANGE(""https://docs.google.com/spreadsheets/d/10s13Sk5xrltsiR-Zkbmk5DwIaDIKO8Xl"&amp;"bJAfqyT7Gvg/edit?usp=sharing"",""น่าน!R767"")+IMPORTRANGE(""https://docs.google.com/spreadsheets/d/1uu4nAn4Dbi1XREnLKKotUANlKXa7yCgRcgq8HEzQYW8/edit?usp=sharing"",""พะเยา!R767"")+IMPORTRANGE(""https://docs.google.com/spreadsheets/d/1xfJKIQxVOaPDIICqsflNlL"&amp;"u3JacTDk1FP9RH4phX7mI/edit?usp=sharing"",""พิจิตร!R767"")+IMPORTRANGE(""https://docs.google.com/spreadsheets/d/1JtRfZkJMHtEhI5RdRHxYUG4FIZHqKDpNyIuN7A1Q0_k/edit?usp=sharing"",""พิษณุโลก!R767"")+IMPORTRANGE(""https://docs.google.com/spreadsheets/d/1xlcVZWU"&amp;"Nn6SuWm0c307h32SiGkd9BaeQWlAktfD3KO8/edit?usp=sharing"",""เพชรบูรณ์!R767"")+IMPORTRANGE(""https://docs.google.com/spreadsheets/d/1lOVebEIsI9qjGXl6EX66luk7wiuP2tBaryw-wKvv4e0/edit?usp=sharing"",""แพร่!R767"")+IMPORTRANGE(""https://docs.google.com/spreadshe"&amp;"ets/d/1dQrvX0vEcN7Gu0fnZ0B5S90AeR19zth4XlExFBeExMY/edit?usp=sharing"",""แม่ฮ่องสอน!R767"")+IMPORTRANGE(""https://docs.google.com/spreadsheets/d/1DY4XTNNwjluuxqdfdn6qvOSlMRrZqUtmYcZR0ttFiG4/edit?usp=sharing"",""ลำปาง!R767"")+IMPORTRANGE(""https://docs.goog"&amp;"le.com/spreadsheets/d/1ICwG78r0OFT8biBlxnBF8r7she7gNSzOvJ958PWT09c/edit?usp=sharing"",""ลำพูน!R767"")+IMPORTRANGE(""https://docs.google.com/spreadsheets/d/1B0f2xJpZUC6Z0xXnqKlZtEPzsf6L84eP1r1Q15seqRM/edit?usp=sharing"",""สุโขทัย!R767"")+IMPORTRANGE(""http"&amp;"s://docs.google.com/spreadsheets/d/1v0b9pFQCsKUVExMei7AgY2yQkdeNQvtOssygGsXbiKo/edit?usp=sharing"",""อุตรดิตถ์!R767"")+IMPORTRANGE(""https://docs.google.com/spreadsheets/d/1UsNK1e-WWiCo2PvGqdNfdme4m17_Ezd3J69EeeiQPD0/edit?usp=sharing"",""อุทัยธานี!R767"")"),0)</f>
        <v>0</v>
      </c>
      <c r="S767" s="48">
        <f ca="1">IFERROR(__xludf.DUMMYFUNCTION("IMPORTRANGE(""https://docs.google.com/spreadsheets/d/1jTcq05yEiRwXcBMLjiodW9e4biSGYWAHcDj22rKWQ3s/edit?usp=sharing"",""กำแพงเพชร!S767"")+IMPORTRANGE(""https://docs.google.com/spreadsheets/d/1KS0zmDSZPk8KnTAbGN-Xk6MtX1YRZD0ldgdt20K4CRk/edit?usp=sharing"","&amp;"""เชียงราย!S767"")+IMPORTRANGE(""https://docs.google.com/spreadsheets/d/1rEDxBtusbi64tE0zunoIbsTVV16HeL0oJ6trHQeQ7K8/edit?usp=sharing"",""เชียงใหม่!S767"")+IMPORTRANGE(""https://docs.google.com/spreadsheets/d/1W6MnUbDkMi6xHnHko_XkFDO9kkuL6Wqyc-6OCDFjW9I/e"&amp;"dit?usp=sharing"",""ตาก!S767"")+IMPORTRANGE(""https://docs.google.com/spreadsheets/d/1IQAWArduLkta9LpYo4a_ULsyqdta6-6aDDiwpUnQT6c/edit?usp=sharing"",""นครสวรรค์!S767"")+IMPORTRANGE(""https://docs.google.com/spreadsheets/d/10s13Sk5xrltsiR-Zkbmk5DwIaDIKO8Xl"&amp;"bJAfqyT7Gvg/edit?usp=sharing"",""น่าน!S767"")+IMPORTRANGE(""https://docs.google.com/spreadsheets/d/1uu4nAn4Dbi1XREnLKKotUANlKXa7yCgRcgq8HEzQYW8/edit?usp=sharing"",""พะเยา!S767"")+IMPORTRANGE(""https://docs.google.com/spreadsheets/d/1xfJKIQxVOaPDIICqsflNlL"&amp;"u3JacTDk1FP9RH4phX7mI/edit?usp=sharing"",""พิจิตร!S767"")+IMPORTRANGE(""https://docs.google.com/spreadsheets/d/1JtRfZkJMHtEhI5RdRHxYUG4FIZHqKDpNyIuN7A1Q0_k/edit?usp=sharing"",""พิษณุโลก!S767"")+IMPORTRANGE(""https://docs.google.com/spreadsheets/d/1xlcVZWU"&amp;"Nn6SuWm0c307h32SiGkd9BaeQWlAktfD3KO8/edit?usp=sharing"",""เพชรบูรณ์!S767"")+IMPORTRANGE(""https://docs.google.com/spreadsheets/d/1lOVebEIsI9qjGXl6EX66luk7wiuP2tBaryw-wKvv4e0/edit?usp=sharing"",""แพร่!S767"")+IMPORTRANGE(""https://docs.google.com/spreadshe"&amp;"ets/d/1dQrvX0vEcN7Gu0fnZ0B5S90AeR19zth4XlExFBeExMY/edit?usp=sharing"",""แม่ฮ่องสอน!S767"")+IMPORTRANGE(""https://docs.google.com/spreadsheets/d/1DY4XTNNwjluuxqdfdn6qvOSlMRrZqUtmYcZR0ttFiG4/edit?usp=sharing"",""ลำปาง!S767"")+IMPORTRANGE(""https://docs.goog"&amp;"le.com/spreadsheets/d/1ICwG78r0OFT8biBlxnBF8r7she7gNSzOvJ958PWT09c/edit?usp=sharing"",""ลำพูน!S767"")+IMPORTRANGE(""https://docs.google.com/spreadsheets/d/1B0f2xJpZUC6Z0xXnqKlZtEPzsf6L84eP1r1Q15seqRM/edit?usp=sharing"",""สุโขทัย!S767"")+IMPORTRANGE(""http"&amp;"s://docs.google.com/spreadsheets/d/1v0b9pFQCsKUVExMei7AgY2yQkdeNQvtOssygGsXbiKo/edit?usp=sharing"",""อุตรดิตถ์!S767"")+IMPORTRANGE(""https://docs.google.com/spreadsheets/d/1UsNK1e-WWiCo2PvGqdNfdme4m17_Ezd3J69EeeiQPD0/edit?usp=sharing"",""อุทัยธานี!S767"")"),0)</f>
        <v>0</v>
      </c>
      <c r="T767" s="48">
        <f t="shared" ca="1" si="524"/>
        <v>0</v>
      </c>
      <c r="U767" s="48">
        <f t="shared" ca="1" si="525"/>
        <v>0</v>
      </c>
    </row>
    <row r="768" spans="1:21" ht="18.75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46">
        <f ca="1">IFERROR(__xludf.DUMMYFUNCTION("IMPORTRANGE(""https://docs.google.com/spreadsheets/d/1jTcq05yEiRwXcBMLjiodW9e4biSGYWAHcDj22rKWQ3s/edit?usp=sharing"",""กำแพงเพชร!L768"")+IMPORTRANGE(""https://docs.google.com/spreadsheets/d/1KS0zmDSZPk8KnTAbGN-Xk6MtX1YRZD0ldgdt20K4CRk/edit?usp=sharing"","&amp;"""เชียงราย!L768"")+IMPORTRANGE(""https://docs.google.com/spreadsheets/d/1rEDxBtusbi64tE0zunoIbsTVV16HeL0oJ6trHQeQ7K8/edit?usp=sharing"",""เชียงใหม่!L768"")+IMPORTRANGE(""https://docs.google.com/spreadsheets/d/1W6MnUbDkMi6xHnHko_XkFDO9kkuL6Wqyc-6OCDFjW9I/e"&amp;"dit?usp=sharing"",""ตาก!L768"")+IMPORTRANGE(""https://docs.google.com/spreadsheets/d/1IQAWArduLkta9LpYo4a_ULsyqdta6-6aDDiwpUnQT6c/edit?usp=sharing"",""นครสวรรค์!L768"")+IMPORTRANGE(""https://docs.google.com/spreadsheets/d/10s13Sk5xrltsiR-Zkbmk5DwIaDIKO8Xl"&amp;"bJAfqyT7Gvg/edit?usp=sharing"",""น่าน!L768"")+IMPORTRANGE(""https://docs.google.com/spreadsheets/d/1uu4nAn4Dbi1XREnLKKotUANlKXa7yCgRcgq8HEzQYW8/edit?usp=sharing"",""พะเยา!L768"")+IMPORTRANGE(""https://docs.google.com/spreadsheets/d/1xfJKIQxVOaPDIICqsflNlL"&amp;"u3JacTDk1FP9RH4phX7mI/edit?usp=sharing"",""พิจิตร!L768"")+IMPORTRANGE(""https://docs.google.com/spreadsheets/d/1JtRfZkJMHtEhI5RdRHxYUG4FIZHqKDpNyIuN7A1Q0_k/edit?usp=sharing"",""พิษณุโลก!L768"")+IMPORTRANGE(""https://docs.google.com/spreadsheets/d/1xlcVZWU"&amp;"Nn6SuWm0c307h32SiGkd9BaeQWlAktfD3KO8/edit?usp=sharing"",""เพชรบูรณ์!L768"")+IMPORTRANGE(""https://docs.google.com/spreadsheets/d/1lOVebEIsI9qjGXl6EX66luk7wiuP2tBaryw-wKvv4e0/edit?usp=sharing"",""แพร่!L768"")+IMPORTRANGE(""https://docs.google.com/spreadshe"&amp;"ets/d/1dQrvX0vEcN7Gu0fnZ0B5S90AeR19zth4XlExFBeExMY/edit?usp=sharing"",""แม่ฮ่องสอน!L768"")+IMPORTRANGE(""https://docs.google.com/spreadsheets/d/1DY4XTNNwjluuxqdfdn6qvOSlMRrZqUtmYcZR0ttFiG4/edit?usp=sharing"",""ลำปาง!L768"")+IMPORTRANGE(""https://docs.goog"&amp;"le.com/spreadsheets/d/1ICwG78r0OFT8biBlxnBF8r7she7gNSzOvJ958PWT09c/edit?usp=sharing"",""ลำพูน!L768"")+IMPORTRANGE(""https://docs.google.com/spreadsheets/d/1B0f2xJpZUC6Z0xXnqKlZtEPzsf6L84eP1r1Q15seqRM/edit?usp=sharing"",""สุโขทัย!L768"")+IMPORTRANGE(""http"&amp;"s://docs.google.com/spreadsheets/d/1v0b9pFQCsKUVExMei7AgY2yQkdeNQvtOssygGsXbiKo/edit?usp=sharing"",""อุตรดิตถ์!L768"")+IMPORTRANGE(""https://docs.google.com/spreadsheets/d/1UsNK1e-WWiCo2PvGqdNfdme4m17_Ezd3J69EeeiQPD0/edit?usp=sharing"",""อุทัยธานี!L768"")"),0)</f>
        <v>0</v>
      </c>
      <c r="M768" s="46">
        <f ca="1">IFERROR(__xludf.DUMMYFUNCTION("IMPORTRANGE(""https://docs.google.com/spreadsheets/d/1jTcq05yEiRwXcBMLjiodW9e4biSGYWAHcDj22rKWQ3s/edit?usp=sharing"",""กำแพงเพชร!M768"")+IMPORTRANGE(""https://docs.google.com/spreadsheets/d/1KS0zmDSZPk8KnTAbGN-Xk6MtX1YRZD0ldgdt20K4CRk/edit?usp=sharing"","&amp;"""เชียงราย!M768"")+IMPORTRANGE(""https://docs.google.com/spreadsheets/d/1rEDxBtusbi64tE0zunoIbsTVV16HeL0oJ6trHQeQ7K8/edit?usp=sharing"",""เชียงใหม่!M768"")+IMPORTRANGE(""https://docs.google.com/spreadsheets/d/1W6MnUbDkMi6xHnHko_XkFDO9kkuL6Wqyc-6OCDFjW9I/e"&amp;"dit?usp=sharing"",""ตาก!M768"")+IMPORTRANGE(""https://docs.google.com/spreadsheets/d/1IQAWArduLkta9LpYo4a_ULsyqdta6-6aDDiwpUnQT6c/edit?usp=sharing"",""นครสวรรค์!M768"")+IMPORTRANGE(""https://docs.google.com/spreadsheets/d/10s13Sk5xrltsiR-Zkbmk5DwIaDIKO8Xl"&amp;"bJAfqyT7Gvg/edit?usp=sharing"",""น่าน!M768"")+IMPORTRANGE(""https://docs.google.com/spreadsheets/d/1uu4nAn4Dbi1XREnLKKotUANlKXa7yCgRcgq8HEzQYW8/edit?usp=sharing"",""พะเยา!M768"")+IMPORTRANGE(""https://docs.google.com/spreadsheets/d/1xfJKIQxVOaPDIICqsflNlL"&amp;"u3JacTDk1FP9RH4phX7mI/edit?usp=sharing"",""พิจิตร!M768"")+IMPORTRANGE(""https://docs.google.com/spreadsheets/d/1JtRfZkJMHtEhI5RdRHxYUG4FIZHqKDpNyIuN7A1Q0_k/edit?usp=sharing"",""พิษณุโลก!M768"")+IMPORTRANGE(""https://docs.google.com/spreadsheets/d/1xlcVZWU"&amp;"Nn6SuWm0c307h32SiGkd9BaeQWlAktfD3KO8/edit?usp=sharing"",""เพชรบูรณ์!M768"")+IMPORTRANGE(""https://docs.google.com/spreadsheets/d/1lOVebEIsI9qjGXl6EX66luk7wiuP2tBaryw-wKvv4e0/edit?usp=sharing"",""แพร่!M768"")+IMPORTRANGE(""https://docs.google.com/spreadshe"&amp;"ets/d/1dQrvX0vEcN7Gu0fnZ0B5S90AeR19zth4XlExFBeExMY/edit?usp=sharing"",""แม่ฮ่องสอน!M768"")+IMPORTRANGE(""https://docs.google.com/spreadsheets/d/1DY4XTNNwjluuxqdfdn6qvOSlMRrZqUtmYcZR0ttFiG4/edit?usp=sharing"",""ลำปาง!M768"")+IMPORTRANGE(""https://docs.goog"&amp;"le.com/spreadsheets/d/1ICwG78r0OFT8biBlxnBF8r7she7gNSzOvJ958PWT09c/edit?usp=sharing"",""ลำพูน!M768"")+IMPORTRANGE(""https://docs.google.com/spreadsheets/d/1B0f2xJpZUC6Z0xXnqKlZtEPzsf6L84eP1r1Q15seqRM/edit?usp=sharing"",""สุโขทัย!M768"")+IMPORTRANGE(""http"&amp;"s://docs.google.com/spreadsheets/d/1v0b9pFQCsKUVExMei7AgY2yQkdeNQvtOssygGsXbiKo/edit?usp=sharing"",""อุตรดิตถ์!M768"")+IMPORTRANGE(""https://docs.google.com/spreadsheets/d/1UsNK1e-WWiCo2PvGqdNfdme4m17_Ezd3J69EeeiQPD0/edit?usp=sharing"",""อุทัยธานี!M768"")"),0)</f>
        <v>0</v>
      </c>
      <c r="N768" s="46">
        <f ca="1">IFERROR(__xludf.DUMMYFUNCTION("IMPORTRANGE(""https://docs.google.com/spreadsheets/d/1jTcq05yEiRwXcBMLjiodW9e4biSGYWAHcDj22rKWQ3s/edit?usp=sharing"",""กำแพงเพชร!N768"")+IMPORTRANGE(""https://docs.google.com/spreadsheets/d/1KS0zmDSZPk8KnTAbGN-Xk6MtX1YRZD0ldgdt20K4CRk/edit?usp=sharing"","&amp;"""เชียงราย!N768"")+IMPORTRANGE(""https://docs.google.com/spreadsheets/d/1rEDxBtusbi64tE0zunoIbsTVV16HeL0oJ6trHQeQ7K8/edit?usp=sharing"",""เชียงใหม่!N768"")+IMPORTRANGE(""https://docs.google.com/spreadsheets/d/1W6MnUbDkMi6xHnHko_XkFDO9kkuL6Wqyc-6OCDFjW9I/e"&amp;"dit?usp=sharing"",""ตาก!N768"")+IMPORTRANGE(""https://docs.google.com/spreadsheets/d/1IQAWArduLkta9LpYo4a_ULsyqdta6-6aDDiwpUnQT6c/edit?usp=sharing"",""นครสวรรค์!N768"")+IMPORTRANGE(""https://docs.google.com/spreadsheets/d/10s13Sk5xrltsiR-Zkbmk5DwIaDIKO8Xl"&amp;"bJAfqyT7Gvg/edit?usp=sharing"",""น่าน!N768"")+IMPORTRANGE(""https://docs.google.com/spreadsheets/d/1uu4nAn4Dbi1XREnLKKotUANlKXa7yCgRcgq8HEzQYW8/edit?usp=sharing"",""พะเยา!N768"")+IMPORTRANGE(""https://docs.google.com/spreadsheets/d/1xfJKIQxVOaPDIICqsflNlL"&amp;"u3JacTDk1FP9RH4phX7mI/edit?usp=sharing"",""พิจิตร!N768"")+IMPORTRANGE(""https://docs.google.com/spreadsheets/d/1JtRfZkJMHtEhI5RdRHxYUG4FIZHqKDpNyIuN7A1Q0_k/edit?usp=sharing"",""พิษณุโลก!N768"")+IMPORTRANGE(""https://docs.google.com/spreadsheets/d/1xlcVZWU"&amp;"Nn6SuWm0c307h32SiGkd9BaeQWlAktfD3KO8/edit?usp=sharing"",""เพชรบูรณ์!N768"")+IMPORTRANGE(""https://docs.google.com/spreadsheets/d/1lOVebEIsI9qjGXl6EX66luk7wiuP2tBaryw-wKvv4e0/edit?usp=sharing"",""แพร่!N768"")+IMPORTRANGE(""https://docs.google.com/spreadshe"&amp;"ets/d/1dQrvX0vEcN7Gu0fnZ0B5S90AeR19zth4XlExFBeExMY/edit?usp=sharing"",""แม่ฮ่องสอน!N768"")+IMPORTRANGE(""https://docs.google.com/spreadsheets/d/1DY4XTNNwjluuxqdfdn6qvOSlMRrZqUtmYcZR0ttFiG4/edit?usp=sharing"",""ลำปาง!N768"")+IMPORTRANGE(""https://docs.goog"&amp;"le.com/spreadsheets/d/1ICwG78r0OFT8biBlxnBF8r7she7gNSzOvJ958PWT09c/edit?usp=sharing"",""ลำพูน!N768"")+IMPORTRANGE(""https://docs.google.com/spreadsheets/d/1B0f2xJpZUC6Z0xXnqKlZtEPzsf6L84eP1r1Q15seqRM/edit?usp=sharing"",""สุโขทัย!N768"")+IMPORTRANGE(""http"&amp;"s://docs.google.com/spreadsheets/d/1v0b9pFQCsKUVExMei7AgY2yQkdeNQvtOssygGsXbiKo/edit?usp=sharing"",""อุตรดิตถ์!N768"")+IMPORTRANGE(""https://docs.google.com/spreadsheets/d/1UsNK1e-WWiCo2PvGqdNfdme4m17_Ezd3J69EeeiQPD0/edit?usp=sharing"",""อุทัยธานี!N768"")"),0)</f>
        <v>0</v>
      </c>
      <c r="O768" s="46">
        <f t="shared" ca="1" si="521"/>
        <v>0</v>
      </c>
      <c r="P768" s="46">
        <f t="shared" ca="1" si="522"/>
        <v>0</v>
      </c>
      <c r="Q768" s="46">
        <f ca="1">IFERROR(__xludf.DUMMYFUNCTION("IMPORTRANGE(""https://docs.google.com/spreadsheets/d/1jTcq05yEiRwXcBMLjiodW9e4biSGYWAHcDj22rKWQ3s/edit?usp=sharing"",""กำแพงเพชร!Q768"")+IMPORTRANGE(""https://docs.google.com/spreadsheets/d/1KS0zmDSZPk8KnTAbGN-Xk6MtX1YRZD0ldgdt20K4CRk/edit?usp=sharing"","&amp;"""เชียงราย!Q768"")+IMPORTRANGE(""https://docs.google.com/spreadsheets/d/1rEDxBtusbi64tE0zunoIbsTVV16HeL0oJ6trHQeQ7K8/edit?usp=sharing"",""เชียงใหม่!Q768"")+IMPORTRANGE(""https://docs.google.com/spreadsheets/d/1W6MnUbDkMi6xHnHko_XkFDO9kkuL6Wqyc-6OCDFjW9I/e"&amp;"dit?usp=sharing"",""ตาก!Q768"")+IMPORTRANGE(""https://docs.google.com/spreadsheets/d/1IQAWArduLkta9LpYo4a_ULsyqdta6-6aDDiwpUnQT6c/edit?usp=sharing"",""นครสวรรค์!Q768"")+IMPORTRANGE(""https://docs.google.com/spreadsheets/d/10s13Sk5xrltsiR-Zkbmk5DwIaDIKO8Xl"&amp;"bJAfqyT7Gvg/edit?usp=sharing"",""น่าน!Q768"")+IMPORTRANGE(""https://docs.google.com/spreadsheets/d/1uu4nAn4Dbi1XREnLKKotUANlKXa7yCgRcgq8HEzQYW8/edit?usp=sharing"",""พะเยา!Q768"")+IMPORTRANGE(""https://docs.google.com/spreadsheets/d/1xfJKIQxVOaPDIICqsflNlL"&amp;"u3JacTDk1FP9RH4phX7mI/edit?usp=sharing"",""พิจิตร!Q768"")+IMPORTRANGE(""https://docs.google.com/spreadsheets/d/1JtRfZkJMHtEhI5RdRHxYUG4FIZHqKDpNyIuN7A1Q0_k/edit?usp=sharing"",""พิษณุโลก!Q768"")+IMPORTRANGE(""https://docs.google.com/spreadsheets/d/1xlcVZWU"&amp;"Nn6SuWm0c307h32SiGkd9BaeQWlAktfD3KO8/edit?usp=sharing"",""เพชรบูรณ์!Q768"")+IMPORTRANGE(""https://docs.google.com/spreadsheets/d/1lOVebEIsI9qjGXl6EX66luk7wiuP2tBaryw-wKvv4e0/edit?usp=sharing"",""แพร่!Q768"")+IMPORTRANGE(""https://docs.google.com/spreadshe"&amp;"ets/d/1dQrvX0vEcN7Gu0fnZ0B5S90AeR19zth4XlExFBeExMY/edit?usp=sharing"",""แม่ฮ่องสอน!Q768"")+IMPORTRANGE(""https://docs.google.com/spreadsheets/d/1DY4XTNNwjluuxqdfdn6qvOSlMRrZqUtmYcZR0ttFiG4/edit?usp=sharing"",""ลำปาง!Q768"")+IMPORTRANGE(""https://docs.goog"&amp;"le.com/spreadsheets/d/1ICwG78r0OFT8biBlxnBF8r7she7gNSzOvJ958PWT09c/edit?usp=sharing"",""ลำพูน!Q768"")+IMPORTRANGE(""https://docs.google.com/spreadsheets/d/1B0f2xJpZUC6Z0xXnqKlZtEPzsf6L84eP1r1Q15seqRM/edit?usp=sharing"",""สุโขทัย!Q768"")+IMPORTRANGE(""http"&amp;"s://docs.google.com/spreadsheets/d/1v0b9pFQCsKUVExMei7AgY2yQkdeNQvtOssygGsXbiKo/edit?usp=sharing"",""อุตรดิตถ์!Q768"")+IMPORTRANGE(""https://docs.google.com/spreadsheets/d/1UsNK1e-WWiCo2PvGqdNfdme4m17_Ezd3J69EeeiQPD0/edit?usp=sharing"",""อุทัยธานี!Q768"")"),0)</f>
        <v>0</v>
      </c>
      <c r="R768" s="46">
        <f ca="1">IFERROR(__xludf.DUMMYFUNCTION("IMPORTRANGE(""https://docs.google.com/spreadsheets/d/1jTcq05yEiRwXcBMLjiodW9e4biSGYWAHcDj22rKWQ3s/edit?usp=sharing"",""กำแพงเพชร!R768"")+IMPORTRANGE(""https://docs.google.com/spreadsheets/d/1KS0zmDSZPk8KnTAbGN-Xk6MtX1YRZD0ldgdt20K4CRk/edit?usp=sharing"","&amp;"""เชียงราย!R768"")+IMPORTRANGE(""https://docs.google.com/spreadsheets/d/1rEDxBtusbi64tE0zunoIbsTVV16HeL0oJ6trHQeQ7K8/edit?usp=sharing"",""เชียงใหม่!R768"")+IMPORTRANGE(""https://docs.google.com/spreadsheets/d/1W6MnUbDkMi6xHnHko_XkFDO9kkuL6Wqyc-6OCDFjW9I/e"&amp;"dit?usp=sharing"",""ตาก!R768"")+IMPORTRANGE(""https://docs.google.com/spreadsheets/d/1IQAWArduLkta9LpYo4a_ULsyqdta6-6aDDiwpUnQT6c/edit?usp=sharing"",""นครสวรรค์!R768"")+IMPORTRANGE(""https://docs.google.com/spreadsheets/d/10s13Sk5xrltsiR-Zkbmk5DwIaDIKO8Xl"&amp;"bJAfqyT7Gvg/edit?usp=sharing"",""น่าน!R768"")+IMPORTRANGE(""https://docs.google.com/spreadsheets/d/1uu4nAn4Dbi1XREnLKKotUANlKXa7yCgRcgq8HEzQYW8/edit?usp=sharing"",""พะเยา!R768"")+IMPORTRANGE(""https://docs.google.com/spreadsheets/d/1xfJKIQxVOaPDIICqsflNlL"&amp;"u3JacTDk1FP9RH4phX7mI/edit?usp=sharing"",""พิจิตร!R768"")+IMPORTRANGE(""https://docs.google.com/spreadsheets/d/1JtRfZkJMHtEhI5RdRHxYUG4FIZHqKDpNyIuN7A1Q0_k/edit?usp=sharing"",""พิษณุโลก!R768"")+IMPORTRANGE(""https://docs.google.com/spreadsheets/d/1xlcVZWU"&amp;"Nn6SuWm0c307h32SiGkd9BaeQWlAktfD3KO8/edit?usp=sharing"",""เพชรบูรณ์!R768"")+IMPORTRANGE(""https://docs.google.com/spreadsheets/d/1lOVebEIsI9qjGXl6EX66luk7wiuP2tBaryw-wKvv4e0/edit?usp=sharing"",""แพร่!R768"")+IMPORTRANGE(""https://docs.google.com/spreadshe"&amp;"ets/d/1dQrvX0vEcN7Gu0fnZ0B5S90AeR19zth4XlExFBeExMY/edit?usp=sharing"",""แม่ฮ่องสอน!R768"")+IMPORTRANGE(""https://docs.google.com/spreadsheets/d/1DY4XTNNwjluuxqdfdn6qvOSlMRrZqUtmYcZR0ttFiG4/edit?usp=sharing"",""ลำปาง!R768"")+IMPORTRANGE(""https://docs.goog"&amp;"le.com/spreadsheets/d/1ICwG78r0OFT8biBlxnBF8r7she7gNSzOvJ958PWT09c/edit?usp=sharing"",""ลำพูน!R768"")+IMPORTRANGE(""https://docs.google.com/spreadsheets/d/1B0f2xJpZUC6Z0xXnqKlZtEPzsf6L84eP1r1Q15seqRM/edit?usp=sharing"",""สุโขทัย!R768"")+IMPORTRANGE(""http"&amp;"s://docs.google.com/spreadsheets/d/1v0b9pFQCsKUVExMei7AgY2yQkdeNQvtOssygGsXbiKo/edit?usp=sharing"",""อุตรดิตถ์!R768"")+IMPORTRANGE(""https://docs.google.com/spreadsheets/d/1UsNK1e-WWiCo2PvGqdNfdme4m17_Ezd3J69EeeiQPD0/edit?usp=sharing"",""อุทัยธานี!R768"")"),0)</f>
        <v>0</v>
      </c>
      <c r="S768" s="46">
        <f ca="1">IFERROR(__xludf.DUMMYFUNCTION("IMPORTRANGE(""https://docs.google.com/spreadsheets/d/1jTcq05yEiRwXcBMLjiodW9e4biSGYWAHcDj22rKWQ3s/edit?usp=sharing"",""กำแพงเพชร!S768"")+IMPORTRANGE(""https://docs.google.com/spreadsheets/d/1KS0zmDSZPk8KnTAbGN-Xk6MtX1YRZD0ldgdt20K4CRk/edit?usp=sharing"","&amp;"""เชียงราย!S768"")+IMPORTRANGE(""https://docs.google.com/spreadsheets/d/1rEDxBtusbi64tE0zunoIbsTVV16HeL0oJ6trHQeQ7K8/edit?usp=sharing"",""เชียงใหม่!S768"")+IMPORTRANGE(""https://docs.google.com/spreadsheets/d/1W6MnUbDkMi6xHnHko_XkFDO9kkuL6Wqyc-6OCDFjW9I/e"&amp;"dit?usp=sharing"",""ตาก!S768"")+IMPORTRANGE(""https://docs.google.com/spreadsheets/d/1IQAWArduLkta9LpYo4a_ULsyqdta6-6aDDiwpUnQT6c/edit?usp=sharing"",""นครสวรรค์!S768"")+IMPORTRANGE(""https://docs.google.com/spreadsheets/d/10s13Sk5xrltsiR-Zkbmk5DwIaDIKO8Xl"&amp;"bJAfqyT7Gvg/edit?usp=sharing"",""น่าน!S768"")+IMPORTRANGE(""https://docs.google.com/spreadsheets/d/1uu4nAn4Dbi1XREnLKKotUANlKXa7yCgRcgq8HEzQYW8/edit?usp=sharing"",""พะเยา!S768"")+IMPORTRANGE(""https://docs.google.com/spreadsheets/d/1xfJKIQxVOaPDIICqsflNlL"&amp;"u3JacTDk1FP9RH4phX7mI/edit?usp=sharing"",""พิจิตร!S768"")+IMPORTRANGE(""https://docs.google.com/spreadsheets/d/1JtRfZkJMHtEhI5RdRHxYUG4FIZHqKDpNyIuN7A1Q0_k/edit?usp=sharing"",""พิษณุโลก!S768"")+IMPORTRANGE(""https://docs.google.com/spreadsheets/d/1xlcVZWU"&amp;"Nn6SuWm0c307h32SiGkd9BaeQWlAktfD3KO8/edit?usp=sharing"",""เพชรบูรณ์!S768"")+IMPORTRANGE(""https://docs.google.com/spreadsheets/d/1lOVebEIsI9qjGXl6EX66luk7wiuP2tBaryw-wKvv4e0/edit?usp=sharing"",""แพร่!S768"")+IMPORTRANGE(""https://docs.google.com/spreadshe"&amp;"ets/d/1dQrvX0vEcN7Gu0fnZ0B5S90AeR19zth4XlExFBeExMY/edit?usp=sharing"",""แม่ฮ่องสอน!S768"")+IMPORTRANGE(""https://docs.google.com/spreadsheets/d/1DY4XTNNwjluuxqdfdn6qvOSlMRrZqUtmYcZR0ttFiG4/edit?usp=sharing"",""ลำปาง!S768"")+IMPORTRANGE(""https://docs.goog"&amp;"le.com/spreadsheets/d/1ICwG78r0OFT8biBlxnBF8r7she7gNSzOvJ958PWT09c/edit?usp=sharing"",""ลำพูน!S768"")+IMPORTRANGE(""https://docs.google.com/spreadsheets/d/1B0f2xJpZUC6Z0xXnqKlZtEPzsf6L84eP1r1Q15seqRM/edit?usp=sharing"",""สุโขทัย!S768"")+IMPORTRANGE(""http"&amp;"s://docs.google.com/spreadsheets/d/1v0b9pFQCsKUVExMei7AgY2yQkdeNQvtOssygGsXbiKo/edit?usp=sharing"",""อุตรดิตถ์!S768"")+IMPORTRANGE(""https://docs.google.com/spreadsheets/d/1UsNK1e-WWiCo2PvGqdNfdme4m17_Ezd3J69EeeiQPD0/edit?usp=sharing"",""อุทัยธานี!S768"")"),0)</f>
        <v>0</v>
      </c>
      <c r="T768" s="46">
        <f t="shared" ca="1" si="524"/>
        <v>0</v>
      </c>
      <c r="U768" s="46">
        <f t="shared" ca="1" si="525"/>
        <v>0</v>
      </c>
    </row>
    <row r="769" spans="1:21" ht="19.5" x14ac:dyDescent="0.3">
      <c r="A769" s="138"/>
      <c r="B769" s="139"/>
      <c r="C769" s="446" t="s">
        <v>18</v>
      </c>
      <c r="D769" s="409" t="s">
        <v>38</v>
      </c>
      <c r="E769" s="203"/>
      <c r="F769" s="141"/>
      <c r="G769" s="142"/>
      <c r="H769" s="178"/>
      <c r="I769" s="44"/>
      <c r="J769" s="44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x14ac:dyDescent="0.25">
      <c r="A770" s="138"/>
      <c r="B770" s="139"/>
      <c r="C770" s="139"/>
      <c r="D770" s="377" t="s">
        <v>286</v>
      </c>
      <c r="E770" s="139"/>
      <c r="F770" s="145"/>
      <c r="G770" s="143"/>
      <c r="H770" s="375" t="s">
        <v>35</v>
      </c>
      <c r="I770" s="315">
        <f ca="1">IFERROR(__xludf.DUMMYFUNCTION("IMPORTRANGE(""https://docs.google.com/spreadsheets/d/1jTcq05yEiRwXcBMLjiodW9e4biSGYWAHcDj22rKWQ3s/edit?usp=sharing"",""กำแพงเพชร!I770"")+IMPORTRANGE(""https://docs.google.com/spreadsheets/d/1KS0zmDSZPk8KnTAbGN-Xk6MtX1YRZD0ldgdt20K4CRk/edit?usp=sharing"","&amp;"""เชียงราย!I770"")+IMPORTRANGE(""https://docs.google.com/spreadsheets/d/1rEDxBtusbi64tE0zunoIbsTVV16HeL0oJ6trHQeQ7K8/edit?usp=sharing"",""เชียงใหม่!I770"")+IMPORTRANGE(""https://docs.google.com/spreadsheets/d/1W6MnUbDkMi6xHnHko_XkFDO9kkuL6Wqyc-6OCDFjW9I/e"&amp;"dit?usp=sharing"",""ตาก!I770"")+IMPORTRANGE(""https://docs.google.com/spreadsheets/d/1IQAWArduLkta9LpYo4a_ULsyqdta6-6aDDiwpUnQT6c/edit?usp=sharing"",""นครสวรรค์!I770"")+IMPORTRANGE(""https://docs.google.com/spreadsheets/d/10s13Sk5xrltsiR-Zkbmk5DwIaDIKO8Xl"&amp;"bJAfqyT7Gvg/edit?usp=sharing"",""น่าน!I770"")+IMPORTRANGE(""https://docs.google.com/spreadsheets/d/1uu4nAn4Dbi1XREnLKKotUANlKXa7yCgRcgq8HEzQYW8/edit?usp=sharing"",""พะเยา!I770"")+IMPORTRANGE(""https://docs.google.com/spreadsheets/d/1xfJKIQxVOaPDIICqsflNlL"&amp;"u3JacTDk1FP9RH4phX7mI/edit?usp=sharing"",""พิจิตร!I770"")+IMPORTRANGE(""https://docs.google.com/spreadsheets/d/1JtRfZkJMHtEhI5RdRHxYUG4FIZHqKDpNyIuN7A1Q0_k/edit?usp=sharing"",""พิษณุโลก!I770"")+IMPORTRANGE(""https://docs.google.com/spreadsheets/d/1xlcVZWU"&amp;"Nn6SuWm0c307h32SiGkd9BaeQWlAktfD3KO8/edit?usp=sharing"",""เพชรบูรณ์!I770"")+IMPORTRANGE(""https://docs.google.com/spreadsheets/d/1lOVebEIsI9qjGXl6EX66luk7wiuP2tBaryw-wKvv4e0/edit?usp=sharing"",""แพร่!I770"")+IMPORTRANGE(""https://docs.google.com/spreadshe"&amp;"ets/d/1dQrvX0vEcN7Gu0fnZ0B5S90AeR19zth4XlExFBeExMY/edit?usp=sharing"",""แม่ฮ่องสอน!I770"")+IMPORTRANGE(""https://docs.google.com/spreadsheets/d/1DY4XTNNwjluuxqdfdn6qvOSlMRrZqUtmYcZR0ttFiG4/edit?usp=sharing"",""ลำปาง!I770"")+IMPORTRANGE(""https://docs.goog"&amp;"le.com/spreadsheets/d/1ICwG78r0OFT8biBlxnBF8r7she7gNSzOvJ958PWT09c/edit?usp=sharing"",""ลำพูน!I770"")+IMPORTRANGE(""https://docs.google.com/spreadsheets/d/1B0f2xJpZUC6Z0xXnqKlZtEPzsf6L84eP1r1Q15seqRM/edit?usp=sharing"",""สุโขทัย!I770"")+IMPORTRANGE(""http"&amp;"s://docs.google.com/spreadsheets/d/1v0b9pFQCsKUVExMei7AgY2yQkdeNQvtOssygGsXbiKo/edit?usp=sharing"",""อุตรดิตถ์!I770"")+IMPORTRANGE(""https://docs.google.com/spreadsheets/d/1UsNK1e-WWiCo2PvGqdNfdme4m17_Ezd3J69EeeiQPD0/edit?usp=sharing"",""อุทัยธานี!I770"")"),0)</f>
        <v>0</v>
      </c>
      <c r="J770" s="315">
        <f ca="1">IFERROR(__xludf.DUMMYFUNCTION("IMPORTRANGE(""https://docs.google.com/spreadsheets/d/1jTcq05yEiRwXcBMLjiodW9e4biSGYWAHcDj22rKWQ3s/edit?usp=sharing"",""กำแพงเพชร!J770"")+IMPORTRANGE(""https://docs.google.com/spreadsheets/d/1KS0zmDSZPk8KnTAbGN-Xk6MtX1YRZD0ldgdt20K4CRk/edit?usp=sharing"","&amp;"""เชียงราย!J770"")+IMPORTRANGE(""https://docs.google.com/spreadsheets/d/1rEDxBtusbi64tE0zunoIbsTVV16HeL0oJ6trHQeQ7K8/edit?usp=sharing"",""เชียงใหม่!J770"")+IMPORTRANGE(""https://docs.google.com/spreadsheets/d/1W6MnUbDkMi6xHnHko_XkFDO9kkuL6Wqyc-6OCDFjW9I/e"&amp;"dit?usp=sharing"",""ตาก!J770"")+IMPORTRANGE(""https://docs.google.com/spreadsheets/d/1IQAWArduLkta9LpYo4a_ULsyqdta6-6aDDiwpUnQT6c/edit?usp=sharing"",""นครสวรรค์!J770"")+IMPORTRANGE(""https://docs.google.com/spreadsheets/d/10s13Sk5xrltsiR-Zkbmk5DwIaDIKO8Xl"&amp;"bJAfqyT7Gvg/edit?usp=sharing"",""น่าน!J770"")+IMPORTRANGE(""https://docs.google.com/spreadsheets/d/1uu4nAn4Dbi1XREnLKKotUANlKXa7yCgRcgq8HEzQYW8/edit?usp=sharing"",""พะเยา!J770"")+IMPORTRANGE(""https://docs.google.com/spreadsheets/d/1xfJKIQxVOaPDIICqsflNlL"&amp;"u3JacTDk1FP9RH4phX7mI/edit?usp=sharing"",""พิจิตร!J770"")+IMPORTRANGE(""https://docs.google.com/spreadsheets/d/1JtRfZkJMHtEhI5RdRHxYUG4FIZHqKDpNyIuN7A1Q0_k/edit?usp=sharing"",""พิษณุโลก!J770"")+IMPORTRANGE(""https://docs.google.com/spreadsheets/d/1xlcVZWU"&amp;"Nn6SuWm0c307h32SiGkd9BaeQWlAktfD3KO8/edit?usp=sharing"",""เพชรบูรณ์!J770"")+IMPORTRANGE(""https://docs.google.com/spreadsheets/d/1lOVebEIsI9qjGXl6EX66luk7wiuP2tBaryw-wKvv4e0/edit?usp=sharing"",""แพร่!J770"")+IMPORTRANGE(""https://docs.google.com/spreadshe"&amp;"ets/d/1dQrvX0vEcN7Gu0fnZ0B5S90AeR19zth4XlExFBeExMY/edit?usp=sharing"",""แม่ฮ่องสอน!J770"")+IMPORTRANGE(""https://docs.google.com/spreadsheets/d/1DY4XTNNwjluuxqdfdn6qvOSlMRrZqUtmYcZR0ttFiG4/edit?usp=sharing"",""ลำปาง!J770"")+IMPORTRANGE(""https://docs.goog"&amp;"le.com/spreadsheets/d/1ICwG78r0OFT8biBlxnBF8r7she7gNSzOvJ958PWT09c/edit?usp=sharing"",""ลำพูน!J770"")+IMPORTRANGE(""https://docs.google.com/spreadsheets/d/1B0f2xJpZUC6Z0xXnqKlZtEPzsf6L84eP1r1Q15seqRM/edit?usp=sharing"",""สุโขทัย!J770"")+IMPORTRANGE(""http"&amp;"s://docs.google.com/spreadsheets/d/1v0b9pFQCsKUVExMei7AgY2yQkdeNQvtOssygGsXbiKo/edit?usp=sharing"",""อุตรดิตถ์!J770"")+IMPORTRANGE(""https://docs.google.com/spreadsheets/d/1UsNK1e-WWiCo2PvGqdNfdme4m17_Ezd3J69EeeiQPD0/edit?usp=sharing"",""อุทัยธานี!J770"")"),0)</f>
        <v>0</v>
      </c>
      <c r="K770" s="48">
        <f ca="1">IF(I770&gt;0,J770*100/I770,0)</f>
        <v>0</v>
      </c>
      <c r="L770" s="45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x14ac:dyDescent="0.25">
      <c r="A771" s="138"/>
      <c r="B771" s="139"/>
      <c r="C771" s="139"/>
      <c r="D771" s="377" t="s">
        <v>287</v>
      </c>
      <c r="E771" s="139"/>
      <c r="F771" s="145"/>
      <c r="G771" s="143"/>
      <c r="H771" s="178"/>
      <c r="I771" s="44"/>
      <c r="J771" s="44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10" t="s">
        <v>288</v>
      </c>
      <c r="E772" s="139"/>
      <c r="F772" s="145"/>
      <c r="G772" s="143"/>
      <c r="H772" s="137" t="s">
        <v>35</v>
      </c>
      <c r="I772" s="166">
        <f ca="1">IFERROR(__xludf.DUMMYFUNCTION("IMPORTRANGE(""https://docs.google.com/spreadsheets/d/1jTcq05yEiRwXcBMLjiodW9e4biSGYWAHcDj22rKWQ3s/edit?usp=sharing"",""กำแพงเพชร!I772"")+IMPORTRANGE(""https://docs.google.com/spreadsheets/d/1KS0zmDSZPk8KnTAbGN-Xk6MtX1YRZD0ldgdt20K4CRk/edit?usp=sharing"","&amp;"""เชียงราย!I772"")+IMPORTRANGE(""https://docs.google.com/spreadsheets/d/1rEDxBtusbi64tE0zunoIbsTVV16HeL0oJ6trHQeQ7K8/edit?usp=sharing"",""เชียงใหม่!I772"")+IMPORTRANGE(""https://docs.google.com/spreadsheets/d/1W6MnUbDkMi6xHnHko_XkFDO9kkuL6Wqyc-6OCDFjW9I/e"&amp;"dit?usp=sharing"",""ตาก!I772"")+IMPORTRANGE(""https://docs.google.com/spreadsheets/d/1IQAWArduLkta9LpYo4a_ULsyqdta6-6aDDiwpUnQT6c/edit?usp=sharing"",""นครสวรรค์!I772"")+IMPORTRANGE(""https://docs.google.com/spreadsheets/d/10s13Sk5xrltsiR-Zkbmk5DwIaDIKO8Xl"&amp;"bJAfqyT7Gvg/edit?usp=sharing"",""น่าน!I772"")+IMPORTRANGE(""https://docs.google.com/spreadsheets/d/1uu4nAn4Dbi1XREnLKKotUANlKXa7yCgRcgq8HEzQYW8/edit?usp=sharing"",""พะเยา!I772"")+IMPORTRANGE(""https://docs.google.com/spreadsheets/d/1xfJKIQxVOaPDIICqsflNlL"&amp;"u3JacTDk1FP9RH4phX7mI/edit?usp=sharing"",""พิจิตร!I772"")+IMPORTRANGE(""https://docs.google.com/spreadsheets/d/1JtRfZkJMHtEhI5RdRHxYUG4FIZHqKDpNyIuN7A1Q0_k/edit?usp=sharing"",""พิษณุโลก!I772"")+IMPORTRANGE(""https://docs.google.com/spreadsheets/d/1xlcVZWU"&amp;"Nn6SuWm0c307h32SiGkd9BaeQWlAktfD3KO8/edit?usp=sharing"",""เพชรบูรณ์!I772"")+IMPORTRANGE(""https://docs.google.com/spreadsheets/d/1lOVebEIsI9qjGXl6EX66luk7wiuP2tBaryw-wKvv4e0/edit?usp=sharing"",""แพร่!I772"")+IMPORTRANGE(""https://docs.google.com/spreadshe"&amp;"ets/d/1dQrvX0vEcN7Gu0fnZ0B5S90AeR19zth4XlExFBeExMY/edit?usp=sharing"",""แม่ฮ่องสอน!I772"")+IMPORTRANGE(""https://docs.google.com/spreadsheets/d/1DY4XTNNwjluuxqdfdn6qvOSlMRrZqUtmYcZR0ttFiG4/edit?usp=sharing"",""ลำปาง!I772"")+IMPORTRANGE(""https://docs.goog"&amp;"le.com/spreadsheets/d/1ICwG78r0OFT8biBlxnBF8r7she7gNSzOvJ958PWT09c/edit?usp=sharing"",""ลำพูน!I772"")+IMPORTRANGE(""https://docs.google.com/spreadsheets/d/1B0f2xJpZUC6Z0xXnqKlZtEPzsf6L84eP1r1Q15seqRM/edit?usp=sharing"",""สุโขทัย!I772"")+IMPORTRANGE(""http"&amp;"s://docs.google.com/spreadsheets/d/1v0b9pFQCsKUVExMei7AgY2yQkdeNQvtOssygGsXbiKo/edit?usp=sharing"",""อุตรดิตถ์!I772"")+IMPORTRANGE(""https://docs.google.com/spreadsheets/d/1UsNK1e-WWiCo2PvGqdNfdme4m17_Ezd3J69EeeiQPD0/edit?usp=sharing"",""อุทัยธานี!I772"")"),1115)</f>
        <v>1115</v>
      </c>
      <c r="J772" s="167">
        <f ca="1">IFERROR(__xludf.DUMMYFUNCTION("IMPORTRANGE(""https://docs.google.com/spreadsheets/d/1jTcq05yEiRwXcBMLjiodW9e4biSGYWAHcDj22rKWQ3s/edit?usp=sharing"",""กำแพงเพชร!J772"")+IMPORTRANGE(""https://docs.google.com/spreadsheets/d/1KS0zmDSZPk8KnTAbGN-Xk6MtX1YRZD0ldgdt20K4CRk/edit?usp=sharing"","&amp;"""เชียงราย!J772"")+IMPORTRANGE(""https://docs.google.com/spreadsheets/d/1rEDxBtusbi64tE0zunoIbsTVV16HeL0oJ6trHQeQ7K8/edit?usp=sharing"",""เชียงใหม่!J772"")+IMPORTRANGE(""https://docs.google.com/spreadsheets/d/1W6MnUbDkMi6xHnHko_XkFDO9kkuL6Wqyc-6OCDFjW9I/e"&amp;"dit?usp=sharing"",""ตาก!J772"")+IMPORTRANGE(""https://docs.google.com/spreadsheets/d/1IQAWArduLkta9LpYo4a_ULsyqdta6-6aDDiwpUnQT6c/edit?usp=sharing"",""นครสวรรค์!J772"")+IMPORTRANGE(""https://docs.google.com/spreadsheets/d/10s13Sk5xrltsiR-Zkbmk5DwIaDIKO8Xl"&amp;"bJAfqyT7Gvg/edit?usp=sharing"",""น่าน!J772"")+IMPORTRANGE(""https://docs.google.com/spreadsheets/d/1uu4nAn4Dbi1XREnLKKotUANlKXa7yCgRcgq8HEzQYW8/edit?usp=sharing"",""พะเยา!J772"")+IMPORTRANGE(""https://docs.google.com/spreadsheets/d/1xfJKIQxVOaPDIICqsflNlL"&amp;"u3JacTDk1FP9RH4phX7mI/edit?usp=sharing"",""พิจิตร!J772"")+IMPORTRANGE(""https://docs.google.com/spreadsheets/d/1JtRfZkJMHtEhI5RdRHxYUG4FIZHqKDpNyIuN7A1Q0_k/edit?usp=sharing"",""พิษณุโลก!J772"")+IMPORTRANGE(""https://docs.google.com/spreadsheets/d/1xlcVZWU"&amp;"Nn6SuWm0c307h32SiGkd9BaeQWlAktfD3KO8/edit?usp=sharing"",""เพชรบูรณ์!J772"")+IMPORTRANGE(""https://docs.google.com/spreadsheets/d/1lOVebEIsI9qjGXl6EX66luk7wiuP2tBaryw-wKvv4e0/edit?usp=sharing"",""แพร่!J772"")+IMPORTRANGE(""https://docs.google.com/spreadshe"&amp;"ets/d/1dQrvX0vEcN7Gu0fnZ0B5S90AeR19zth4XlExFBeExMY/edit?usp=sharing"",""แม่ฮ่องสอน!J772"")+IMPORTRANGE(""https://docs.google.com/spreadsheets/d/1DY4XTNNwjluuxqdfdn6qvOSlMRrZqUtmYcZR0ttFiG4/edit?usp=sharing"",""ลำปาง!J772"")+IMPORTRANGE(""https://docs.goog"&amp;"le.com/spreadsheets/d/1ICwG78r0OFT8biBlxnBF8r7she7gNSzOvJ958PWT09c/edit?usp=sharing"",""ลำพูน!J772"")+IMPORTRANGE(""https://docs.google.com/spreadsheets/d/1B0f2xJpZUC6Z0xXnqKlZtEPzsf6L84eP1r1Q15seqRM/edit?usp=sharing"",""สุโขทัย!J772"")+IMPORTRANGE(""http"&amp;"s://docs.google.com/spreadsheets/d/1v0b9pFQCsKUVExMei7AgY2yQkdeNQvtOssygGsXbiKo/edit?usp=sharing"",""อุตรดิตถ์!J772"")+IMPORTRANGE(""https://docs.google.com/spreadsheets/d/1UsNK1e-WWiCo2PvGqdNfdme4m17_Ezd3J69EeeiQPD0/edit?usp=sharing"",""อุทัยธานี!J772"")"),619)</f>
        <v>619</v>
      </c>
      <c r="K772" s="46">
        <f ca="1">IF(I772&gt;0,J772*100/I772,0)</f>
        <v>55.515695067264573</v>
      </c>
      <c r="L772" s="45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10" t="s">
        <v>289</v>
      </c>
      <c r="E773" s="139"/>
      <c r="F773" s="145"/>
      <c r="G773" s="143"/>
      <c r="H773" s="178"/>
      <c r="I773" s="44"/>
      <c r="J773" s="44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10" t="s">
        <v>290</v>
      </c>
      <c r="E774" s="139"/>
      <c r="F774" s="145"/>
      <c r="G774" s="143"/>
      <c r="H774" s="137" t="s">
        <v>46</v>
      </c>
      <c r="I774" s="166">
        <f ca="1">IFERROR(__xludf.DUMMYFUNCTION("IMPORTRANGE(""https://docs.google.com/spreadsheets/d/1jTcq05yEiRwXcBMLjiodW9e4biSGYWAHcDj22rKWQ3s/edit?usp=sharing"",""กำแพงเพชร!I774"")+IMPORTRANGE(""https://docs.google.com/spreadsheets/d/1KS0zmDSZPk8KnTAbGN-Xk6MtX1YRZD0ldgdt20K4CRk/edit?usp=sharing"","&amp;"""เชียงราย!I774"")+IMPORTRANGE(""https://docs.google.com/spreadsheets/d/1rEDxBtusbi64tE0zunoIbsTVV16HeL0oJ6trHQeQ7K8/edit?usp=sharing"",""เชียงใหม่!I774"")+IMPORTRANGE(""https://docs.google.com/spreadsheets/d/1W6MnUbDkMi6xHnHko_XkFDO9kkuL6Wqyc-6OCDFjW9I/e"&amp;"dit?usp=sharing"",""ตาก!I774"")+IMPORTRANGE(""https://docs.google.com/spreadsheets/d/1IQAWArduLkta9LpYo4a_ULsyqdta6-6aDDiwpUnQT6c/edit?usp=sharing"",""นครสวรรค์!I774"")+IMPORTRANGE(""https://docs.google.com/spreadsheets/d/10s13Sk5xrltsiR-Zkbmk5DwIaDIKO8Xl"&amp;"bJAfqyT7Gvg/edit?usp=sharing"",""น่าน!I774"")+IMPORTRANGE(""https://docs.google.com/spreadsheets/d/1uu4nAn4Dbi1XREnLKKotUANlKXa7yCgRcgq8HEzQYW8/edit?usp=sharing"",""พะเยา!I774"")+IMPORTRANGE(""https://docs.google.com/spreadsheets/d/1xfJKIQxVOaPDIICqsflNlL"&amp;"u3JacTDk1FP9RH4phX7mI/edit?usp=sharing"",""พิจิตร!I774"")+IMPORTRANGE(""https://docs.google.com/spreadsheets/d/1JtRfZkJMHtEhI5RdRHxYUG4FIZHqKDpNyIuN7A1Q0_k/edit?usp=sharing"",""พิษณุโลก!I774"")+IMPORTRANGE(""https://docs.google.com/spreadsheets/d/1xlcVZWU"&amp;"Nn6SuWm0c307h32SiGkd9BaeQWlAktfD3KO8/edit?usp=sharing"",""เพชรบูรณ์!I774"")+IMPORTRANGE(""https://docs.google.com/spreadsheets/d/1lOVebEIsI9qjGXl6EX66luk7wiuP2tBaryw-wKvv4e0/edit?usp=sharing"",""แพร่!I774"")+IMPORTRANGE(""https://docs.google.com/spreadshe"&amp;"ets/d/1dQrvX0vEcN7Gu0fnZ0B5S90AeR19zth4XlExFBeExMY/edit?usp=sharing"",""แม่ฮ่องสอน!I774"")+IMPORTRANGE(""https://docs.google.com/spreadsheets/d/1DY4XTNNwjluuxqdfdn6qvOSlMRrZqUtmYcZR0ttFiG4/edit?usp=sharing"",""ลำปาง!I774"")+IMPORTRANGE(""https://docs.goog"&amp;"le.com/spreadsheets/d/1ICwG78r0OFT8biBlxnBF8r7she7gNSzOvJ958PWT09c/edit?usp=sharing"",""ลำพูน!I774"")+IMPORTRANGE(""https://docs.google.com/spreadsheets/d/1B0f2xJpZUC6Z0xXnqKlZtEPzsf6L84eP1r1Q15seqRM/edit?usp=sharing"",""สุโขทัย!I774"")+IMPORTRANGE(""http"&amp;"s://docs.google.com/spreadsheets/d/1v0b9pFQCsKUVExMei7AgY2yQkdeNQvtOssygGsXbiKo/edit?usp=sharing"",""อุตรดิตถ์!I774"")+IMPORTRANGE(""https://docs.google.com/spreadsheets/d/1UsNK1e-WWiCo2PvGqdNfdme4m17_Ezd3J69EeeiQPD0/edit?usp=sharing"",""อุทัยธานี!I774"")"),3235)</f>
        <v>3235</v>
      </c>
      <c r="J774" s="167">
        <f ca="1">IFERROR(__xludf.DUMMYFUNCTION("IMPORTRANGE(""https://docs.google.com/spreadsheets/d/1jTcq05yEiRwXcBMLjiodW9e4biSGYWAHcDj22rKWQ3s/edit?usp=sharing"",""กำแพงเพชร!J774"")+IMPORTRANGE(""https://docs.google.com/spreadsheets/d/1KS0zmDSZPk8KnTAbGN-Xk6MtX1YRZD0ldgdt20K4CRk/edit?usp=sharing"","&amp;"""เชียงราย!J774"")+IMPORTRANGE(""https://docs.google.com/spreadsheets/d/1rEDxBtusbi64tE0zunoIbsTVV16HeL0oJ6trHQeQ7K8/edit?usp=sharing"",""เชียงใหม่!J774"")+IMPORTRANGE(""https://docs.google.com/spreadsheets/d/1W6MnUbDkMi6xHnHko_XkFDO9kkuL6Wqyc-6OCDFjW9I/e"&amp;"dit?usp=sharing"",""ตาก!J774"")+IMPORTRANGE(""https://docs.google.com/spreadsheets/d/1IQAWArduLkta9LpYo4a_ULsyqdta6-6aDDiwpUnQT6c/edit?usp=sharing"",""นครสวรรค์!J774"")+IMPORTRANGE(""https://docs.google.com/spreadsheets/d/10s13Sk5xrltsiR-Zkbmk5DwIaDIKO8Xl"&amp;"bJAfqyT7Gvg/edit?usp=sharing"",""น่าน!J774"")+IMPORTRANGE(""https://docs.google.com/spreadsheets/d/1uu4nAn4Dbi1XREnLKKotUANlKXa7yCgRcgq8HEzQYW8/edit?usp=sharing"",""พะเยา!J774"")+IMPORTRANGE(""https://docs.google.com/spreadsheets/d/1xfJKIQxVOaPDIICqsflNlL"&amp;"u3JacTDk1FP9RH4phX7mI/edit?usp=sharing"",""พิจิตร!J774"")+IMPORTRANGE(""https://docs.google.com/spreadsheets/d/1JtRfZkJMHtEhI5RdRHxYUG4FIZHqKDpNyIuN7A1Q0_k/edit?usp=sharing"",""พิษณุโลก!J774"")+IMPORTRANGE(""https://docs.google.com/spreadsheets/d/1xlcVZWU"&amp;"Nn6SuWm0c307h32SiGkd9BaeQWlAktfD3KO8/edit?usp=sharing"",""เพชรบูรณ์!J774"")+IMPORTRANGE(""https://docs.google.com/spreadsheets/d/1lOVebEIsI9qjGXl6EX66luk7wiuP2tBaryw-wKvv4e0/edit?usp=sharing"",""แพร่!J774"")+IMPORTRANGE(""https://docs.google.com/spreadshe"&amp;"ets/d/1dQrvX0vEcN7Gu0fnZ0B5S90AeR19zth4XlExFBeExMY/edit?usp=sharing"",""แม่ฮ่องสอน!J774"")+IMPORTRANGE(""https://docs.google.com/spreadsheets/d/1DY4XTNNwjluuxqdfdn6qvOSlMRrZqUtmYcZR0ttFiG4/edit?usp=sharing"",""ลำปาง!J774"")+IMPORTRANGE(""https://docs.goog"&amp;"le.com/spreadsheets/d/1ICwG78r0OFT8biBlxnBF8r7she7gNSzOvJ958PWT09c/edit?usp=sharing"",""ลำพูน!J774"")+IMPORTRANGE(""https://docs.google.com/spreadsheets/d/1B0f2xJpZUC6Z0xXnqKlZtEPzsf6L84eP1r1Q15seqRM/edit?usp=sharing"",""สุโขทัย!J774"")+IMPORTRANGE(""http"&amp;"s://docs.google.com/spreadsheets/d/1v0b9pFQCsKUVExMei7AgY2yQkdeNQvtOssygGsXbiKo/edit?usp=sharing"",""อุตรดิตถ์!J774"")+IMPORTRANGE(""https://docs.google.com/spreadsheets/d/1UsNK1e-WWiCo2PvGqdNfdme4m17_Ezd3J69EeeiQPD0/edit?usp=sharing"",""อุทัยธานี!J774"")"),1063)</f>
        <v>1063</v>
      </c>
      <c r="K774" s="46">
        <f ca="1">IF(I774&gt;0,J774*100/I774,0)</f>
        <v>32.859350850077277</v>
      </c>
      <c r="L774" s="45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10" t="s">
        <v>50</v>
      </c>
      <c r="E775" s="145"/>
      <c r="F775" s="40"/>
      <c r="G775" s="42"/>
      <c r="H775" s="137" t="s">
        <v>46</v>
      </c>
      <c r="I775" s="166">
        <f ca="1">IFERROR(__xludf.DUMMYFUNCTION("IMPORTRANGE(""https://docs.google.com/spreadsheets/d/1jTcq05yEiRwXcBMLjiodW9e4biSGYWAHcDj22rKWQ3s/edit?usp=sharing"",""กำแพงเพชร!I775"")+IMPORTRANGE(""https://docs.google.com/spreadsheets/d/1KS0zmDSZPk8KnTAbGN-Xk6MtX1YRZD0ldgdt20K4CRk/edit?usp=sharing"","&amp;"""เชียงราย!I775"")+IMPORTRANGE(""https://docs.google.com/spreadsheets/d/1rEDxBtusbi64tE0zunoIbsTVV16HeL0oJ6trHQeQ7K8/edit?usp=sharing"",""เชียงใหม่!I775"")+IMPORTRANGE(""https://docs.google.com/spreadsheets/d/1W6MnUbDkMi6xHnHko_XkFDO9kkuL6Wqyc-6OCDFjW9I/e"&amp;"dit?usp=sharing"",""ตาก!I775"")+IMPORTRANGE(""https://docs.google.com/spreadsheets/d/1IQAWArduLkta9LpYo4a_ULsyqdta6-6aDDiwpUnQT6c/edit?usp=sharing"",""นครสวรรค์!I775"")+IMPORTRANGE(""https://docs.google.com/spreadsheets/d/10s13Sk5xrltsiR-Zkbmk5DwIaDIKO8Xl"&amp;"bJAfqyT7Gvg/edit?usp=sharing"",""น่าน!I775"")+IMPORTRANGE(""https://docs.google.com/spreadsheets/d/1uu4nAn4Dbi1XREnLKKotUANlKXa7yCgRcgq8HEzQYW8/edit?usp=sharing"",""พะเยา!I775"")+IMPORTRANGE(""https://docs.google.com/spreadsheets/d/1xfJKIQxVOaPDIICqsflNlL"&amp;"u3JacTDk1FP9RH4phX7mI/edit?usp=sharing"",""พิจิตร!I775"")+IMPORTRANGE(""https://docs.google.com/spreadsheets/d/1JtRfZkJMHtEhI5RdRHxYUG4FIZHqKDpNyIuN7A1Q0_k/edit?usp=sharing"",""พิษณุโลก!I775"")+IMPORTRANGE(""https://docs.google.com/spreadsheets/d/1xlcVZWU"&amp;"Nn6SuWm0c307h32SiGkd9BaeQWlAktfD3KO8/edit?usp=sharing"",""เพชรบูรณ์!I775"")+IMPORTRANGE(""https://docs.google.com/spreadsheets/d/1lOVebEIsI9qjGXl6EX66luk7wiuP2tBaryw-wKvv4e0/edit?usp=sharing"",""แพร่!I775"")+IMPORTRANGE(""https://docs.google.com/spreadshe"&amp;"ets/d/1dQrvX0vEcN7Gu0fnZ0B5S90AeR19zth4XlExFBeExMY/edit?usp=sharing"",""แม่ฮ่องสอน!I775"")+IMPORTRANGE(""https://docs.google.com/spreadsheets/d/1DY4XTNNwjluuxqdfdn6qvOSlMRrZqUtmYcZR0ttFiG4/edit?usp=sharing"",""ลำปาง!I775"")+IMPORTRANGE(""https://docs.goog"&amp;"le.com/spreadsheets/d/1ICwG78r0OFT8biBlxnBF8r7she7gNSzOvJ958PWT09c/edit?usp=sharing"",""ลำพูน!I775"")+IMPORTRANGE(""https://docs.google.com/spreadsheets/d/1B0f2xJpZUC6Z0xXnqKlZtEPzsf6L84eP1r1Q15seqRM/edit?usp=sharing"",""สุโขทัย!I775"")+IMPORTRANGE(""http"&amp;"s://docs.google.com/spreadsheets/d/1v0b9pFQCsKUVExMei7AgY2yQkdeNQvtOssygGsXbiKo/edit?usp=sharing"",""อุตรดิตถ์!I775"")+IMPORTRANGE(""https://docs.google.com/spreadsheets/d/1UsNK1e-WWiCo2PvGqdNfdme4m17_Ezd3J69EeeiQPD0/edit?usp=sharing"",""อุทัยธานี!I775"")"),3235)</f>
        <v>3235</v>
      </c>
      <c r="J775" s="167">
        <f ca="1">IFERROR(__xludf.DUMMYFUNCTION("IMPORTRANGE(""https://docs.google.com/spreadsheets/d/1jTcq05yEiRwXcBMLjiodW9e4biSGYWAHcDj22rKWQ3s/edit?usp=sharing"",""กำแพงเพชร!J775"")+IMPORTRANGE(""https://docs.google.com/spreadsheets/d/1KS0zmDSZPk8KnTAbGN-Xk6MtX1YRZD0ldgdt20K4CRk/edit?usp=sharing"","&amp;"""เชียงราย!J775"")+IMPORTRANGE(""https://docs.google.com/spreadsheets/d/1rEDxBtusbi64tE0zunoIbsTVV16HeL0oJ6trHQeQ7K8/edit?usp=sharing"",""เชียงใหม่!J775"")+IMPORTRANGE(""https://docs.google.com/spreadsheets/d/1W6MnUbDkMi6xHnHko_XkFDO9kkuL6Wqyc-6OCDFjW9I/e"&amp;"dit?usp=sharing"",""ตาก!J775"")+IMPORTRANGE(""https://docs.google.com/spreadsheets/d/1IQAWArduLkta9LpYo4a_ULsyqdta6-6aDDiwpUnQT6c/edit?usp=sharing"",""นครสวรรค์!J775"")+IMPORTRANGE(""https://docs.google.com/spreadsheets/d/10s13Sk5xrltsiR-Zkbmk5DwIaDIKO8Xl"&amp;"bJAfqyT7Gvg/edit?usp=sharing"",""น่าน!J775"")+IMPORTRANGE(""https://docs.google.com/spreadsheets/d/1uu4nAn4Dbi1XREnLKKotUANlKXa7yCgRcgq8HEzQYW8/edit?usp=sharing"",""พะเยา!J775"")+IMPORTRANGE(""https://docs.google.com/spreadsheets/d/1xfJKIQxVOaPDIICqsflNlL"&amp;"u3JacTDk1FP9RH4phX7mI/edit?usp=sharing"",""พิจิตร!J775"")+IMPORTRANGE(""https://docs.google.com/spreadsheets/d/1JtRfZkJMHtEhI5RdRHxYUG4FIZHqKDpNyIuN7A1Q0_k/edit?usp=sharing"",""พิษณุโลก!J775"")+IMPORTRANGE(""https://docs.google.com/spreadsheets/d/1xlcVZWU"&amp;"Nn6SuWm0c307h32SiGkd9BaeQWlAktfD3KO8/edit?usp=sharing"",""เพชรบูรณ์!J775"")+IMPORTRANGE(""https://docs.google.com/spreadsheets/d/1lOVebEIsI9qjGXl6EX66luk7wiuP2tBaryw-wKvv4e0/edit?usp=sharing"",""แพร่!J775"")+IMPORTRANGE(""https://docs.google.com/spreadshe"&amp;"ets/d/1dQrvX0vEcN7Gu0fnZ0B5S90AeR19zth4XlExFBeExMY/edit?usp=sharing"",""แม่ฮ่องสอน!J775"")+IMPORTRANGE(""https://docs.google.com/spreadsheets/d/1DY4XTNNwjluuxqdfdn6qvOSlMRrZqUtmYcZR0ttFiG4/edit?usp=sharing"",""ลำปาง!J775"")+IMPORTRANGE(""https://docs.goog"&amp;"le.com/spreadsheets/d/1ICwG78r0OFT8biBlxnBF8r7she7gNSzOvJ958PWT09c/edit?usp=sharing"",""ลำพูน!J775"")+IMPORTRANGE(""https://docs.google.com/spreadsheets/d/1B0f2xJpZUC6Z0xXnqKlZtEPzsf6L84eP1r1Q15seqRM/edit?usp=sharing"",""สุโขทัย!J775"")+IMPORTRANGE(""http"&amp;"s://docs.google.com/spreadsheets/d/1v0b9pFQCsKUVExMei7AgY2yQkdeNQvtOssygGsXbiKo/edit?usp=sharing"",""อุตรดิตถ์!J775"")+IMPORTRANGE(""https://docs.google.com/spreadsheets/d/1UsNK1e-WWiCo2PvGqdNfdme4m17_Ezd3J69EeeiQPD0/edit?usp=sharing"",""อุทัยธานี!J775"")"),260)</f>
        <v>260</v>
      </c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7">
        <f ca="1">IFERROR(__xludf.DUMMYFUNCTION("IMPORTRANGE(""https://docs.google.com/spreadsheets/d/1jTcq05yEiRwXcBMLjiodW9e4biSGYWAHcDj22rKWQ3s/edit?usp=sharing"",""กำแพงเพชร!I776"")+IMPORTRANGE(""https://docs.google.com/spreadsheets/d/1KS0zmDSZPk8KnTAbGN-Xk6MtX1YRZD0ldgdt20K4CRk/edit?usp=sharing"","&amp;"""เชียงราย!I776"")+IMPORTRANGE(""https://docs.google.com/spreadsheets/d/1rEDxBtusbi64tE0zunoIbsTVV16HeL0oJ6trHQeQ7K8/edit?usp=sharing"",""เชียงใหม่!I776"")+IMPORTRANGE(""https://docs.google.com/spreadsheets/d/1W6MnUbDkMi6xHnHko_XkFDO9kkuL6Wqyc-6OCDFjW9I/e"&amp;"dit?usp=sharing"",""ตาก!I776"")+IMPORTRANGE(""https://docs.google.com/spreadsheets/d/1IQAWArduLkta9LpYo4a_ULsyqdta6-6aDDiwpUnQT6c/edit?usp=sharing"",""นครสวรรค์!I776"")+IMPORTRANGE(""https://docs.google.com/spreadsheets/d/10s13Sk5xrltsiR-Zkbmk5DwIaDIKO8Xl"&amp;"bJAfqyT7Gvg/edit?usp=sharing"",""น่าน!I776"")+IMPORTRANGE(""https://docs.google.com/spreadsheets/d/1uu4nAn4Dbi1XREnLKKotUANlKXa7yCgRcgq8HEzQYW8/edit?usp=sharing"",""พะเยา!I776"")+IMPORTRANGE(""https://docs.google.com/spreadsheets/d/1xfJKIQxVOaPDIICqsflNlL"&amp;"u3JacTDk1FP9RH4phX7mI/edit?usp=sharing"",""พิจิตร!I776"")+IMPORTRANGE(""https://docs.google.com/spreadsheets/d/1JtRfZkJMHtEhI5RdRHxYUG4FIZHqKDpNyIuN7A1Q0_k/edit?usp=sharing"",""พิษณุโลก!I776"")+IMPORTRANGE(""https://docs.google.com/spreadsheets/d/1xlcVZWU"&amp;"Nn6SuWm0c307h32SiGkd9BaeQWlAktfD3KO8/edit?usp=sharing"",""เพชรบูรณ์!I776"")+IMPORTRANGE(""https://docs.google.com/spreadsheets/d/1lOVebEIsI9qjGXl6EX66luk7wiuP2tBaryw-wKvv4e0/edit?usp=sharing"",""แพร่!I776"")+IMPORTRANGE(""https://docs.google.com/spreadshe"&amp;"ets/d/1dQrvX0vEcN7Gu0fnZ0B5S90AeR19zth4XlExFBeExMY/edit?usp=sharing"",""แม่ฮ่องสอน!I776"")+IMPORTRANGE(""https://docs.google.com/spreadsheets/d/1DY4XTNNwjluuxqdfdn6qvOSlMRrZqUtmYcZR0ttFiG4/edit?usp=sharing"",""ลำปาง!I776"")+IMPORTRANGE(""https://docs.goog"&amp;"le.com/spreadsheets/d/1ICwG78r0OFT8biBlxnBF8r7she7gNSzOvJ958PWT09c/edit?usp=sharing"",""ลำพูน!I776"")+IMPORTRANGE(""https://docs.google.com/spreadsheets/d/1B0f2xJpZUC6Z0xXnqKlZtEPzsf6L84eP1r1Q15seqRM/edit?usp=sharing"",""สุโขทัย!I776"")+IMPORTRANGE(""http"&amp;"s://docs.google.com/spreadsheets/d/1v0b9pFQCsKUVExMei7AgY2yQkdeNQvtOssygGsXbiKo/edit?usp=sharing"",""อุตรดิตถ์!I776"")+IMPORTRANGE(""https://docs.google.com/spreadsheets/d/1UsNK1e-WWiCo2PvGqdNfdme4m17_Ezd3J69EeeiQPD0/edit?usp=sharing"",""อุทัยธานี!I776"")"),1115)</f>
        <v>1115</v>
      </c>
      <c r="J776" s="334">
        <f ca="1">IFERROR(__xludf.DUMMYFUNCTION("IMPORTRANGE(""https://docs.google.com/spreadsheets/d/1jTcq05yEiRwXcBMLjiodW9e4biSGYWAHcDj22rKWQ3s/edit?usp=sharing"",""กำแพงเพชร!J776"")+IMPORTRANGE(""https://docs.google.com/spreadsheets/d/1KS0zmDSZPk8KnTAbGN-Xk6MtX1YRZD0ldgdt20K4CRk/edit?usp=sharing"","&amp;"""เชียงราย!J776"")+IMPORTRANGE(""https://docs.google.com/spreadsheets/d/1rEDxBtusbi64tE0zunoIbsTVV16HeL0oJ6trHQeQ7K8/edit?usp=sharing"",""เชียงใหม่!J776"")+IMPORTRANGE(""https://docs.google.com/spreadsheets/d/1W6MnUbDkMi6xHnHko_XkFDO9kkuL6Wqyc-6OCDFjW9I/e"&amp;"dit?usp=sharing"",""ตาก!J776"")+IMPORTRANGE(""https://docs.google.com/spreadsheets/d/1IQAWArduLkta9LpYo4a_ULsyqdta6-6aDDiwpUnQT6c/edit?usp=sharing"",""นครสวรรค์!J776"")+IMPORTRANGE(""https://docs.google.com/spreadsheets/d/10s13Sk5xrltsiR-Zkbmk5DwIaDIKO8Xl"&amp;"bJAfqyT7Gvg/edit?usp=sharing"",""น่าน!J776"")+IMPORTRANGE(""https://docs.google.com/spreadsheets/d/1uu4nAn4Dbi1XREnLKKotUANlKXa7yCgRcgq8HEzQYW8/edit?usp=sharing"",""พะเยา!J776"")+IMPORTRANGE(""https://docs.google.com/spreadsheets/d/1xfJKIQxVOaPDIICqsflNlL"&amp;"u3JacTDk1FP9RH4phX7mI/edit?usp=sharing"",""พิจิตร!J776"")+IMPORTRANGE(""https://docs.google.com/spreadsheets/d/1JtRfZkJMHtEhI5RdRHxYUG4FIZHqKDpNyIuN7A1Q0_k/edit?usp=sharing"",""พิษณุโลก!J776"")+IMPORTRANGE(""https://docs.google.com/spreadsheets/d/1xlcVZWU"&amp;"Nn6SuWm0c307h32SiGkd9BaeQWlAktfD3KO8/edit?usp=sharing"",""เพชรบูรณ์!J776"")+IMPORTRANGE(""https://docs.google.com/spreadsheets/d/1lOVebEIsI9qjGXl6EX66luk7wiuP2tBaryw-wKvv4e0/edit?usp=sharing"",""แพร่!J776"")+IMPORTRANGE(""https://docs.google.com/spreadshe"&amp;"ets/d/1dQrvX0vEcN7Gu0fnZ0B5S90AeR19zth4XlExFBeExMY/edit?usp=sharing"",""แม่ฮ่องสอน!J776"")+IMPORTRANGE(""https://docs.google.com/spreadsheets/d/1DY4XTNNwjluuxqdfdn6qvOSlMRrZqUtmYcZR0ttFiG4/edit?usp=sharing"",""ลำปาง!J776"")+IMPORTRANGE(""https://docs.goog"&amp;"le.com/spreadsheets/d/1ICwG78r0OFT8biBlxnBF8r7she7gNSzOvJ958PWT09c/edit?usp=sharing"",""ลำพูน!J776"")+IMPORTRANGE(""https://docs.google.com/spreadsheets/d/1B0f2xJpZUC6Z0xXnqKlZtEPzsf6L84eP1r1Q15seqRM/edit?usp=sharing"",""สุโขทัย!J776"")+IMPORTRANGE(""http"&amp;"s://docs.google.com/spreadsheets/d/1v0b9pFQCsKUVExMei7AgY2yQkdeNQvtOssygGsXbiKo/edit?usp=sharing"",""อุตรดิตถ์!J776"")+IMPORTRANGE(""https://docs.google.com/spreadsheets/d/1UsNK1e-WWiCo2PvGqdNfdme4m17_Ezd3J69EeeiQPD0/edit?usp=sharing"",""อุทัยธานี!J776"")"),130)</f>
        <v>130</v>
      </c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447" t="s">
        <v>291</v>
      </c>
      <c r="B777" s="448"/>
      <c r="C777" s="448"/>
      <c r="D777" s="448"/>
      <c r="E777" s="449"/>
      <c r="F777" s="449"/>
      <c r="G777" s="450"/>
      <c r="H777" s="451" t="str">
        <f ca="1">IFERROR(__xludf.DUMMYFUNCTION("IMPORTRANGE(""https://docs.google.com/spreadsheets/d/1gNPQPjxUj63ZZXIIIm2aX4x3w7PhAZpC9JuXdbpWwUQ/edit?usp=sharing"",""Sheet1!b2"")")," (ข้อมูล ณ 31 มี.ค. 67)")</f>
        <v xml:space="preserve"> (ข้อมูล ณ 31 มี.ค. 67)</v>
      </c>
      <c r="I777" s="452"/>
      <c r="J777" s="453"/>
      <c r="K777" s="454"/>
      <c r="L777" s="454"/>
      <c r="M777" s="454"/>
      <c r="N777" s="454"/>
      <c r="O777" s="454"/>
      <c r="P777" s="454"/>
      <c r="Q777" s="454"/>
      <c r="R777" s="454"/>
      <c r="S777" s="454"/>
      <c r="T777" s="454"/>
      <c r="U777" s="454"/>
    </row>
    <row r="778" spans="1:21" ht="18.75" x14ac:dyDescent="0.25">
      <c r="A778" s="208"/>
      <c r="B778" s="209" t="s">
        <v>292</v>
      </c>
      <c r="C778" s="158"/>
      <c r="D778" s="158"/>
      <c r="E778" s="40"/>
      <c r="F778" s="40"/>
      <c r="G778" s="42"/>
      <c r="H778" s="133" t="s">
        <v>14</v>
      </c>
      <c r="I778" s="184">
        <f ca="1">IFERROR(__xludf.DUMMYFUNCTION("IMPORTRANGE(""https://docs.google.com/spreadsheets/d/1jTcq05yEiRwXcBMLjiodW9e4biSGYWAHcDj22rKWQ3s/edit?usp=sharing"",""กำแพงเพชร!I778"")+IMPORTRANGE(""https://docs.google.com/spreadsheets/d/1KS0zmDSZPk8KnTAbGN-Xk6MtX1YRZD0ldgdt20K4CRk/edit?usp=sharing"","&amp;"""เชียงราย!I778"")+IMPORTRANGE(""https://docs.google.com/spreadsheets/d/1rEDxBtusbi64tE0zunoIbsTVV16HeL0oJ6trHQeQ7K8/edit?usp=sharing"",""เชียงใหม่!I778"")+IMPORTRANGE(""https://docs.google.com/spreadsheets/d/1W6MnUbDkMi6xHnHko_XkFDO9kkuL6Wqyc-6OCDFjW9I/e"&amp;"dit?usp=sharing"",""ตาก!I778"")+IMPORTRANGE(""https://docs.google.com/spreadsheets/d/1IQAWArduLkta9LpYo4a_ULsyqdta6-6aDDiwpUnQT6c/edit?usp=sharing"",""นครสวรรค์!I778"")+IMPORTRANGE(""https://docs.google.com/spreadsheets/d/10s13Sk5xrltsiR-Zkbmk5DwIaDIKO8Xl"&amp;"bJAfqyT7Gvg/edit?usp=sharing"",""น่าน!I778"")+IMPORTRANGE(""https://docs.google.com/spreadsheets/d/1uu4nAn4Dbi1XREnLKKotUANlKXa7yCgRcgq8HEzQYW8/edit?usp=sharing"",""พะเยา!I778"")+IMPORTRANGE(""https://docs.google.com/spreadsheets/d/1xfJKIQxVOaPDIICqsflNlL"&amp;"u3JacTDk1FP9RH4phX7mI/edit?usp=sharing"",""พิจิตร!I778"")+IMPORTRANGE(""https://docs.google.com/spreadsheets/d/1JtRfZkJMHtEhI5RdRHxYUG4FIZHqKDpNyIuN7A1Q0_k/edit?usp=sharing"",""พิษณุโลก!I778"")+IMPORTRANGE(""https://docs.google.com/spreadsheets/d/1xlcVZWU"&amp;"Nn6SuWm0c307h32SiGkd9BaeQWlAktfD3KO8/edit?usp=sharing"",""เพชรบูรณ์!I778"")+IMPORTRANGE(""https://docs.google.com/spreadsheets/d/1lOVebEIsI9qjGXl6EX66luk7wiuP2tBaryw-wKvv4e0/edit?usp=sharing"",""แพร่!I778"")+IMPORTRANGE(""https://docs.google.com/spreadshe"&amp;"ets/d/1dQrvX0vEcN7Gu0fnZ0B5S90AeR19zth4XlExFBeExMY/edit?usp=sharing"",""แม่ฮ่องสอน!I778"")+IMPORTRANGE(""https://docs.google.com/spreadsheets/d/1DY4XTNNwjluuxqdfdn6qvOSlMRrZqUtmYcZR0ttFiG4/edit?usp=sharing"",""ลำปาง!I778"")+IMPORTRANGE(""https://docs.goog"&amp;"le.com/spreadsheets/d/1ICwG78r0OFT8biBlxnBF8r7she7gNSzOvJ958PWT09c/edit?usp=sharing"",""ลำพูน!I778"")+IMPORTRANGE(""https://docs.google.com/spreadsheets/d/1B0f2xJpZUC6Z0xXnqKlZtEPzsf6L84eP1r1Q15seqRM/edit?usp=sharing"",""สุโขทัย!I778"")+IMPORTRANGE(""http"&amp;"s://docs.google.com/spreadsheets/d/1v0b9pFQCsKUVExMei7AgY2yQkdeNQvtOssygGsXbiKo/edit?usp=sharing"",""อุตรดิตถ์!I778"")+IMPORTRANGE(""https://docs.google.com/spreadsheets/d/1UsNK1e-WWiCo2PvGqdNfdme4m17_Ezd3J69EeeiQPD0/edit?usp=sharing"",""อุทัยธานี!I778"")"),77852173.82)</f>
        <v>77852173.819999993</v>
      </c>
      <c r="J778" s="184">
        <f ca="1">IFERROR(__xludf.DUMMYFUNCTION("IMPORTRANGE(""https://docs.google.com/spreadsheets/d/1jTcq05yEiRwXcBMLjiodW9e4biSGYWAHcDj22rKWQ3s/edit?usp=sharing"",""กำแพงเพชร!J778"")+IMPORTRANGE(""https://docs.google.com/spreadsheets/d/1KS0zmDSZPk8KnTAbGN-Xk6MtX1YRZD0ldgdt20K4CRk/edit?usp=sharing"","&amp;"""เชียงราย!J778"")+IMPORTRANGE(""https://docs.google.com/spreadsheets/d/1rEDxBtusbi64tE0zunoIbsTVV16HeL0oJ6trHQeQ7K8/edit?usp=sharing"",""เชียงใหม่!J778"")+IMPORTRANGE(""https://docs.google.com/spreadsheets/d/1W6MnUbDkMi6xHnHko_XkFDO9kkuL6Wqyc-6OCDFjW9I/e"&amp;"dit?usp=sharing"",""ตาก!J778"")+IMPORTRANGE(""https://docs.google.com/spreadsheets/d/1IQAWArduLkta9LpYo4a_ULsyqdta6-6aDDiwpUnQT6c/edit?usp=sharing"",""นครสวรรค์!J778"")+IMPORTRANGE(""https://docs.google.com/spreadsheets/d/10s13Sk5xrltsiR-Zkbmk5DwIaDIKO8Xl"&amp;"bJAfqyT7Gvg/edit?usp=sharing"",""น่าน!J778"")+IMPORTRANGE(""https://docs.google.com/spreadsheets/d/1uu4nAn4Dbi1XREnLKKotUANlKXa7yCgRcgq8HEzQYW8/edit?usp=sharing"",""พะเยา!J778"")+IMPORTRANGE(""https://docs.google.com/spreadsheets/d/1xfJKIQxVOaPDIICqsflNlL"&amp;"u3JacTDk1FP9RH4phX7mI/edit?usp=sharing"",""พิจิตร!J778"")+IMPORTRANGE(""https://docs.google.com/spreadsheets/d/1JtRfZkJMHtEhI5RdRHxYUG4FIZHqKDpNyIuN7A1Q0_k/edit?usp=sharing"",""พิษณุโลก!J778"")+IMPORTRANGE(""https://docs.google.com/spreadsheets/d/1xlcVZWU"&amp;"Nn6SuWm0c307h32SiGkd9BaeQWlAktfD3KO8/edit?usp=sharing"",""เพชรบูรณ์!J778"")+IMPORTRANGE(""https://docs.google.com/spreadsheets/d/1lOVebEIsI9qjGXl6EX66luk7wiuP2tBaryw-wKvv4e0/edit?usp=sharing"",""แพร่!J778"")+IMPORTRANGE(""https://docs.google.com/spreadshe"&amp;"ets/d/1dQrvX0vEcN7Gu0fnZ0B5S90AeR19zth4XlExFBeExMY/edit?usp=sharing"",""แม่ฮ่องสอน!J778"")+IMPORTRANGE(""https://docs.google.com/spreadsheets/d/1DY4XTNNwjluuxqdfdn6qvOSlMRrZqUtmYcZR0ttFiG4/edit?usp=sharing"",""ลำปาง!J778"")+IMPORTRANGE(""https://docs.goog"&amp;"le.com/spreadsheets/d/1ICwG78r0OFT8biBlxnBF8r7she7gNSzOvJ958PWT09c/edit?usp=sharing"",""ลำพูน!J778"")+IMPORTRANGE(""https://docs.google.com/spreadsheets/d/1B0f2xJpZUC6Z0xXnqKlZtEPzsf6L84eP1r1Q15seqRM/edit?usp=sharing"",""สุโขทัย!J778"")+IMPORTRANGE(""http"&amp;"s://docs.google.com/spreadsheets/d/1v0b9pFQCsKUVExMei7AgY2yQkdeNQvtOssygGsXbiKo/edit?usp=sharing"",""อุตรดิตถ์!J778"")+IMPORTRANGE(""https://docs.google.com/spreadsheets/d/1UsNK1e-WWiCo2PvGqdNfdme4m17_Ezd3J69EeeiQPD0/edit?usp=sharing"",""อุทัยธานี!J778"")"),23718920.25)</f>
        <v>23718920.25</v>
      </c>
      <c r="K778" s="224">
        <f t="shared" ref="K778:K785" ca="1" si="534">IF(I778&gt;0,J778*100/I778,0)</f>
        <v>30.466612666256314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208"/>
      <c r="B779" s="158"/>
      <c r="C779" s="158"/>
      <c r="D779" s="158"/>
      <c r="E779" s="40"/>
      <c r="F779" s="40"/>
      <c r="G779" s="42"/>
      <c r="H779" s="133" t="s">
        <v>35</v>
      </c>
      <c r="I779" s="184">
        <f ca="1">IFERROR(__xludf.DUMMYFUNCTION("IMPORTRANGE(""https://docs.google.com/spreadsheets/d/1jTcq05yEiRwXcBMLjiodW9e4biSGYWAHcDj22rKWQ3s/edit?usp=sharing"",""กำแพงเพชร!I779"")+IMPORTRANGE(""https://docs.google.com/spreadsheets/d/1KS0zmDSZPk8KnTAbGN-Xk6MtX1YRZD0ldgdt20K4CRk/edit?usp=sharing"","&amp;"""เชียงราย!I779"")+IMPORTRANGE(""https://docs.google.com/spreadsheets/d/1rEDxBtusbi64tE0zunoIbsTVV16HeL0oJ6trHQeQ7K8/edit?usp=sharing"",""เชียงใหม่!I779"")+IMPORTRANGE(""https://docs.google.com/spreadsheets/d/1W6MnUbDkMi6xHnHko_XkFDO9kkuL6Wqyc-6OCDFjW9I/e"&amp;"dit?usp=sharing"",""ตาก!I779"")+IMPORTRANGE(""https://docs.google.com/spreadsheets/d/1IQAWArduLkta9LpYo4a_ULsyqdta6-6aDDiwpUnQT6c/edit?usp=sharing"",""นครสวรรค์!I779"")+IMPORTRANGE(""https://docs.google.com/spreadsheets/d/10s13Sk5xrltsiR-Zkbmk5DwIaDIKO8Xl"&amp;"bJAfqyT7Gvg/edit?usp=sharing"",""น่าน!I779"")+IMPORTRANGE(""https://docs.google.com/spreadsheets/d/1uu4nAn4Dbi1XREnLKKotUANlKXa7yCgRcgq8HEzQYW8/edit?usp=sharing"",""พะเยา!I779"")+IMPORTRANGE(""https://docs.google.com/spreadsheets/d/1xfJKIQxVOaPDIICqsflNlL"&amp;"u3JacTDk1FP9RH4phX7mI/edit?usp=sharing"",""พิจิตร!I779"")+IMPORTRANGE(""https://docs.google.com/spreadsheets/d/1JtRfZkJMHtEhI5RdRHxYUG4FIZHqKDpNyIuN7A1Q0_k/edit?usp=sharing"",""พิษณุโลก!I779"")+IMPORTRANGE(""https://docs.google.com/spreadsheets/d/1xlcVZWU"&amp;"Nn6SuWm0c307h32SiGkd9BaeQWlAktfD3KO8/edit?usp=sharing"",""เพชรบูรณ์!I779"")+IMPORTRANGE(""https://docs.google.com/spreadsheets/d/1lOVebEIsI9qjGXl6EX66luk7wiuP2tBaryw-wKvv4e0/edit?usp=sharing"",""แพร่!I779"")+IMPORTRANGE(""https://docs.google.com/spreadshe"&amp;"ets/d/1dQrvX0vEcN7Gu0fnZ0B5S90AeR19zth4XlExFBeExMY/edit?usp=sharing"",""แม่ฮ่องสอน!I779"")+IMPORTRANGE(""https://docs.google.com/spreadsheets/d/1DY4XTNNwjluuxqdfdn6qvOSlMRrZqUtmYcZR0ttFiG4/edit?usp=sharing"",""ลำปาง!I779"")+IMPORTRANGE(""https://docs.goog"&amp;"le.com/spreadsheets/d/1ICwG78r0OFT8biBlxnBF8r7she7gNSzOvJ958PWT09c/edit?usp=sharing"",""ลำพูน!I779"")+IMPORTRANGE(""https://docs.google.com/spreadsheets/d/1B0f2xJpZUC6Z0xXnqKlZtEPzsf6L84eP1r1Q15seqRM/edit?usp=sharing"",""สุโขทัย!I779"")+IMPORTRANGE(""http"&amp;"s://docs.google.com/spreadsheets/d/1v0b9pFQCsKUVExMei7AgY2yQkdeNQvtOssygGsXbiKo/edit?usp=sharing"",""อุตรดิตถ์!I779"")+IMPORTRANGE(""https://docs.google.com/spreadsheets/d/1UsNK1e-WWiCo2PvGqdNfdme4m17_Ezd3J69EeeiQPD0/edit?usp=sharing"",""อุทัยธานี!I779"")"),3782)</f>
        <v>3782</v>
      </c>
      <c r="J779" s="184">
        <f ca="1">IFERROR(__xludf.DUMMYFUNCTION("IMPORTRANGE(""https://docs.google.com/spreadsheets/d/1jTcq05yEiRwXcBMLjiodW9e4biSGYWAHcDj22rKWQ3s/edit?usp=sharing"",""กำแพงเพชร!J779"")+IMPORTRANGE(""https://docs.google.com/spreadsheets/d/1KS0zmDSZPk8KnTAbGN-Xk6MtX1YRZD0ldgdt20K4CRk/edit?usp=sharing"","&amp;"""เชียงราย!J779"")+IMPORTRANGE(""https://docs.google.com/spreadsheets/d/1rEDxBtusbi64tE0zunoIbsTVV16HeL0oJ6trHQeQ7K8/edit?usp=sharing"",""เชียงใหม่!J779"")+IMPORTRANGE(""https://docs.google.com/spreadsheets/d/1W6MnUbDkMi6xHnHko_XkFDO9kkuL6Wqyc-6OCDFjW9I/e"&amp;"dit?usp=sharing"",""ตาก!J779"")+IMPORTRANGE(""https://docs.google.com/spreadsheets/d/1IQAWArduLkta9LpYo4a_ULsyqdta6-6aDDiwpUnQT6c/edit?usp=sharing"",""นครสวรรค์!J779"")+IMPORTRANGE(""https://docs.google.com/spreadsheets/d/10s13Sk5xrltsiR-Zkbmk5DwIaDIKO8Xl"&amp;"bJAfqyT7Gvg/edit?usp=sharing"",""น่าน!J779"")+IMPORTRANGE(""https://docs.google.com/spreadsheets/d/1uu4nAn4Dbi1XREnLKKotUANlKXa7yCgRcgq8HEzQYW8/edit?usp=sharing"",""พะเยา!J779"")+IMPORTRANGE(""https://docs.google.com/spreadsheets/d/1xfJKIQxVOaPDIICqsflNlL"&amp;"u3JacTDk1FP9RH4phX7mI/edit?usp=sharing"",""พิจิตร!J779"")+IMPORTRANGE(""https://docs.google.com/spreadsheets/d/1JtRfZkJMHtEhI5RdRHxYUG4FIZHqKDpNyIuN7A1Q0_k/edit?usp=sharing"",""พิษณุโลก!J779"")+IMPORTRANGE(""https://docs.google.com/spreadsheets/d/1xlcVZWU"&amp;"Nn6SuWm0c307h32SiGkd9BaeQWlAktfD3KO8/edit?usp=sharing"",""เพชรบูรณ์!J779"")+IMPORTRANGE(""https://docs.google.com/spreadsheets/d/1lOVebEIsI9qjGXl6EX66luk7wiuP2tBaryw-wKvv4e0/edit?usp=sharing"",""แพร่!J779"")+IMPORTRANGE(""https://docs.google.com/spreadshe"&amp;"ets/d/1dQrvX0vEcN7Gu0fnZ0B5S90AeR19zth4XlExFBeExMY/edit?usp=sharing"",""แม่ฮ่องสอน!J779"")+IMPORTRANGE(""https://docs.google.com/spreadsheets/d/1DY4XTNNwjluuxqdfdn6qvOSlMRrZqUtmYcZR0ttFiG4/edit?usp=sharing"",""ลำปาง!J779"")+IMPORTRANGE(""https://docs.goog"&amp;"le.com/spreadsheets/d/1ICwG78r0OFT8biBlxnBF8r7she7gNSzOvJ958PWT09c/edit?usp=sharing"",""ลำพูน!J779"")+IMPORTRANGE(""https://docs.google.com/spreadsheets/d/1B0f2xJpZUC6Z0xXnqKlZtEPzsf6L84eP1r1Q15seqRM/edit?usp=sharing"",""สุโขทัย!J779"")+IMPORTRANGE(""http"&amp;"s://docs.google.com/spreadsheets/d/1v0b9pFQCsKUVExMei7AgY2yQkdeNQvtOssygGsXbiKo/edit?usp=sharing"",""อุตรดิตถ์!J779"")+IMPORTRANGE(""https://docs.google.com/spreadsheets/d/1UsNK1e-WWiCo2PvGqdNfdme4m17_Ezd3J69EeeiQPD0/edit?usp=sharing"",""อุทัยธานี!J779"")"),1924)</f>
        <v>1924</v>
      </c>
      <c r="K779" s="224">
        <f t="shared" ca="1" si="534"/>
        <v>50.872554204124803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208"/>
      <c r="B780" s="209" t="s">
        <v>293</v>
      </c>
      <c r="C780" s="158"/>
      <c r="D780" s="158"/>
      <c r="E780" s="40"/>
      <c r="F780" s="40"/>
      <c r="G780" s="42"/>
      <c r="H780" s="133" t="s">
        <v>14</v>
      </c>
      <c r="I780" s="184">
        <f ca="1">IFERROR(__xludf.DUMMYFUNCTION("IMPORTRANGE(""https://docs.google.com/spreadsheets/d/1jTcq05yEiRwXcBMLjiodW9e4biSGYWAHcDj22rKWQ3s/edit?usp=sharing"",""กำแพงเพชร!I780"")+IMPORTRANGE(""https://docs.google.com/spreadsheets/d/1KS0zmDSZPk8KnTAbGN-Xk6MtX1YRZD0ldgdt20K4CRk/edit?usp=sharing"","&amp;"""เชียงราย!I780"")+IMPORTRANGE(""https://docs.google.com/spreadsheets/d/1rEDxBtusbi64tE0zunoIbsTVV16HeL0oJ6trHQeQ7K8/edit?usp=sharing"",""เชียงใหม่!I780"")+IMPORTRANGE(""https://docs.google.com/spreadsheets/d/1W6MnUbDkMi6xHnHko_XkFDO9kkuL6Wqyc-6OCDFjW9I/e"&amp;"dit?usp=sharing"",""ตาก!I780"")+IMPORTRANGE(""https://docs.google.com/spreadsheets/d/1IQAWArduLkta9LpYo4a_ULsyqdta6-6aDDiwpUnQT6c/edit?usp=sharing"",""นครสวรรค์!I780"")+IMPORTRANGE(""https://docs.google.com/spreadsheets/d/10s13Sk5xrltsiR-Zkbmk5DwIaDIKO8Xl"&amp;"bJAfqyT7Gvg/edit?usp=sharing"",""น่าน!I780"")+IMPORTRANGE(""https://docs.google.com/spreadsheets/d/1uu4nAn4Dbi1XREnLKKotUANlKXa7yCgRcgq8HEzQYW8/edit?usp=sharing"",""พะเยา!I780"")+IMPORTRANGE(""https://docs.google.com/spreadsheets/d/1xfJKIQxVOaPDIICqsflNlL"&amp;"u3JacTDk1FP9RH4phX7mI/edit?usp=sharing"",""พิจิตร!I780"")+IMPORTRANGE(""https://docs.google.com/spreadsheets/d/1JtRfZkJMHtEhI5RdRHxYUG4FIZHqKDpNyIuN7A1Q0_k/edit?usp=sharing"",""พิษณุโลก!I780"")+IMPORTRANGE(""https://docs.google.com/spreadsheets/d/1xlcVZWU"&amp;"Nn6SuWm0c307h32SiGkd9BaeQWlAktfD3KO8/edit?usp=sharing"",""เพชรบูรณ์!I780"")+IMPORTRANGE(""https://docs.google.com/spreadsheets/d/1lOVebEIsI9qjGXl6EX66luk7wiuP2tBaryw-wKvv4e0/edit?usp=sharing"",""แพร่!I780"")+IMPORTRANGE(""https://docs.google.com/spreadshe"&amp;"ets/d/1dQrvX0vEcN7Gu0fnZ0B5S90AeR19zth4XlExFBeExMY/edit?usp=sharing"",""แม่ฮ่องสอน!I780"")+IMPORTRANGE(""https://docs.google.com/spreadsheets/d/1DY4XTNNwjluuxqdfdn6qvOSlMRrZqUtmYcZR0ttFiG4/edit?usp=sharing"",""ลำปาง!I780"")+IMPORTRANGE(""https://docs.goog"&amp;"le.com/spreadsheets/d/1ICwG78r0OFT8biBlxnBF8r7she7gNSzOvJ958PWT09c/edit?usp=sharing"",""ลำพูน!I780"")+IMPORTRANGE(""https://docs.google.com/spreadsheets/d/1B0f2xJpZUC6Z0xXnqKlZtEPzsf6L84eP1r1Q15seqRM/edit?usp=sharing"",""สุโขทัย!I780"")+IMPORTRANGE(""http"&amp;"s://docs.google.com/spreadsheets/d/1v0b9pFQCsKUVExMei7AgY2yQkdeNQvtOssygGsXbiKo/edit?usp=sharing"",""อุตรดิตถ์!I780"")+IMPORTRANGE(""https://docs.google.com/spreadsheets/d/1UsNK1e-WWiCo2PvGqdNfdme4m17_Ezd3J69EeeiQPD0/edit?usp=sharing"",""อุทัยธานี!I780"")"),107490388.96)</f>
        <v>107490388.95999999</v>
      </c>
      <c r="J780" s="184">
        <f ca="1">IFERROR(__xludf.DUMMYFUNCTION("IMPORTRANGE(""https://docs.google.com/spreadsheets/d/1jTcq05yEiRwXcBMLjiodW9e4biSGYWAHcDj22rKWQ3s/edit?usp=sharing"",""กำแพงเพชร!J780"")+IMPORTRANGE(""https://docs.google.com/spreadsheets/d/1KS0zmDSZPk8KnTAbGN-Xk6MtX1YRZD0ldgdt20K4CRk/edit?usp=sharing"","&amp;"""เชียงราย!J780"")+IMPORTRANGE(""https://docs.google.com/spreadsheets/d/1rEDxBtusbi64tE0zunoIbsTVV16HeL0oJ6trHQeQ7K8/edit?usp=sharing"",""เชียงใหม่!J780"")+IMPORTRANGE(""https://docs.google.com/spreadsheets/d/1W6MnUbDkMi6xHnHko_XkFDO9kkuL6Wqyc-6OCDFjW9I/e"&amp;"dit?usp=sharing"",""ตาก!J780"")+IMPORTRANGE(""https://docs.google.com/spreadsheets/d/1IQAWArduLkta9LpYo4a_ULsyqdta6-6aDDiwpUnQT6c/edit?usp=sharing"",""นครสวรรค์!J780"")+IMPORTRANGE(""https://docs.google.com/spreadsheets/d/10s13Sk5xrltsiR-Zkbmk5DwIaDIKO8Xl"&amp;"bJAfqyT7Gvg/edit?usp=sharing"",""น่าน!J780"")+IMPORTRANGE(""https://docs.google.com/spreadsheets/d/1uu4nAn4Dbi1XREnLKKotUANlKXa7yCgRcgq8HEzQYW8/edit?usp=sharing"",""พะเยา!J780"")+IMPORTRANGE(""https://docs.google.com/spreadsheets/d/1xfJKIQxVOaPDIICqsflNlL"&amp;"u3JacTDk1FP9RH4phX7mI/edit?usp=sharing"",""พิจิตร!J780"")+IMPORTRANGE(""https://docs.google.com/spreadsheets/d/1JtRfZkJMHtEhI5RdRHxYUG4FIZHqKDpNyIuN7A1Q0_k/edit?usp=sharing"",""พิษณุโลก!J780"")+IMPORTRANGE(""https://docs.google.com/spreadsheets/d/1xlcVZWU"&amp;"Nn6SuWm0c307h32SiGkd9BaeQWlAktfD3KO8/edit?usp=sharing"",""เพชรบูรณ์!J780"")+IMPORTRANGE(""https://docs.google.com/spreadsheets/d/1lOVebEIsI9qjGXl6EX66luk7wiuP2tBaryw-wKvv4e0/edit?usp=sharing"",""แพร่!J780"")+IMPORTRANGE(""https://docs.google.com/spreadshe"&amp;"ets/d/1dQrvX0vEcN7Gu0fnZ0B5S90AeR19zth4XlExFBeExMY/edit?usp=sharing"",""แม่ฮ่องสอน!J780"")+IMPORTRANGE(""https://docs.google.com/spreadsheets/d/1DY4XTNNwjluuxqdfdn6qvOSlMRrZqUtmYcZR0ttFiG4/edit?usp=sharing"",""ลำปาง!J780"")+IMPORTRANGE(""https://docs.goog"&amp;"le.com/spreadsheets/d/1ICwG78r0OFT8biBlxnBF8r7she7gNSzOvJ958PWT09c/edit?usp=sharing"",""ลำพูน!J780"")+IMPORTRANGE(""https://docs.google.com/spreadsheets/d/1B0f2xJpZUC6Z0xXnqKlZtEPzsf6L84eP1r1Q15seqRM/edit?usp=sharing"",""สุโขทัย!J780"")+IMPORTRANGE(""http"&amp;"s://docs.google.com/spreadsheets/d/1v0b9pFQCsKUVExMei7AgY2yQkdeNQvtOssygGsXbiKo/edit?usp=sharing"",""อุตรดิตถ์!J780"")+IMPORTRANGE(""https://docs.google.com/spreadsheets/d/1UsNK1e-WWiCo2PvGqdNfdme4m17_Ezd3J69EeeiQPD0/edit?usp=sharing"",""อุทัยธานี!J780"")"),6194309.65999999)</f>
        <v>6194309.6599999899</v>
      </c>
      <c r="K780" s="224">
        <f t="shared" ca="1" si="534"/>
        <v>5.7626637320152003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208"/>
      <c r="B781" s="158"/>
      <c r="C781" s="158"/>
      <c r="D781" s="158"/>
      <c r="E781" s="40"/>
      <c r="F781" s="40"/>
      <c r="G781" s="42"/>
      <c r="H781" s="133" t="s">
        <v>35</v>
      </c>
      <c r="I781" s="184">
        <f ca="1">IFERROR(__xludf.DUMMYFUNCTION("IMPORTRANGE(""https://docs.google.com/spreadsheets/d/1jTcq05yEiRwXcBMLjiodW9e4biSGYWAHcDj22rKWQ3s/edit?usp=sharing"",""กำแพงเพชร!I781"")+IMPORTRANGE(""https://docs.google.com/spreadsheets/d/1KS0zmDSZPk8KnTAbGN-Xk6MtX1YRZD0ldgdt20K4CRk/edit?usp=sharing"","&amp;"""เชียงราย!I781"")+IMPORTRANGE(""https://docs.google.com/spreadsheets/d/1rEDxBtusbi64tE0zunoIbsTVV16HeL0oJ6trHQeQ7K8/edit?usp=sharing"",""เชียงใหม่!I781"")+IMPORTRANGE(""https://docs.google.com/spreadsheets/d/1W6MnUbDkMi6xHnHko_XkFDO9kkuL6Wqyc-6OCDFjW9I/e"&amp;"dit?usp=sharing"",""ตาก!I781"")+IMPORTRANGE(""https://docs.google.com/spreadsheets/d/1IQAWArduLkta9LpYo4a_ULsyqdta6-6aDDiwpUnQT6c/edit?usp=sharing"",""นครสวรรค์!I781"")+IMPORTRANGE(""https://docs.google.com/spreadsheets/d/10s13Sk5xrltsiR-Zkbmk5DwIaDIKO8Xl"&amp;"bJAfqyT7Gvg/edit?usp=sharing"",""น่าน!I781"")+IMPORTRANGE(""https://docs.google.com/spreadsheets/d/1uu4nAn4Dbi1XREnLKKotUANlKXa7yCgRcgq8HEzQYW8/edit?usp=sharing"",""พะเยา!I781"")+IMPORTRANGE(""https://docs.google.com/spreadsheets/d/1xfJKIQxVOaPDIICqsflNlL"&amp;"u3JacTDk1FP9RH4phX7mI/edit?usp=sharing"",""พิจิตร!I781"")+IMPORTRANGE(""https://docs.google.com/spreadsheets/d/1JtRfZkJMHtEhI5RdRHxYUG4FIZHqKDpNyIuN7A1Q0_k/edit?usp=sharing"",""พิษณุโลก!I781"")+IMPORTRANGE(""https://docs.google.com/spreadsheets/d/1xlcVZWU"&amp;"Nn6SuWm0c307h32SiGkd9BaeQWlAktfD3KO8/edit?usp=sharing"",""เพชรบูรณ์!I781"")+IMPORTRANGE(""https://docs.google.com/spreadsheets/d/1lOVebEIsI9qjGXl6EX66luk7wiuP2tBaryw-wKvv4e0/edit?usp=sharing"",""แพร่!I781"")+IMPORTRANGE(""https://docs.google.com/spreadshe"&amp;"ets/d/1dQrvX0vEcN7Gu0fnZ0B5S90AeR19zth4XlExFBeExMY/edit?usp=sharing"",""แม่ฮ่องสอน!I781"")+IMPORTRANGE(""https://docs.google.com/spreadsheets/d/1DY4XTNNwjluuxqdfdn6qvOSlMRrZqUtmYcZR0ttFiG4/edit?usp=sharing"",""ลำปาง!I781"")+IMPORTRANGE(""https://docs.goog"&amp;"le.com/spreadsheets/d/1ICwG78r0OFT8biBlxnBF8r7she7gNSzOvJ958PWT09c/edit?usp=sharing"",""ลำพูน!I781"")+IMPORTRANGE(""https://docs.google.com/spreadsheets/d/1B0f2xJpZUC6Z0xXnqKlZtEPzsf6L84eP1r1Q15seqRM/edit?usp=sharing"",""สุโขทัย!I781"")+IMPORTRANGE(""http"&amp;"s://docs.google.com/spreadsheets/d/1v0b9pFQCsKUVExMei7AgY2yQkdeNQvtOssygGsXbiKo/edit?usp=sharing"",""อุตรดิตถ์!I781"")+IMPORTRANGE(""https://docs.google.com/spreadsheets/d/1UsNK1e-WWiCo2PvGqdNfdme4m17_Ezd3J69EeeiQPD0/edit?usp=sharing"",""อุทัยธานี!I781"")"),4200)</f>
        <v>4200</v>
      </c>
      <c r="J781" s="184">
        <f ca="1">IFERROR(__xludf.DUMMYFUNCTION("IMPORTRANGE(""https://docs.google.com/spreadsheets/d/1jTcq05yEiRwXcBMLjiodW9e4biSGYWAHcDj22rKWQ3s/edit?usp=sharing"",""กำแพงเพชร!J781"")+IMPORTRANGE(""https://docs.google.com/spreadsheets/d/1KS0zmDSZPk8KnTAbGN-Xk6MtX1YRZD0ldgdt20K4CRk/edit?usp=sharing"","&amp;"""เชียงราย!J781"")+IMPORTRANGE(""https://docs.google.com/spreadsheets/d/1rEDxBtusbi64tE0zunoIbsTVV16HeL0oJ6trHQeQ7K8/edit?usp=sharing"",""เชียงใหม่!J781"")+IMPORTRANGE(""https://docs.google.com/spreadsheets/d/1W6MnUbDkMi6xHnHko_XkFDO9kkuL6Wqyc-6OCDFjW9I/e"&amp;"dit?usp=sharing"",""ตาก!J781"")+IMPORTRANGE(""https://docs.google.com/spreadsheets/d/1IQAWArduLkta9LpYo4a_ULsyqdta6-6aDDiwpUnQT6c/edit?usp=sharing"",""นครสวรรค์!J781"")+IMPORTRANGE(""https://docs.google.com/spreadsheets/d/10s13Sk5xrltsiR-Zkbmk5DwIaDIKO8Xl"&amp;"bJAfqyT7Gvg/edit?usp=sharing"",""น่าน!J781"")+IMPORTRANGE(""https://docs.google.com/spreadsheets/d/1uu4nAn4Dbi1XREnLKKotUANlKXa7yCgRcgq8HEzQYW8/edit?usp=sharing"",""พะเยา!J781"")+IMPORTRANGE(""https://docs.google.com/spreadsheets/d/1xfJKIQxVOaPDIICqsflNlL"&amp;"u3JacTDk1FP9RH4phX7mI/edit?usp=sharing"",""พิจิตร!J781"")+IMPORTRANGE(""https://docs.google.com/spreadsheets/d/1JtRfZkJMHtEhI5RdRHxYUG4FIZHqKDpNyIuN7A1Q0_k/edit?usp=sharing"",""พิษณุโลก!J781"")+IMPORTRANGE(""https://docs.google.com/spreadsheets/d/1xlcVZWU"&amp;"Nn6SuWm0c307h32SiGkd9BaeQWlAktfD3KO8/edit?usp=sharing"",""เพชรบูรณ์!J781"")+IMPORTRANGE(""https://docs.google.com/spreadsheets/d/1lOVebEIsI9qjGXl6EX66luk7wiuP2tBaryw-wKvv4e0/edit?usp=sharing"",""แพร่!J781"")+IMPORTRANGE(""https://docs.google.com/spreadshe"&amp;"ets/d/1dQrvX0vEcN7Gu0fnZ0B5S90AeR19zth4XlExFBeExMY/edit?usp=sharing"",""แม่ฮ่องสอน!J781"")+IMPORTRANGE(""https://docs.google.com/spreadsheets/d/1DY4XTNNwjluuxqdfdn6qvOSlMRrZqUtmYcZR0ttFiG4/edit?usp=sharing"",""ลำปาง!J781"")+IMPORTRANGE(""https://docs.goog"&amp;"le.com/spreadsheets/d/1ICwG78r0OFT8biBlxnBF8r7she7gNSzOvJ958PWT09c/edit?usp=sharing"",""ลำพูน!J781"")+IMPORTRANGE(""https://docs.google.com/spreadsheets/d/1B0f2xJpZUC6Z0xXnqKlZtEPzsf6L84eP1r1Q15seqRM/edit?usp=sharing"",""สุโขทัย!J781"")+IMPORTRANGE(""http"&amp;"s://docs.google.com/spreadsheets/d/1v0b9pFQCsKUVExMei7AgY2yQkdeNQvtOssygGsXbiKo/edit?usp=sharing"",""อุตรดิตถ์!J781"")+IMPORTRANGE(""https://docs.google.com/spreadsheets/d/1UsNK1e-WWiCo2PvGqdNfdme4m17_Ezd3J69EeeiQPD0/edit?usp=sharing"",""อุทัยธานี!J781"")"),1122)</f>
        <v>1122</v>
      </c>
      <c r="K781" s="224">
        <f t="shared" ca="1" si="534"/>
        <v>26.714285714285715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208"/>
      <c r="B782" s="209" t="s">
        <v>294</v>
      </c>
      <c r="C782" s="158"/>
      <c r="D782" s="158"/>
      <c r="E782" s="40"/>
      <c r="F782" s="40"/>
      <c r="G782" s="42"/>
      <c r="H782" s="133" t="s">
        <v>14</v>
      </c>
      <c r="I782" s="184">
        <f ca="1">IFERROR(__xludf.DUMMYFUNCTION("IMPORTRANGE(""https://docs.google.com/spreadsheets/d/1jTcq05yEiRwXcBMLjiodW9e4biSGYWAHcDj22rKWQ3s/edit?usp=sharing"",""กำแพงเพชร!I782"")+IMPORTRANGE(""https://docs.google.com/spreadsheets/d/1KS0zmDSZPk8KnTAbGN-Xk6MtX1YRZD0ldgdt20K4CRk/edit?usp=sharing"","&amp;"""เชียงราย!I782"")+IMPORTRANGE(""https://docs.google.com/spreadsheets/d/1rEDxBtusbi64tE0zunoIbsTVV16HeL0oJ6trHQeQ7K8/edit?usp=sharing"",""เชียงใหม่!I782"")+IMPORTRANGE(""https://docs.google.com/spreadsheets/d/1W6MnUbDkMi6xHnHko_XkFDO9kkuL6Wqyc-6OCDFjW9I/e"&amp;"dit?usp=sharing"",""ตาก!I782"")+IMPORTRANGE(""https://docs.google.com/spreadsheets/d/1IQAWArduLkta9LpYo4a_ULsyqdta6-6aDDiwpUnQT6c/edit?usp=sharing"",""นครสวรรค์!I782"")+IMPORTRANGE(""https://docs.google.com/spreadsheets/d/10s13Sk5xrltsiR-Zkbmk5DwIaDIKO8Xl"&amp;"bJAfqyT7Gvg/edit?usp=sharing"",""น่าน!I782"")+IMPORTRANGE(""https://docs.google.com/spreadsheets/d/1uu4nAn4Dbi1XREnLKKotUANlKXa7yCgRcgq8HEzQYW8/edit?usp=sharing"",""พะเยา!I782"")+IMPORTRANGE(""https://docs.google.com/spreadsheets/d/1xfJKIQxVOaPDIICqsflNlL"&amp;"u3JacTDk1FP9RH4phX7mI/edit?usp=sharing"",""พิจิตร!I782"")+IMPORTRANGE(""https://docs.google.com/spreadsheets/d/1JtRfZkJMHtEhI5RdRHxYUG4FIZHqKDpNyIuN7A1Q0_k/edit?usp=sharing"",""พิษณุโลก!I782"")+IMPORTRANGE(""https://docs.google.com/spreadsheets/d/1xlcVZWU"&amp;"Nn6SuWm0c307h32SiGkd9BaeQWlAktfD3KO8/edit?usp=sharing"",""เพชรบูรณ์!I782"")+IMPORTRANGE(""https://docs.google.com/spreadsheets/d/1lOVebEIsI9qjGXl6EX66luk7wiuP2tBaryw-wKvv4e0/edit?usp=sharing"",""แพร่!I782"")+IMPORTRANGE(""https://docs.google.com/spreadshe"&amp;"ets/d/1dQrvX0vEcN7Gu0fnZ0B5S90AeR19zth4XlExFBeExMY/edit?usp=sharing"",""แม่ฮ่องสอน!I782"")+IMPORTRANGE(""https://docs.google.com/spreadsheets/d/1DY4XTNNwjluuxqdfdn6qvOSlMRrZqUtmYcZR0ttFiG4/edit?usp=sharing"",""ลำปาง!I782"")+IMPORTRANGE(""https://docs.goog"&amp;"le.com/spreadsheets/d/1ICwG78r0OFT8biBlxnBF8r7she7gNSzOvJ958PWT09c/edit?usp=sharing"",""ลำพูน!I782"")+IMPORTRANGE(""https://docs.google.com/spreadsheets/d/1B0f2xJpZUC6Z0xXnqKlZtEPzsf6L84eP1r1Q15seqRM/edit?usp=sharing"",""สุโขทัย!I782"")+IMPORTRANGE(""http"&amp;"s://docs.google.com/spreadsheets/d/1v0b9pFQCsKUVExMei7AgY2yQkdeNQvtOssygGsXbiKo/edit?usp=sharing"",""อุตรดิตถ์!I782"")+IMPORTRANGE(""https://docs.google.com/spreadsheets/d/1UsNK1e-WWiCo2PvGqdNfdme4m17_Ezd3J69EeeiQPD0/edit?usp=sharing"",""อุทัยธานี!I782"")"),54243964.2099999)</f>
        <v>54243964.209999897</v>
      </c>
      <c r="J782" s="184">
        <f ca="1">IFERROR(__xludf.DUMMYFUNCTION("IMPORTRANGE(""https://docs.google.com/spreadsheets/d/1jTcq05yEiRwXcBMLjiodW9e4biSGYWAHcDj22rKWQ3s/edit?usp=sharing"",""กำแพงเพชร!J782"")+IMPORTRANGE(""https://docs.google.com/spreadsheets/d/1KS0zmDSZPk8KnTAbGN-Xk6MtX1YRZD0ldgdt20K4CRk/edit?usp=sharing"","&amp;"""เชียงราย!J782"")+IMPORTRANGE(""https://docs.google.com/spreadsheets/d/1rEDxBtusbi64tE0zunoIbsTVV16HeL0oJ6trHQeQ7K8/edit?usp=sharing"",""เชียงใหม่!J782"")+IMPORTRANGE(""https://docs.google.com/spreadsheets/d/1W6MnUbDkMi6xHnHko_XkFDO9kkuL6Wqyc-6OCDFjW9I/e"&amp;"dit?usp=sharing"",""ตาก!J782"")+IMPORTRANGE(""https://docs.google.com/spreadsheets/d/1IQAWArduLkta9LpYo4a_ULsyqdta6-6aDDiwpUnQT6c/edit?usp=sharing"",""นครสวรรค์!J782"")+IMPORTRANGE(""https://docs.google.com/spreadsheets/d/10s13Sk5xrltsiR-Zkbmk5DwIaDIKO8Xl"&amp;"bJAfqyT7Gvg/edit?usp=sharing"",""น่าน!J782"")+IMPORTRANGE(""https://docs.google.com/spreadsheets/d/1uu4nAn4Dbi1XREnLKKotUANlKXa7yCgRcgq8HEzQYW8/edit?usp=sharing"",""พะเยา!J782"")+IMPORTRANGE(""https://docs.google.com/spreadsheets/d/1xfJKIQxVOaPDIICqsflNlL"&amp;"u3JacTDk1FP9RH4phX7mI/edit?usp=sharing"",""พิจิตร!J782"")+IMPORTRANGE(""https://docs.google.com/spreadsheets/d/1JtRfZkJMHtEhI5RdRHxYUG4FIZHqKDpNyIuN7A1Q0_k/edit?usp=sharing"",""พิษณุโลก!J782"")+IMPORTRANGE(""https://docs.google.com/spreadsheets/d/1xlcVZWU"&amp;"Nn6SuWm0c307h32SiGkd9BaeQWlAktfD3KO8/edit?usp=sharing"",""เพชรบูรณ์!J782"")+IMPORTRANGE(""https://docs.google.com/spreadsheets/d/1lOVebEIsI9qjGXl6EX66luk7wiuP2tBaryw-wKvv4e0/edit?usp=sharing"",""แพร่!J782"")+IMPORTRANGE(""https://docs.google.com/spreadshe"&amp;"ets/d/1dQrvX0vEcN7Gu0fnZ0B5S90AeR19zth4XlExFBeExMY/edit?usp=sharing"",""แม่ฮ่องสอน!J782"")+IMPORTRANGE(""https://docs.google.com/spreadsheets/d/1DY4XTNNwjluuxqdfdn6qvOSlMRrZqUtmYcZR0ttFiG4/edit?usp=sharing"",""ลำปาง!J782"")+IMPORTRANGE(""https://docs.goog"&amp;"le.com/spreadsheets/d/1ICwG78r0OFT8biBlxnBF8r7she7gNSzOvJ958PWT09c/edit?usp=sharing"",""ลำพูน!J782"")+IMPORTRANGE(""https://docs.google.com/spreadsheets/d/1B0f2xJpZUC6Z0xXnqKlZtEPzsf6L84eP1r1Q15seqRM/edit?usp=sharing"",""สุโขทัย!J782"")+IMPORTRANGE(""http"&amp;"s://docs.google.com/spreadsheets/d/1v0b9pFQCsKUVExMei7AgY2yQkdeNQvtOssygGsXbiKo/edit?usp=sharing"",""อุตรดิตถ์!J782"")+IMPORTRANGE(""https://docs.google.com/spreadsheets/d/1UsNK1e-WWiCo2PvGqdNfdme4m17_Ezd3J69EeeiQPD0/edit?usp=sharing"",""อุทัยธานี!J782"")"),14655131.82)</f>
        <v>14655131.82</v>
      </c>
      <c r="K782" s="224">
        <f t="shared" ca="1" si="534"/>
        <v>27.017073758223447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208"/>
      <c r="B783" s="158"/>
      <c r="C783" s="158"/>
      <c r="D783" s="158"/>
      <c r="E783" s="40"/>
      <c r="F783" s="40"/>
      <c r="G783" s="42"/>
      <c r="H783" s="133" t="s">
        <v>35</v>
      </c>
      <c r="I783" s="184">
        <f ca="1">IFERROR(__xludf.DUMMYFUNCTION("IMPORTRANGE(""https://docs.google.com/spreadsheets/d/1jTcq05yEiRwXcBMLjiodW9e4biSGYWAHcDj22rKWQ3s/edit?usp=sharing"",""กำแพงเพชร!I783"")+IMPORTRANGE(""https://docs.google.com/spreadsheets/d/1KS0zmDSZPk8KnTAbGN-Xk6MtX1YRZD0ldgdt20K4CRk/edit?usp=sharing"","&amp;"""เชียงราย!I783"")+IMPORTRANGE(""https://docs.google.com/spreadsheets/d/1rEDxBtusbi64tE0zunoIbsTVV16HeL0oJ6trHQeQ7K8/edit?usp=sharing"",""เชียงใหม่!I783"")+IMPORTRANGE(""https://docs.google.com/spreadsheets/d/1W6MnUbDkMi6xHnHko_XkFDO9kkuL6Wqyc-6OCDFjW9I/e"&amp;"dit?usp=sharing"",""ตาก!I783"")+IMPORTRANGE(""https://docs.google.com/spreadsheets/d/1IQAWArduLkta9LpYo4a_ULsyqdta6-6aDDiwpUnQT6c/edit?usp=sharing"",""นครสวรรค์!I783"")+IMPORTRANGE(""https://docs.google.com/spreadsheets/d/10s13Sk5xrltsiR-Zkbmk5DwIaDIKO8Xl"&amp;"bJAfqyT7Gvg/edit?usp=sharing"",""น่าน!I783"")+IMPORTRANGE(""https://docs.google.com/spreadsheets/d/1uu4nAn4Dbi1XREnLKKotUANlKXa7yCgRcgq8HEzQYW8/edit?usp=sharing"",""พะเยา!I783"")+IMPORTRANGE(""https://docs.google.com/spreadsheets/d/1xfJKIQxVOaPDIICqsflNlL"&amp;"u3JacTDk1FP9RH4phX7mI/edit?usp=sharing"",""พิจิตร!I783"")+IMPORTRANGE(""https://docs.google.com/spreadsheets/d/1JtRfZkJMHtEhI5RdRHxYUG4FIZHqKDpNyIuN7A1Q0_k/edit?usp=sharing"",""พิษณุโลก!I783"")+IMPORTRANGE(""https://docs.google.com/spreadsheets/d/1xlcVZWU"&amp;"Nn6SuWm0c307h32SiGkd9BaeQWlAktfD3KO8/edit?usp=sharing"",""เพชรบูรณ์!I783"")+IMPORTRANGE(""https://docs.google.com/spreadsheets/d/1lOVebEIsI9qjGXl6EX66luk7wiuP2tBaryw-wKvv4e0/edit?usp=sharing"",""แพร่!I783"")+IMPORTRANGE(""https://docs.google.com/spreadshe"&amp;"ets/d/1dQrvX0vEcN7Gu0fnZ0B5S90AeR19zth4XlExFBeExMY/edit?usp=sharing"",""แม่ฮ่องสอน!I783"")+IMPORTRANGE(""https://docs.google.com/spreadsheets/d/1DY4XTNNwjluuxqdfdn6qvOSlMRrZqUtmYcZR0ttFiG4/edit?usp=sharing"",""ลำปาง!I783"")+IMPORTRANGE(""https://docs.goog"&amp;"le.com/spreadsheets/d/1ICwG78r0OFT8biBlxnBF8r7she7gNSzOvJ958PWT09c/edit?usp=sharing"",""ลำพูน!I783"")+IMPORTRANGE(""https://docs.google.com/spreadsheets/d/1B0f2xJpZUC6Z0xXnqKlZtEPzsf6L84eP1r1Q15seqRM/edit?usp=sharing"",""สุโขทัย!I783"")+IMPORTRANGE(""http"&amp;"s://docs.google.com/spreadsheets/d/1v0b9pFQCsKUVExMei7AgY2yQkdeNQvtOssygGsXbiKo/edit?usp=sharing"",""อุตรดิตถ์!I783"")+IMPORTRANGE(""https://docs.google.com/spreadsheets/d/1UsNK1e-WWiCo2PvGqdNfdme4m17_Ezd3J69EeeiQPD0/edit?usp=sharing"",""อุทัยธานี!I783"")"),4702)</f>
        <v>4702</v>
      </c>
      <c r="J783" s="184">
        <f ca="1">IFERROR(__xludf.DUMMYFUNCTION("IMPORTRANGE(""https://docs.google.com/spreadsheets/d/1jTcq05yEiRwXcBMLjiodW9e4biSGYWAHcDj22rKWQ3s/edit?usp=sharing"",""กำแพงเพชร!J783"")+IMPORTRANGE(""https://docs.google.com/spreadsheets/d/1KS0zmDSZPk8KnTAbGN-Xk6MtX1YRZD0ldgdt20K4CRk/edit?usp=sharing"","&amp;"""เชียงราย!J783"")+IMPORTRANGE(""https://docs.google.com/spreadsheets/d/1rEDxBtusbi64tE0zunoIbsTVV16HeL0oJ6trHQeQ7K8/edit?usp=sharing"",""เชียงใหม่!J783"")+IMPORTRANGE(""https://docs.google.com/spreadsheets/d/1W6MnUbDkMi6xHnHko_XkFDO9kkuL6Wqyc-6OCDFjW9I/e"&amp;"dit?usp=sharing"",""ตาก!J783"")+IMPORTRANGE(""https://docs.google.com/spreadsheets/d/1IQAWArduLkta9LpYo4a_ULsyqdta6-6aDDiwpUnQT6c/edit?usp=sharing"",""นครสวรรค์!J783"")+IMPORTRANGE(""https://docs.google.com/spreadsheets/d/10s13Sk5xrltsiR-Zkbmk5DwIaDIKO8Xl"&amp;"bJAfqyT7Gvg/edit?usp=sharing"",""น่าน!J783"")+IMPORTRANGE(""https://docs.google.com/spreadsheets/d/1uu4nAn4Dbi1XREnLKKotUANlKXa7yCgRcgq8HEzQYW8/edit?usp=sharing"",""พะเยา!J783"")+IMPORTRANGE(""https://docs.google.com/spreadsheets/d/1xfJKIQxVOaPDIICqsflNlL"&amp;"u3JacTDk1FP9RH4phX7mI/edit?usp=sharing"",""พิจิตร!J783"")+IMPORTRANGE(""https://docs.google.com/spreadsheets/d/1JtRfZkJMHtEhI5RdRHxYUG4FIZHqKDpNyIuN7A1Q0_k/edit?usp=sharing"",""พิษณุโลก!J783"")+IMPORTRANGE(""https://docs.google.com/spreadsheets/d/1xlcVZWU"&amp;"Nn6SuWm0c307h32SiGkd9BaeQWlAktfD3KO8/edit?usp=sharing"",""เพชรบูรณ์!J783"")+IMPORTRANGE(""https://docs.google.com/spreadsheets/d/1lOVebEIsI9qjGXl6EX66luk7wiuP2tBaryw-wKvv4e0/edit?usp=sharing"",""แพร่!J783"")+IMPORTRANGE(""https://docs.google.com/spreadshe"&amp;"ets/d/1dQrvX0vEcN7Gu0fnZ0B5S90AeR19zth4XlExFBeExMY/edit?usp=sharing"",""แม่ฮ่องสอน!J783"")+IMPORTRANGE(""https://docs.google.com/spreadsheets/d/1DY4XTNNwjluuxqdfdn6qvOSlMRrZqUtmYcZR0ttFiG4/edit?usp=sharing"",""ลำปาง!J783"")+IMPORTRANGE(""https://docs.goog"&amp;"le.com/spreadsheets/d/1ICwG78r0OFT8biBlxnBF8r7she7gNSzOvJ958PWT09c/edit?usp=sharing"",""ลำพูน!J783"")+IMPORTRANGE(""https://docs.google.com/spreadsheets/d/1B0f2xJpZUC6Z0xXnqKlZtEPzsf6L84eP1r1Q15seqRM/edit?usp=sharing"",""สุโขทัย!J783"")+IMPORTRANGE(""http"&amp;"s://docs.google.com/spreadsheets/d/1v0b9pFQCsKUVExMei7AgY2yQkdeNQvtOssygGsXbiKo/edit?usp=sharing"",""อุตรดิตถ์!J783"")+IMPORTRANGE(""https://docs.google.com/spreadsheets/d/1UsNK1e-WWiCo2PvGqdNfdme4m17_Ezd3J69EeeiQPD0/edit?usp=sharing"",""อุทัยธานี!J783"")"),2727)</f>
        <v>2727</v>
      </c>
      <c r="K783" s="224">
        <f t="shared" ca="1" si="534"/>
        <v>57.996597192683964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208"/>
      <c r="B784" s="209" t="s">
        <v>295</v>
      </c>
      <c r="C784" s="158"/>
      <c r="D784" s="158"/>
      <c r="E784" s="40"/>
      <c r="F784" s="40"/>
      <c r="G784" s="42"/>
      <c r="H784" s="133" t="s">
        <v>14</v>
      </c>
      <c r="I784" s="184">
        <f ca="1">IFERROR(__xludf.DUMMYFUNCTION("IMPORTRANGE(""https://docs.google.com/spreadsheets/d/1jTcq05yEiRwXcBMLjiodW9e4biSGYWAHcDj22rKWQ3s/edit?usp=sharing"",""กำแพงเพชร!I784"")+IMPORTRANGE(""https://docs.google.com/spreadsheets/d/1KS0zmDSZPk8KnTAbGN-Xk6MtX1YRZD0ldgdt20K4CRk/edit?usp=sharing"","&amp;"""เชียงราย!I784"")+IMPORTRANGE(""https://docs.google.com/spreadsheets/d/1rEDxBtusbi64tE0zunoIbsTVV16HeL0oJ6trHQeQ7K8/edit?usp=sharing"",""เชียงใหม่!I784"")+IMPORTRANGE(""https://docs.google.com/spreadsheets/d/1W6MnUbDkMi6xHnHko_XkFDO9kkuL6Wqyc-6OCDFjW9I/e"&amp;"dit?usp=sharing"",""ตาก!I784"")+IMPORTRANGE(""https://docs.google.com/spreadsheets/d/1IQAWArduLkta9LpYo4a_ULsyqdta6-6aDDiwpUnQT6c/edit?usp=sharing"",""นครสวรรค์!I784"")+IMPORTRANGE(""https://docs.google.com/spreadsheets/d/10s13Sk5xrltsiR-Zkbmk5DwIaDIKO8Xl"&amp;"bJAfqyT7Gvg/edit?usp=sharing"",""น่าน!I784"")+IMPORTRANGE(""https://docs.google.com/spreadsheets/d/1uu4nAn4Dbi1XREnLKKotUANlKXa7yCgRcgq8HEzQYW8/edit?usp=sharing"",""พะเยา!I784"")+IMPORTRANGE(""https://docs.google.com/spreadsheets/d/1xfJKIQxVOaPDIICqsflNlL"&amp;"u3JacTDk1FP9RH4phX7mI/edit?usp=sharing"",""พิจิตร!I784"")+IMPORTRANGE(""https://docs.google.com/spreadsheets/d/1JtRfZkJMHtEhI5RdRHxYUG4FIZHqKDpNyIuN7A1Q0_k/edit?usp=sharing"",""พิษณุโลก!I784"")+IMPORTRANGE(""https://docs.google.com/spreadsheets/d/1xlcVZWU"&amp;"Nn6SuWm0c307h32SiGkd9BaeQWlAktfD3KO8/edit?usp=sharing"",""เพชรบูรณ์!I784"")+IMPORTRANGE(""https://docs.google.com/spreadsheets/d/1lOVebEIsI9qjGXl6EX66luk7wiuP2tBaryw-wKvv4e0/edit?usp=sharing"",""แพร่!I784"")+IMPORTRANGE(""https://docs.google.com/spreadshe"&amp;"ets/d/1dQrvX0vEcN7Gu0fnZ0B5S90AeR19zth4XlExFBeExMY/edit?usp=sharing"",""แม่ฮ่องสอน!I784"")+IMPORTRANGE(""https://docs.google.com/spreadsheets/d/1DY4XTNNwjluuxqdfdn6qvOSlMRrZqUtmYcZR0ttFiG4/edit?usp=sharing"",""ลำปาง!I784"")+IMPORTRANGE(""https://docs.goog"&amp;"le.com/spreadsheets/d/1ICwG78r0OFT8biBlxnBF8r7she7gNSzOvJ958PWT09c/edit?usp=sharing"",""ลำพูน!I784"")+IMPORTRANGE(""https://docs.google.com/spreadsheets/d/1B0f2xJpZUC6Z0xXnqKlZtEPzsf6L84eP1r1Q15seqRM/edit?usp=sharing"",""สุโขทัย!I784"")+IMPORTRANGE(""http"&amp;"s://docs.google.com/spreadsheets/d/1v0b9pFQCsKUVExMei7AgY2yQkdeNQvtOssygGsXbiKo/edit?usp=sharing"",""อุตรดิตถ์!I784"")+IMPORTRANGE(""https://docs.google.com/spreadsheets/d/1UsNK1e-WWiCo2PvGqdNfdme4m17_Ezd3J69EeeiQPD0/edit?usp=sharing"",""อุทัยธานี!I784"")"),111024000)</f>
        <v>111024000</v>
      </c>
      <c r="J784" s="184">
        <f ca="1">IFERROR(__xludf.DUMMYFUNCTION("IMPORTRANGE(""https://docs.google.com/spreadsheets/d/1jTcq05yEiRwXcBMLjiodW9e4biSGYWAHcDj22rKWQ3s/edit?usp=sharing"",""กำแพงเพชร!J784"")+IMPORTRANGE(""https://docs.google.com/spreadsheets/d/1KS0zmDSZPk8KnTAbGN-Xk6MtX1YRZD0ldgdt20K4CRk/edit?usp=sharing"","&amp;"""เชียงราย!J784"")+IMPORTRANGE(""https://docs.google.com/spreadsheets/d/1rEDxBtusbi64tE0zunoIbsTVV16HeL0oJ6trHQeQ7K8/edit?usp=sharing"",""เชียงใหม่!J784"")+IMPORTRANGE(""https://docs.google.com/spreadsheets/d/1W6MnUbDkMi6xHnHko_XkFDO9kkuL6Wqyc-6OCDFjW9I/e"&amp;"dit?usp=sharing"",""ตาก!J784"")+IMPORTRANGE(""https://docs.google.com/spreadsheets/d/1IQAWArduLkta9LpYo4a_ULsyqdta6-6aDDiwpUnQT6c/edit?usp=sharing"",""นครสวรรค์!J784"")+IMPORTRANGE(""https://docs.google.com/spreadsheets/d/10s13Sk5xrltsiR-Zkbmk5DwIaDIKO8Xl"&amp;"bJAfqyT7Gvg/edit?usp=sharing"",""น่าน!J784"")+IMPORTRANGE(""https://docs.google.com/spreadsheets/d/1uu4nAn4Dbi1XREnLKKotUANlKXa7yCgRcgq8HEzQYW8/edit?usp=sharing"",""พะเยา!J784"")+IMPORTRANGE(""https://docs.google.com/spreadsheets/d/1xfJKIQxVOaPDIICqsflNlL"&amp;"u3JacTDk1FP9RH4phX7mI/edit?usp=sharing"",""พิจิตร!J784"")+IMPORTRANGE(""https://docs.google.com/spreadsheets/d/1JtRfZkJMHtEhI5RdRHxYUG4FIZHqKDpNyIuN7A1Q0_k/edit?usp=sharing"",""พิษณุโลก!J784"")+IMPORTRANGE(""https://docs.google.com/spreadsheets/d/1xlcVZWU"&amp;"Nn6SuWm0c307h32SiGkd9BaeQWlAktfD3KO8/edit?usp=sharing"",""เพชรบูรณ์!J784"")+IMPORTRANGE(""https://docs.google.com/spreadsheets/d/1lOVebEIsI9qjGXl6EX66luk7wiuP2tBaryw-wKvv4e0/edit?usp=sharing"",""แพร่!J784"")+IMPORTRANGE(""https://docs.google.com/spreadshe"&amp;"ets/d/1dQrvX0vEcN7Gu0fnZ0B5S90AeR19zth4XlExFBeExMY/edit?usp=sharing"",""แม่ฮ่องสอน!J784"")+IMPORTRANGE(""https://docs.google.com/spreadsheets/d/1DY4XTNNwjluuxqdfdn6qvOSlMRrZqUtmYcZR0ttFiG4/edit?usp=sharing"",""ลำปาง!J784"")+IMPORTRANGE(""https://docs.goog"&amp;"le.com/spreadsheets/d/1ICwG78r0OFT8biBlxnBF8r7she7gNSzOvJ958PWT09c/edit?usp=sharing"",""ลำพูน!J784"")+IMPORTRANGE(""https://docs.google.com/spreadsheets/d/1B0f2xJpZUC6Z0xXnqKlZtEPzsf6L84eP1r1Q15seqRM/edit?usp=sharing"",""สุโขทัย!J784"")+IMPORTRANGE(""http"&amp;"s://docs.google.com/spreadsheets/d/1v0b9pFQCsKUVExMei7AgY2yQkdeNQvtOssygGsXbiKo/edit?usp=sharing"",""อุตรดิตถ์!J784"")+IMPORTRANGE(""https://docs.google.com/spreadsheets/d/1UsNK1e-WWiCo2PvGqdNfdme4m17_Ezd3J69EeeiQPD0/edit?usp=sharing"",""อุทัยธานี!J784"")"),28492000)</f>
        <v>28492000</v>
      </c>
      <c r="K784" s="224">
        <f t="shared" ca="1" si="534"/>
        <v>25.662919729067589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329"/>
      <c r="B785" s="2"/>
      <c r="C785" s="2"/>
      <c r="D785" s="2"/>
      <c r="E785" s="1"/>
      <c r="F785" s="1"/>
      <c r="G785" s="52"/>
      <c r="H785" s="331" t="s">
        <v>35</v>
      </c>
      <c r="I785" s="188">
        <f ca="1">IFERROR(__xludf.DUMMYFUNCTION("IMPORTRANGE(""https://docs.google.com/spreadsheets/d/1jTcq05yEiRwXcBMLjiodW9e4biSGYWAHcDj22rKWQ3s/edit?usp=sharing"",""กำแพงเพชร!I785"")+IMPORTRANGE(""https://docs.google.com/spreadsheets/d/1KS0zmDSZPk8KnTAbGN-Xk6MtX1YRZD0ldgdt20K4CRk/edit?usp=sharing"","&amp;"""เชียงราย!I785"")+IMPORTRANGE(""https://docs.google.com/spreadsheets/d/1rEDxBtusbi64tE0zunoIbsTVV16HeL0oJ6trHQeQ7K8/edit?usp=sharing"",""เชียงใหม่!I785"")+IMPORTRANGE(""https://docs.google.com/spreadsheets/d/1W6MnUbDkMi6xHnHko_XkFDO9kkuL6Wqyc-6OCDFjW9I/e"&amp;"dit?usp=sharing"",""ตาก!I785"")+IMPORTRANGE(""https://docs.google.com/spreadsheets/d/1IQAWArduLkta9LpYo4a_ULsyqdta6-6aDDiwpUnQT6c/edit?usp=sharing"",""นครสวรรค์!I785"")+IMPORTRANGE(""https://docs.google.com/spreadsheets/d/10s13Sk5xrltsiR-Zkbmk5DwIaDIKO8Xl"&amp;"bJAfqyT7Gvg/edit?usp=sharing"",""น่าน!I785"")+IMPORTRANGE(""https://docs.google.com/spreadsheets/d/1uu4nAn4Dbi1XREnLKKotUANlKXa7yCgRcgq8HEzQYW8/edit?usp=sharing"",""พะเยา!I785"")+IMPORTRANGE(""https://docs.google.com/spreadsheets/d/1xfJKIQxVOaPDIICqsflNlL"&amp;"u3JacTDk1FP9RH4phX7mI/edit?usp=sharing"",""พิจิตร!I785"")+IMPORTRANGE(""https://docs.google.com/spreadsheets/d/1JtRfZkJMHtEhI5RdRHxYUG4FIZHqKDpNyIuN7A1Q0_k/edit?usp=sharing"",""พิษณุโลก!I785"")+IMPORTRANGE(""https://docs.google.com/spreadsheets/d/1xlcVZWU"&amp;"Nn6SuWm0c307h32SiGkd9BaeQWlAktfD3KO8/edit?usp=sharing"",""เพชรบูรณ์!I785"")+IMPORTRANGE(""https://docs.google.com/spreadsheets/d/1lOVebEIsI9qjGXl6EX66luk7wiuP2tBaryw-wKvv4e0/edit?usp=sharing"",""แพร่!I785"")+IMPORTRANGE(""https://docs.google.com/spreadshe"&amp;"ets/d/1dQrvX0vEcN7Gu0fnZ0B5S90AeR19zth4XlExFBeExMY/edit?usp=sharing"",""แม่ฮ่องสอน!I785"")+IMPORTRANGE(""https://docs.google.com/spreadsheets/d/1DY4XTNNwjluuxqdfdn6qvOSlMRrZqUtmYcZR0ttFiG4/edit?usp=sharing"",""ลำปาง!I785"")+IMPORTRANGE(""https://docs.goog"&amp;"le.com/spreadsheets/d/1ICwG78r0OFT8biBlxnBF8r7she7gNSzOvJ958PWT09c/edit?usp=sharing"",""ลำพูน!I785"")+IMPORTRANGE(""https://docs.google.com/spreadsheets/d/1B0f2xJpZUC6Z0xXnqKlZtEPzsf6L84eP1r1Q15seqRM/edit?usp=sharing"",""สุโขทัย!I785"")+IMPORTRANGE(""http"&amp;"s://docs.google.com/spreadsheets/d/1v0b9pFQCsKUVExMei7AgY2yQkdeNQvtOssygGsXbiKo/edit?usp=sharing"",""อุตรดิตถ์!I785"")+IMPORTRANGE(""https://docs.google.com/spreadsheets/d/1UsNK1e-WWiCo2PvGqdNfdme4m17_Ezd3J69EeeiQPD0/edit?usp=sharing"",""อุทัยธานี!I785"")"),3859)</f>
        <v>3859</v>
      </c>
      <c r="J785" s="188">
        <f ca="1">IFERROR(__xludf.DUMMYFUNCTION("IMPORTRANGE(""https://docs.google.com/spreadsheets/d/1jTcq05yEiRwXcBMLjiodW9e4biSGYWAHcDj22rKWQ3s/edit?usp=sharing"",""กำแพงเพชร!J785"")+IMPORTRANGE(""https://docs.google.com/spreadsheets/d/1KS0zmDSZPk8KnTAbGN-Xk6MtX1YRZD0ldgdt20K4CRk/edit?usp=sharing"","&amp;"""เชียงราย!J785"")+IMPORTRANGE(""https://docs.google.com/spreadsheets/d/1rEDxBtusbi64tE0zunoIbsTVV16HeL0oJ6trHQeQ7K8/edit?usp=sharing"",""เชียงใหม่!J785"")+IMPORTRANGE(""https://docs.google.com/spreadsheets/d/1W6MnUbDkMi6xHnHko_XkFDO9kkuL6Wqyc-6OCDFjW9I/e"&amp;"dit?usp=sharing"",""ตาก!J785"")+IMPORTRANGE(""https://docs.google.com/spreadsheets/d/1IQAWArduLkta9LpYo4a_ULsyqdta6-6aDDiwpUnQT6c/edit?usp=sharing"",""นครสวรรค์!J785"")+IMPORTRANGE(""https://docs.google.com/spreadsheets/d/10s13Sk5xrltsiR-Zkbmk5DwIaDIKO8Xl"&amp;"bJAfqyT7Gvg/edit?usp=sharing"",""น่าน!J785"")+IMPORTRANGE(""https://docs.google.com/spreadsheets/d/1uu4nAn4Dbi1XREnLKKotUANlKXa7yCgRcgq8HEzQYW8/edit?usp=sharing"",""พะเยา!J785"")+IMPORTRANGE(""https://docs.google.com/spreadsheets/d/1xfJKIQxVOaPDIICqsflNlL"&amp;"u3JacTDk1FP9RH4phX7mI/edit?usp=sharing"",""พิจิตร!J785"")+IMPORTRANGE(""https://docs.google.com/spreadsheets/d/1JtRfZkJMHtEhI5RdRHxYUG4FIZHqKDpNyIuN7A1Q0_k/edit?usp=sharing"",""พิษณุโลก!J785"")+IMPORTRANGE(""https://docs.google.com/spreadsheets/d/1xlcVZWU"&amp;"Nn6SuWm0c307h32SiGkd9BaeQWlAktfD3KO8/edit?usp=sharing"",""เพชรบูรณ์!J785"")+IMPORTRANGE(""https://docs.google.com/spreadsheets/d/1lOVebEIsI9qjGXl6EX66luk7wiuP2tBaryw-wKvv4e0/edit?usp=sharing"",""แพร่!J785"")+IMPORTRANGE(""https://docs.google.com/spreadshe"&amp;"ets/d/1dQrvX0vEcN7Gu0fnZ0B5S90AeR19zth4XlExFBeExMY/edit?usp=sharing"",""แม่ฮ่องสอน!J785"")+IMPORTRANGE(""https://docs.google.com/spreadsheets/d/1DY4XTNNwjluuxqdfdn6qvOSlMRrZqUtmYcZR0ttFiG4/edit?usp=sharing"",""ลำปาง!J785"")+IMPORTRANGE(""https://docs.goog"&amp;"le.com/spreadsheets/d/1ICwG78r0OFT8biBlxnBF8r7she7gNSzOvJ958PWT09c/edit?usp=sharing"",""ลำพูน!J785"")+IMPORTRANGE(""https://docs.google.com/spreadsheets/d/1B0f2xJpZUC6Z0xXnqKlZtEPzsf6L84eP1r1Q15seqRM/edit?usp=sharing"",""สุโขทัย!J785"")+IMPORTRANGE(""http"&amp;"s://docs.google.com/spreadsheets/d/1v0b9pFQCsKUVExMei7AgY2yQkdeNQvtOssygGsXbiKo/edit?usp=sharing"",""อุตรดิตถ์!J785"")+IMPORTRANGE(""https://docs.google.com/spreadsheets/d/1UsNK1e-WWiCo2PvGqdNfdme4m17_Ezd3J69EeeiQPD0/edit?usp=sharing"",""อุทัยธานี!J785"")"),860)</f>
        <v>860</v>
      </c>
      <c r="K785" s="455">
        <f t="shared" ca="1" si="534"/>
        <v>22.285566208862399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456"/>
      <c r="B786" s="456"/>
      <c r="C786" s="456"/>
      <c r="D786" s="456"/>
      <c r="E786" s="165"/>
      <c r="F786" s="165"/>
      <c r="G786" s="165"/>
      <c r="H786" s="456"/>
      <c r="I786" s="457"/>
      <c r="J786" s="457"/>
      <c r="K786" s="458"/>
      <c r="L786" s="458"/>
      <c r="M786" s="458"/>
      <c r="N786" s="458"/>
      <c r="O786" s="458"/>
      <c r="P786" s="458"/>
      <c r="Q786" s="458"/>
      <c r="R786" s="458"/>
      <c r="S786" s="458"/>
      <c r="T786" s="458"/>
      <c r="U786" s="458"/>
    </row>
    <row r="787" spans="1:21" ht="16.5" x14ac:dyDescent="0.25">
      <c r="A787" s="459" t="s">
        <v>296</v>
      </c>
      <c r="B787" s="456"/>
      <c r="C787" s="456"/>
      <c r="D787" s="456"/>
      <c r="E787" s="165"/>
      <c r="F787" s="165"/>
      <c r="G787" s="165"/>
      <c r="H787" s="456"/>
      <c r="I787" s="457"/>
      <c r="J787" s="457"/>
      <c r="K787" s="458"/>
      <c r="L787" s="458"/>
      <c r="M787" s="458"/>
      <c r="N787" s="458"/>
      <c r="O787" s="458"/>
      <c r="P787" s="458"/>
      <c r="Q787" s="458"/>
      <c r="R787" s="458"/>
      <c r="S787" s="458"/>
      <c r="T787" s="458"/>
      <c r="U787" s="458"/>
    </row>
    <row r="788" spans="1:21" ht="16.5" x14ac:dyDescent="0.25">
      <c r="A788" s="459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 xml:space="preserve">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456"/>
      <c r="C788" s="456"/>
      <c r="D788" s="456"/>
      <c r="E788" s="165"/>
      <c r="F788" s="165"/>
      <c r="G788" s="165"/>
      <c r="H788" s="456"/>
      <c r="I788" s="457"/>
      <c r="J788" s="457"/>
      <c r="K788" s="458"/>
      <c r="L788" s="458"/>
      <c r="M788" s="458"/>
      <c r="N788" s="458"/>
      <c r="O788" s="458"/>
      <c r="P788" s="458"/>
      <c r="Q788" s="458"/>
      <c r="R788" s="458"/>
      <c r="S788" s="458"/>
      <c r="T788" s="458"/>
      <c r="U788" s="458"/>
    </row>
    <row r="789" spans="1:21" ht="16.5" x14ac:dyDescent="0.25">
      <c r="A789" s="459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456"/>
      <c r="C789" s="456"/>
      <c r="D789" s="456"/>
      <c r="E789" s="165"/>
      <c r="F789" s="165"/>
      <c r="G789" s="165"/>
      <c r="H789" s="456"/>
      <c r="I789" s="457"/>
      <c r="J789" s="457"/>
      <c r="K789" s="458"/>
      <c r="L789" s="458"/>
      <c r="M789" s="458"/>
      <c r="N789" s="458"/>
      <c r="O789" s="458"/>
      <c r="P789" s="458"/>
      <c r="Q789" s="458"/>
      <c r="R789" s="458"/>
      <c r="S789" s="458"/>
      <c r="T789" s="458"/>
      <c r="U789" s="458"/>
    </row>
  </sheetData>
  <mergeCells count="25">
    <mergeCell ref="N5:P5"/>
    <mergeCell ref="Q5:R5"/>
    <mergeCell ref="L4:P4"/>
    <mergeCell ref="Q4:U4"/>
    <mergeCell ref="I5:K5"/>
    <mergeCell ref="L5:M5"/>
    <mergeCell ref="S5:U5"/>
    <mergeCell ref="A1:U1"/>
    <mergeCell ref="A2:U2"/>
    <mergeCell ref="A3:U3"/>
    <mergeCell ref="D714:G714"/>
    <mergeCell ref="D728:G728"/>
    <mergeCell ref="D760:G760"/>
    <mergeCell ref="A5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</mergeCells>
  <printOptions horizontalCentered="1" gridLines="1"/>
  <pageMargins left="0.70866141732283472" right="0.70866141732283472" top="0.74803149606299213" bottom="0.74803149606299213" header="0" footer="0"/>
  <pageSetup paperSize="9" scale="24" fitToHeight="0" pageOrder="overThenDown" orientation="portrait" cellComments="atEnd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30CF2-9314-45BB-B106-5824F583A692}">
  <sheetPr>
    <outlinePr summaryBelow="0" summaryRight="0"/>
  </sheetPr>
  <dimension ref="A1:U789"/>
  <sheetViews>
    <sheetView view="pageBreakPreview" zoomScale="60" zoomScaleNormal="70" workbookViewId="0">
      <pane xSplit="8" ySplit="6" topLeftCell="I7" activePane="bottomRight" state="frozen"/>
      <selection activeCell="N28" sqref="N28"/>
      <selection pane="topRight" activeCell="N28" sqref="N28"/>
      <selection pane="bottomLeft" activeCell="N28" sqref="N28"/>
      <selection pane="bottomRight" activeCell="N28" sqref="N2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7109375" bestFit="1" customWidth="1"/>
    <col min="10" max="10" width="15" bestFit="1" customWidth="1"/>
    <col min="11" max="11" width="12.42578125" bestFit="1" customWidth="1"/>
    <col min="12" max="14" width="21" bestFit="1" customWidth="1"/>
    <col min="15" max="15" width="20.140625" bestFit="1" customWidth="1"/>
    <col min="16" max="16" width="22" bestFit="1" customWidth="1"/>
    <col min="17" max="18" width="21" bestFit="1" customWidth="1"/>
    <col min="19" max="19" width="18.57031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815" t="s">
        <v>0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5"/>
      <c r="T1" s="815"/>
      <c r="U1" s="815"/>
    </row>
    <row r="2" spans="1:21" ht="19.5" x14ac:dyDescent="0.3">
      <c r="A2" s="815" t="s">
        <v>325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</row>
    <row r="3" spans="1:21" ht="19.5" x14ac:dyDescent="0.3">
      <c r="A3" s="815" t="s">
        <v>335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709"/>
      <c r="L4" s="816" t="s">
        <v>2</v>
      </c>
      <c r="M4" s="800"/>
      <c r="N4" s="800"/>
      <c r="O4" s="800"/>
      <c r="P4" s="801"/>
      <c r="Q4" s="817" t="s">
        <v>3</v>
      </c>
      <c r="R4" s="800"/>
      <c r="S4" s="800"/>
      <c r="T4" s="800"/>
      <c r="U4" s="801"/>
    </row>
    <row r="5" spans="1:21" ht="19.5" x14ac:dyDescent="0.3">
      <c r="A5" s="822" t="s">
        <v>4</v>
      </c>
      <c r="B5" s="797"/>
      <c r="C5" s="797"/>
      <c r="D5" s="797"/>
      <c r="E5" s="797"/>
      <c r="F5" s="797"/>
      <c r="G5" s="798"/>
      <c r="H5" s="789" t="s">
        <v>5</v>
      </c>
      <c r="I5" s="814" t="s">
        <v>6</v>
      </c>
      <c r="J5" s="800"/>
      <c r="K5" s="801"/>
      <c r="L5" s="818" t="s">
        <v>7</v>
      </c>
      <c r="M5" s="801"/>
      <c r="N5" s="807" t="s">
        <v>8</v>
      </c>
      <c r="O5" s="800"/>
      <c r="P5" s="801"/>
      <c r="Q5" s="808" t="s">
        <v>7</v>
      </c>
      <c r="R5" s="801"/>
      <c r="S5" s="807" t="s">
        <v>8</v>
      </c>
      <c r="T5" s="800"/>
      <c r="U5" s="801"/>
    </row>
    <row r="6" spans="1:21" ht="19.5" x14ac:dyDescent="0.3">
      <c r="A6" s="799"/>
      <c r="B6" s="800"/>
      <c r="C6" s="800"/>
      <c r="D6" s="800"/>
      <c r="E6" s="800"/>
      <c r="F6" s="800"/>
      <c r="G6" s="801"/>
      <c r="H6" s="788"/>
      <c r="I6" s="6" t="s">
        <v>9</v>
      </c>
      <c r="J6" s="7" t="s">
        <v>10</v>
      </c>
      <c r="K6" s="6" t="s">
        <v>11</v>
      </c>
      <c r="L6" s="706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823"/>
      <c r="B7" s="800"/>
      <c r="C7" s="800"/>
      <c r="D7" s="800"/>
      <c r="E7" s="800"/>
      <c r="F7" s="800"/>
      <c r="G7" s="801"/>
      <c r="H7" s="14"/>
      <c r="I7" s="15"/>
      <c r="J7" s="15"/>
      <c r="K7" s="16"/>
      <c r="L7" s="580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571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71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71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71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71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71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71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71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580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803" t="s">
        <v>309</v>
      </c>
      <c r="B17" s="800"/>
      <c r="C17" s="800"/>
      <c r="D17" s="800"/>
      <c r="E17" s="800"/>
      <c r="F17" s="800"/>
      <c r="G17" s="801"/>
      <c r="H17" s="23"/>
      <c r="I17" s="24"/>
      <c r="J17" s="24"/>
      <c r="K17" s="25"/>
      <c r="L17" s="705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704">
        <f ca="1">L19+L20</f>
        <v>2051015</v>
      </c>
      <c r="M18" s="664">
        <f ca="1">M19+M20</f>
        <v>2216828</v>
      </c>
      <c r="N18" s="664">
        <f ca="1">N19+N20</f>
        <v>1900965.75</v>
      </c>
      <c r="O18" s="664">
        <f t="shared" ref="O18:O26" ca="1" si="0">IF(L18&gt;0,N18*100/L18,0)</f>
        <v>92.684146629839375</v>
      </c>
      <c r="P18" s="664">
        <f t="shared" ref="P18:P26" ca="1" si="1">IF(M18&gt;0,N18*100/M18,0)</f>
        <v>85.751612213487022</v>
      </c>
      <c r="Q18" s="664">
        <f ca="1">Q19+Q20</f>
        <v>2976203.39</v>
      </c>
      <c r="R18" s="664">
        <f ca="1">R19+R20</f>
        <v>2913703</v>
      </c>
      <c r="S18" s="664">
        <f ca="1">S19+S20</f>
        <v>229261.94999999998</v>
      </c>
      <c r="T18" s="664">
        <f t="shared" ref="T18:T26" ca="1" si="2">IF(Q18&gt;0,S18*100/Q18,0)</f>
        <v>7.7031680956455055</v>
      </c>
      <c r="U18" s="664">
        <f t="shared" ref="U18:U26" ca="1" si="3">IF(R18&gt;0,S18*100/R18,0)</f>
        <v>7.8684049129235207</v>
      </c>
    </row>
    <row r="19" spans="1:21" ht="18.75" hidden="1" x14ac:dyDescent="0.25">
      <c r="A19" s="26"/>
      <c r="B19" s="27"/>
      <c r="C19" s="27"/>
      <c r="D19" s="27"/>
      <c r="E19" s="703" t="s">
        <v>20</v>
      </c>
      <c r="F19" s="27"/>
      <c r="G19" s="30"/>
      <c r="H19" s="702" t="s">
        <v>14</v>
      </c>
      <c r="I19" s="32"/>
      <c r="J19" s="32"/>
      <c r="K19" s="33"/>
      <c r="L19" s="701">
        <f t="shared" ref="L19:N20" si="4">L22+L25</f>
        <v>0</v>
      </c>
      <c r="M19" s="700">
        <f t="shared" si="4"/>
        <v>0</v>
      </c>
      <c r="N19" s="700">
        <f t="shared" si="4"/>
        <v>0</v>
      </c>
      <c r="O19" s="700">
        <f t="shared" si="0"/>
        <v>0</v>
      </c>
      <c r="P19" s="700">
        <f t="shared" si="1"/>
        <v>0</v>
      </c>
      <c r="Q19" s="700">
        <f t="shared" ref="Q19:S20" si="5">Q22+Q25</f>
        <v>0</v>
      </c>
      <c r="R19" s="700">
        <f t="shared" si="5"/>
        <v>0</v>
      </c>
      <c r="S19" s="700">
        <f t="shared" si="5"/>
        <v>0</v>
      </c>
      <c r="T19" s="700">
        <f t="shared" si="2"/>
        <v>0</v>
      </c>
      <c r="U19" s="700">
        <f t="shared" si="3"/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699">
        <f t="shared" ca="1" si="4"/>
        <v>2051015</v>
      </c>
      <c r="M20" s="698">
        <f t="shared" ca="1" si="4"/>
        <v>2216828</v>
      </c>
      <c r="N20" s="698">
        <f t="shared" ca="1" si="4"/>
        <v>1900965.75</v>
      </c>
      <c r="O20" s="698">
        <f t="shared" ca="1" si="0"/>
        <v>92.684146629839375</v>
      </c>
      <c r="P20" s="698">
        <f t="shared" ca="1" si="1"/>
        <v>85.751612213487022</v>
      </c>
      <c r="Q20" s="698">
        <f t="shared" ca="1" si="5"/>
        <v>2976203.39</v>
      </c>
      <c r="R20" s="698">
        <f t="shared" ca="1" si="5"/>
        <v>2913703</v>
      </c>
      <c r="S20" s="698">
        <f t="shared" ca="1" si="5"/>
        <v>229261.94999999998</v>
      </c>
      <c r="T20" s="698">
        <f t="shared" ca="1" si="2"/>
        <v>7.7031680956455055</v>
      </c>
      <c r="U20" s="698">
        <f t="shared" ca="1" si="3"/>
        <v>7.8684049129235207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468">
        <f ca="1">L22+L23</f>
        <v>2051015</v>
      </c>
      <c r="M21" s="224">
        <f ca="1">M22+M23</f>
        <v>2216828</v>
      </c>
      <c r="N21" s="224">
        <f ca="1">N22+N23</f>
        <v>1900965.75</v>
      </c>
      <c r="O21" s="224">
        <f t="shared" ca="1" si="0"/>
        <v>92.684146629839375</v>
      </c>
      <c r="P21" s="224">
        <f t="shared" ca="1" si="1"/>
        <v>85.751612213487022</v>
      </c>
      <c r="Q21" s="224">
        <f ca="1">Q22+Q23</f>
        <v>2976203.39</v>
      </c>
      <c r="R21" s="224">
        <f ca="1">R22+R23</f>
        <v>2913703</v>
      </c>
      <c r="S21" s="224">
        <f ca="1">S22+S23</f>
        <v>229261.94999999998</v>
      </c>
      <c r="T21" s="224">
        <f t="shared" ca="1" si="2"/>
        <v>7.7031680956455055</v>
      </c>
      <c r="U21" s="224">
        <f t="shared" ca="1" si="3"/>
        <v>7.8684049129235207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674" t="s">
        <v>14</v>
      </c>
      <c r="I22" s="44"/>
      <c r="J22" s="44"/>
      <c r="K22" s="45"/>
      <c r="L22" s="469">
        <f t="shared" ref="L22:N23" si="6">L48+L63+L76+L98+L129+L143+L161+L190+L177+L270+L286+L307+L324+L337+L360+L517</f>
        <v>0</v>
      </c>
      <c r="M22" s="83">
        <f t="shared" si="6"/>
        <v>0</v>
      </c>
      <c r="N22" s="83">
        <f t="shared" si="6"/>
        <v>0</v>
      </c>
      <c r="O22" s="83">
        <f t="shared" si="0"/>
        <v>0</v>
      </c>
      <c r="P22" s="83">
        <f t="shared" si="1"/>
        <v>0</v>
      </c>
      <c r="Q22" s="83">
        <f t="shared" ref="Q22:S23" si="7">Q76+Q98+Q121+Q143+Q161+Q177+Q190+Q270+Q286+Q307+Q337+Q379+Q396+Q417+Q497+Q603+Q620+Q646+Q694+Q718+Q732+Q764</f>
        <v>0</v>
      </c>
      <c r="R22" s="83">
        <f t="shared" si="7"/>
        <v>0</v>
      </c>
      <c r="S22" s="83">
        <f t="shared" si="7"/>
        <v>0</v>
      </c>
      <c r="T22" s="83">
        <f t="shared" si="2"/>
        <v>0</v>
      </c>
      <c r="U22" s="83">
        <f t="shared" si="3"/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468">
        <f t="shared" ca="1" si="6"/>
        <v>2051015</v>
      </c>
      <c r="M23" s="224">
        <f t="shared" ca="1" si="6"/>
        <v>2216828</v>
      </c>
      <c r="N23" s="224">
        <f t="shared" ca="1" si="6"/>
        <v>1900965.75</v>
      </c>
      <c r="O23" s="224">
        <f t="shared" ca="1" si="0"/>
        <v>92.684146629839375</v>
      </c>
      <c r="P23" s="224">
        <f t="shared" ca="1" si="1"/>
        <v>85.751612213487022</v>
      </c>
      <c r="Q23" s="224">
        <f t="shared" ca="1" si="7"/>
        <v>2976203.39</v>
      </c>
      <c r="R23" s="224">
        <f t="shared" ca="1" si="7"/>
        <v>2913703</v>
      </c>
      <c r="S23" s="224">
        <f t="shared" ca="1" si="7"/>
        <v>229261.94999999998</v>
      </c>
      <c r="T23" s="224">
        <f t="shared" ca="1" si="2"/>
        <v>7.7031680956455055</v>
      </c>
      <c r="U23" s="224">
        <f t="shared" ca="1" si="3"/>
        <v>7.8684049129235207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468">
        <f ca="1">L25+L26</f>
        <v>0</v>
      </c>
      <c r="M24" s="224">
        <f ca="1">M25+M26</f>
        <v>0</v>
      </c>
      <c r="N24" s="224">
        <f ca="1">N25+N26</f>
        <v>0</v>
      </c>
      <c r="O24" s="224">
        <f t="shared" ca="1" si="0"/>
        <v>0</v>
      </c>
      <c r="P24" s="224">
        <f t="shared" ca="1" si="1"/>
        <v>0</v>
      </c>
      <c r="Q24" s="224">
        <f>Q25+Q26</f>
        <v>0</v>
      </c>
      <c r="R24" s="224">
        <f>R25+R26</f>
        <v>0</v>
      </c>
      <c r="S24" s="224">
        <f>S25+S26</f>
        <v>0</v>
      </c>
      <c r="T24" s="224">
        <f t="shared" si="2"/>
        <v>0</v>
      </c>
      <c r="U24" s="224">
        <f t="shared" si="3"/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674" t="s">
        <v>14</v>
      </c>
      <c r="I25" s="44"/>
      <c r="J25" s="44"/>
      <c r="K25" s="45"/>
      <c r="L25" s="469">
        <f t="shared" ref="L25:N26" si="8">L51+L66+L79+L101+L132+L146+L164+L193+L180+L273+L289+L310+L327+L340+L363+L520</f>
        <v>0</v>
      </c>
      <c r="M25" s="83">
        <f t="shared" si="8"/>
        <v>0</v>
      </c>
      <c r="N25" s="83">
        <f t="shared" si="8"/>
        <v>0</v>
      </c>
      <c r="O25" s="83">
        <f t="shared" si="0"/>
        <v>0</v>
      </c>
      <c r="P25" s="83">
        <f t="shared" si="1"/>
        <v>0</v>
      </c>
      <c r="Q25" s="83">
        <f t="shared" ref="Q25:S26" si="9">Q79+Q101+Q124+Q146+Q164+Q180+Q193+Q273+Q289+Q310+Q340+Q382+Q399+Q420+Q500+Q606+Q623+Q649+Q697+Q721+Q735+Q767</f>
        <v>0</v>
      </c>
      <c r="R25" s="83">
        <f t="shared" si="9"/>
        <v>0</v>
      </c>
      <c r="S25" s="83">
        <f t="shared" si="9"/>
        <v>0</v>
      </c>
      <c r="T25" s="83">
        <f t="shared" si="2"/>
        <v>0</v>
      </c>
      <c r="U25" s="83">
        <f t="shared" si="3"/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468">
        <f t="shared" ca="1" si="8"/>
        <v>0</v>
      </c>
      <c r="M26" s="224">
        <f t="shared" ca="1" si="8"/>
        <v>0</v>
      </c>
      <c r="N26" s="224">
        <f t="shared" ca="1" si="8"/>
        <v>0</v>
      </c>
      <c r="O26" s="224">
        <f t="shared" ca="1" si="0"/>
        <v>0</v>
      </c>
      <c r="P26" s="224">
        <f t="shared" ca="1" si="1"/>
        <v>0</v>
      </c>
      <c r="Q26" s="83">
        <f t="shared" si="9"/>
        <v>0</v>
      </c>
      <c r="R26" s="83">
        <f t="shared" si="9"/>
        <v>0</v>
      </c>
      <c r="S26" s="83">
        <f t="shared" si="9"/>
        <v>0</v>
      </c>
      <c r="T26" s="224">
        <f t="shared" si="2"/>
        <v>0</v>
      </c>
      <c r="U26" s="224">
        <f t="shared" si="3"/>
        <v>0</v>
      </c>
    </row>
    <row r="27" spans="1:21" ht="18.75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465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674" t="s">
        <v>14</v>
      </c>
      <c r="I28" s="44"/>
      <c r="J28" s="44"/>
      <c r="K28" s="45"/>
      <c r="L28" s="465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463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823"/>
      <c r="B30" s="800"/>
      <c r="C30" s="800"/>
      <c r="D30" s="800"/>
      <c r="E30" s="800"/>
      <c r="F30" s="800"/>
      <c r="G30" s="801"/>
      <c r="H30" s="14"/>
      <c r="I30" s="15"/>
      <c r="J30" s="15"/>
      <c r="K30" s="16"/>
      <c r="L30" s="580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571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7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71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7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7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7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7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71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580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697">
        <f ca="1">L44+L59+L72+L94+L125+L139+L157+L173+L186+L266+L282+L303+L320+L333+L356</f>
        <v>2051015</v>
      </c>
      <c r="M40" s="696">
        <f ca="1">M44+M59+M72+M94+M125+M139+M157+M173+M186+M266+M282+M303+M320+M333+M356</f>
        <v>2216828</v>
      </c>
      <c r="N40" s="696">
        <f ca="1">N44+N59+N72+N94+N125+N139+N157+N173+N186+N266+N282+N303+N320+N333+N356</f>
        <v>1900965.75</v>
      </c>
      <c r="O40" s="696">
        <f ca="1">IF(L40&gt;0,N40*100/L40,0)</f>
        <v>92.684146629839375</v>
      </c>
      <c r="P40" s="696">
        <f ca="1">IF(M40&gt;0,N40*100/M40,0)</f>
        <v>85.751612213487022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695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571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694" t="s">
        <v>19</v>
      </c>
      <c r="E44" s="71"/>
      <c r="F44" s="71"/>
      <c r="G44" s="74"/>
      <c r="H44" s="75" t="s">
        <v>14</v>
      </c>
      <c r="I44" s="76"/>
      <c r="J44" s="76"/>
      <c r="K44" s="77"/>
      <c r="L44" s="693">
        <f ca="1">L45+L46</f>
        <v>300800</v>
      </c>
      <c r="M44" s="692">
        <f ca="1">M45+M46</f>
        <v>317703</v>
      </c>
      <c r="N44" s="692">
        <f ca="1">N45+N46</f>
        <v>297590</v>
      </c>
      <c r="O44" s="692">
        <f t="shared" ref="O44:O52" ca="1" si="10">IF(L44&gt;0,N44*100/L44,0)</f>
        <v>98.932845744680847</v>
      </c>
      <c r="P44" s="692">
        <f t="shared" ref="P44:P52" ca="1" si="11">IF(M44&gt;0,N44*100/M44,0)</f>
        <v>93.669244546006809</v>
      </c>
      <c r="Q44" s="692">
        <f>Q45+Q46</f>
        <v>0</v>
      </c>
      <c r="R44" s="692">
        <f>R45+R46</f>
        <v>0</v>
      </c>
      <c r="S44" s="692">
        <f>S45+S46</f>
        <v>0</v>
      </c>
      <c r="T44" s="692">
        <f t="shared" ref="T44:T52" si="12">IF(Q44&gt;0,S44*100/Q44,0)</f>
        <v>0</v>
      </c>
      <c r="U44" s="692">
        <f t="shared" ref="U44:U52" si="13">IF(R44&gt;0,S44*100/R44,0)</f>
        <v>0</v>
      </c>
    </row>
    <row r="45" spans="1:21" ht="18.75" hidden="1" x14ac:dyDescent="0.25">
      <c r="A45" s="70"/>
      <c r="B45" s="71"/>
      <c r="C45" s="71"/>
      <c r="D45" s="71"/>
      <c r="E45" s="691" t="s">
        <v>20</v>
      </c>
      <c r="F45" s="71"/>
      <c r="G45" s="74"/>
      <c r="H45" s="690" t="s">
        <v>14</v>
      </c>
      <c r="I45" s="76"/>
      <c r="J45" s="76"/>
      <c r="K45" s="77"/>
      <c r="L45" s="689">
        <f t="shared" ref="L45:N46" si="14">L48+L51</f>
        <v>0</v>
      </c>
      <c r="M45" s="688">
        <f t="shared" si="14"/>
        <v>0</v>
      </c>
      <c r="N45" s="688">
        <f t="shared" si="14"/>
        <v>0</v>
      </c>
      <c r="O45" s="688">
        <f t="shared" si="10"/>
        <v>0</v>
      </c>
      <c r="P45" s="688">
        <f t="shared" si="11"/>
        <v>0</v>
      </c>
      <c r="Q45" s="688">
        <f t="shared" ref="Q45:S46" si="15">Q48+Q51</f>
        <v>0</v>
      </c>
      <c r="R45" s="688">
        <f t="shared" si="15"/>
        <v>0</v>
      </c>
      <c r="S45" s="688">
        <f t="shared" si="15"/>
        <v>0</v>
      </c>
      <c r="T45" s="688">
        <f t="shared" si="12"/>
        <v>0</v>
      </c>
      <c r="U45" s="688">
        <f t="shared" si="13"/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687">
        <f t="shared" ca="1" si="14"/>
        <v>300800</v>
      </c>
      <c r="M46" s="686">
        <f t="shared" ca="1" si="14"/>
        <v>317703</v>
      </c>
      <c r="N46" s="686">
        <f t="shared" ca="1" si="14"/>
        <v>297590</v>
      </c>
      <c r="O46" s="686">
        <f t="shared" ca="1" si="10"/>
        <v>98.932845744680847</v>
      </c>
      <c r="P46" s="686">
        <f t="shared" ca="1" si="11"/>
        <v>93.669244546006809</v>
      </c>
      <c r="Q46" s="686">
        <f t="shared" si="15"/>
        <v>0</v>
      </c>
      <c r="R46" s="686">
        <f t="shared" si="15"/>
        <v>0</v>
      </c>
      <c r="S46" s="686">
        <f t="shared" si="15"/>
        <v>0</v>
      </c>
      <c r="T46" s="686">
        <f t="shared" si="12"/>
        <v>0</v>
      </c>
      <c r="U46" s="686">
        <f t="shared" si="13"/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468">
        <f ca="1">L48+L49</f>
        <v>300800</v>
      </c>
      <c r="M47" s="224">
        <f ca="1">M48+M49</f>
        <v>317703</v>
      </c>
      <c r="N47" s="224">
        <f ca="1">N48+N49</f>
        <v>297590</v>
      </c>
      <c r="O47" s="224">
        <f t="shared" ca="1" si="10"/>
        <v>98.932845744680847</v>
      </c>
      <c r="P47" s="224">
        <f t="shared" ca="1" si="11"/>
        <v>93.669244546006809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 t="shared" si="12"/>
        <v>0</v>
      </c>
      <c r="U47" s="224">
        <f t="shared" si="13"/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674" t="s">
        <v>14</v>
      </c>
      <c r="I48" s="44"/>
      <c r="J48" s="44"/>
      <c r="K48" s="45"/>
      <c r="L48" s="469">
        <v>0</v>
      </c>
      <c r="M48" s="83">
        <v>0</v>
      </c>
      <c r="N48" s="83">
        <v>0</v>
      </c>
      <c r="O48" s="83">
        <f t="shared" si="10"/>
        <v>0</v>
      </c>
      <c r="P48" s="83">
        <f t="shared" si="11"/>
        <v>0</v>
      </c>
      <c r="Q48" s="83">
        <v>0</v>
      </c>
      <c r="R48" s="83">
        <v>0</v>
      </c>
      <c r="S48" s="83">
        <v>0</v>
      </c>
      <c r="T48" s="83">
        <f t="shared" si="12"/>
        <v>0</v>
      </c>
      <c r="U48" s="83">
        <f t="shared" si="13"/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468">
        <f ca="1">IFERROR(__xludf.DUMMYFUNCTION("IMPORTRANGE(""https://docs.google.com/spreadsheets/d/1-uDff_7J0KD5mKrp0Vvzr7lt3OU09vwQwhkpOPPYv2Y/edit?usp=sharing"",""งบพรบ!P22"")"),300800)</f>
        <v>300800</v>
      </c>
      <c r="M49" s="224">
        <f ca="1">IFERROR(__xludf.DUMMYFUNCTION("IMPORTRANGE(""https://docs.google.com/spreadsheets/d/1-uDff_7J0KD5mKrp0Vvzr7lt3OU09vwQwhkpOPPYv2Y/edit?usp=sharing"",""งบพรบ!V22"")"),317703)</f>
        <v>317703</v>
      </c>
      <c r="N49" s="224">
        <f ca="1">IFERROR(__xludf.DUMMYFUNCTION("IMPORTRANGE(""https://docs.google.com/spreadsheets/d/1-uDff_7J0KD5mKrp0Vvzr7lt3OU09vwQwhkpOPPYv2Y/edit?usp=sharing"",""งบพรบ!Y22"")"),297590)</f>
        <v>297590</v>
      </c>
      <c r="O49" s="224">
        <f t="shared" ca="1" si="10"/>
        <v>98.932845744680847</v>
      </c>
      <c r="P49" s="224">
        <f t="shared" ca="1" si="11"/>
        <v>93.669244546006809</v>
      </c>
      <c r="Q49" s="224">
        <v>0</v>
      </c>
      <c r="R49" s="224">
        <v>0</v>
      </c>
      <c r="S49" s="224">
        <v>0</v>
      </c>
      <c r="T49" s="224">
        <f t="shared" si="12"/>
        <v>0</v>
      </c>
      <c r="U49" s="224">
        <f t="shared" si="13"/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468">
        <f ca="1">L51+L52</f>
        <v>0</v>
      </c>
      <c r="M50" s="224">
        <f ca="1">M51+M52</f>
        <v>0</v>
      </c>
      <c r="N50" s="224">
        <f ca="1">N51+N52</f>
        <v>0</v>
      </c>
      <c r="O50" s="224">
        <f t="shared" ca="1" si="10"/>
        <v>0</v>
      </c>
      <c r="P50" s="224">
        <f t="shared" ca="1" si="11"/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 t="shared" si="12"/>
        <v>0</v>
      </c>
      <c r="U50" s="224">
        <f t="shared" si="13"/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674" t="s">
        <v>14</v>
      </c>
      <c r="I51" s="44"/>
      <c r="J51" s="44"/>
      <c r="K51" s="45"/>
      <c r="L51" s="469">
        <v>0</v>
      </c>
      <c r="M51" s="83">
        <v>0</v>
      </c>
      <c r="N51" s="83">
        <v>0</v>
      </c>
      <c r="O51" s="83">
        <f t="shared" si="10"/>
        <v>0</v>
      </c>
      <c r="P51" s="83">
        <f t="shared" si="11"/>
        <v>0</v>
      </c>
      <c r="Q51" s="83">
        <v>0</v>
      </c>
      <c r="R51" s="83">
        <v>0</v>
      </c>
      <c r="S51" s="83">
        <v>0</v>
      </c>
      <c r="T51" s="83">
        <f t="shared" si="12"/>
        <v>0</v>
      </c>
      <c r="U51" s="83">
        <f t="shared" si="13"/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468">
        <f ca="1">IFERROR(__xludf.DUMMYFUNCTION("IMPORTRANGE(""https://docs.google.com/spreadsheets/d/1-uDff_7J0KD5mKrp0Vvzr7lt3OU09vwQwhkpOPPYv2Y/edit?usp=sharing"",""งบพรบ!S22"")"),0)</f>
        <v>0</v>
      </c>
      <c r="M52" s="224">
        <f ca="1">IFERROR(__xludf.DUMMYFUNCTION("IMPORTRANGE(""https://docs.google.com/spreadsheets/d/1-uDff_7J0KD5mKrp0Vvzr7lt3OU09vwQwhkpOPPYv2Y/edit?usp=sharing"",""งบพรบ!W22"")"),0)</f>
        <v>0</v>
      </c>
      <c r="N52" s="224">
        <f ca="1">IFERROR(__xludf.DUMMYFUNCTION("IMPORTRANGE(""https://docs.google.com/spreadsheets/d/1-uDff_7J0KD5mKrp0Vvzr7lt3OU09vwQwhkpOPPYv2Y/edit?usp=sharing"",""งบพรบ!Z22"")"),0)</f>
        <v>0</v>
      </c>
      <c r="O52" s="224">
        <f t="shared" ca="1" si="10"/>
        <v>0</v>
      </c>
      <c r="P52" s="224">
        <f t="shared" ca="1" si="11"/>
        <v>0</v>
      </c>
      <c r="Q52" s="224">
        <v>0</v>
      </c>
      <c r="R52" s="224">
        <v>0</v>
      </c>
      <c r="S52" s="224">
        <v>0</v>
      </c>
      <c r="T52" s="224">
        <f t="shared" si="12"/>
        <v>0</v>
      </c>
      <c r="U52" s="224">
        <f t="shared" si="13"/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465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674" t="s">
        <v>14</v>
      </c>
      <c r="I54" s="44"/>
      <c r="J54" s="44"/>
      <c r="K54" s="45"/>
      <c r="L54" s="465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463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804" t="s">
        <v>28</v>
      </c>
      <c r="B56" s="800"/>
      <c r="C56" s="800"/>
      <c r="D56" s="800"/>
      <c r="E56" s="800"/>
      <c r="F56" s="800"/>
      <c r="G56" s="80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805" t="s">
        <v>29</v>
      </c>
      <c r="C57" s="793"/>
      <c r="D57" s="793"/>
      <c r="E57" s="793"/>
      <c r="F57" s="793"/>
      <c r="G57" s="794"/>
      <c r="H57" s="89"/>
      <c r="I57" s="90"/>
      <c r="J57" s="90"/>
      <c r="K57" s="91"/>
      <c r="L57" s="68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8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8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82">
        <f ca="1">L60+L61</f>
        <v>702500</v>
      </c>
      <c r="M59" s="681">
        <f ca="1">M60+M61</f>
        <v>799870</v>
      </c>
      <c r="N59" s="681">
        <f ca="1">N60+N61</f>
        <v>753570.11</v>
      </c>
      <c r="O59" s="681">
        <f t="shared" ref="O59:O67" ca="1" si="16">IF(L59&gt;0,N59*100/L59,0)</f>
        <v>107.26976654804271</v>
      </c>
      <c r="P59" s="681">
        <f t="shared" ref="P59:P67" ca="1" si="17">IF(M59&gt;0,N59*100/M59,0)</f>
        <v>94.211573130633724</v>
      </c>
      <c r="Q59" s="681">
        <f>Q60+Q61</f>
        <v>0</v>
      </c>
      <c r="R59" s="681">
        <f>R60+R61</f>
        <v>0</v>
      </c>
      <c r="S59" s="681">
        <f>S60+S61</f>
        <v>0</v>
      </c>
      <c r="T59" s="681">
        <f t="shared" ref="T59:T67" si="18">IF(Q59&gt;0,S59*100/Q59,0)</f>
        <v>0</v>
      </c>
      <c r="U59" s="681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80" t="s">
        <v>20</v>
      </c>
      <c r="F60" s="99"/>
      <c r="G60" s="102"/>
      <c r="H60" s="679" t="s">
        <v>14</v>
      </c>
      <c r="I60" s="104"/>
      <c r="J60" s="104"/>
      <c r="K60" s="105"/>
      <c r="L60" s="678">
        <f t="shared" ref="L60:N61" si="20">L63+L66</f>
        <v>0</v>
      </c>
      <c r="M60" s="677">
        <f t="shared" si="20"/>
        <v>0</v>
      </c>
      <c r="N60" s="677">
        <f t="shared" si="20"/>
        <v>0</v>
      </c>
      <c r="O60" s="677">
        <f t="shared" si="16"/>
        <v>0</v>
      </c>
      <c r="P60" s="677">
        <f t="shared" si="17"/>
        <v>0</v>
      </c>
      <c r="Q60" s="677">
        <f t="shared" ref="Q60:S61" si="21">Q63+Q66</f>
        <v>0</v>
      </c>
      <c r="R60" s="677">
        <f t="shared" si="21"/>
        <v>0</v>
      </c>
      <c r="S60" s="677">
        <f t="shared" si="21"/>
        <v>0</v>
      </c>
      <c r="T60" s="677">
        <f t="shared" si="18"/>
        <v>0</v>
      </c>
      <c r="U60" s="677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76">
        <f t="shared" ca="1" si="20"/>
        <v>702500</v>
      </c>
      <c r="M61" s="675">
        <f t="shared" ca="1" si="20"/>
        <v>799870</v>
      </c>
      <c r="N61" s="675">
        <f t="shared" ca="1" si="20"/>
        <v>753570.11</v>
      </c>
      <c r="O61" s="675">
        <f t="shared" ca="1" si="16"/>
        <v>107.26976654804271</v>
      </c>
      <c r="P61" s="675">
        <f t="shared" ca="1" si="17"/>
        <v>94.211573130633724</v>
      </c>
      <c r="Q61" s="675">
        <f t="shared" si="21"/>
        <v>0</v>
      </c>
      <c r="R61" s="675">
        <f t="shared" si="21"/>
        <v>0</v>
      </c>
      <c r="S61" s="675">
        <f t="shared" si="21"/>
        <v>0</v>
      </c>
      <c r="T61" s="675">
        <f t="shared" si="18"/>
        <v>0</v>
      </c>
      <c r="U61" s="675">
        <f t="shared" si="19"/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468">
        <f ca="1">L63+L64</f>
        <v>702500</v>
      </c>
      <c r="M62" s="224">
        <f ca="1">M63+M64</f>
        <v>799870</v>
      </c>
      <c r="N62" s="224">
        <f ca="1">N63+N64</f>
        <v>753570.11</v>
      </c>
      <c r="O62" s="224">
        <f t="shared" ca="1" si="16"/>
        <v>107.26976654804271</v>
      </c>
      <c r="P62" s="224">
        <f t="shared" ca="1" si="17"/>
        <v>94.211573130633724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 t="shared" si="18"/>
        <v>0</v>
      </c>
      <c r="U62" s="224">
        <f t="shared" si="19"/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674" t="s">
        <v>14</v>
      </c>
      <c r="I63" s="44"/>
      <c r="J63" s="44"/>
      <c r="K63" s="45"/>
      <c r="L63" s="469">
        <v>0</v>
      </c>
      <c r="M63" s="83">
        <v>0</v>
      </c>
      <c r="N63" s="83">
        <v>0</v>
      </c>
      <c r="O63" s="83">
        <f t="shared" si="16"/>
        <v>0</v>
      </c>
      <c r="P63" s="83">
        <f t="shared" si="17"/>
        <v>0</v>
      </c>
      <c r="Q63" s="83">
        <v>0</v>
      </c>
      <c r="R63" s="83">
        <v>0</v>
      </c>
      <c r="S63" s="83">
        <v>0</v>
      </c>
      <c r="T63" s="83">
        <f t="shared" si="18"/>
        <v>0</v>
      </c>
      <c r="U63" s="83">
        <f t="shared" si="19"/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468">
        <f ca="1">IFERROR(__xludf.DUMMYFUNCTION("IMPORTRANGE(""https://docs.google.com/spreadsheets/d/1-uDff_7J0KD5mKrp0Vvzr7lt3OU09vwQwhkpOPPYv2Y/edit?usp=sharing"",""งบพรบ!AC22"")"),702500)</f>
        <v>702500</v>
      </c>
      <c r="M64" s="224">
        <f ca="1">IFERROR(__xludf.DUMMYFUNCTION("IMPORTRANGE(""https://docs.google.com/spreadsheets/d/1-uDff_7J0KD5mKrp0Vvzr7lt3OU09vwQwhkpOPPYv2Y/edit?usp=sharing"",""งบพรบ!AH22"")"),799870)</f>
        <v>799870</v>
      </c>
      <c r="N64" s="224">
        <f ca="1">IFERROR(__xludf.DUMMYFUNCTION("IMPORTRANGE(""https://docs.google.com/spreadsheets/d/1-uDff_7J0KD5mKrp0Vvzr7lt3OU09vwQwhkpOPPYv2Y/edit?usp=sharing"",""งบพรบ!AJ22"")"),753570.11)</f>
        <v>753570.11</v>
      </c>
      <c r="O64" s="224">
        <f t="shared" ca="1" si="16"/>
        <v>107.26976654804271</v>
      </c>
      <c r="P64" s="224">
        <f t="shared" ca="1" si="17"/>
        <v>94.211573130633724</v>
      </c>
      <c r="Q64" s="224">
        <v>0</v>
      </c>
      <c r="R64" s="224">
        <v>0</v>
      </c>
      <c r="S64" s="224">
        <v>0</v>
      </c>
      <c r="T64" s="224">
        <f t="shared" si="18"/>
        <v>0</v>
      </c>
      <c r="U64" s="224">
        <f t="shared" si="19"/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468">
        <f ca="1">L66+L67</f>
        <v>0</v>
      </c>
      <c r="M65" s="224">
        <f ca="1">M66+M67</f>
        <v>0</v>
      </c>
      <c r="N65" s="224">
        <f ca="1">N66+N67</f>
        <v>0</v>
      </c>
      <c r="O65" s="224">
        <f t="shared" ca="1" si="16"/>
        <v>0</v>
      </c>
      <c r="P65" s="224">
        <f t="shared" ca="1" si="17"/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 t="shared" si="18"/>
        <v>0</v>
      </c>
      <c r="U65" s="224">
        <f t="shared" si="19"/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674" t="s">
        <v>14</v>
      </c>
      <c r="I66" s="44"/>
      <c r="J66" s="44"/>
      <c r="K66" s="45"/>
      <c r="L66" s="469">
        <v>0</v>
      </c>
      <c r="M66" s="83">
        <v>0</v>
      </c>
      <c r="N66" s="83">
        <v>0</v>
      </c>
      <c r="O66" s="83">
        <f t="shared" si="16"/>
        <v>0</v>
      </c>
      <c r="P66" s="83">
        <f t="shared" si="17"/>
        <v>0</v>
      </c>
      <c r="Q66" s="83">
        <v>0</v>
      </c>
      <c r="R66" s="83">
        <v>0</v>
      </c>
      <c r="S66" s="83">
        <v>0</v>
      </c>
      <c r="T66" s="83">
        <f t="shared" si="18"/>
        <v>0</v>
      </c>
      <c r="U66" s="83">
        <f t="shared" si="19"/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673">
        <f ca="1">IFERROR(__xludf.DUMMYFUNCTION("IMPORTRANGE(""https://docs.google.com/spreadsheets/d/1-uDff_7J0KD5mKrp0Vvzr7lt3OU09vwQwhkpOPPYv2Y/edit?usp=sharing"",""งบพรบ!AF22"")"),0)</f>
        <v>0</v>
      </c>
      <c r="M67" s="455">
        <f ca="1">IFERROR(__xludf.DUMMYFUNCTION("IMPORTRANGE(""https://docs.google.com/spreadsheets/d/1-uDff_7J0KD5mKrp0Vvzr7lt3OU09vwQwhkpOPPYv2Y/edit?usp=sharing"",""งบพรบ!AI22"")"),0)</f>
        <v>0</v>
      </c>
      <c r="N67" s="455">
        <f ca="1">IFERROR(__xludf.DUMMYFUNCTION("IMPORTRANGE(""https://docs.google.com/spreadsheets/d/1-uDff_7J0KD5mKrp0Vvzr7lt3OU09vwQwhkpOPPYv2Y/edit?usp=sharing"",""งบพรบ!AK22"")"),0)</f>
        <v>0</v>
      </c>
      <c r="O67" s="455">
        <f t="shared" ca="1" si="16"/>
        <v>0</v>
      </c>
      <c r="P67" s="455">
        <f t="shared" ca="1" si="17"/>
        <v>0</v>
      </c>
      <c r="Q67" s="455">
        <v>0</v>
      </c>
      <c r="R67" s="455">
        <v>0</v>
      </c>
      <c r="S67" s="455">
        <v>0</v>
      </c>
      <c r="T67" s="455">
        <f t="shared" si="18"/>
        <v>0</v>
      </c>
      <c r="U67" s="455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7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665">
        <f ca="1">I82</f>
        <v>2</v>
      </c>
      <c r="J70" s="665">
        <f>J82</f>
        <v>0</v>
      </c>
      <c r="K70" s="664">
        <f ca="1">IF(I70&gt;0,J70*100/I70,0)</f>
        <v>0</v>
      </c>
      <c r="L70" s="510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665">
        <f ca="1">I83</f>
        <v>98</v>
      </c>
      <c r="J71" s="665">
        <f>J83</f>
        <v>0</v>
      </c>
      <c r="K71" s="664">
        <f ca="1">IF(I71&gt;0,J71*100/I71,0)</f>
        <v>0</v>
      </c>
      <c r="L71" s="510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129" t="s">
        <v>18</v>
      </c>
      <c r="D72" s="472" t="s">
        <v>19</v>
      </c>
      <c r="E72" s="40"/>
      <c r="F72" s="40"/>
      <c r="G72" s="42"/>
      <c r="H72" s="131" t="s">
        <v>14</v>
      </c>
      <c r="I72" s="44"/>
      <c r="J72" s="44"/>
      <c r="K72" s="45"/>
      <c r="L72" s="471">
        <f ca="1">L73+L74</f>
        <v>150000</v>
      </c>
      <c r="M72" s="470">
        <f ca="1">M73+M74</f>
        <v>150000</v>
      </c>
      <c r="N72" s="470">
        <f ca="1">N73+N74</f>
        <v>123566.67</v>
      </c>
      <c r="O72" s="470">
        <f t="shared" ref="O72:O80" ca="1" si="22">IF(L72&gt;0,N72*100/L72,0)</f>
        <v>82.377780000000001</v>
      </c>
      <c r="P72" s="470">
        <f t="shared" ref="P72:P80" ca="1" si="23">IF(M72&gt;0,N72*100/M72,0)</f>
        <v>82.377780000000001</v>
      </c>
      <c r="Q72" s="470">
        <f ca="1">Q73+Q74</f>
        <v>996060</v>
      </c>
      <c r="R72" s="470">
        <f ca="1">R73+R74</f>
        <v>996060</v>
      </c>
      <c r="S72" s="470">
        <f ca="1">S73+S74</f>
        <v>63060</v>
      </c>
      <c r="T72" s="470">
        <f t="shared" ref="T72:T80" ca="1" si="24">IF(Q72&gt;0,S72*100/Q72,0)</f>
        <v>6.3309439190410215</v>
      </c>
      <c r="U72" s="470">
        <f t="shared" ref="U72:U80" ca="1" si="25">IF(R72&gt;0,S72*100/R72,0)</f>
        <v>6.3309439190410215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469">
        <f t="shared" ref="L73:N74" si="26">L76+L79</f>
        <v>0</v>
      </c>
      <c r="M73" s="83">
        <f t="shared" si="26"/>
        <v>0</v>
      </c>
      <c r="N73" s="83">
        <f t="shared" si="26"/>
        <v>0</v>
      </c>
      <c r="O73" s="83">
        <f t="shared" si="22"/>
        <v>0</v>
      </c>
      <c r="P73" s="83">
        <f t="shared" si="23"/>
        <v>0</v>
      </c>
      <c r="Q73" s="83">
        <f t="shared" ref="Q73:S74" si="27">Q76+Q79</f>
        <v>0</v>
      </c>
      <c r="R73" s="83">
        <f t="shared" si="27"/>
        <v>0</v>
      </c>
      <c r="S73" s="83">
        <f t="shared" si="27"/>
        <v>0</v>
      </c>
      <c r="T73" s="83">
        <f t="shared" si="24"/>
        <v>0</v>
      </c>
      <c r="U73" s="83">
        <f t="shared" si="25"/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468">
        <f t="shared" ca="1" si="26"/>
        <v>150000</v>
      </c>
      <c r="M74" s="224">
        <f t="shared" ca="1" si="26"/>
        <v>150000</v>
      </c>
      <c r="N74" s="224">
        <f t="shared" ca="1" si="26"/>
        <v>123566.67</v>
      </c>
      <c r="O74" s="224">
        <f t="shared" ca="1" si="22"/>
        <v>82.377780000000001</v>
      </c>
      <c r="P74" s="224">
        <f t="shared" ca="1" si="23"/>
        <v>82.377780000000001</v>
      </c>
      <c r="Q74" s="224">
        <f t="shared" ca="1" si="27"/>
        <v>996060</v>
      </c>
      <c r="R74" s="224">
        <f t="shared" ca="1" si="27"/>
        <v>996060</v>
      </c>
      <c r="S74" s="224">
        <f t="shared" ca="1" si="27"/>
        <v>63060</v>
      </c>
      <c r="T74" s="224">
        <f t="shared" ca="1" si="24"/>
        <v>6.3309439190410215</v>
      </c>
      <c r="U74" s="224">
        <f t="shared" ca="1" si="25"/>
        <v>6.3309439190410215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468">
        <f ca="1">L76+L77</f>
        <v>150000</v>
      </c>
      <c r="M75" s="224">
        <f ca="1">M76+M77</f>
        <v>150000</v>
      </c>
      <c r="N75" s="224">
        <f ca="1">N76+N77</f>
        <v>123566.67</v>
      </c>
      <c r="O75" s="224">
        <f t="shared" ca="1" si="22"/>
        <v>82.377780000000001</v>
      </c>
      <c r="P75" s="224">
        <f t="shared" ca="1" si="23"/>
        <v>82.377780000000001</v>
      </c>
      <c r="Q75" s="224">
        <f ca="1">Q76+Q77</f>
        <v>996060</v>
      </c>
      <c r="R75" s="224">
        <f ca="1">R76+R77</f>
        <v>996060</v>
      </c>
      <c r="S75" s="224">
        <f ca="1">S76+S77</f>
        <v>63060</v>
      </c>
      <c r="T75" s="224">
        <f t="shared" ca="1" si="24"/>
        <v>6.3309439190410215</v>
      </c>
      <c r="U75" s="224">
        <f t="shared" ca="1" si="25"/>
        <v>6.3309439190410215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469">
        <v>0</v>
      </c>
      <c r="M76" s="83">
        <v>0</v>
      </c>
      <c r="N76" s="83">
        <v>0</v>
      </c>
      <c r="O76" s="83">
        <f t="shared" si="22"/>
        <v>0</v>
      </c>
      <c r="P76" s="83">
        <f t="shared" si="23"/>
        <v>0</v>
      </c>
      <c r="Q76" s="83">
        <v>0</v>
      </c>
      <c r="R76" s="83">
        <v>0</v>
      </c>
      <c r="S76" s="83">
        <v>0</v>
      </c>
      <c r="T76" s="83">
        <f t="shared" si="24"/>
        <v>0</v>
      </c>
      <c r="U76" s="83">
        <f t="shared" si="25"/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468">
        <f ca="1">IFERROR(__xludf.DUMMYFUNCTION("IMPORTRANGE(""https://docs.google.com/spreadsheets/d/1-uDff_7J0KD5mKrp0Vvzr7lt3OU09vwQwhkpOPPYv2Y/edit?usp=sharing"",""งบพรบ!AM22"")"),150000)</f>
        <v>150000</v>
      </c>
      <c r="M77" s="224">
        <f ca="1">IFERROR(__xludf.DUMMYFUNCTION("IMPORTRANGE(""https://docs.google.com/spreadsheets/d/1-uDff_7J0KD5mKrp0Vvzr7lt3OU09vwQwhkpOPPYv2Y/edit?usp=sharing"",""งบพรบ!AR22"")"),150000)</f>
        <v>150000</v>
      </c>
      <c r="N77" s="224">
        <f ca="1">IFERROR(__xludf.DUMMYFUNCTION("IMPORTRANGE(""https://docs.google.com/spreadsheets/d/1-uDff_7J0KD5mKrp0Vvzr7lt3OU09vwQwhkpOPPYv2Y/edit?usp=sharing"",""งบพรบ!AT22"")"),123566.67)</f>
        <v>123566.67</v>
      </c>
      <c r="O77" s="224">
        <f t="shared" ca="1" si="22"/>
        <v>82.377780000000001</v>
      </c>
      <c r="P77" s="224">
        <f t="shared" ca="1" si="23"/>
        <v>82.377780000000001</v>
      </c>
      <c r="Q77" s="224">
        <f ca="1">IFERROR(__xludf.DUMMYFUNCTION("IMPORTRANGE(""https://docs.google.com/spreadsheets/d/1ItG2mGa2ceCfYo0BwxsXqNm01IGEUdYcSSLTEv9YCik/edit?usp=sharing"",""เบิกจ่ายกองทุน!AS22"")"),996060)</f>
        <v>996060</v>
      </c>
      <c r="R77" s="224">
        <f ca="1">IFERROR(__xludf.DUMMYFUNCTION("IMPORTRANGE(""https://docs.google.com/spreadsheets/d/1ItG2mGa2ceCfYo0BwxsXqNm01IGEUdYcSSLTEv9YCik/edit?usp=sharing"",""เบิกจ่ายกองทุน!AT22"")"),996060)</f>
        <v>996060</v>
      </c>
      <c r="S77" s="224">
        <f ca="1">IFERROR(__xludf.DUMMYFUNCTION("IMPORTRANGE(""https://docs.google.com/spreadsheets/d/1ItG2mGa2ceCfYo0BwxsXqNm01IGEUdYcSSLTEv9YCik/edit?usp=sharing"",""เบิกจ่ายกองทุน!AU22"")"),63060)</f>
        <v>63060</v>
      </c>
      <c r="T77" s="224">
        <f t="shared" ca="1" si="24"/>
        <v>6.3309439190410215</v>
      </c>
      <c r="U77" s="224">
        <f t="shared" ca="1" si="25"/>
        <v>6.3309439190410215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468">
        <f ca="1">L79+L80</f>
        <v>0</v>
      </c>
      <c r="M78" s="224">
        <f ca="1">M79+M80</f>
        <v>0</v>
      </c>
      <c r="N78" s="224">
        <f ca="1">N79+N80</f>
        <v>0</v>
      </c>
      <c r="O78" s="224">
        <f t="shared" ca="1" si="22"/>
        <v>0</v>
      </c>
      <c r="P78" s="224">
        <f t="shared" ca="1" si="23"/>
        <v>0</v>
      </c>
      <c r="Q78" s="224">
        <f>Q79+Q80</f>
        <v>0</v>
      </c>
      <c r="R78" s="224">
        <f>R79+R80</f>
        <v>0</v>
      </c>
      <c r="S78" s="224">
        <f>S79+S80</f>
        <v>0</v>
      </c>
      <c r="T78" s="224">
        <f t="shared" si="24"/>
        <v>0</v>
      </c>
      <c r="U78" s="224">
        <f t="shared" si="25"/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469">
        <v>0</v>
      </c>
      <c r="M79" s="224">
        <v>0</v>
      </c>
      <c r="N79" s="224">
        <v>0</v>
      </c>
      <c r="O79" s="83">
        <f t="shared" si="22"/>
        <v>0</v>
      </c>
      <c r="P79" s="83">
        <f t="shared" si="23"/>
        <v>0</v>
      </c>
      <c r="Q79" s="83">
        <v>0</v>
      </c>
      <c r="R79" s="224">
        <v>0</v>
      </c>
      <c r="S79" s="224">
        <v>0</v>
      </c>
      <c r="T79" s="83">
        <f t="shared" si="24"/>
        <v>0</v>
      </c>
      <c r="U79" s="83">
        <f t="shared" si="25"/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468">
        <f ca="1">IFERROR(__xludf.DUMMYFUNCTION("IMPORTRANGE(""https://docs.google.com/spreadsheets/d/1-uDff_7J0KD5mKrp0Vvzr7lt3OU09vwQwhkpOPPYv2Y/edit?usp=sharing"",""งบพรบ!AP22"")"),0)</f>
        <v>0</v>
      </c>
      <c r="M80" s="224">
        <f ca="1">IFERROR(__xludf.DUMMYFUNCTION("IMPORTRANGE(""https://docs.google.com/spreadsheets/d/1-uDff_7J0KD5mKrp0Vvzr7lt3OU09vwQwhkpOPPYv2Y/edit?usp=sharing"",""งบพรบ!AS22"")"),0)</f>
        <v>0</v>
      </c>
      <c r="N80" s="224">
        <f ca="1">IFERROR(__xludf.DUMMYFUNCTION("IMPORTRANGE(""https://docs.google.com/spreadsheets/d/1-uDff_7J0KD5mKrp0Vvzr7lt3OU09vwQwhkpOPPYv2Y/edit?usp=sharing"",""งบพรบ!AU22"")"),0)</f>
        <v>0</v>
      </c>
      <c r="O80" s="224">
        <f t="shared" ca="1" si="22"/>
        <v>0</v>
      </c>
      <c r="P80" s="224">
        <f t="shared" ca="1" si="23"/>
        <v>0</v>
      </c>
      <c r="Q80" s="224">
        <v>0</v>
      </c>
      <c r="R80" s="224">
        <v>0</v>
      </c>
      <c r="S80" s="224">
        <v>0</v>
      </c>
      <c r="T80" s="224">
        <f t="shared" si="24"/>
        <v>0</v>
      </c>
      <c r="U80" s="224">
        <f t="shared" si="25"/>
        <v>0</v>
      </c>
    </row>
    <row r="81" spans="1:21" ht="19.5" x14ac:dyDescent="0.3">
      <c r="A81" s="138"/>
      <c r="B81" s="139"/>
      <c r="C81" s="129" t="s">
        <v>18</v>
      </c>
      <c r="D81" s="498" t="s">
        <v>38</v>
      </c>
      <c r="E81" s="141"/>
      <c r="F81" s="141"/>
      <c r="G81" s="142"/>
      <c r="H81" s="143"/>
      <c r="I81" s="135"/>
      <c r="J81" s="135"/>
      <c r="K81" s="136"/>
      <c r="L81" s="4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ca="1">I84+I86+I88</f>
        <v>2</v>
      </c>
      <c r="J82" s="328">
        <f>J84+J86+J88</f>
        <v>0</v>
      </c>
      <c r="K82" s="582">
        <f t="shared" ref="K82:K90" ca="1" si="28">IF(I82&gt;0,J82*100/I82,0)</f>
        <v>0</v>
      </c>
      <c r="L82" s="4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ca="1">I85+I87+I89</f>
        <v>98</v>
      </c>
      <c r="J83" s="328">
        <f>J85+J87+J89</f>
        <v>0</v>
      </c>
      <c r="K83" s="582">
        <f t="shared" ca="1" si="28"/>
        <v>0</v>
      </c>
      <c r="L83" s="4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581">
        <f ca="1">IFERROR(__xludf.DUMMYFUNCTION("IMPORTRANGE(""https://docs.google.com/spreadsheets/d/1eHaY18a8A9IcSdp1K8H6x8fbOy06t2VsZHhMHf-1x7Y/edit?usp=sharing"",""แผน!H22"")"),0)</f>
        <v>0</v>
      </c>
      <c r="J84" s="466">
        <v>0</v>
      </c>
      <c r="K84" s="497">
        <f t="shared" ca="1" si="28"/>
        <v>0</v>
      </c>
      <c r="L84" s="4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581">
        <f ca="1">IFERROR(__xludf.DUMMYFUNCTION("IMPORTRANGE(""https://docs.google.com/spreadsheets/d/1eHaY18a8A9IcSdp1K8H6x8fbOy06t2VsZHhMHf-1x7Y/edit?usp=sharing"",""แผน!I22"")"),0)</f>
        <v>0</v>
      </c>
      <c r="J85" s="466">
        <v>0</v>
      </c>
      <c r="K85" s="497">
        <f t="shared" ca="1" si="28"/>
        <v>0</v>
      </c>
      <c r="L85" s="4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581">
        <f ca="1">IFERROR(__xludf.DUMMYFUNCTION("IMPORTRANGE(""https://docs.google.com/spreadsheets/d/1eHaY18a8A9IcSdp1K8H6x8fbOy06t2VsZHhMHf-1x7Y/edit?usp=sharing"",""แผน!F22"")"),2)</f>
        <v>2</v>
      </c>
      <c r="J86" s="466">
        <v>0</v>
      </c>
      <c r="K86" s="497">
        <f t="shared" ca="1" si="28"/>
        <v>0</v>
      </c>
      <c r="L86" s="4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581">
        <f ca="1">IFERROR(__xludf.DUMMYFUNCTION("IMPORTRANGE(""https://docs.google.com/spreadsheets/d/1eHaY18a8A9IcSdp1K8H6x8fbOy06t2VsZHhMHf-1x7Y/edit?usp=sharing"",""แผน!G22"")"),98)</f>
        <v>98</v>
      </c>
      <c r="J87" s="466">
        <v>0</v>
      </c>
      <c r="K87" s="497">
        <f t="shared" ca="1" si="28"/>
        <v>0</v>
      </c>
      <c r="L87" s="4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581">
        <f ca="1">IFERROR(__xludf.DUMMYFUNCTION("IMPORTRANGE(""https://docs.google.com/spreadsheets/d/1eHaY18a8A9IcSdp1K8H6x8fbOy06t2VsZHhMHf-1x7Y/edit?usp=sharing"",""แผน!D22"")"),0)</f>
        <v>0</v>
      </c>
      <c r="J88" s="466">
        <v>0</v>
      </c>
      <c r="K88" s="497">
        <f t="shared" ca="1" si="28"/>
        <v>0</v>
      </c>
      <c r="L88" s="4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581">
        <f ca="1">IFERROR(__xludf.DUMMYFUNCTION("IMPORTRANGE(""https://docs.google.com/spreadsheets/d/1eHaY18a8A9IcSdp1K8H6x8fbOy06t2VsZHhMHf-1x7Y/edit?usp=sharing"",""แผน!E22"")"),0)</f>
        <v>0</v>
      </c>
      <c r="J89" s="466">
        <v>0</v>
      </c>
      <c r="K89" s="497">
        <f t="shared" ca="1" si="28"/>
        <v>0</v>
      </c>
      <c r="L89" s="4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581">
        <f ca="1">IFERROR(__xludf.DUMMYFUNCTION("IMPORTRANGE(""https://docs.google.com/spreadsheets/d/1eHaY18a8A9IcSdp1K8H6x8fbOy06t2VsZHhMHf-1x7Y/edit?usp=sharing"",""แผน!J22"")"),2)</f>
        <v>2</v>
      </c>
      <c r="J90" s="466">
        <v>0</v>
      </c>
      <c r="K90" s="497">
        <f t="shared" ca="1" si="28"/>
        <v>0</v>
      </c>
      <c r="L90" s="4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7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665">
        <f ca="1">I108</f>
        <v>60</v>
      </c>
      <c r="J92" s="665">
        <f>J108</f>
        <v>0</v>
      </c>
      <c r="K92" s="664">
        <f ca="1">IF(I92&gt;0,J92*100/I92,0)</f>
        <v>0</v>
      </c>
      <c r="L92" s="510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665">
        <f ca="1">I109</f>
        <v>20</v>
      </c>
      <c r="J93" s="665">
        <f>J109</f>
        <v>0</v>
      </c>
      <c r="K93" s="664">
        <f ca="1">IF(I93&gt;0,J93*100/I93,0)</f>
        <v>0</v>
      </c>
      <c r="L93" s="510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129" t="s">
        <v>18</v>
      </c>
      <c r="D94" s="472" t="s">
        <v>19</v>
      </c>
      <c r="E94" s="40"/>
      <c r="F94" s="40"/>
      <c r="G94" s="42"/>
      <c r="H94" s="131" t="s">
        <v>14</v>
      </c>
      <c r="I94" s="44"/>
      <c r="J94" s="44"/>
      <c r="K94" s="45"/>
      <c r="L94" s="471">
        <f ca="1">L95+L96</f>
        <v>0</v>
      </c>
      <c r="M94" s="470">
        <f ca="1">M95+M96</f>
        <v>39000</v>
      </c>
      <c r="N94" s="470">
        <f ca="1">N95+N96</f>
        <v>39000</v>
      </c>
      <c r="O94" s="470">
        <f t="shared" ref="O94:O102" ca="1" si="29">IF(L94&gt;0,N94*100/L94,0)</f>
        <v>0</v>
      </c>
      <c r="P94" s="470">
        <f t="shared" ref="P94:P102" ca="1" si="30">IF(M94&gt;0,N94*100/M94,0)</f>
        <v>100</v>
      </c>
      <c r="Q94" s="470">
        <f ca="1">Q95+Q96</f>
        <v>129840</v>
      </c>
      <c r="R94" s="470">
        <f ca="1">R95+R96</f>
        <v>129840</v>
      </c>
      <c r="S94" s="470">
        <f ca="1">S95+S96</f>
        <v>40980</v>
      </c>
      <c r="T94" s="470">
        <f t="shared" ref="T94:T102" ca="1" si="31">IF(Q94&gt;0,S94*100/Q94,0)</f>
        <v>31.561922365988909</v>
      </c>
      <c r="U94" s="470">
        <f t="shared" ref="U94:U102" ca="1" si="32">IF(R94&gt;0,S94*100/R94,0)</f>
        <v>31.561922365988909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469">
        <f t="shared" ref="L95:N96" si="33">L98+L101</f>
        <v>0</v>
      </c>
      <c r="M95" s="83">
        <f t="shared" si="33"/>
        <v>0</v>
      </c>
      <c r="N95" s="83">
        <f t="shared" si="33"/>
        <v>0</v>
      </c>
      <c r="O95" s="83">
        <f t="shared" si="29"/>
        <v>0</v>
      </c>
      <c r="P95" s="83">
        <f t="shared" si="30"/>
        <v>0</v>
      </c>
      <c r="Q95" s="83">
        <f t="shared" ref="Q95:S96" si="34">Q98+Q101</f>
        <v>0</v>
      </c>
      <c r="R95" s="83">
        <f t="shared" si="34"/>
        <v>0</v>
      </c>
      <c r="S95" s="83">
        <f t="shared" si="34"/>
        <v>0</v>
      </c>
      <c r="T95" s="83">
        <f t="shared" si="31"/>
        <v>0</v>
      </c>
      <c r="U95" s="83">
        <f t="shared" si="32"/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468">
        <f t="shared" ca="1" si="33"/>
        <v>0</v>
      </c>
      <c r="M96" s="224">
        <f t="shared" ca="1" si="33"/>
        <v>39000</v>
      </c>
      <c r="N96" s="224">
        <f t="shared" ca="1" si="33"/>
        <v>39000</v>
      </c>
      <c r="O96" s="224">
        <f t="shared" ca="1" si="29"/>
        <v>0</v>
      </c>
      <c r="P96" s="224">
        <f t="shared" ca="1" si="30"/>
        <v>100</v>
      </c>
      <c r="Q96" s="224">
        <f t="shared" ca="1" si="34"/>
        <v>129840</v>
      </c>
      <c r="R96" s="224">
        <f t="shared" ca="1" si="34"/>
        <v>129840</v>
      </c>
      <c r="S96" s="224">
        <f t="shared" ca="1" si="34"/>
        <v>40980</v>
      </c>
      <c r="T96" s="224">
        <f t="shared" ca="1" si="31"/>
        <v>31.561922365988909</v>
      </c>
      <c r="U96" s="224">
        <f t="shared" ca="1" si="32"/>
        <v>31.561922365988909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468">
        <f ca="1">L98+L99</f>
        <v>0</v>
      </c>
      <c r="M97" s="224">
        <f ca="1">M98+M99</f>
        <v>39000</v>
      </c>
      <c r="N97" s="224">
        <f ca="1">N98+N99</f>
        <v>39000</v>
      </c>
      <c r="O97" s="224">
        <f t="shared" ca="1" si="29"/>
        <v>0</v>
      </c>
      <c r="P97" s="224">
        <f t="shared" ca="1" si="30"/>
        <v>100</v>
      </c>
      <c r="Q97" s="224">
        <f ca="1">Q98+Q99</f>
        <v>129840</v>
      </c>
      <c r="R97" s="224">
        <f ca="1">R98+R99</f>
        <v>129840</v>
      </c>
      <c r="S97" s="224">
        <f ca="1">S98+S99</f>
        <v>40980</v>
      </c>
      <c r="T97" s="224">
        <f t="shared" ca="1" si="31"/>
        <v>31.561922365988909</v>
      </c>
      <c r="U97" s="224">
        <f t="shared" ca="1" si="32"/>
        <v>31.561922365988909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469">
        <v>0</v>
      </c>
      <c r="M98" s="83">
        <v>0</v>
      </c>
      <c r="N98" s="83">
        <v>0</v>
      </c>
      <c r="O98" s="83">
        <f t="shared" si="29"/>
        <v>0</v>
      </c>
      <c r="P98" s="83">
        <f t="shared" si="30"/>
        <v>0</v>
      </c>
      <c r="Q98" s="83">
        <v>0</v>
      </c>
      <c r="R98" s="83">
        <v>0</v>
      </c>
      <c r="S98" s="83">
        <v>0</v>
      </c>
      <c r="T98" s="83">
        <f t="shared" si="31"/>
        <v>0</v>
      </c>
      <c r="U98" s="83">
        <f t="shared" si="32"/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468">
        <f ca="1">IFERROR(__xludf.DUMMYFUNCTION("IMPORTRANGE(""https://docs.google.com/spreadsheets/d/1-uDff_7J0KD5mKrp0Vvzr7lt3OU09vwQwhkpOPPYv2Y/edit?usp=sharing"",""งบพรบ!AW22"")"),0)</f>
        <v>0</v>
      </c>
      <c r="M99" s="224">
        <f ca="1">IFERROR(__xludf.DUMMYFUNCTION("IMPORTRANGE(""https://docs.google.com/spreadsheets/d/1-uDff_7J0KD5mKrp0Vvzr7lt3OU09vwQwhkpOPPYv2Y/edit?usp=sharing"",""งบพรบ!BB22"")"),39000)</f>
        <v>39000</v>
      </c>
      <c r="N99" s="224">
        <f ca="1">IFERROR(__xludf.DUMMYFUNCTION("IMPORTRANGE(""https://docs.google.com/spreadsheets/d/1-uDff_7J0KD5mKrp0Vvzr7lt3OU09vwQwhkpOPPYv2Y/edit?usp=sharing"",""งบพรบ!BD22"")"),39000)</f>
        <v>39000</v>
      </c>
      <c r="O99" s="224">
        <f t="shared" ca="1" si="29"/>
        <v>0</v>
      </c>
      <c r="P99" s="224">
        <f t="shared" ca="1" si="30"/>
        <v>100</v>
      </c>
      <c r="Q99" s="224">
        <f ca="1">IFERROR(__xludf.DUMMYFUNCTION("IMPORTRANGE(""https://docs.google.com/spreadsheets/d/1ItG2mGa2ceCfYo0BwxsXqNm01IGEUdYcSSLTEv9YCik/edit?usp=sharing"",""เบิกจ่ายกองทุน!AD22"")"),129840)</f>
        <v>129840</v>
      </c>
      <c r="R99" s="224">
        <f ca="1">IFERROR(__xludf.DUMMYFUNCTION("IMPORTRANGE(""https://docs.google.com/spreadsheets/d/1ItG2mGa2ceCfYo0BwxsXqNm01IGEUdYcSSLTEv9YCik/edit?usp=sharing"",""เบิกจ่ายกองทุน!AE22"")"),129840)</f>
        <v>129840</v>
      </c>
      <c r="S99" s="224">
        <f ca="1">IFERROR(__xludf.DUMMYFUNCTION("IMPORTRANGE(""https://docs.google.com/spreadsheets/d/1ItG2mGa2ceCfYo0BwxsXqNm01IGEUdYcSSLTEv9YCik/edit?usp=sharing"",""เบิกจ่ายกองทุน!AF22"")"),40980)</f>
        <v>40980</v>
      </c>
      <c r="T99" s="224">
        <f t="shared" ca="1" si="31"/>
        <v>31.561922365988909</v>
      </c>
      <c r="U99" s="224">
        <f t="shared" ca="1" si="32"/>
        <v>31.561922365988909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468">
        <f ca="1">L101+L102</f>
        <v>0</v>
      </c>
      <c r="M100" s="224">
        <f ca="1">M101+M102</f>
        <v>0</v>
      </c>
      <c r="N100" s="224">
        <f ca="1">N101+N102</f>
        <v>0</v>
      </c>
      <c r="O100" s="224">
        <f t="shared" ca="1" si="29"/>
        <v>0</v>
      </c>
      <c r="P100" s="224">
        <f t="shared" ca="1" si="30"/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 t="shared" si="31"/>
        <v>0</v>
      </c>
      <c r="U100" s="224">
        <f t="shared" si="32"/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469">
        <v>0</v>
      </c>
      <c r="M101" s="83">
        <v>0</v>
      </c>
      <c r="N101" s="83">
        <v>0</v>
      </c>
      <c r="O101" s="83">
        <f t="shared" si="29"/>
        <v>0</v>
      </c>
      <c r="P101" s="83">
        <f t="shared" si="30"/>
        <v>0</v>
      </c>
      <c r="Q101" s="83">
        <v>0</v>
      </c>
      <c r="R101" s="83">
        <v>0</v>
      </c>
      <c r="S101" s="83">
        <v>0</v>
      </c>
      <c r="T101" s="83">
        <f t="shared" si="31"/>
        <v>0</v>
      </c>
      <c r="U101" s="83">
        <f t="shared" si="32"/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468">
        <f ca="1">IFERROR(__xludf.DUMMYFUNCTION("IMPORTRANGE(""https://docs.google.com/spreadsheets/d/1-uDff_7J0KD5mKrp0Vvzr7lt3OU09vwQwhkpOPPYv2Y/edit?usp=sharing"",""งบพรบ!AZ22"")"),0)</f>
        <v>0</v>
      </c>
      <c r="M102" s="224">
        <f ca="1">IFERROR(__xludf.DUMMYFUNCTION("IMPORTRANGE(""https://docs.google.com/spreadsheets/d/1-uDff_7J0KD5mKrp0Vvzr7lt3OU09vwQwhkpOPPYv2Y/edit?usp=sharing"",""งบพรบ!BC22"")"),0)</f>
        <v>0</v>
      </c>
      <c r="N102" s="224">
        <f ca="1">IFERROR(__xludf.DUMMYFUNCTION("IMPORTRANGE(""https://docs.google.com/spreadsheets/d/1-uDff_7J0KD5mKrp0Vvzr7lt3OU09vwQwhkpOPPYv2Y/edit?usp=sharing"",""งบพรบ!BE22"")"),0)</f>
        <v>0</v>
      </c>
      <c r="O102" s="224">
        <f t="shared" ca="1" si="29"/>
        <v>0</v>
      </c>
      <c r="P102" s="224">
        <f t="shared" ca="1" si="30"/>
        <v>0</v>
      </c>
      <c r="Q102" s="224">
        <v>0</v>
      </c>
      <c r="R102" s="224">
        <v>0</v>
      </c>
      <c r="S102" s="224">
        <v>0</v>
      </c>
      <c r="T102" s="224">
        <f t="shared" si="31"/>
        <v>0</v>
      </c>
      <c r="U102" s="224">
        <f t="shared" si="32"/>
        <v>0</v>
      </c>
    </row>
    <row r="103" spans="1:21" ht="19.5" x14ac:dyDescent="0.3">
      <c r="A103" s="138"/>
      <c r="B103" s="139"/>
      <c r="C103" s="129" t="s">
        <v>18</v>
      </c>
      <c r="D103" s="498" t="s">
        <v>38</v>
      </c>
      <c r="E103" s="141"/>
      <c r="F103" s="141"/>
      <c r="G103" s="142"/>
      <c r="H103" s="143"/>
      <c r="I103" s="135"/>
      <c r="J103" s="44"/>
      <c r="K103" s="45"/>
      <c r="L103" s="465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571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571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571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465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IFERROR(__xludf.DUMMYFUNCTION("IMPORTRANGE(""https://docs.google.com/spreadsheets/d/1eHaY18a8A9IcSdp1K8H6x8fbOy06t2VsZHhMHf-1x7Y/edit?usp=sharing"",""แผน!N22"")"),60)</f>
        <v>60</v>
      </c>
      <c r="J108" s="466">
        <v>0</v>
      </c>
      <c r="K108" s="224">
        <f ca="1">IF(I108&gt;0,J108*100/I108,0)</f>
        <v>0</v>
      </c>
      <c r="L108" s="465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IFERROR(__xludf.DUMMYFUNCTION("IMPORTRANGE(""https://docs.google.com/spreadsheets/d/1eHaY18a8A9IcSdp1K8H6x8fbOy06t2VsZHhMHf-1x7Y/edit?usp=sharing"",""แผน!O22"")"),20)</f>
        <v>20</v>
      </c>
      <c r="J109" s="466">
        <v>0</v>
      </c>
      <c r="K109" s="224">
        <f ca="1">IF(I109&gt;0,J109*100/I109,0)</f>
        <v>0</v>
      </c>
      <c r="L109" s="465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571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571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571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749"/>
      <c r="B113" s="438"/>
      <c r="C113" s="438"/>
      <c r="D113" s="748" t="s">
        <v>50</v>
      </c>
      <c r="E113" s="440"/>
      <c r="F113" s="440"/>
      <c r="G113" s="441"/>
      <c r="H113" s="747" t="s">
        <v>46</v>
      </c>
      <c r="I113" s="746">
        <f ca="1">IFERROR(__xludf.DUMMYFUNCTION("IMPORTRANGE(""https://docs.google.com/spreadsheets/d/1eHaY18a8A9IcSdp1K8H6x8fbOy06t2VsZHhMHf-1x7Y/edit?usp=sharing"",""แผน!N22"")"),60)</f>
        <v>60</v>
      </c>
      <c r="J113" s="444">
        <v>0</v>
      </c>
      <c r="K113" s="591">
        <f ca="1">IF(I113&gt;0,J113*100/I113,0)</f>
        <v>0</v>
      </c>
      <c r="L113" s="656"/>
      <c r="M113" s="656"/>
      <c r="N113" s="656"/>
      <c r="O113" s="445"/>
      <c r="P113" s="445"/>
      <c r="Q113" s="656"/>
      <c r="R113" s="656"/>
      <c r="S113" s="656"/>
      <c r="T113" s="445"/>
      <c r="U113" s="445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581">
        <f ca="1">IFERROR(__xludf.DUMMYFUNCTION("IMPORTRANGE(""https://docs.google.com/spreadsheets/d/1eHaY18a8A9IcSdp1K8H6x8fbOy06t2VsZHhMHf-1x7Y/edit?usp=sharing"",""แผน!O22"")"),20)</f>
        <v>20</v>
      </c>
      <c r="J114" s="466">
        <v>0</v>
      </c>
      <c r="K114" s="224">
        <f ca="1">IF(I114&gt;0,J114*100/I114,0)</f>
        <v>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671" t="s">
        <v>51</v>
      </c>
      <c r="B115" s="668"/>
      <c r="C115" s="670"/>
      <c r="D115" s="669"/>
      <c r="E115" s="669"/>
      <c r="F115" s="669"/>
      <c r="G115" s="669"/>
      <c r="H115" s="668"/>
      <c r="I115" s="667"/>
      <c r="J115" s="667"/>
      <c r="K115" s="66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665">
        <f ca="1">I127</f>
        <v>20</v>
      </c>
      <c r="J116" s="665">
        <f>J127</f>
        <v>0</v>
      </c>
      <c r="K116" s="664">
        <f ca="1">IF(I116&gt;0,J116*100/I116,0)</f>
        <v>0</v>
      </c>
      <c r="L116" s="510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472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471">
        <f ca="1">L118+L119</f>
        <v>0</v>
      </c>
      <c r="M117" s="470">
        <f ca="1">M118+M119</f>
        <v>0</v>
      </c>
      <c r="N117" s="470">
        <f ca="1">N118+N119</f>
        <v>0</v>
      </c>
      <c r="O117" s="470">
        <f t="shared" ref="O117:O125" ca="1" si="35">IF(L117&gt;0,N117*100/L117,0)</f>
        <v>0</v>
      </c>
      <c r="P117" s="470">
        <f t="shared" ref="P117:P125" ca="1" si="36">IF(M117&gt;0,N117*100/M117,0)</f>
        <v>0</v>
      </c>
      <c r="Q117" s="470">
        <f ca="1">Q118+Q119</f>
        <v>209360</v>
      </c>
      <c r="R117" s="470">
        <f ca="1">R118+R119</f>
        <v>209360</v>
      </c>
      <c r="S117" s="470">
        <f ca="1">S118+S119</f>
        <v>95861.3</v>
      </c>
      <c r="T117" s="470">
        <f t="shared" ref="T117:T125" ca="1" si="37">IF(Q117&gt;0,S117*100/Q117,0)</f>
        <v>45.78778181123424</v>
      </c>
      <c r="U117" s="470">
        <f t="shared" ref="U117:U125" ca="1" si="38">IF(R117&gt;0,S117*100/R117,0)</f>
        <v>45.78778181123424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469">
        <f t="shared" ref="L118:N119" si="39">L121+L124</f>
        <v>0</v>
      </c>
      <c r="M118" s="83">
        <f t="shared" si="39"/>
        <v>0</v>
      </c>
      <c r="N118" s="83">
        <f t="shared" si="39"/>
        <v>0</v>
      </c>
      <c r="O118" s="83">
        <f t="shared" si="35"/>
        <v>0</v>
      </c>
      <c r="P118" s="83">
        <f t="shared" si="36"/>
        <v>0</v>
      </c>
      <c r="Q118" s="83">
        <f t="shared" ref="Q118:S119" si="40">Q121+Q124</f>
        <v>0</v>
      </c>
      <c r="R118" s="83">
        <f t="shared" si="40"/>
        <v>0</v>
      </c>
      <c r="S118" s="83">
        <f t="shared" si="40"/>
        <v>0</v>
      </c>
      <c r="T118" s="83">
        <f t="shared" si="37"/>
        <v>0</v>
      </c>
      <c r="U118" s="83">
        <f t="shared" si="38"/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468">
        <f t="shared" ca="1" si="39"/>
        <v>0</v>
      </c>
      <c r="M119" s="224">
        <f t="shared" ca="1" si="39"/>
        <v>0</v>
      </c>
      <c r="N119" s="224">
        <f t="shared" ca="1" si="39"/>
        <v>0</v>
      </c>
      <c r="O119" s="224">
        <f t="shared" ca="1" si="35"/>
        <v>0</v>
      </c>
      <c r="P119" s="224">
        <f t="shared" ca="1" si="36"/>
        <v>0</v>
      </c>
      <c r="Q119" s="224">
        <f t="shared" ca="1" si="40"/>
        <v>209360</v>
      </c>
      <c r="R119" s="224">
        <f t="shared" ca="1" si="40"/>
        <v>209360</v>
      </c>
      <c r="S119" s="224">
        <f t="shared" ca="1" si="40"/>
        <v>95861.3</v>
      </c>
      <c r="T119" s="224">
        <f t="shared" ca="1" si="37"/>
        <v>45.78778181123424</v>
      </c>
      <c r="U119" s="224">
        <f t="shared" ca="1" si="38"/>
        <v>45.78778181123424</v>
      </c>
    </row>
    <row r="120" spans="1:21" ht="18.75" x14ac:dyDescent="0.25">
      <c r="A120" s="128"/>
      <c r="B120" s="158"/>
      <c r="C120" s="174"/>
      <c r="D120" s="53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468">
        <f ca="1">L121+L122</f>
        <v>0</v>
      </c>
      <c r="M120" s="224">
        <f ca="1">M121+M122</f>
        <v>0</v>
      </c>
      <c r="N120" s="224">
        <f ca="1">N121+N122</f>
        <v>0</v>
      </c>
      <c r="O120" s="224">
        <f t="shared" ca="1" si="35"/>
        <v>0</v>
      </c>
      <c r="P120" s="224">
        <f t="shared" ca="1" si="36"/>
        <v>0</v>
      </c>
      <c r="Q120" s="224">
        <f ca="1">Q121+Q122</f>
        <v>209360</v>
      </c>
      <c r="R120" s="224">
        <f ca="1">R121+R122</f>
        <v>209360</v>
      </c>
      <c r="S120" s="224">
        <f ca="1">S121+S122</f>
        <v>95861.3</v>
      </c>
      <c r="T120" s="224">
        <f t="shared" ca="1" si="37"/>
        <v>45.78778181123424</v>
      </c>
      <c r="U120" s="224">
        <f t="shared" ca="1" si="38"/>
        <v>45.78778181123424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469">
        <v>0</v>
      </c>
      <c r="M121" s="83">
        <v>0</v>
      </c>
      <c r="N121" s="83">
        <v>0</v>
      </c>
      <c r="O121" s="83">
        <f t="shared" si="35"/>
        <v>0</v>
      </c>
      <c r="P121" s="83">
        <f t="shared" si="36"/>
        <v>0</v>
      </c>
      <c r="Q121" s="83">
        <v>0</v>
      </c>
      <c r="R121" s="83">
        <v>0</v>
      </c>
      <c r="S121" s="83">
        <v>0</v>
      </c>
      <c r="T121" s="83">
        <f t="shared" si="37"/>
        <v>0</v>
      </c>
      <c r="U121" s="83">
        <f t="shared" si="38"/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468">
        <f ca="1">IFERROR(__xludf.DUMMYFUNCTION("IMPORTRANGE(""https://docs.google.com/spreadsheets/d/1-uDff_7J0KD5mKrp0Vvzr7lt3OU09vwQwhkpOPPYv2Y/edit?usp=sharing"",""งบพรบ!BG22"")"),0)</f>
        <v>0</v>
      </c>
      <c r="M122" s="224">
        <f ca="1">IFERROR(__xludf.DUMMYFUNCTION("IMPORTRANGE(""https://docs.google.com/spreadsheets/d/1-uDff_7J0KD5mKrp0Vvzr7lt3OU09vwQwhkpOPPYv2Y/edit?usp=sharing"",""งบพรบ!BL22"")"),0)</f>
        <v>0</v>
      </c>
      <c r="N122" s="224">
        <f ca="1">IFERROR(__xludf.DUMMYFUNCTION("IMPORTRANGE(""https://docs.google.com/spreadsheets/d/1-uDff_7J0KD5mKrp0Vvzr7lt3OU09vwQwhkpOPPYv2Y/edit?usp=sharing"",""งบพรบ!BN22"")"),0)</f>
        <v>0</v>
      </c>
      <c r="O122" s="224">
        <f t="shared" ca="1" si="35"/>
        <v>0</v>
      </c>
      <c r="P122" s="224">
        <f t="shared" ca="1" si="36"/>
        <v>0</v>
      </c>
      <c r="Q122" s="224">
        <f ca="1">IFERROR(__xludf.DUMMYFUNCTION("IMPORTRANGE(""https://docs.google.com/spreadsheets/d/1ItG2mGa2ceCfYo0BwxsXqNm01IGEUdYcSSLTEv9YCik/edit?usp=sharing"",""เบิกจ่ายกองทุน!R22"")"),209360)</f>
        <v>209360</v>
      </c>
      <c r="R122" s="224">
        <f ca="1">IFERROR(__xludf.DUMMYFUNCTION("IMPORTRANGE(""https://docs.google.com/spreadsheets/d/1ItG2mGa2ceCfYo0BwxsXqNm01IGEUdYcSSLTEv9YCik/edit?usp=sharing"",""เบิกจ่ายกองทุน!S22"")"),209360)</f>
        <v>209360</v>
      </c>
      <c r="S122" s="224">
        <f ca="1">IFERROR(__xludf.DUMMYFUNCTION("IMPORTRANGE(""https://docs.google.com/spreadsheets/d/1ItG2mGa2ceCfYo0BwxsXqNm01IGEUdYcSSLTEv9YCik/edit?usp=sharing"",""เบิกจ่ายกองทุน!T22"")"),95861.3)</f>
        <v>95861.3</v>
      </c>
      <c r="T122" s="224">
        <f t="shared" ca="1" si="37"/>
        <v>45.78778181123424</v>
      </c>
      <c r="U122" s="224">
        <f t="shared" ca="1" si="38"/>
        <v>45.78778181123424</v>
      </c>
    </row>
    <row r="123" spans="1:21" ht="18.75" x14ac:dyDescent="0.25">
      <c r="A123" s="128"/>
      <c r="B123" s="40"/>
      <c r="C123" s="174"/>
      <c r="D123" s="53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468">
        <f ca="1">L124+L125</f>
        <v>0</v>
      </c>
      <c r="M123" s="224">
        <f ca="1">M124+M125</f>
        <v>0</v>
      </c>
      <c r="N123" s="224">
        <f ca="1">N124+N125</f>
        <v>0</v>
      </c>
      <c r="O123" s="224">
        <f t="shared" ca="1" si="35"/>
        <v>0</v>
      </c>
      <c r="P123" s="224">
        <f t="shared" ca="1" si="36"/>
        <v>0</v>
      </c>
      <c r="Q123" s="224">
        <f>Q124+Q125</f>
        <v>0</v>
      </c>
      <c r="R123" s="224">
        <f>R124+R125</f>
        <v>0</v>
      </c>
      <c r="S123" s="224">
        <f>S124+S125</f>
        <v>0</v>
      </c>
      <c r="T123" s="224">
        <f t="shared" si="37"/>
        <v>0</v>
      </c>
      <c r="U123" s="224">
        <f t="shared" si="38"/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469">
        <v>0</v>
      </c>
      <c r="M124" s="83">
        <v>0</v>
      </c>
      <c r="N124" s="83">
        <v>0</v>
      </c>
      <c r="O124" s="83">
        <f t="shared" si="35"/>
        <v>0</v>
      </c>
      <c r="P124" s="83">
        <f t="shared" si="36"/>
        <v>0</v>
      </c>
      <c r="Q124" s="83">
        <v>0</v>
      </c>
      <c r="R124" s="83">
        <v>0</v>
      </c>
      <c r="S124" s="83">
        <v>0</v>
      </c>
      <c r="T124" s="83">
        <f t="shared" si="37"/>
        <v>0</v>
      </c>
      <c r="U124" s="83">
        <f t="shared" si="38"/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468">
        <f ca="1">IFERROR(__xludf.DUMMYFUNCTION("IMPORTRANGE(""https://docs.google.com/spreadsheets/d/1-uDff_7J0KD5mKrp0Vvzr7lt3OU09vwQwhkpOPPYv2Y/edit?usp=sharing"",""งบพรบ!BJ22"")"),0)</f>
        <v>0</v>
      </c>
      <c r="M125" s="224">
        <f ca="1">IFERROR(__xludf.DUMMYFUNCTION("IMPORTRANGE(""https://docs.google.com/spreadsheets/d/1-uDff_7J0KD5mKrp0Vvzr7lt3OU09vwQwhkpOPPYv2Y/edit?usp=sharing"",""งบพรบ!BM22"")"),0)</f>
        <v>0</v>
      </c>
      <c r="N125" s="224">
        <f ca="1">IFERROR(__xludf.DUMMYFUNCTION("IMPORTRANGE(""https://docs.google.com/spreadsheets/d/1-uDff_7J0KD5mKrp0Vvzr7lt3OU09vwQwhkpOPPYv2Y/edit?usp=sharing"",""งบพรบ!BO22"")"),0)</f>
        <v>0</v>
      </c>
      <c r="O125" s="224">
        <f t="shared" ca="1" si="35"/>
        <v>0</v>
      </c>
      <c r="P125" s="224">
        <f t="shared" ca="1" si="36"/>
        <v>0</v>
      </c>
      <c r="Q125" s="224">
        <v>0</v>
      </c>
      <c r="R125" s="224">
        <v>0</v>
      </c>
      <c r="S125" s="224">
        <v>0</v>
      </c>
      <c r="T125" s="224">
        <f t="shared" si="37"/>
        <v>0</v>
      </c>
      <c r="U125" s="224">
        <f t="shared" si="38"/>
        <v>0</v>
      </c>
    </row>
    <row r="126" spans="1:21" ht="19.5" x14ac:dyDescent="0.3">
      <c r="A126" s="138"/>
      <c r="B126" s="139"/>
      <c r="C126" s="177" t="s">
        <v>18</v>
      </c>
      <c r="D126" s="498" t="s">
        <v>38</v>
      </c>
      <c r="E126" s="141"/>
      <c r="F126" s="141"/>
      <c r="G126" s="142"/>
      <c r="H126" s="178"/>
      <c r="I126" s="44"/>
      <c r="J126" s="44"/>
      <c r="K126" s="45"/>
      <c r="L126" s="465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IFERROR(__xludf.DUMMYFUNCTION("IMPORTRANGE(""https://docs.google.com/spreadsheets/d/1eHaY18a8A9IcSdp1K8H6x8fbOy06t2VsZHhMHf-1x7Y/edit?usp=sharing"",""แผน!FF22"")"),20)</f>
        <v>20</v>
      </c>
      <c r="J127" s="466">
        <v>0</v>
      </c>
      <c r="K127" s="224">
        <f ca="1">IF(I127&gt;0,J127*100/I127,0)</f>
        <v>0</v>
      </c>
      <c r="L127" s="465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IFERROR(__xludf.DUMMYFUNCTION("IMPORTRANGE(""https://docs.google.com/spreadsheets/d/1eHaY18a8A9IcSdp1K8H6x8fbOy06t2VsZHhMHf-1x7Y/edit?usp=sharing"",""แผน!FG22"")"),0)</f>
        <v>0</v>
      </c>
      <c r="J128" s="466">
        <v>0</v>
      </c>
      <c r="K128" s="224">
        <f ca="1">IF(I128&gt;0,J128*100/I128,0)</f>
        <v>0</v>
      </c>
      <c r="L128" s="465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IFERROR(__xludf.DUMMYFUNCTION("IMPORTRANGE(""https://docs.google.com/spreadsheets/d/1eHaY18a8A9IcSdp1K8H6x8fbOy06t2VsZHhMHf-1x7Y/edit?usp=sharing"",""แผน!FH22"")"),20)</f>
        <v>20</v>
      </c>
      <c r="J129" s="466">
        <v>0</v>
      </c>
      <c r="K129" s="224">
        <f ca="1">IF(I129&gt;0,J129*100/I129,0)</f>
        <v>0</v>
      </c>
      <c r="L129" s="465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IFERROR(__xludf.DUMMYFUNCTION("IMPORTRANGE(""https://docs.google.com/spreadsheets/d/1eHaY18a8A9IcSdp1K8H6x8fbOy06t2VsZHhMHf-1x7Y/edit?usp=sharing"",""แผน!FI22"")"),0)</f>
        <v>0</v>
      </c>
      <c r="J130" s="466">
        <v>0</v>
      </c>
      <c r="K130" s="224">
        <f ca="1">IF(I130&gt;0,J130*100/I130,0)</f>
        <v>0</v>
      </c>
      <c r="L130" s="465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465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465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57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hidden="1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10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hidden="1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665">
        <f ca="1">I154</f>
        <v>0</v>
      </c>
      <c r="J136" s="665">
        <f>J154</f>
        <v>0</v>
      </c>
      <c r="K136" s="664">
        <f ca="1">IF(I136&gt;0,J136*100/I136,0)</f>
        <v>0</v>
      </c>
      <c r="L136" s="510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665">
        <f ca="1">I152</f>
        <v>0</v>
      </c>
      <c r="J137" s="665">
        <f>J152</f>
        <v>0</v>
      </c>
      <c r="K137" s="664">
        <f ca="1">IF(I137&gt;0,J137*100/I137,0)</f>
        <v>0</v>
      </c>
      <c r="L137" s="510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665">
        <f ca="1">I153</f>
        <v>0</v>
      </c>
      <c r="J138" s="665">
        <f>J153</f>
        <v>0</v>
      </c>
      <c r="K138" s="664">
        <f ca="1">IF(I138&gt;0,J138*100/I138,0)</f>
        <v>0</v>
      </c>
      <c r="L138" s="510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8"/>
      <c r="B139" s="40"/>
      <c r="C139" s="129" t="s">
        <v>18</v>
      </c>
      <c r="D139" s="472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471">
        <f ca="1">L140+L141</f>
        <v>0</v>
      </c>
      <c r="M139" s="470">
        <f ca="1">M140+M141</f>
        <v>0</v>
      </c>
      <c r="N139" s="470">
        <f ca="1">N140+N141</f>
        <v>0</v>
      </c>
      <c r="O139" s="470">
        <f t="shared" ref="O139:O147" ca="1" si="41">IF(L139&gt;0,N139*100/L139,0)</f>
        <v>0</v>
      </c>
      <c r="P139" s="470">
        <f t="shared" ref="P139:P147" ca="1" si="42">IF(M139&gt;0,N139*100/M139,0)</f>
        <v>0</v>
      </c>
      <c r="Q139" s="470">
        <f ca="1">Q140+Q141</f>
        <v>0</v>
      </c>
      <c r="R139" s="470">
        <f ca="1">R140+R141</f>
        <v>0</v>
      </c>
      <c r="S139" s="470">
        <f ca="1">S140+S141</f>
        <v>0</v>
      </c>
      <c r="T139" s="470">
        <f t="shared" ref="T139:T147" ca="1" si="43">IF(Q139&gt;0,S139*100/Q139,0)</f>
        <v>0</v>
      </c>
      <c r="U139" s="470">
        <f t="shared" ref="U139:U147" ca="1" si="44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469">
        <f t="shared" ref="L140:N141" si="45">L143+L146</f>
        <v>0</v>
      </c>
      <c r="M140" s="83">
        <f t="shared" si="45"/>
        <v>0</v>
      </c>
      <c r="N140" s="83">
        <f t="shared" si="45"/>
        <v>0</v>
      </c>
      <c r="O140" s="83">
        <f t="shared" si="41"/>
        <v>0</v>
      </c>
      <c r="P140" s="83">
        <f t="shared" si="42"/>
        <v>0</v>
      </c>
      <c r="Q140" s="83">
        <f t="shared" ref="Q140:S141" si="46">Q143+Q146</f>
        <v>0</v>
      </c>
      <c r="R140" s="83">
        <f t="shared" si="46"/>
        <v>0</v>
      </c>
      <c r="S140" s="83">
        <f t="shared" si="46"/>
        <v>0</v>
      </c>
      <c r="T140" s="83">
        <f t="shared" si="43"/>
        <v>0</v>
      </c>
      <c r="U140" s="83">
        <f t="shared" si="44"/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468">
        <f t="shared" ca="1" si="45"/>
        <v>0</v>
      </c>
      <c r="M141" s="224">
        <f t="shared" ca="1" si="45"/>
        <v>0</v>
      </c>
      <c r="N141" s="224">
        <f t="shared" ca="1" si="45"/>
        <v>0</v>
      </c>
      <c r="O141" s="224">
        <f t="shared" ca="1" si="41"/>
        <v>0</v>
      </c>
      <c r="P141" s="224">
        <f t="shared" ca="1" si="42"/>
        <v>0</v>
      </c>
      <c r="Q141" s="224">
        <f t="shared" ca="1" si="46"/>
        <v>0</v>
      </c>
      <c r="R141" s="224">
        <f t="shared" ca="1" si="46"/>
        <v>0</v>
      </c>
      <c r="S141" s="224">
        <f t="shared" ca="1" si="46"/>
        <v>0</v>
      </c>
      <c r="T141" s="224">
        <f t="shared" ca="1" si="43"/>
        <v>0</v>
      </c>
      <c r="U141" s="224">
        <f t="shared" ca="1" si="44"/>
        <v>0</v>
      </c>
    </row>
    <row r="142" spans="1:21" ht="18.75" hidden="1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468">
        <f ca="1">L143+L144</f>
        <v>0</v>
      </c>
      <c r="M142" s="224">
        <f ca="1">M143+M144</f>
        <v>0</v>
      </c>
      <c r="N142" s="224">
        <f ca="1">N143+N144</f>
        <v>0</v>
      </c>
      <c r="O142" s="224">
        <f t="shared" ca="1" si="41"/>
        <v>0</v>
      </c>
      <c r="P142" s="224">
        <f t="shared" ca="1" si="42"/>
        <v>0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t="shared" ca="1" si="43"/>
        <v>0</v>
      </c>
      <c r="U142" s="224">
        <f t="shared" ca="1" si="44"/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469">
        <v>0</v>
      </c>
      <c r="M143" s="83">
        <v>0</v>
      </c>
      <c r="N143" s="83">
        <v>0</v>
      </c>
      <c r="O143" s="83">
        <f t="shared" si="41"/>
        <v>0</v>
      </c>
      <c r="P143" s="83">
        <f t="shared" si="42"/>
        <v>0</v>
      </c>
      <c r="Q143" s="83">
        <v>0</v>
      </c>
      <c r="R143" s="83">
        <v>0</v>
      </c>
      <c r="S143" s="83">
        <v>0</v>
      </c>
      <c r="T143" s="83">
        <f t="shared" si="43"/>
        <v>0</v>
      </c>
      <c r="U143" s="83">
        <f t="shared" si="44"/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468">
        <f ca="1">IFERROR(__xludf.DUMMYFUNCTION("IMPORTRANGE(""https://docs.google.com/spreadsheets/d/1-uDff_7J0KD5mKrp0Vvzr7lt3OU09vwQwhkpOPPYv2Y/edit?usp=sharing"",""งบพรบ!BQ22"")"),0)</f>
        <v>0</v>
      </c>
      <c r="M144" s="224">
        <f ca="1">IFERROR(__xludf.DUMMYFUNCTION("IMPORTRANGE(""https://docs.google.com/spreadsheets/d/1-uDff_7J0KD5mKrp0Vvzr7lt3OU09vwQwhkpOPPYv2Y/edit?usp=sharing"",""งบพรบ!BV22"")"),0)</f>
        <v>0</v>
      </c>
      <c r="N144" s="224">
        <f ca="1">IFERROR(__xludf.DUMMYFUNCTION("IMPORTRANGE(""https://docs.google.com/spreadsheets/d/1-uDff_7J0KD5mKrp0Vvzr7lt3OU09vwQwhkpOPPYv2Y/edit?usp=sharing"",""งบพรบ!BX22"")"),0)</f>
        <v>0</v>
      </c>
      <c r="O144" s="224">
        <f t="shared" ca="1" si="41"/>
        <v>0</v>
      </c>
      <c r="P144" s="224">
        <f t="shared" ca="1" si="42"/>
        <v>0</v>
      </c>
      <c r="Q144" s="224">
        <f ca="1">IFERROR(__xludf.DUMMYFUNCTION("IMPORTRANGE(""https://docs.google.com/spreadsheets/d/1ItG2mGa2ceCfYo0BwxsXqNm01IGEUdYcSSLTEv9YCik/edit?usp=sharing"",""เบิกจ่ายกองทุน!BB22"")"),0)</f>
        <v>0</v>
      </c>
      <c r="R144" s="224">
        <f ca="1">IFERROR(__xludf.DUMMYFUNCTION("IMPORTRANGE(""https://docs.google.com/spreadsheets/d/1ItG2mGa2ceCfYo0BwxsXqNm01IGEUdYcSSLTEv9YCik/edit?usp=sharing"",""เบิกจ่ายกองทุน!BC22"")"),0)</f>
        <v>0</v>
      </c>
      <c r="S144" s="224">
        <f ca="1">IFERROR(__xludf.DUMMYFUNCTION("IMPORTRANGE(""https://docs.google.com/spreadsheets/d/1ItG2mGa2ceCfYo0BwxsXqNm01IGEUdYcSSLTEv9YCik/edit?usp=sharing"",""เบิกจ่ายกองทุน!BD22"")"),0)</f>
        <v>0</v>
      </c>
      <c r="T144" s="224">
        <f t="shared" ca="1" si="43"/>
        <v>0</v>
      </c>
      <c r="U144" s="224">
        <f t="shared" ca="1" si="44"/>
        <v>0</v>
      </c>
    </row>
    <row r="145" spans="1:21" ht="18.75" hidden="1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468">
        <f ca="1">L146+L147</f>
        <v>0</v>
      </c>
      <c r="M145" s="224">
        <f ca="1">M146+M147</f>
        <v>0</v>
      </c>
      <c r="N145" s="224">
        <f ca="1">N146+N147</f>
        <v>0</v>
      </c>
      <c r="O145" s="224">
        <f t="shared" ca="1" si="41"/>
        <v>0</v>
      </c>
      <c r="P145" s="224">
        <f t="shared" ca="1" si="42"/>
        <v>0</v>
      </c>
      <c r="Q145" s="224">
        <f>Q146+Q147</f>
        <v>0</v>
      </c>
      <c r="R145" s="224">
        <f>R146+R147</f>
        <v>0</v>
      </c>
      <c r="S145" s="224">
        <f>S146+S147</f>
        <v>0</v>
      </c>
      <c r="T145" s="224">
        <f t="shared" si="43"/>
        <v>0</v>
      </c>
      <c r="U145" s="224">
        <f t="shared" si="44"/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469">
        <v>0</v>
      </c>
      <c r="M146" s="83">
        <v>0</v>
      </c>
      <c r="N146" s="83">
        <v>0</v>
      </c>
      <c r="O146" s="83">
        <f t="shared" si="41"/>
        <v>0</v>
      </c>
      <c r="P146" s="83">
        <f t="shared" si="42"/>
        <v>0</v>
      </c>
      <c r="Q146" s="83">
        <v>0</v>
      </c>
      <c r="R146" s="83">
        <v>0</v>
      </c>
      <c r="S146" s="83">
        <v>0</v>
      </c>
      <c r="T146" s="83">
        <f t="shared" si="43"/>
        <v>0</v>
      </c>
      <c r="U146" s="83">
        <f t="shared" si="44"/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468">
        <f ca="1">IFERROR(__xludf.DUMMYFUNCTION("IMPORTRANGE(""https://docs.google.com/spreadsheets/d/1-uDff_7J0KD5mKrp0Vvzr7lt3OU09vwQwhkpOPPYv2Y/edit?usp=sharing"",""งบพรบ!BT22"")"),0)</f>
        <v>0</v>
      </c>
      <c r="M147" s="224">
        <f ca="1">IFERROR(__xludf.DUMMYFUNCTION("IMPORTRANGE(""https://docs.google.com/spreadsheets/d/1-uDff_7J0KD5mKrp0Vvzr7lt3OU09vwQwhkpOPPYv2Y/edit?usp=sharing"",""งบพรบ!BW22"")"),0)</f>
        <v>0</v>
      </c>
      <c r="N147" s="224">
        <f ca="1">IFERROR(__xludf.DUMMYFUNCTION("IMPORTRANGE(""https://docs.google.com/spreadsheets/d/1-uDff_7J0KD5mKrp0Vvzr7lt3OU09vwQwhkpOPPYv2Y/edit?usp=sharing"",""งบพรบ!BY22"")"),0)</f>
        <v>0</v>
      </c>
      <c r="O147" s="224">
        <f t="shared" ca="1" si="41"/>
        <v>0</v>
      </c>
      <c r="P147" s="224">
        <f t="shared" ca="1" si="42"/>
        <v>0</v>
      </c>
      <c r="Q147" s="224">
        <v>0</v>
      </c>
      <c r="R147" s="224">
        <v>0</v>
      </c>
      <c r="S147" s="224">
        <v>0</v>
      </c>
      <c r="T147" s="224">
        <f t="shared" si="43"/>
        <v>0</v>
      </c>
      <c r="U147" s="224">
        <f t="shared" si="44"/>
        <v>0</v>
      </c>
    </row>
    <row r="148" spans="1:21" ht="19.5" hidden="1" x14ac:dyDescent="0.3">
      <c r="A148" s="138"/>
      <c r="B148" s="139"/>
      <c r="C148" s="129" t="s">
        <v>18</v>
      </c>
      <c r="D148" s="498" t="s">
        <v>38</v>
      </c>
      <c r="E148" s="141"/>
      <c r="F148" s="141"/>
      <c r="G148" s="142"/>
      <c r="H148" s="178"/>
      <c r="I148" s="44"/>
      <c r="J148" s="44"/>
      <c r="K148" s="45"/>
      <c r="L148" s="465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hidden="1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466">
        <v>0</v>
      </c>
      <c r="K149" s="45"/>
      <c r="L149" s="465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hidden="1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IFERROR(__xludf.DUMMYFUNCTION("IMPORTRANGE(""https://docs.google.com/spreadsheets/d/1eHaY18a8A9IcSdp1K8H6x8fbOy06t2VsZHhMHf-1x7Y/edit?usp=sharing"",""แผน!U22"")"),0)</f>
        <v>0</v>
      </c>
      <c r="J150" s="466">
        <v>0</v>
      </c>
      <c r="K150" s="224">
        <f ca="1">IF(I150&gt;0,J150*100/I150,0)</f>
        <v>0</v>
      </c>
      <c r="L150" s="465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hidden="1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IFERROR(__xludf.DUMMYFUNCTION("IMPORTRANGE(""https://docs.google.com/spreadsheets/d/1eHaY18a8A9IcSdp1K8H6x8fbOy06t2VsZHhMHf-1x7Y/edit?usp=sharing"",""แผน!V22"")"),0)</f>
        <v>0</v>
      </c>
      <c r="J151" s="466">
        <v>0</v>
      </c>
      <c r="K151" s="224">
        <f ca="1">IF(I151&gt;0,J151*100/I151,0)</f>
        <v>0</v>
      </c>
      <c r="L151" s="465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hidden="1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IFERROR(__xludf.DUMMYFUNCTION("IMPORTRANGE(""https://docs.google.com/spreadsheets/d/1eHaY18a8A9IcSdp1K8H6x8fbOy06t2VsZHhMHf-1x7Y/edit?usp=sharing"",""แผน!W22"")"),0)</f>
        <v>0</v>
      </c>
      <c r="J152" s="466">
        <v>0</v>
      </c>
      <c r="K152" s="224">
        <f ca="1">IF(I152&gt;0,J152*100/I152,0)</f>
        <v>0</v>
      </c>
      <c r="L152" s="465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hidden="1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IFERROR(__xludf.DUMMYFUNCTION("IMPORTRANGE(""https://docs.google.com/spreadsheets/d/1eHaY18a8A9IcSdp1K8H6x8fbOy06t2VsZHhMHf-1x7Y/edit?usp=sharing"",""แผน!X22"")"),0)</f>
        <v>0</v>
      </c>
      <c r="J153" s="466">
        <v>0</v>
      </c>
      <c r="K153" s="224">
        <f ca="1">IF(I153&gt;0,J153*100/I153,0)</f>
        <v>0</v>
      </c>
      <c r="L153" s="465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IFERROR(__xludf.DUMMYFUNCTION("IMPORTRANGE(""https://docs.google.com/spreadsheets/d/1eHaY18a8A9IcSdp1K8H6x8fbOy06t2VsZHhMHf-1x7Y/edit?usp=sharing"",""แผน!Y22"")"),0)</f>
        <v>0</v>
      </c>
      <c r="J154" s="466">
        <v>0</v>
      </c>
      <c r="K154" s="224">
        <f ca="1">IF(I154&gt;0,J154*100/I154,0)</f>
        <v>0</v>
      </c>
      <c r="L154" s="465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hidden="1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665">
        <f ca="1">I169</f>
        <v>0</v>
      </c>
      <c r="J156" s="665">
        <f>J169</f>
        <v>0</v>
      </c>
      <c r="K156" s="664">
        <f ca="1">IF(I156&gt;0,J156*100/I156,0)</f>
        <v>0</v>
      </c>
      <c r="L156" s="510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hidden="1" x14ac:dyDescent="0.3">
      <c r="A157" s="128"/>
      <c r="B157" s="40"/>
      <c r="C157" s="129" t="s">
        <v>18</v>
      </c>
      <c r="D157" s="472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471">
        <f ca="1">L158+L159</f>
        <v>0</v>
      </c>
      <c r="M157" s="470">
        <f ca="1">M158+M159</f>
        <v>1040</v>
      </c>
      <c r="N157" s="470">
        <f ca="1">N158+N159</f>
        <v>0</v>
      </c>
      <c r="O157" s="470">
        <f t="shared" ref="O157:O165" ca="1" si="47">IF(L157&gt;0,N157*100/L157,0)</f>
        <v>0</v>
      </c>
      <c r="P157" s="470">
        <f t="shared" ref="P157:P165" ca="1" si="48">IF(M157&gt;0,N157*100/M157,0)</f>
        <v>0</v>
      </c>
      <c r="Q157" s="470">
        <f ca="1">Q158+Q159</f>
        <v>0</v>
      </c>
      <c r="R157" s="470">
        <f ca="1">R158+R159</f>
        <v>0</v>
      </c>
      <c r="S157" s="470">
        <f ca="1">S158+S159</f>
        <v>0</v>
      </c>
      <c r="T157" s="470">
        <f t="shared" ref="T157:T165" ca="1" si="49">IF(Q157&gt;0,S157*100/Q157,0)</f>
        <v>0</v>
      </c>
      <c r="U157" s="470">
        <f t="shared" ref="U157:U165" ca="1" si="50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469">
        <f t="shared" ref="L158:N159" si="51">L161+L164</f>
        <v>0</v>
      </c>
      <c r="M158" s="83">
        <f t="shared" si="51"/>
        <v>0</v>
      </c>
      <c r="N158" s="83">
        <f t="shared" si="51"/>
        <v>0</v>
      </c>
      <c r="O158" s="83">
        <f t="shared" si="47"/>
        <v>0</v>
      </c>
      <c r="P158" s="83">
        <f t="shared" si="48"/>
        <v>0</v>
      </c>
      <c r="Q158" s="83">
        <f t="shared" ref="Q158:S159" si="52">Q161+Q164</f>
        <v>0</v>
      </c>
      <c r="R158" s="83">
        <f t="shared" si="52"/>
        <v>0</v>
      </c>
      <c r="S158" s="83">
        <f t="shared" si="52"/>
        <v>0</v>
      </c>
      <c r="T158" s="83">
        <f t="shared" si="49"/>
        <v>0</v>
      </c>
      <c r="U158" s="83">
        <f t="shared" si="50"/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468">
        <f t="shared" ca="1" si="51"/>
        <v>0</v>
      </c>
      <c r="M159" s="224">
        <f t="shared" ca="1" si="51"/>
        <v>1040</v>
      </c>
      <c r="N159" s="224">
        <f t="shared" ca="1" si="51"/>
        <v>0</v>
      </c>
      <c r="O159" s="224">
        <f t="shared" ca="1" si="47"/>
        <v>0</v>
      </c>
      <c r="P159" s="224">
        <f t="shared" ca="1" si="48"/>
        <v>0</v>
      </c>
      <c r="Q159" s="224">
        <f t="shared" ca="1" si="52"/>
        <v>0</v>
      </c>
      <c r="R159" s="224">
        <f t="shared" ca="1" si="52"/>
        <v>0</v>
      </c>
      <c r="S159" s="224">
        <f t="shared" ca="1" si="52"/>
        <v>0</v>
      </c>
      <c r="T159" s="224">
        <f t="shared" ca="1" si="49"/>
        <v>0</v>
      </c>
      <c r="U159" s="224">
        <f t="shared" ca="1" si="50"/>
        <v>0</v>
      </c>
    </row>
    <row r="160" spans="1:21" ht="18.75" hidden="1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468">
        <f ca="1">L161+L162</f>
        <v>0</v>
      </c>
      <c r="M160" s="224">
        <f ca="1">M161+M162</f>
        <v>1040</v>
      </c>
      <c r="N160" s="224">
        <f ca="1">N161+N162</f>
        <v>0</v>
      </c>
      <c r="O160" s="224">
        <f t="shared" ca="1" si="47"/>
        <v>0</v>
      </c>
      <c r="P160" s="224">
        <f t="shared" ca="1" si="48"/>
        <v>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t="shared" ca="1" si="49"/>
        <v>0</v>
      </c>
      <c r="U160" s="224">
        <f t="shared" ca="1" si="50"/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469">
        <v>0</v>
      </c>
      <c r="M161" s="83">
        <v>0</v>
      </c>
      <c r="N161" s="83">
        <v>0</v>
      </c>
      <c r="O161" s="83">
        <f t="shared" si="47"/>
        <v>0</v>
      </c>
      <c r="P161" s="83">
        <f t="shared" si="48"/>
        <v>0</v>
      </c>
      <c r="Q161" s="83">
        <v>0</v>
      </c>
      <c r="R161" s="83">
        <v>0</v>
      </c>
      <c r="S161" s="83">
        <v>0</v>
      </c>
      <c r="T161" s="83">
        <f t="shared" si="49"/>
        <v>0</v>
      </c>
      <c r="U161" s="83">
        <f t="shared" si="50"/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468">
        <f ca="1">IFERROR(__xludf.DUMMYFUNCTION("IMPORTRANGE(""https://docs.google.com/spreadsheets/d/1-uDff_7J0KD5mKrp0Vvzr7lt3OU09vwQwhkpOPPYv2Y/edit?usp=sharing"",""งบพรบ!CA22"")"),0)</f>
        <v>0</v>
      </c>
      <c r="M162" s="224">
        <f ca="1">IFERROR(__xludf.DUMMYFUNCTION("IMPORTRANGE(""https://docs.google.com/spreadsheets/d/1-uDff_7J0KD5mKrp0Vvzr7lt3OU09vwQwhkpOPPYv2Y/edit?usp=sharing"",""งบพรบ!CF22"")"),1040)</f>
        <v>1040</v>
      </c>
      <c r="N162" s="224">
        <f ca="1">IFERROR(__xludf.DUMMYFUNCTION("IMPORTRANGE(""https://docs.google.com/spreadsheets/d/1-uDff_7J0KD5mKrp0Vvzr7lt3OU09vwQwhkpOPPYv2Y/edit?usp=sharing"",""งบพรบ!CH22"")"),0)</f>
        <v>0</v>
      </c>
      <c r="O162" s="224">
        <f t="shared" ca="1" si="47"/>
        <v>0</v>
      </c>
      <c r="P162" s="224">
        <f t="shared" ca="1" si="48"/>
        <v>0</v>
      </c>
      <c r="Q162" s="224">
        <f ca="1">IFERROR(__xludf.DUMMYFUNCTION("IMPORTRANGE(""https://docs.google.com/spreadsheets/d/1ItG2mGa2ceCfYo0BwxsXqNm01IGEUdYcSSLTEv9YCik/edit?usp=sharing"",""เบิกจ่ายกองทุน!AG22"")"),0)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IFERROR(__xludf.DUMMYFUNCTION("IMPORTRANGE(""https://docs.google.com/spreadsheets/d/1ItG2mGa2ceCfYo0BwxsXqNm01IGEUdYcSSLTEv9YCik/edit?usp=sharing"",""เบิกจ่ายกองทุน!AH22"")"),0)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IFERROR(__xludf.DUMMYFUNCTION("IMPORTRANGE(""https://docs.google.com/spreadsheets/d/1ItG2mGa2ceCfYo0BwxsXqNm01IGEUdYcSSLTEv9YCik/edit?usp=sharing"",""เบิกจ่ายกองทุน!AI22"")"),0)</f>
        <v>0</v>
      </c>
      <c r="T162" s="224">
        <f t="shared" ca="1" si="49"/>
        <v>0</v>
      </c>
      <c r="U162" s="224">
        <f t="shared" ca="1" si="50"/>
        <v>0</v>
      </c>
    </row>
    <row r="163" spans="1:21" ht="18.75" hidden="1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468">
        <f ca="1">L164+L165</f>
        <v>0</v>
      </c>
      <c r="M163" s="224">
        <f ca="1">M164+M165</f>
        <v>0</v>
      </c>
      <c r="N163" s="224">
        <f ca="1">N164+N165</f>
        <v>0</v>
      </c>
      <c r="O163" s="224">
        <f t="shared" ca="1" si="47"/>
        <v>0</v>
      </c>
      <c r="P163" s="224">
        <f t="shared" ca="1" si="48"/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 t="shared" si="49"/>
        <v>0</v>
      </c>
      <c r="U163" s="224">
        <f t="shared" si="50"/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469">
        <v>0</v>
      </c>
      <c r="M164" s="83">
        <v>0</v>
      </c>
      <c r="N164" s="83">
        <v>0</v>
      </c>
      <c r="O164" s="83">
        <f t="shared" si="47"/>
        <v>0</v>
      </c>
      <c r="P164" s="83">
        <f t="shared" si="48"/>
        <v>0</v>
      </c>
      <c r="Q164" s="83">
        <v>0</v>
      </c>
      <c r="R164" s="83">
        <v>0</v>
      </c>
      <c r="S164" s="83">
        <v>0</v>
      </c>
      <c r="T164" s="83">
        <f t="shared" si="49"/>
        <v>0</v>
      </c>
      <c r="U164" s="83">
        <f t="shared" si="50"/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468">
        <f ca="1">IFERROR(__xludf.DUMMYFUNCTION("IMPORTRANGE(""https://docs.google.com/spreadsheets/d/1-uDff_7J0KD5mKrp0Vvzr7lt3OU09vwQwhkpOPPYv2Y/edit?usp=sharing"",""งบพรบ!CD22"")"),0)</f>
        <v>0</v>
      </c>
      <c r="M165" s="224">
        <f ca="1">IFERROR(__xludf.DUMMYFUNCTION("IMPORTRANGE(""https://docs.google.com/spreadsheets/d/1-uDff_7J0KD5mKrp0Vvzr7lt3OU09vwQwhkpOPPYv2Y/edit?usp=sharing"",""งบพรบ!CG22"")"),0)</f>
        <v>0</v>
      </c>
      <c r="N165" s="224">
        <f ca="1">IFERROR(__xludf.DUMMYFUNCTION("IMPORTRANGE(""https://docs.google.com/spreadsheets/d/1-uDff_7J0KD5mKrp0Vvzr7lt3OU09vwQwhkpOPPYv2Y/edit?usp=sharing"",""งบพรบ!CI22"")"),0)</f>
        <v>0</v>
      </c>
      <c r="O165" s="224">
        <f t="shared" ca="1" si="47"/>
        <v>0</v>
      </c>
      <c r="P165" s="224">
        <f t="shared" ca="1" si="48"/>
        <v>0</v>
      </c>
      <c r="Q165" s="224">
        <v>0</v>
      </c>
      <c r="R165" s="224">
        <v>0</v>
      </c>
      <c r="S165" s="224">
        <v>0</v>
      </c>
      <c r="T165" s="224">
        <f t="shared" si="49"/>
        <v>0</v>
      </c>
      <c r="U165" s="224">
        <f t="shared" si="50"/>
        <v>0</v>
      </c>
    </row>
    <row r="166" spans="1:21" ht="19.5" hidden="1" x14ac:dyDescent="0.3">
      <c r="A166" s="138"/>
      <c r="B166" s="139"/>
      <c r="C166" s="129" t="s">
        <v>18</v>
      </c>
      <c r="D166" s="498" t="s">
        <v>38</v>
      </c>
      <c r="E166" s="141"/>
      <c r="F166" s="141"/>
      <c r="G166" s="142"/>
      <c r="H166" s="178"/>
      <c r="I166" s="44"/>
      <c r="J166" s="44"/>
      <c r="K166" s="45"/>
      <c r="L166" s="465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hidden="1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IFERROR(__xludf.DUMMYFUNCTION("IMPORTRANGE(""https://docs.google.com/spreadsheets/d/1eHaY18a8A9IcSdp1K8H6x8fbOy06t2VsZHhMHf-1x7Y/edit?usp=sharing"",""แผน!Z22"")"),0)</f>
        <v>0</v>
      </c>
      <c r="J167" s="466">
        <v>0</v>
      </c>
      <c r="K167" s="224">
        <f ca="1">IF(I167&gt;0,J167*100/I167,0)</f>
        <v>0</v>
      </c>
      <c r="L167" s="465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375" t="s">
        <v>35</v>
      </c>
      <c r="I168" s="430">
        <f ca="1">IFERROR(__xludf.DUMMYFUNCTION("IMPORTRANGE(""https://docs.google.com/spreadsheets/d/1eHaY18a8A9IcSdp1K8H6x8fbOy06t2VsZHhMHf-1x7Y/edit?usp=sharing"",""แผน!Z22"")"),0)</f>
        <v>0</v>
      </c>
      <c r="J168" s="525">
        <v>0</v>
      </c>
      <c r="K168" s="83">
        <f ca="1">IF(I168&gt;0,J168*100/I168,0)</f>
        <v>0</v>
      </c>
      <c r="L168" s="465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31" t="s">
        <v>71</v>
      </c>
      <c r="E169" s="1"/>
      <c r="F169" s="1"/>
      <c r="G169" s="52"/>
      <c r="H169" s="663" t="s">
        <v>35</v>
      </c>
      <c r="I169" s="433">
        <f ca="1">IFERROR(__xludf.DUMMYFUNCTION("IMPORTRANGE(""https://docs.google.com/spreadsheets/d/1eHaY18a8A9IcSdp1K8H6x8fbOy06t2VsZHhMHf-1x7Y/edit?usp=sharing"",""แผน!Z22"")"),0)</f>
        <v>0</v>
      </c>
      <c r="J169" s="522">
        <v>0</v>
      </c>
      <c r="K169" s="521">
        <f ca="1">IF(I169&gt;0,J169*100/I169,0)</f>
        <v>0</v>
      </c>
      <c r="L169" s="46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662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661">
        <f ca="1">I183+I184</f>
        <v>7</v>
      </c>
      <c r="J172" s="661">
        <f>J183+J184</f>
        <v>7</v>
      </c>
      <c r="K172" s="660">
        <f ca="1">IF(I172&gt;0,J172*100/I172,0)</f>
        <v>100</v>
      </c>
      <c r="L172" s="659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472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471">
        <f ca="1">L174+L175</f>
        <v>19590</v>
      </c>
      <c r="M173" s="470">
        <f ca="1">M174+M175</f>
        <v>31390</v>
      </c>
      <c r="N173" s="470">
        <f ca="1">N174+N175</f>
        <v>30070</v>
      </c>
      <c r="O173" s="470">
        <f t="shared" ref="O173:O181" ca="1" si="53">IF(L173&gt;0,N173*100/L173,0)</f>
        <v>153.49668198060235</v>
      </c>
      <c r="P173" s="470">
        <f t="shared" ref="P173:P181" ca="1" si="54">IF(M173&gt;0,N173*100/M173,0)</f>
        <v>95.794839120739084</v>
      </c>
      <c r="Q173" s="470">
        <f ca="1">Q174+Q175</f>
        <v>0</v>
      </c>
      <c r="R173" s="470">
        <f ca="1">R174+R175</f>
        <v>0</v>
      </c>
      <c r="S173" s="470">
        <f ca="1">S174+S175</f>
        <v>0</v>
      </c>
      <c r="T173" s="470">
        <f t="shared" ref="T173:T181" ca="1" si="55">IF(Q173&gt;0,S173*100/Q173,0)</f>
        <v>0</v>
      </c>
      <c r="U173" s="470">
        <f t="shared" ref="U173:U181" ca="1" si="56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469">
        <f t="shared" ref="L174:N175" si="57">L177+L180</f>
        <v>0</v>
      </c>
      <c r="M174" s="83">
        <f t="shared" si="57"/>
        <v>0</v>
      </c>
      <c r="N174" s="83">
        <f t="shared" si="57"/>
        <v>0</v>
      </c>
      <c r="O174" s="83">
        <f t="shared" si="53"/>
        <v>0</v>
      </c>
      <c r="P174" s="83">
        <f t="shared" si="54"/>
        <v>0</v>
      </c>
      <c r="Q174" s="83">
        <f t="shared" ref="Q174:S175" si="58">Q177+Q180</f>
        <v>0</v>
      </c>
      <c r="R174" s="83">
        <f t="shared" si="58"/>
        <v>0</v>
      </c>
      <c r="S174" s="83">
        <f t="shared" si="58"/>
        <v>0</v>
      </c>
      <c r="T174" s="83">
        <f t="shared" si="55"/>
        <v>0</v>
      </c>
      <c r="U174" s="83">
        <f t="shared" si="56"/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468">
        <f t="shared" ca="1" si="57"/>
        <v>19590</v>
      </c>
      <c r="M175" s="224">
        <f t="shared" ca="1" si="57"/>
        <v>31390</v>
      </c>
      <c r="N175" s="224">
        <f t="shared" ca="1" si="57"/>
        <v>30070</v>
      </c>
      <c r="O175" s="224">
        <f t="shared" ca="1" si="53"/>
        <v>153.49668198060235</v>
      </c>
      <c r="P175" s="224">
        <f t="shared" ca="1" si="54"/>
        <v>95.794839120739084</v>
      </c>
      <c r="Q175" s="224">
        <f t="shared" ca="1" si="58"/>
        <v>0</v>
      </c>
      <c r="R175" s="224">
        <f t="shared" ca="1" si="58"/>
        <v>0</v>
      </c>
      <c r="S175" s="224">
        <f t="shared" ca="1" si="58"/>
        <v>0</v>
      </c>
      <c r="T175" s="224">
        <f t="shared" ca="1" si="55"/>
        <v>0</v>
      </c>
      <c r="U175" s="224">
        <f t="shared" ca="1" si="56"/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468">
        <f ca="1">L177+L178</f>
        <v>19590</v>
      </c>
      <c r="M176" s="224">
        <f ca="1">M177+M178</f>
        <v>31390</v>
      </c>
      <c r="N176" s="224">
        <f ca="1">N177+N178</f>
        <v>30070</v>
      </c>
      <c r="O176" s="224">
        <f t="shared" ca="1" si="53"/>
        <v>153.49668198060235</v>
      </c>
      <c r="P176" s="224">
        <f t="shared" ca="1" si="54"/>
        <v>95.794839120739084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t="shared" ca="1" si="55"/>
        <v>0</v>
      </c>
      <c r="U176" s="224">
        <f t="shared" ca="1" si="56"/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469">
        <v>0</v>
      </c>
      <c r="M177" s="83">
        <v>0</v>
      </c>
      <c r="N177" s="83">
        <v>0</v>
      </c>
      <c r="O177" s="83">
        <f t="shared" si="53"/>
        <v>0</v>
      </c>
      <c r="P177" s="83">
        <f t="shared" si="54"/>
        <v>0</v>
      </c>
      <c r="Q177" s="83">
        <v>0</v>
      </c>
      <c r="R177" s="83">
        <v>0</v>
      </c>
      <c r="S177" s="83">
        <v>0</v>
      </c>
      <c r="T177" s="83">
        <f t="shared" si="55"/>
        <v>0</v>
      </c>
      <c r="U177" s="83">
        <f t="shared" si="56"/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468">
        <f ca="1">IFERROR(__xludf.DUMMYFUNCTION("IMPORTRANGE(""https://docs.google.com/spreadsheets/d/1-uDff_7J0KD5mKrp0Vvzr7lt3OU09vwQwhkpOPPYv2Y/edit?usp=sharing"",""งบพรบ!CK22"")"),19590)</f>
        <v>19590</v>
      </c>
      <c r="M178" s="224">
        <f ca="1">IFERROR(__xludf.DUMMYFUNCTION("IMPORTRANGE(""https://docs.google.com/spreadsheets/d/1-uDff_7J0KD5mKrp0Vvzr7lt3OU09vwQwhkpOPPYv2Y/edit?usp=sharing"",""งบพรบ!CP22"")"),31390)</f>
        <v>31390</v>
      </c>
      <c r="N178" s="224">
        <f ca="1">IFERROR(__xludf.DUMMYFUNCTION("IMPORTRANGE(""https://docs.google.com/spreadsheets/d/1-uDff_7J0KD5mKrp0Vvzr7lt3OU09vwQwhkpOPPYv2Y/edit?usp=sharing"",""งบพรบ!CR22"")"),30070)</f>
        <v>30070</v>
      </c>
      <c r="O178" s="224">
        <f t="shared" ca="1" si="53"/>
        <v>153.49668198060235</v>
      </c>
      <c r="P178" s="224">
        <f t="shared" ca="1" si="54"/>
        <v>95.794839120739084</v>
      </c>
      <c r="Q178" s="224">
        <f ca="1">IFERROR(__xludf.DUMMYFUNCTION("IMPORTRANGE(""https://docs.google.com/spreadsheets/d/1ItG2mGa2ceCfYo0BwxsXqNm01IGEUdYcSSLTEv9YCik/edit?usp=sharing"",""เบิกจ่ายกองทุน!BE22"")"),0)</f>
        <v>0</v>
      </c>
      <c r="R178" s="224">
        <f ca="1">IFERROR(__xludf.DUMMYFUNCTION("IMPORTRANGE(""https://docs.google.com/spreadsheets/d/1ItG2mGa2ceCfYo0BwxsXqNm01IGEUdYcSSLTEv9YCik/edit?usp=sharing"",""เบิกจ่ายกองทุน!BF22"")"),0)</f>
        <v>0</v>
      </c>
      <c r="S178" s="224">
        <f ca="1">IFERROR(__xludf.DUMMYFUNCTION("IMPORTRANGE(""https://docs.google.com/spreadsheets/d/1ItG2mGa2ceCfYo0BwxsXqNm01IGEUdYcSSLTEv9YCik/edit?usp=sharing"",""เบิกจ่ายกองทุน!BG22"")"),0)</f>
        <v>0</v>
      </c>
      <c r="T178" s="224">
        <f t="shared" ca="1" si="55"/>
        <v>0</v>
      </c>
      <c r="U178" s="224">
        <f t="shared" ca="1" si="56"/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468">
        <f ca="1">L180+L181</f>
        <v>0</v>
      </c>
      <c r="M179" s="224">
        <f ca="1">M180+M181</f>
        <v>0</v>
      </c>
      <c r="N179" s="224">
        <f ca="1">N180+N181</f>
        <v>0</v>
      </c>
      <c r="O179" s="224">
        <f t="shared" ca="1" si="53"/>
        <v>0</v>
      </c>
      <c r="P179" s="224">
        <f t="shared" ca="1" si="54"/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 t="shared" si="55"/>
        <v>0</v>
      </c>
      <c r="U179" s="224">
        <f t="shared" si="56"/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469">
        <v>0</v>
      </c>
      <c r="M180" s="83">
        <v>0</v>
      </c>
      <c r="N180" s="83">
        <v>0</v>
      </c>
      <c r="O180" s="83">
        <f t="shared" si="53"/>
        <v>0</v>
      </c>
      <c r="P180" s="83">
        <f t="shared" si="54"/>
        <v>0</v>
      </c>
      <c r="Q180" s="83">
        <v>0</v>
      </c>
      <c r="R180" s="83">
        <v>0</v>
      </c>
      <c r="S180" s="83">
        <v>0</v>
      </c>
      <c r="T180" s="83">
        <f t="shared" si="55"/>
        <v>0</v>
      </c>
      <c r="U180" s="83">
        <f t="shared" si="56"/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468">
        <f ca="1">IFERROR(__xludf.DUMMYFUNCTION("IMPORTRANGE(""https://docs.google.com/spreadsheets/d/1-uDff_7J0KD5mKrp0Vvzr7lt3OU09vwQwhkpOPPYv2Y/edit?usp=sharing"",""งบพรบ!CN22"")"),0)</f>
        <v>0</v>
      </c>
      <c r="M181" s="224">
        <f ca="1">IFERROR(__xludf.DUMMYFUNCTION("IMPORTRANGE(""https://docs.google.com/spreadsheets/d/1-uDff_7J0KD5mKrp0Vvzr7lt3OU09vwQwhkpOPPYv2Y/edit?usp=sharing"",""งบพรบ!CQ22"")"),0)</f>
        <v>0</v>
      </c>
      <c r="N181" s="224">
        <f ca="1">IFERROR(__xludf.DUMMYFUNCTION("IMPORTRANGE(""https://docs.google.com/spreadsheets/d/1-uDff_7J0KD5mKrp0Vvzr7lt3OU09vwQwhkpOPPYv2Y/edit?usp=sharing"",""งบพรบ!CS22"")"),0)</f>
        <v>0</v>
      </c>
      <c r="O181" s="224">
        <f t="shared" ca="1" si="53"/>
        <v>0</v>
      </c>
      <c r="P181" s="224">
        <f t="shared" ca="1" si="54"/>
        <v>0</v>
      </c>
      <c r="Q181" s="224">
        <v>0</v>
      </c>
      <c r="R181" s="224">
        <v>0</v>
      </c>
      <c r="S181" s="224">
        <v>0</v>
      </c>
      <c r="T181" s="224">
        <f t="shared" si="55"/>
        <v>0</v>
      </c>
      <c r="U181" s="224">
        <f t="shared" si="56"/>
        <v>0</v>
      </c>
    </row>
    <row r="182" spans="1:21" ht="19.5" x14ac:dyDescent="0.3">
      <c r="A182" s="138"/>
      <c r="B182" s="139"/>
      <c r="C182" s="129" t="s">
        <v>18</v>
      </c>
      <c r="D182" s="498" t="s">
        <v>38</v>
      </c>
      <c r="E182" s="141"/>
      <c r="F182" s="141"/>
      <c r="G182" s="142"/>
      <c r="H182" s="178"/>
      <c r="I182" s="44"/>
      <c r="J182" s="44"/>
      <c r="K182" s="45"/>
      <c r="L182" s="465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IFERROR(__xludf.DUMMYFUNCTION("IMPORTRANGE(""https://docs.google.com/spreadsheets/d/1eHaY18a8A9IcSdp1K8H6x8fbOy06t2VsZHhMHf-1x7Y/edit?usp=sharing"",""แผน!AA22"")"),7)</f>
        <v>7</v>
      </c>
      <c r="J183" s="466">
        <v>7</v>
      </c>
      <c r="K183" s="224">
        <f ca="1">IF(I183&gt;0,J183*100/I183,0)</f>
        <v>100</v>
      </c>
      <c r="L183" s="465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14" t="s">
        <v>76</v>
      </c>
      <c r="E184" s="40"/>
      <c r="F184" s="40"/>
      <c r="G184" s="42"/>
      <c r="H184" s="526" t="s">
        <v>35</v>
      </c>
      <c r="I184" s="430">
        <v>0</v>
      </c>
      <c r="J184" s="430">
        <v>0</v>
      </c>
      <c r="K184" s="83">
        <f>IF(I184&gt;0,J184*100/I184,0)</f>
        <v>0</v>
      </c>
      <c r="L184" s="465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661">
        <f ca="1">I230+I231</f>
        <v>0</v>
      </c>
      <c r="J185" s="661">
        <f>J230+J231</f>
        <v>0</v>
      </c>
      <c r="K185" s="660">
        <f ca="1">IF(I185&gt;0,J185*100/I185,0)</f>
        <v>0</v>
      </c>
      <c r="L185" s="659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472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471">
        <f ca="1">L187+L188</f>
        <v>222500</v>
      </c>
      <c r="M186" s="470">
        <f ca="1">M187+M188</f>
        <v>212200</v>
      </c>
      <c r="N186" s="470">
        <f ca="1">N187+N188</f>
        <v>171353.02</v>
      </c>
      <c r="O186" s="470">
        <f t="shared" ref="O186:O194" ca="1" si="59">IF(L186&gt;0,N186*100/L186,0)</f>
        <v>77.012593258426961</v>
      </c>
      <c r="P186" s="470">
        <f t="shared" ref="P186:P194" ca="1" si="60">IF(M186&gt;0,N186*100/M186,0)</f>
        <v>80.750716305372293</v>
      </c>
      <c r="Q186" s="470">
        <f ca="1">Q187+Q188</f>
        <v>42000</v>
      </c>
      <c r="R186" s="470">
        <f ca="1">R187+R188</f>
        <v>42000</v>
      </c>
      <c r="S186" s="470">
        <f ca="1">S187+S188</f>
        <v>0</v>
      </c>
      <c r="T186" s="470">
        <f t="shared" ref="T186:T194" ca="1" si="61">IF(Q186&gt;0,S186*100/Q186,0)</f>
        <v>0</v>
      </c>
      <c r="U186" s="470">
        <f t="shared" ref="U186:U194" ca="1" si="62">IF(R186&gt;0,S186*100/R186,0)</f>
        <v>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469">
        <f t="shared" ref="L187:N188" si="63">L190+L193</f>
        <v>0</v>
      </c>
      <c r="M187" s="83">
        <f t="shared" si="63"/>
        <v>0</v>
      </c>
      <c r="N187" s="83">
        <f t="shared" si="63"/>
        <v>0</v>
      </c>
      <c r="O187" s="83">
        <f t="shared" si="59"/>
        <v>0</v>
      </c>
      <c r="P187" s="83">
        <f t="shared" si="60"/>
        <v>0</v>
      </c>
      <c r="Q187" s="83">
        <f t="shared" ref="Q187:S188" si="64">Q190+Q193</f>
        <v>0</v>
      </c>
      <c r="R187" s="83">
        <f t="shared" si="64"/>
        <v>0</v>
      </c>
      <c r="S187" s="83">
        <f t="shared" si="64"/>
        <v>0</v>
      </c>
      <c r="T187" s="83">
        <f t="shared" si="61"/>
        <v>0</v>
      </c>
      <c r="U187" s="83">
        <f t="shared" si="62"/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468">
        <f t="shared" ca="1" si="63"/>
        <v>222500</v>
      </c>
      <c r="M188" s="224">
        <f t="shared" ca="1" si="63"/>
        <v>212200</v>
      </c>
      <c r="N188" s="224">
        <f t="shared" ca="1" si="63"/>
        <v>171353.02</v>
      </c>
      <c r="O188" s="224">
        <f t="shared" ca="1" si="59"/>
        <v>77.012593258426961</v>
      </c>
      <c r="P188" s="224">
        <f t="shared" ca="1" si="60"/>
        <v>80.750716305372293</v>
      </c>
      <c r="Q188" s="224">
        <f t="shared" ca="1" si="64"/>
        <v>42000</v>
      </c>
      <c r="R188" s="224">
        <f t="shared" ca="1" si="64"/>
        <v>42000</v>
      </c>
      <c r="S188" s="224">
        <f t="shared" ca="1" si="64"/>
        <v>0</v>
      </c>
      <c r="T188" s="224">
        <f t="shared" ca="1" si="61"/>
        <v>0</v>
      </c>
      <c r="U188" s="224">
        <f t="shared" ca="1" si="62"/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468">
        <f ca="1">L190+L191</f>
        <v>222500</v>
      </c>
      <c r="M189" s="224">
        <f ca="1">M190+M191</f>
        <v>212200</v>
      </c>
      <c r="N189" s="224">
        <f ca="1">N190+N191</f>
        <v>171353.02</v>
      </c>
      <c r="O189" s="224">
        <f t="shared" ca="1" si="59"/>
        <v>77.012593258426961</v>
      </c>
      <c r="P189" s="224">
        <f t="shared" ca="1" si="60"/>
        <v>80.750716305372293</v>
      </c>
      <c r="Q189" s="224">
        <f ca="1">Q190+Q191</f>
        <v>42000</v>
      </c>
      <c r="R189" s="224">
        <f ca="1">R190+R191</f>
        <v>42000</v>
      </c>
      <c r="S189" s="224">
        <f ca="1">S190+S191</f>
        <v>0</v>
      </c>
      <c r="T189" s="224">
        <f t="shared" ca="1" si="61"/>
        <v>0</v>
      </c>
      <c r="U189" s="224">
        <f t="shared" ca="1" si="62"/>
        <v>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469">
        <v>0</v>
      </c>
      <c r="M190" s="83">
        <v>0</v>
      </c>
      <c r="N190" s="83">
        <v>0</v>
      </c>
      <c r="O190" s="83">
        <f t="shared" si="59"/>
        <v>0</v>
      </c>
      <c r="P190" s="83">
        <f t="shared" si="60"/>
        <v>0</v>
      </c>
      <c r="Q190" s="83">
        <v>0</v>
      </c>
      <c r="R190" s="83">
        <v>0</v>
      </c>
      <c r="S190" s="83">
        <v>0</v>
      </c>
      <c r="T190" s="83">
        <f t="shared" si="61"/>
        <v>0</v>
      </c>
      <c r="U190" s="83">
        <f t="shared" si="62"/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468">
        <f ca="1">IFERROR(__xludf.DUMMYFUNCTION("IMPORTRANGE(""https://docs.google.com/spreadsheets/d/1-uDff_7J0KD5mKrp0Vvzr7lt3OU09vwQwhkpOPPYv2Y/edit?usp=sharing"",""งบพรบ!CU22"")"),222500)</f>
        <v>222500</v>
      </c>
      <c r="M191" s="224">
        <f ca="1">IFERROR(__xludf.DUMMYFUNCTION("IMPORTRANGE(""https://docs.google.com/spreadsheets/d/1-uDff_7J0KD5mKrp0Vvzr7lt3OU09vwQwhkpOPPYv2Y/edit?usp=sharing"",""งบพรบ!CZ22"")"),212200)</f>
        <v>212200</v>
      </c>
      <c r="N191" s="224">
        <f ca="1">IFERROR(__xludf.DUMMYFUNCTION("IMPORTRANGE(""https://docs.google.com/spreadsheets/d/1-uDff_7J0KD5mKrp0Vvzr7lt3OU09vwQwhkpOPPYv2Y/edit?usp=sharing"",""งบพรบ!DB22"")"),171353.02)</f>
        <v>171353.02</v>
      </c>
      <c r="O191" s="224">
        <f t="shared" ca="1" si="59"/>
        <v>77.012593258426961</v>
      </c>
      <c r="P191" s="224">
        <f t="shared" ca="1" si="60"/>
        <v>80.750716305372293</v>
      </c>
      <c r="Q191" s="224">
        <f ca="1">IFERROR(__xludf.DUMMYFUNCTION("IMPORTRANGE(""https://docs.google.com/spreadsheets/d/1ItG2mGa2ceCfYo0BwxsXqNm01IGEUdYcSSLTEv9YCik/edit?usp=sharing"",""เบิกจ่ายกองทุน!AV22"")"),42000)</f>
        <v>42000</v>
      </c>
      <c r="R191" s="224">
        <f ca="1">IFERROR(__xludf.DUMMYFUNCTION("IMPORTRANGE(""https://docs.google.com/spreadsheets/d/1ItG2mGa2ceCfYo0BwxsXqNm01IGEUdYcSSLTEv9YCik/edit?usp=sharing"",""เบิกจ่ายกองทุน!AW22"")"),42000)</f>
        <v>42000</v>
      </c>
      <c r="S191" s="224">
        <f ca="1">IFERROR(__xludf.DUMMYFUNCTION("IMPORTRANGE(""https://docs.google.com/spreadsheets/d/1ItG2mGa2ceCfYo0BwxsXqNm01IGEUdYcSSLTEv9YCik/edit?usp=sharing"",""เบิกจ่ายกองทุน!AX22"")"),0)</f>
        <v>0</v>
      </c>
      <c r="T191" s="224">
        <f t="shared" ca="1" si="61"/>
        <v>0</v>
      </c>
      <c r="U191" s="224">
        <f t="shared" ca="1" si="62"/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468">
        <f ca="1">L193+L194</f>
        <v>0</v>
      </c>
      <c r="M192" s="224">
        <f ca="1">M193+M194</f>
        <v>0</v>
      </c>
      <c r="N192" s="224">
        <f ca="1">N193+N194</f>
        <v>0</v>
      </c>
      <c r="O192" s="224">
        <f t="shared" ca="1" si="59"/>
        <v>0</v>
      </c>
      <c r="P192" s="224">
        <f t="shared" ca="1" si="60"/>
        <v>0</v>
      </c>
      <c r="Q192" s="224">
        <f>Q193+Q194</f>
        <v>0</v>
      </c>
      <c r="R192" s="224">
        <f>R193+R194</f>
        <v>0</v>
      </c>
      <c r="S192" s="224">
        <f>S193+S194</f>
        <v>0</v>
      </c>
      <c r="T192" s="224">
        <f t="shared" si="61"/>
        <v>0</v>
      </c>
      <c r="U192" s="224">
        <f t="shared" si="62"/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469">
        <v>0</v>
      </c>
      <c r="M193" s="83">
        <v>0</v>
      </c>
      <c r="N193" s="83">
        <v>0</v>
      </c>
      <c r="O193" s="83">
        <f t="shared" si="59"/>
        <v>0</v>
      </c>
      <c r="P193" s="83">
        <f t="shared" si="60"/>
        <v>0</v>
      </c>
      <c r="Q193" s="83">
        <v>0</v>
      </c>
      <c r="R193" s="83">
        <v>0</v>
      </c>
      <c r="S193" s="83">
        <v>0</v>
      </c>
      <c r="T193" s="83">
        <f t="shared" si="61"/>
        <v>0</v>
      </c>
      <c r="U193" s="83">
        <f t="shared" si="62"/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468">
        <f ca="1">IFERROR(__xludf.DUMMYFUNCTION("IMPORTRANGE(""https://docs.google.com/spreadsheets/d/1-uDff_7J0KD5mKrp0Vvzr7lt3OU09vwQwhkpOPPYv2Y/edit?usp=sharing"",""งบพรบ!CX22"")"),0)</f>
        <v>0</v>
      </c>
      <c r="M194" s="224">
        <f ca="1">IFERROR(__xludf.DUMMYFUNCTION("IMPORTRANGE(""https://docs.google.com/spreadsheets/d/1-uDff_7J0KD5mKrp0Vvzr7lt3OU09vwQwhkpOPPYv2Y/edit?usp=sharing"",""งบพรบ!DA22"")"),0)</f>
        <v>0</v>
      </c>
      <c r="N194" s="224">
        <f ca="1">IFERROR(__xludf.DUMMYFUNCTION("IMPORTRANGE(""https://docs.google.com/spreadsheets/d/1-uDff_7J0KD5mKrp0Vvzr7lt3OU09vwQwhkpOPPYv2Y/edit?usp=sharing"",""งบพรบ!DC22"")"),0)</f>
        <v>0</v>
      </c>
      <c r="O194" s="224">
        <f t="shared" ca="1" si="59"/>
        <v>0</v>
      </c>
      <c r="P194" s="224">
        <f t="shared" ca="1" si="60"/>
        <v>0</v>
      </c>
      <c r="Q194" s="224">
        <v>0</v>
      </c>
      <c r="R194" s="224">
        <v>0</v>
      </c>
      <c r="S194" s="224">
        <v>0</v>
      </c>
      <c r="T194" s="224">
        <f t="shared" si="61"/>
        <v>0</v>
      </c>
      <c r="U194" s="224">
        <f t="shared" si="62"/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ca="1">I198</f>
        <v>4</v>
      </c>
      <c r="J195" s="303">
        <f>J198</f>
        <v>0</v>
      </c>
      <c r="K195" s="304">
        <f ca="1">IF(I195&gt;0,J195*100/I195,0)</f>
        <v>0</v>
      </c>
      <c r="L195" s="557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654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471">
        <f ca="1">IFERROR(__xludf.DUMMYFUNCTION("IMPORTRANGE(""https://docs.google.com/spreadsheets/d/1eHaY18a8A9IcSdp1K8H6x8fbOy06t2VsZHhMHf-1x7Y/edit?usp=sharing"",""แผน!AB22"")"),6000)</f>
        <v>6000</v>
      </c>
      <c r="M196" s="45"/>
      <c r="N196" s="658">
        <v>0</v>
      </c>
      <c r="O196" s="470">
        <f ca="1">IF(L196&gt;0,N196*100/L196,0)</f>
        <v>0</v>
      </c>
      <c r="P196" s="47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498" t="s">
        <v>38</v>
      </c>
      <c r="E197" s="141"/>
      <c r="F197" s="141"/>
      <c r="G197" s="142"/>
      <c r="H197" s="143"/>
      <c r="I197" s="44"/>
      <c r="J197" s="44"/>
      <c r="K197" s="45"/>
      <c r="L197" s="465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IFERROR(__xludf.DUMMYFUNCTION("IMPORTRANGE(""https://docs.google.com/spreadsheets/d/1eHaY18a8A9IcSdp1K8H6x8fbOy06t2VsZHhMHf-1x7Y/edit?usp=sharing"",""แผน!AE22"")"),4)</f>
        <v>4</v>
      </c>
      <c r="J198" s="466">
        <v>0</v>
      </c>
      <c r="K198" s="224">
        <f ca="1">IF(I198&gt;0,J198*100/I198,0)</f>
        <v>0</v>
      </c>
      <c r="L198" s="465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0</v>
      </c>
      <c r="K199" s="45"/>
      <c r="L199" s="465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466">
        <v>0</v>
      </c>
      <c r="K200" s="45"/>
      <c r="L200" s="465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466">
        <v>0</v>
      </c>
      <c r="K201" s="45"/>
      <c r="L201" s="465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ca="1">I209</f>
        <v>3</v>
      </c>
      <c r="J202" s="303">
        <f>J209</f>
        <v>0</v>
      </c>
      <c r="K202" s="304">
        <f ca="1">IF(I202&gt;0,J202*100/I202,0)</f>
        <v>0</v>
      </c>
      <c r="L202" s="557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654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471">
        <f ca="1">L204+L205+L206+L207</f>
        <v>10000</v>
      </c>
      <c r="M203" s="45"/>
      <c r="N203" s="470">
        <f>N204+N205+N206+N207</f>
        <v>0</v>
      </c>
      <c r="O203" s="470">
        <f ca="1">IF(L203&gt;0,N203*100/L203,0)</f>
        <v>0</v>
      </c>
      <c r="P203" s="470">
        <f>IF(M203&gt;0,N203*100/M203,0)</f>
        <v>0</v>
      </c>
      <c r="Q203" s="657">
        <f ca="1">Q204+Q205+Q206+Q207</f>
        <v>42000</v>
      </c>
      <c r="R203" s="656"/>
      <c r="S203" s="655">
        <f>S204+S205+S206+S207</f>
        <v>0</v>
      </c>
      <c r="T203" s="655">
        <f ca="1">IF(Q203&gt;0,S203*100/Q203,0)</f>
        <v>0</v>
      </c>
      <c r="U203" s="655">
        <f>IF(R203&gt;0,S203*100/R203,0)</f>
        <v>0</v>
      </c>
    </row>
    <row r="204" spans="1:21" ht="18.75" x14ac:dyDescent="0.25">
      <c r="A204" s="128"/>
      <c r="B204" s="158"/>
      <c r="C204" s="40"/>
      <c r="D204" s="653" t="s">
        <v>311</v>
      </c>
      <c r="E204" s="40"/>
      <c r="F204" s="40"/>
      <c r="G204" s="42"/>
      <c r="H204" s="134" t="s">
        <v>14</v>
      </c>
      <c r="I204" s="135"/>
      <c r="J204" s="135"/>
      <c r="K204" s="136"/>
      <c r="L204" s="468">
        <f ca="1">IFERROR(__xludf.DUMMYFUNCTION("IMPORTRANGE(""https://docs.google.com/spreadsheets/d/1eHaY18a8A9IcSdp1K8H6x8fbOy06t2VsZHhMHf-1x7Y/edit?usp=sharing"",""แผน!AG22"")"),2000)</f>
        <v>2000</v>
      </c>
      <c r="M204" s="45"/>
      <c r="N204" s="644">
        <v>0</v>
      </c>
      <c r="O204" s="136"/>
      <c r="P204" s="45"/>
      <c r="Q204" s="468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307</v>
      </c>
      <c r="E205" s="40"/>
      <c r="F205" s="40"/>
      <c r="G205" s="42"/>
      <c r="H205" s="43" t="s">
        <v>14</v>
      </c>
      <c r="I205" s="44"/>
      <c r="J205" s="44"/>
      <c r="K205" s="45"/>
      <c r="L205" s="468">
        <f ca="1">IFERROR(__xludf.DUMMYFUNCTION("IMPORTRANGE(""https://docs.google.com/spreadsheets/d/1eHaY18a8A9IcSdp1K8H6x8fbOy06t2VsZHhMHf-1x7Y/edit?usp=sharing"",""แผน!AH22"")"),0)</f>
        <v>0</v>
      </c>
      <c r="M205" s="45"/>
      <c r="N205" s="644">
        <v>0</v>
      </c>
      <c r="O205" s="136"/>
      <c r="P205" s="45"/>
      <c r="Q205" s="468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468">
        <f ca="1">IFERROR(__xludf.DUMMYFUNCTION("IMPORTRANGE(""https://docs.google.com/spreadsheets/d/1eHaY18a8A9IcSdp1K8H6x8fbOy06t2VsZHhMHf-1x7Y/edit?usp=sharing"",""แผน!AI22"")"),0)</f>
        <v>0</v>
      </c>
      <c r="M206" s="45"/>
      <c r="N206" s="644">
        <v>0</v>
      </c>
      <c r="O206" s="136"/>
      <c r="P206" s="45"/>
      <c r="Q206" s="468">
        <f ca="1">IFERROR(__xludf.DUMMYFUNCTION("IMPORTRANGE(""https://docs.google.com/spreadsheets/d/1eHaY18a8A9IcSdp1K8H6x8fbOy06t2VsZHhMHf-1x7Y/edit?usp=sharing"",""แผน!LV22"")"),42000)</f>
        <v>42000</v>
      </c>
      <c r="R206" s="45"/>
      <c r="S206" s="644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468">
        <f ca="1">IFERROR(__xludf.DUMMYFUNCTION("IMPORTRANGE(""https://docs.google.com/spreadsheets/d/1eHaY18a8A9IcSdp1K8H6x8fbOy06t2VsZHhMHf-1x7Y/edit?usp=sharing"",""แผน!AJ22"")"),8000)</f>
        <v>8000</v>
      </c>
      <c r="M207" s="45"/>
      <c r="N207" s="644">
        <v>0</v>
      </c>
      <c r="O207" s="136"/>
      <c r="P207" s="45"/>
      <c r="Q207" s="468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498" t="s">
        <v>38</v>
      </c>
      <c r="E208" s="141"/>
      <c r="F208" s="141"/>
      <c r="G208" s="142"/>
      <c r="H208" s="143"/>
      <c r="I208" s="135"/>
      <c r="J208" s="135"/>
      <c r="K208" s="136"/>
      <c r="L208" s="492"/>
      <c r="M208" s="136"/>
      <c r="N208" s="136"/>
      <c r="O208" s="136"/>
      <c r="P208" s="136"/>
      <c r="Q208" s="4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IFERROR(__xludf.DUMMYFUNCTION("IMPORTRANGE(""https://docs.google.com/spreadsheets/d/1eHaY18a8A9IcSdp1K8H6x8fbOy06t2VsZHhMHf-1x7Y/edit?usp=sharing"",""แผน!AK22"")"),3)</f>
        <v>3</v>
      </c>
      <c r="J209" s="466">
        <v>0</v>
      </c>
      <c r="K209" s="497">
        <f ca="1">IF(I209&gt;0,J209*100/I209,0)</f>
        <v>0</v>
      </c>
      <c r="L209" s="465"/>
      <c r="M209" s="45"/>
      <c r="N209" s="45"/>
      <c r="O209" s="45"/>
      <c r="P209" s="45"/>
      <c r="Q209" s="465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465"/>
      <c r="M210" s="45"/>
      <c r="N210" s="45"/>
      <c r="O210" s="45"/>
      <c r="P210" s="45"/>
      <c r="Q210" s="46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IFERROR(__xludf.DUMMYFUNCTION("IMPORTRANGE(""https://docs.google.com/spreadsheets/d/1eHaY18a8A9IcSdp1K8H6x8fbOy06t2VsZHhMHf-1x7Y/edit?usp=sharing"",""แผน!JX22"")"),2)</f>
        <v>2</v>
      </c>
      <c r="J211" s="466">
        <v>0</v>
      </c>
      <c r="K211" s="497">
        <f ca="1">IF(I211&gt;0,J211*100/I211,0)</f>
        <v>0</v>
      </c>
      <c r="L211" s="465"/>
      <c r="M211" s="45"/>
      <c r="N211" s="45"/>
      <c r="O211" s="45"/>
      <c r="P211" s="45"/>
      <c r="Q211" s="46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IFERROR(__xludf.DUMMYFUNCTION("IMPORTRANGE(""https://docs.google.com/spreadsheets/d/1eHaY18a8A9IcSdp1K8H6x8fbOy06t2VsZHhMHf-1x7Y/edit?usp=sharing"",""แผน!JY22"")"),0)</f>
        <v>0</v>
      </c>
      <c r="J212" s="466">
        <v>0</v>
      </c>
      <c r="K212" s="497">
        <f ca="1">IF(I212&gt;0,J212*100/I212,0)</f>
        <v>0</v>
      </c>
      <c r="L212" s="465"/>
      <c r="M212" s="45"/>
      <c r="N212" s="45"/>
      <c r="O212" s="45"/>
      <c r="P212" s="45"/>
      <c r="Q212" s="465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ca="1">I220</f>
        <v>0</v>
      </c>
      <c r="J213" s="303">
        <f>J220</f>
        <v>0</v>
      </c>
      <c r="K213" s="304">
        <f ca="1">IF(I213&gt;0,J213*100/I213,0)</f>
        <v>0</v>
      </c>
      <c r="L213" s="557"/>
      <c r="M213" s="219"/>
      <c r="N213" s="219"/>
      <c r="O213" s="219"/>
      <c r="P213" s="219"/>
      <c r="Q213" s="557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654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471">
        <f ca="1">L215+L216+L217</f>
        <v>0</v>
      </c>
      <c r="M214" s="45"/>
      <c r="N214" s="470">
        <f>N215+N216+N217</f>
        <v>0</v>
      </c>
      <c r="O214" s="470">
        <f ca="1">IF(L214&gt;0,N214*100/L214,0)</f>
        <v>0</v>
      </c>
      <c r="P214" s="470">
        <f>IF(M214&gt;0,N214*100/M214,0)</f>
        <v>0</v>
      </c>
      <c r="Q214" s="471">
        <f ca="1">Q215+Q216+Q217</f>
        <v>0</v>
      </c>
      <c r="R214" s="45"/>
      <c r="S214" s="470">
        <f>S215+S216+S217</f>
        <v>0</v>
      </c>
      <c r="T214" s="470">
        <f ca="1">IF(Q214&gt;0,S214*100/Q214,0)</f>
        <v>0</v>
      </c>
      <c r="U214" s="470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468">
        <f ca="1">IFERROR(__xludf.DUMMYFUNCTION("IMPORTRANGE(""https://docs.google.com/spreadsheets/d/1eHaY18a8A9IcSdp1K8H6x8fbOy06t2VsZHhMHf-1x7Y/edit?usp=sharing"",""แผน!AM22"")"),0)</f>
        <v>0</v>
      </c>
      <c r="M215" s="45"/>
      <c r="N215" s="644">
        <v>0</v>
      </c>
      <c r="O215" s="136"/>
      <c r="P215" s="45"/>
      <c r="Q215" s="468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468">
        <f ca="1">IFERROR(__xludf.DUMMYFUNCTION("IMPORTRANGE(""https://docs.google.com/spreadsheets/d/1eHaY18a8A9IcSdp1K8H6x8fbOy06t2VsZHhMHf-1x7Y/edit?usp=sharing"",""แผน!AN22"")"),0)</f>
        <v>0</v>
      </c>
      <c r="M216" s="45"/>
      <c r="N216" s="644">
        <v>0</v>
      </c>
      <c r="O216" s="136"/>
      <c r="P216" s="45"/>
      <c r="Q216" s="468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468">
        <f ca="1">IFERROR(__xludf.DUMMYFUNCTION("IMPORTRANGE(""https://docs.google.com/spreadsheets/d/1eHaY18a8A9IcSdp1K8H6x8fbOy06t2VsZHhMHf-1x7Y/edit?usp=sharing"",""แผน!AO22"")"),0)</f>
        <v>0</v>
      </c>
      <c r="M217" s="45"/>
      <c r="N217" s="644">
        <v>0</v>
      </c>
      <c r="O217" s="136"/>
      <c r="P217" s="45"/>
      <c r="Q217" s="468">
        <f ca="1">IFERROR(__xludf.DUMMYFUNCTION("IMPORTRANGE(""https://docs.google.com/spreadsheets/d/1eHaY18a8A9IcSdp1K8H6x8fbOy06t2VsZHhMHf-1x7Y/edit?usp=sharing"",""แผน!LY22"")"),0)</f>
        <v>0</v>
      </c>
      <c r="R217" s="45"/>
      <c r="S217" s="644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498" t="s">
        <v>38</v>
      </c>
      <c r="E218" s="141"/>
      <c r="F218" s="141"/>
      <c r="G218" s="142"/>
      <c r="H218" s="143"/>
      <c r="I218" s="135"/>
      <c r="J218" s="44"/>
      <c r="K218" s="45"/>
      <c r="L218" s="465"/>
      <c r="M218" s="45"/>
      <c r="N218" s="45"/>
      <c r="O218" s="136"/>
      <c r="P218" s="136"/>
      <c r="Q218" s="465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IFERROR(__xludf.DUMMYFUNCTION("IMPORTRANGE(""https://docs.google.com/spreadsheets/d/1eHaY18a8A9IcSdp1K8H6x8fbOy06t2VsZHhMHf-1x7Y/edit?usp=sharing"",""แผน!AP22"")"),0)</f>
        <v>0</v>
      </c>
      <c r="J219" s="466">
        <v>0</v>
      </c>
      <c r="K219" s="224">
        <f ca="1">IF(I219&gt;0,J219*100/I219,0)</f>
        <v>0</v>
      </c>
      <c r="L219" s="465"/>
      <c r="M219" s="45"/>
      <c r="N219" s="45"/>
      <c r="O219" s="45"/>
      <c r="P219" s="45"/>
      <c r="Q219" s="465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IFERROR(__xludf.DUMMYFUNCTION("IMPORTRANGE(""https://docs.google.com/spreadsheets/d/1eHaY18a8A9IcSdp1K8H6x8fbOy06t2VsZHhMHf-1x7Y/edit?usp=sharing"",""แผน!AP22"")"),0)</f>
        <v>0</v>
      </c>
      <c r="J220" s="466">
        <v>0</v>
      </c>
      <c r="K220" s="224">
        <f ca="1">IF(I220&gt;0,J220*100/I220,0)</f>
        <v>0</v>
      </c>
      <c r="L220" s="465"/>
      <c r="M220" s="45"/>
      <c r="N220" s="45"/>
      <c r="O220" s="45"/>
      <c r="P220" s="45"/>
      <c r="Q220" s="465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ca="1">I229</f>
        <v>50000</v>
      </c>
      <c r="J221" s="303">
        <f>J229</f>
        <v>0</v>
      </c>
      <c r="K221" s="304">
        <f ca="1">IF(I221&gt;0,J221*100/I221,0)</f>
        <v>0</v>
      </c>
      <c r="L221" s="557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654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471">
        <f ca="1">L223+L224+L225</f>
        <v>8500</v>
      </c>
      <c r="M222" s="45"/>
      <c r="N222" s="470">
        <f>N223+N224+N225</f>
        <v>0</v>
      </c>
      <c r="O222" s="470">
        <f ca="1">IF(L222&gt;0,N222*100/L222,0)</f>
        <v>0</v>
      </c>
      <c r="P222" s="47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653" t="s">
        <v>308</v>
      </c>
      <c r="E223" s="40"/>
      <c r="F223" s="40"/>
      <c r="G223" s="42"/>
      <c r="H223" s="134" t="s">
        <v>14</v>
      </c>
      <c r="I223" s="135"/>
      <c r="J223" s="135"/>
      <c r="K223" s="136"/>
      <c r="L223" s="468">
        <f ca="1">IFERROR(__xludf.DUMMYFUNCTION("IMPORTRANGE(""https://docs.google.com/spreadsheets/d/1eHaY18a8A9IcSdp1K8H6x8fbOy06t2VsZHhMHf-1x7Y/edit?usp=sharing"",""แผน!AR22"")"),2500)</f>
        <v>2500</v>
      </c>
      <c r="M223" s="45"/>
      <c r="N223" s="644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307</v>
      </c>
      <c r="E224" s="40"/>
      <c r="F224" s="40"/>
      <c r="G224" s="42"/>
      <c r="H224" s="134" t="s">
        <v>14</v>
      </c>
      <c r="I224" s="44"/>
      <c r="J224" s="44"/>
      <c r="K224" s="45"/>
      <c r="L224" s="468">
        <f ca="1">IFERROR(__xludf.DUMMYFUNCTION("IMPORTRANGE(""https://docs.google.com/spreadsheets/d/1eHaY18a8A9IcSdp1K8H6x8fbOy06t2VsZHhMHf-1x7Y/edit?usp=sharing"",""แผน!AS22"")"),6000)</f>
        <v>6000</v>
      </c>
      <c r="M224" s="45"/>
      <c r="N224" s="644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468">
        <f ca="1">IFERROR(__xludf.DUMMYFUNCTION("IMPORTRANGE(""https://docs.google.com/spreadsheets/d/1eHaY18a8A9IcSdp1K8H6x8fbOy06t2VsZHhMHf-1x7Y/edit?usp=sharing"",""แผน!AT22"")"),0)</f>
        <v>0</v>
      </c>
      <c r="M225" s="45"/>
      <c r="N225" s="644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498" t="s">
        <v>38</v>
      </c>
      <c r="E226" s="141"/>
      <c r="F226" s="141"/>
      <c r="G226" s="142"/>
      <c r="H226" s="143"/>
      <c r="I226" s="135"/>
      <c r="J226" s="135"/>
      <c r="K226" s="136"/>
      <c r="L226" s="4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4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IFERROR(__xludf.DUMMYFUNCTION("IMPORTRANGE(""https://docs.google.com/spreadsheets/d/1eHaY18a8A9IcSdp1K8H6x8fbOy06t2VsZHhMHf-1x7Y/edit?usp=sharing"",""แผน!AV22"")"),50000)</f>
        <v>50000</v>
      </c>
      <c r="J228" s="466">
        <v>0</v>
      </c>
      <c r="K228" s="497">
        <f ca="1">IF(I228&gt;0,J228*100/I228,0)</f>
        <v>0</v>
      </c>
      <c r="L228" s="4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IFERROR(__xludf.DUMMYFUNCTION("IMPORTRANGE(""https://docs.google.com/spreadsheets/d/1eHaY18a8A9IcSdp1K8H6x8fbOy06t2VsZHhMHf-1x7Y/edit?usp=sharing"",""แผน!AV22"")"),50000)</f>
        <v>50000</v>
      </c>
      <c r="J229" s="466">
        <v>0</v>
      </c>
      <c r="K229" s="497">
        <f ca="1">IF(I229&gt;0,J229*100/I229,0)</f>
        <v>0</v>
      </c>
      <c r="L229" s="465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IFERROR(__xludf.DUMMYFUNCTION("IMPORTRANGE(""https://docs.google.com/spreadsheets/d/1eHaY18a8A9IcSdp1K8H6x8fbOy06t2VsZHhMHf-1x7Y/edit?usp=sharing"",""แผน!AU22"")"),0)</f>
        <v>0</v>
      </c>
      <c r="J230" s="466">
        <v>0</v>
      </c>
      <c r="K230" s="497">
        <f ca="1">IF(I230&gt;0,J230*100/I230,0)</f>
        <v>0</v>
      </c>
      <c r="L230" s="465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3">
        <f ca="1">I242+I253</f>
        <v>0</v>
      </c>
      <c r="J231" s="303">
        <f>J242+J253</f>
        <v>0</v>
      </c>
      <c r="K231" s="304">
        <f ca="1">IF(I231&gt;0,J231*100/I231,0)</f>
        <v>0</v>
      </c>
      <c r="L231" s="557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472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652">
        <f ca="1">L243+L254</f>
        <v>0</v>
      </c>
      <c r="M232" s="45"/>
      <c r="N232" s="651">
        <f>N243+N254</f>
        <v>0</v>
      </c>
      <c r="O232" s="45"/>
      <c r="P232" s="45"/>
      <c r="Q232" s="45"/>
      <c r="R232" s="45"/>
      <c r="S232" s="45"/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469">
        <f ca="1">L244+L255</f>
        <v>0</v>
      </c>
      <c r="M233" s="45"/>
      <c r="N233" s="83">
        <f>N244+N255</f>
        <v>0</v>
      </c>
      <c r="O233" s="45"/>
      <c r="P233" s="45"/>
      <c r="Q233" s="713">
        <v>0</v>
      </c>
      <c r="R233" s="712">
        <v>0</v>
      </c>
      <c r="S233" s="712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469">
        <f ca="1">L245+L256</f>
        <v>0</v>
      </c>
      <c r="M234" s="45"/>
      <c r="N234" s="83">
        <f>N245+N256</f>
        <v>0</v>
      </c>
      <c r="O234" s="45"/>
      <c r="P234" s="45"/>
      <c r="Q234" s="711">
        <v>0</v>
      </c>
      <c r="R234" s="710">
        <v>0</v>
      </c>
      <c r="S234" s="710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469">
        <f ca="1">L246+L257</f>
        <v>0</v>
      </c>
      <c r="M235" s="45"/>
      <c r="N235" s="83">
        <f>N246+N257</f>
        <v>0</v>
      </c>
      <c r="O235" s="45"/>
      <c r="P235" s="45"/>
      <c r="Q235" s="711">
        <v>0</v>
      </c>
      <c r="R235" s="710">
        <v>0</v>
      </c>
      <c r="S235" s="710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469">
        <f ca="1">L247+L258</f>
        <v>0</v>
      </c>
      <c r="M236" s="45"/>
      <c r="N236" s="83">
        <f>N247+N258</f>
        <v>0</v>
      </c>
      <c r="O236" s="45"/>
      <c r="P236" s="45"/>
      <c r="Q236" s="711">
        <v>0</v>
      </c>
      <c r="R236" s="710">
        <v>0</v>
      </c>
      <c r="S236" s="710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498" t="s">
        <v>38</v>
      </c>
      <c r="E237" s="141"/>
      <c r="F237" s="141"/>
      <c r="G237" s="142"/>
      <c r="H237" s="143"/>
      <c r="I237" s="135"/>
      <c r="J237" s="44"/>
      <c r="K237" s="45"/>
      <c r="L237" s="465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465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465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465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465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649" t="s">
        <v>111</v>
      </c>
      <c r="D242" s="214"/>
      <c r="E242" s="214"/>
      <c r="F242" s="214"/>
      <c r="G242" s="215"/>
      <c r="H242" s="648" t="s">
        <v>35</v>
      </c>
      <c r="I242" s="647">
        <f ca="1">I249</f>
        <v>0</v>
      </c>
      <c r="J242" s="647">
        <f>J249</f>
        <v>0</v>
      </c>
      <c r="K242" s="646">
        <f ca="1">IF(I242&gt;0,J242*100/I242,0)</f>
        <v>0</v>
      </c>
      <c r="L242" s="557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527" t="s">
        <v>18</v>
      </c>
      <c r="D243" s="494" t="s">
        <v>19</v>
      </c>
      <c r="E243" s="40"/>
      <c r="F243" s="40"/>
      <c r="G243" s="42"/>
      <c r="H243" s="372" t="s">
        <v>14</v>
      </c>
      <c r="I243" s="135"/>
      <c r="J243" s="135"/>
      <c r="K243" s="136"/>
      <c r="L243" s="471">
        <f ca="1">L244+L245+L246+L247</f>
        <v>0</v>
      </c>
      <c r="M243" s="45"/>
      <c r="N243" s="470">
        <f>N244+N245+N246+N247</f>
        <v>0</v>
      </c>
      <c r="O243" s="470">
        <f ca="1">IF(L243&gt;0,N243*100/L243,0)</f>
        <v>0</v>
      </c>
      <c r="P243" s="470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468">
        <f ca="1">IFERROR(__xludf.DUMMYFUNCTION("IMPORTRANGE(""https://docs.google.com/spreadsheets/d/1eHaY18a8A9IcSdp1K8H6x8fbOy06t2VsZHhMHf-1x7Y/edit?usp=sharing"",""แผน!AX22"")"),0)</f>
        <v>0</v>
      </c>
      <c r="M244" s="45"/>
      <c r="N244" s="644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468">
        <f ca="1">IFERROR(__xludf.DUMMYFUNCTION("IMPORTRANGE(""https://docs.google.com/spreadsheets/d/1eHaY18a8A9IcSdp1K8H6x8fbOy06t2VsZHhMHf-1x7Y/edit?usp=sharing"",""แผน!AY22"")"),0)</f>
        <v>0</v>
      </c>
      <c r="M245" s="45"/>
      <c r="N245" s="644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468">
        <f ca="1">IFERROR(__xludf.DUMMYFUNCTION("IMPORTRANGE(""https://docs.google.com/spreadsheets/d/1eHaY18a8A9IcSdp1K8H6x8fbOy06t2VsZHhMHf-1x7Y/edit?usp=sharing"",""แผน!AZ22"")"),0)</f>
        <v>0</v>
      </c>
      <c r="M246" s="45"/>
      <c r="N246" s="644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468">
        <f ca="1">IFERROR(__xludf.DUMMYFUNCTION("IMPORTRANGE(""https://docs.google.com/spreadsheets/d/1eHaY18a8A9IcSdp1K8H6x8fbOy06t2VsZHhMHf-1x7Y/edit?usp=sharing"",""แผน!BA22"")"),0)</f>
        <v>0</v>
      </c>
      <c r="M247" s="45"/>
      <c r="N247" s="644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643" t="s">
        <v>18</v>
      </c>
      <c r="D248" s="509" t="s">
        <v>38</v>
      </c>
      <c r="E248" s="141"/>
      <c r="F248" s="141"/>
      <c r="G248" s="142"/>
      <c r="H248" s="143"/>
      <c r="I248" s="135"/>
      <c r="J248" s="44"/>
      <c r="K248" s="45"/>
      <c r="L248" s="465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640" t="s">
        <v>35</v>
      </c>
      <c r="I249" s="430">
        <f ca="1">IFERROR(__xludf.DUMMYFUNCTION("IMPORTRANGE(""https://docs.google.com/spreadsheets/d/1eHaY18a8A9IcSdp1K8H6x8fbOy06t2VsZHhMHf-1x7Y/edit?usp=sharing"",""แผน!BG22"")"),0)</f>
        <v>0</v>
      </c>
      <c r="J249" s="525">
        <v>0</v>
      </c>
      <c r="K249" s="83">
        <f ca="1">IF(I249&gt;0,J249*100/I249,0)</f>
        <v>0</v>
      </c>
      <c r="L249" s="465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642" t="s">
        <v>43</v>
      </c>
      <c r="E250" s="145"/>
      <c r="F250" s="145"/>
      <c r="G250" s="143"/>
      <c r="H250" s="143"/>
      <c r="I250" s="44"/>
      <c r="J250" s="44"/>
      <c r="K250" s="45"/>
      <c r="L250" s="465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1" t="s">
        <v>109</v>
      </c>
      <c r="F251" s="145"/>
      <c r="G251" s="143"/>
      <c r="H251" s="640" t="s">
        <v>35</v>
      </c>
      <c r="I251" s="430">
        <v>0</v>
      </c>
      <c r="J251" s="525">
        <v>0</v>
      </c>
      <c r="K251" s="83">
        <f>IF(I251&gt;0,J251*100/I251,0)</f>
        <v>0</v>
      </c>
      <c r="L251" s="465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641" t="s">
        <v>110</v>
      </c>
      <c r="F252" s="145"/>
      <c r="G252" s="143"/>
      <c r="H252" s="640" t="s">
        <v>61</v>
      </c>
      <c r="I252" s="430">
        <v>0</v>
      </c>
      <c r="J252" s="525">
        <v>0</v>
      </c>
      <c r="K252" s="83">
        <f>IF(I252&gt;0,J252*100/I252,0)</f>
        <v>0</v>
      </c>
      <c r="L252" s="465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649" t="s">
        <v>112</v>
      </c>
      <c r="D253" s="214"/>
      <c r="E253" s="214"/>
      <c r="F253" s="214"/>
      <c r="G253" s="215"/>
      <c r="H253" s="648" t="s">
        <v>35</v>
      </c>
      <c r="I253" s="647">
        <f ca="1">I260</f>
        <v>0</v>
      </c>
      <c r="J253" s="647">
        <f>J260</f>
        <v>0</v>
      </c>
      <c r="K253" s="646">
        <f ca="1">IF(I253&gt;0,J253*100/I253,0)</f>
        <v>0</v>
      </c>
      <c r="L253" s="557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527" t="s">
        <v>18</v>
      </c>
      <c r="D254" s="645" t="s">
        <v>19</v>
      </c>
      <c r="E254" s="40"/>
      <c r="F254" s="40"/>
      <c r="G254" s="42"/>
      <c r="H254" s="372" t="s">
        <v>14</v>
      </c>
      <c r="I254" s="135"/>
      <c r="J254" s="135"/>
      <c r="K254" s="136"/>
      <c r="L254" s="471">
        <f ca="1">L255+L256+L257+L258</f>
        <v>0</v>
      </c>
      <c r="M254" s="45"/>
      <c r="N254" s="470">
        <f>N255+N256+N257+N258</f>
        <v>0</v>
      </c>
      <c r="O254" s="470">
        <f ca="1">IF(L254&gt;0,N254*100/L254,0)</f>
        <v>0</v>
      </c>
      <c r="P254" s="470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468">
        <f ca="1">IFERROR(__xludf.DUMMYFUNCTION("IMPORTRANGE(""https://docs.google.com/spreadsheets/d/1eHaY18a8A9IcSdp1K8H6x8fbOy06t2VsZHhMHf-1x7Y/edit?usp=sharing"",""แผน!BB22"")"),0)</f>
        <v>0</v>
      </c>
      <c r="M255" s="45"/>
      <c r="N255" s="644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468">
        <f ca="1">IFERROR(__xludf.DUMMYFUNCTION("IMPORTRANGE(""https://docs.google.com/spreadsheets/d/1eHaY18a8A9IcSdp1K8H6x8fbOy06t2VsZHhMHf-1x7Y/edit?usp=sharing"",""แผน!BC22"")"),0)</f>
        <v>0</v>
      </c>
      <c r="M256" s="45"/>
      <c r="N256" s="644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468">
        <f ca="1">IFERROR(__xludf.DUMMYFUNCTION("IMPORTRANGE(""https://docs.google.com/spreadsheets/d/1eHaY18a8A9IcSdp1K8H6x8fbOy06t2VsZHhMHf-1x7Y/edit?usp=sharing"",""แผน!BD22"")"),0)</f>
        <v>0</v>
      </c>
      <c r="M257" s="45"/>
      <c r="N257" s="644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468">
        <f ca="1">IFERROR(__xludf.DUMMYFUNCTION("IMPORTRANGE(""https://docs.google.com/spreadsheets/d/1eHaY18a8A9IcSdp1K8H6x8fbOy06t2VsZHhMHf-1x7Y/edit?usp=sharing"",""แผน!BE22"")"),0)</f>
        <v>0</v>
      </c>
      <c r="M258" s="45"/>
      <c r="N258" s="644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643" t="s">
        <v>18</v>
      </c>
      <c r="D259" s="509" t="s">
        <v>38</v>
      </c>
      <c r="E259" s="141"/>
      <c r="F259" s="141"/>
      <c r="G259" s="142"/>
      <c r="H259" s="143"/>
      <c r="I259" s="135"/>
      <c r="J259" s="44"/>
      <c r="K259" s="45"/>
      <c r="L259" s="465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640" t="s">
        <v>35</v>
      </c>
      <c r="I260" s="430">
        <f ca="1">IFERROR(__xludf.DUMMYFUNCTION("IMPORTRANGE(""https://docs.google.com/spreadsheets/d/1eHaY18a8A9IcSdp1K8H6x8fbOy06t2VsZHhMHf-1x7Y/edit?usp=sharing"",""แผน!BH22"")"),0)</f>
        <v>0</v>
      </c>
      <c r="J260" s="525">
        <v>0</v>
      </c>
      <c r="K260" s="83">
        <f ca="1">IF(I260&gt;0,J260*100/I260,0)</f>
        <v>0</v>
      </c>
      <c r="L260" s="465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642" t="s">
        <v>43</v>
      </c>
      <c r="E261" s="145"/>
      <c r="F261" s="145"/>
      <c r="G261" s="143"/>
      <c r="H261" s="143"/>
      <c r="I261" s="44"/>
      <c r="J261" s="44"/>
      <c r="K261" s="45"/>
      <c r="L261" s="465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1" t="s">
        <v>109</v>
      </c>
      <c r="F262" s="145"/>
      <c r="G262" s="143"/>
      <c r="H262" s="640" t="s">
        <v>35</v>
      </c>
      <c r="I262" s="44"/>
      <c r="J262" s="525">
        <v>0</v>
      </c>
      <c r="K262" s="83">
        <f>IF(I262&gt;0,J262*100/I262,0)</f>
        <v>0</v>
      </c>
      <c r="L262" s="465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641" t="s">
        <v>110</v>
      </c>
      <c r="F263" s="145"/>
      <c r="G263" s="143"/>
      <c r="H263" s="640" t="s">
        <v>61</v>
      </c>
      <c r="I263" s="44"/>
      <c r="J263" s="525">
        <v>0</v>
      </c>
      <c r="K263" s="83">
        <f>IF(I263&gt;0,J263*100/I263,0)</f>
        <v>0</v>
      </c>
      <c r="L263" s="465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639" t="s">
        <v>113</v>
      </c>
      <c r="B264" s="638"/>
      <c r="C264" s="638"/>
      <c r="D264" s="637"/>
      <c r="E264" s="637"/>
      <c r="F264" s="637"/>
      <c r="G264" s="636"/>
      <c r="H264" s="636"/>
      <c r="I264" s="635"/>
      <c r="J264" s="635"/>
      <c r="K264" s="633"/>
      <c r="L264" s="634"/>
      <c r="M264" s="633"/>
      <c r="N264" s="633"/>
      <c r="O264" s="633"/>
      <c r="P264" s="633"/>
      <c r="Q264" s="633"/>
      <c r="R264" s="633"/>
      <c r="S264" s="633"/>
      <c r="T264" s="633"/>
      <c r="U264" s="633"/>
    </row>
    <row r="265" spans="1:21" ht="19.5" x14ac:dyDescent="0.3">
      <c r="A265" s="632"/>
      <c r="B265" s="631" t="s">
        <v>114</v>
      </c>
      <c r="C265" s="630"/>
      <c r="D265" s="603"/>
      <c r="E265" s="603"/>
      <c r="F265" s="603"/>
      <c r="G265" s="602"/>
      <c r="H265" s="629" t="s">
        <v>35</v>
      </c>
      <c r="I265" s="628">
        <f ca="1">I276</f>
        <v>24</v>
      </c>
      <c r="J265" s="628">
        <f>J276</f>
        <v>0</v>
      </c>
      <c r="K265" s="627">
        <f ca="1">IF(I265&gt;0,J265*100/I265,0)</f>
        <v>0</v>
      </c>
      <c r="L265" s="626"/>
      <c r="M265" s="625"/>
      <c r="N265" s="625"/>
      <c r="O265" s="625"/>
      <c r="P265" s="625"/>
      <c r="Q265" s="625"/>
      <c r="R265" s="625"/>
      <c r="S265" s="625"/>
      <c r="T265" s="625"/>
      <c r="U265" s="625"/>
    </row>
    <row r="266" spans="1:21" ht="19.5" x14ac:dyDescent="0.3">
      <c r="A266" s="610"/>
      <c r="B266" s="609"/>
      <c r="C266" s="624" t="s">
        <v>18</v>
      </c>
      <c r="D266" s="623" t="s">
        <v>19</v>
      </c>
      <c r="E266" s="609"/>
      <c r="F266" s="609"/>
      <c r="G266" s="608"/>
      <c r="H266" s="622" t="s">
        <v>14</v>
      </c>
      <c r="I266" s="479"/>
      <c r="J266" s="479"/>
      <c r="K266" s="476"/>
      <c r="L266" s="621">
        <f ca="1">L267+L268</f>
        <v>0</v>
      </c>
      <c r="M266" s="620">
        <f ca="1">M267+M268</f>
        <v>5000</v>
      </c>
      <c r="N266" s="620">
        <f ca="1">N267+N268</f>
        <v>5000</v>
      </c>
      <c r="O266" s="620">
        <f t="shared" ref="O266:O274" ca="1" si="65">IF(L266&gt;0,N266*100/L266,0)</f>
        <v>0</v>
      </c>
      <c r="P266" s="620">
        <f t="shared" ref="P266:P274" ca="1" si="66">IF(M266&gt;0,N266*100/M266,0)</f>
        <v>100</v>
      </c>
      <c r="Q266" s="620">
        <f ca="1">Q267+Q268</f>
        <v>53440</v>
      </c>
      <c r="R266" s="620">
        <f ca="1">R267+R268</f>
        <v>53440</v>
      </c>
      <c r="S266" s="620">
        <f ca="1">S267+S268</f>
        <v>0</v>
      </c>
      <c r="T266" s="620">
        <f t="shared" ref="T266:T274" ca="1" si="67">IF(Q266&gt;0,S266*100/Q266,0)</f>
        <v>0</v>
      </c>
      <c r="U266" s="620">
        <f t="shared" ref="U266:U274" ca="1" si="68">IF(R266&gt;0,S266*100/R266,0)</f>
        <v>0</v>
      </c>
    </row>
    <row r="267" spans="1:21" ht="18.75" hidden="1" x14ac:dyDescent="0.25">
      <c r="A267" s="615"/>
      <c r="B267" s="614"/>
      <c r="C267" s="614"/>
      <c r="D267" s="614"/>
      <c r="E267" s="156" t="s">
        <v>20</v>
      </c>
      <c r="F267" s="614"/>
      <c r="G267" s="613"/>
      <c r="H267" s="157" t="s">
        <v>14</v>
      </c>
      <c r="I267" s="619"/>
      <c r="J267" s="619"/>
      <c r="K267" s="618"/>
      <c r="L267" s="469">
        <f t="shared" ref="L267:N268" si="69">L270+L273</f>
        <v>0</v>
      </c>
      <c r="M267" s="83">
        <f t="shared" si="69"/>
        <v>0</v>
      </c>
      <c r="N267" s="83">
        <f t="shared" si="69"/>
        <v>0</v>
      </c>
      <c r="O267" s="83">
        <f t="shared" si="65"/>
        <v>0</v>
      </c>
      <c r="P267" s="83">
        <f t="shared" si="66"/>
        <v>0</v>
      </c>
      <c r="Q267" s="83">
        <f t="shared" ref="Q267:S268" si="70">Q270+Q273</f>
        <v>0</v>
      </c>
      <c r="R267" s="83">
        <f t="shared" si="70"/>
        <v>0</v>
      </c>
      <c r="S267" s="83">
        <f t="shared" si="70"/>
        <v>0</v>
      </c>
      <c r="T267" s="83">
        <f t="shared" si="67"/>
        <v>0</v>
      </c>
      <c r="U267" s="83">
        <f t="shared" si="68"/>
        <v>0</v>
      </c>
    </row>
    <row r="268" spans="1:21" ht="18.75" hidden="1" x14ac:dyDescent="0.25">
      <c r="A268" s="610"/>
      <c r="B268" s="609"/>
      <c r="C268" s="609"/>
      <c r="D268" s="609"/>
      <c r="E268" s="605" t="s">
        <v>21</v>
      </c>
      <c r="F268" s="609"/>
      <c r="G268" s="608"/>
      <c r="H268" s="480" t="s">
        <v>14</v>
      </c>
      <c r="I268" s="479"/>
      <c r="J268" s="479"/>
      <c r="K268" s="476"/>
      <c r="L268" s="606">
        <f t="shared" ca="1" si="69"/>
        <v>0</v>
      </c>
      <c r="M268" s="486">
        <f t="shared" ca="1" si="69"/>
        <v>5000</v>
      </c>
      <c r="N268" s="486">
        <f t="shared" ca="1" si="69"/>
        <v>5000</v>
      </c>
      <c r="O268" s="486">
        <f t="shared" ca="1" si="65"/>
        <v>0</v>
      </c>
      <c r="P268" s="486">
        <f t="shared" ca="1" si="66"/>
        <v>100</v>
      </c>
      <c r="Q268" s="486">
        <f t="shared" ca="1" si="70"/>
        <v>53440</v>
      </c>
      <c r="R268" s="486">
        <f t="shared" ca="1" si="70"/>
        <v>53440</v>
      </c>
      <c r="S268" s="486">
        <f t="shared" ca="1" si="70"/>
        <v>0</v>
      </c>
      <c r="T268" s="486">
        <f t="shared" ca="1" si="67"/>
        <v>0</v>
      </c>
      <c r="U268" s="486">
        <f t="shared" ca="1" si="68"/>
        <v>0</v>
      </c>
    </row>
    <row r="269" spans="1:21" ht="18.75" x14ac:dyDescent="0.25">
      <c r="A269" s="610"/>
      <c r="B269" s="609"/>
      <c r="C269" s="609"/>
      <c r="D269" s="616" t="s">
        <v>22</v>
      </c>
      <c r="E269" s="609"/>
      <c r="F269" s="609"/>
      <c r="G269" s="608"/>
      <c r="H269" s="617" t="s">
        <v>14</v>
      </c>
      <c r="I269" s="601"/>
      <c r="J269" s="601"/>
      <c r="K269" s="599"/>
      <c r="L269" s="606">
        <f ca="1">L270+L271</f>
        <v>0</v>
      </c>
      <c r="M269" s="486">
        <f ca="1">M270+M271</f>
        <v>5000</v>
      </c>
      <c r="N269" s="486">
        <f ca="1">N270+N271</f>
        <v>5000</v>
      </c>
      <c r="O269" s="486">
        <f t="shared" ca="1" si="65"/>
        <v>0</v>
      </c>
      <c r="P269" s="486">
        <f t="shared" ca="1" si="66"/>
        <v>100</v>
      </c>
      <c r="Q269" s="486">
        <f ca="1">Q270+Q271</f>
        <v>53440</v>
      </c>
      <c r="R269" s="486">
        <f ca="1">R270+R271</f>
        <v>53440</v>
      </c>
      <c r="S269" s="486">
        <f ca="1">S270+S271</f>
        <v>0</v>
      </c>
      <c r="T269" s="486">
        <f t="shared" ca="1" si="67"/>
        <v>0</v>
      </c>
      <c r="U269" s="486">
        <f t="shared" ca="1" si="68"/>
        <v>0</v>
      </c>
    </row>
    <row r="270" spans="1:21" ht="18.75" hidden="1" x14ac:dyDescent="0.25">
      <c r="A270" s="615"/>
      <c r="B270" s="614"/>
      <c r="C270" s="614"/>
      <c r="D270" s="614"/>
      <c r="E270" s="156" t="s">
        <v>36</v>
      </c>
      <c r="F270" s="614"/>
      <c r="G270" s="613"/>
      <c r="H270" s="159" t="s">
        <v>14</v>
      </c>
      <c r="I270" s="612"/>
      <c r="J270" s="612"/>
      <c r="K270" s="611"/>
      <c r="L270" s="469">
        <v>0</v>
      </c>
      <c r="M270" s="83">
        <v>0</v>
      </c>
      <c r="N270" s="83">
        <v>0</v>
      </c>
      <c r="O270" s="83">
        <f t="shared" si="65"/>
        <v>0</v>
      </c>
      <c r="P270" s="83">
        <f t="shared" si="66"/>
        <v>0</v>
      </c>
      <c r="Q270" s="83">
        <v>0</v>
      </c>
      <c r="R270" s="83">
        <v>0</v>
      </c>
      <c r="S270" s="83">
        <v>0</v>
      </c>
      <c r="T270" s="83">
        <f t="shared" si="67"/>
        <v>0</v>
      </c>
      <c r="U270" s="83">
        <f t="shared" si="68"/>
        <v>0</v>
      </c>
    </row>
    <row r="271" spans="1:21" ht="18.75" hidden="1" x14ac:dyDescent="0.25">
      <c r="A271" s="610"/>
      <c r="B271" s="609"/>
      <c r="C271" s="609"/>
      <c r="D271" s="609"/>
      <c r="E271" s="605" t="s">
        <v>37</v>
      </c>
      <c r="F271" s="609"/>
      <c r="G271" s="608"/>
      <c r="H271" s="617" t="s">
        <v>14</v>
      </c>
      <c r="I271" s="601"/>
      <c r="J271" s="601"/>
      <c r="K271" s="599"/>
      <c r="L271" s="606">
        <f ca="1">IFERROR(__xludf.DUMMYFUNCTION("IMPORTRANGE(""https://docs.google.com/spreadsheets/d/1-uDff_7J0KD5mKrp0Vvzr7lt3OU09vwQwhkpOPPYv2Y/edit?usp=sharing"",""งบพรบ!DE22"")"),0)</f>
        <v>0</v>
      </c>
      <c r="M271" s="486">
        <f ca="1">IFERROR(__xludf.DUMMYFUNCTION("IMPORTRANGE(""https://docs.google.com/spreadsheets/d/1-uDff_7J0KD5mKrp0Vvzr7lt3OU09vwQwhkpOPPYv2Y/edit?usp=sharing"",""งบพรบ!DJ22"")"),5000)</f>
        <v>5000</v>
      </c>
      <c r="N271" s="486">
        <f ca="1">IFERROR(__xludf.DUMMYFUNCTION("IMPORTRANGE(""https://docs.google.com/spreadsheets/d/1-uDff_7J0KD5mKrp0Vvzr7lt3OU09vwQwhkpOPPYv2Y/edit?usp=sharing"",""งบพรบ!DL22"")"),5000)</f>
        <v>5000</v>
      </c>
      <c r="O271" s="486">
        <f t="shared" ca="1" si="65"/>
        <v>0</v>
      </c>
      <c r="P271" s="486">
        <f t="shared" ca="1" si="66"/>
        <v>100</v>
      </c>
      <c r="Q271" s="486">
        <f ca="1">IFERROR(__xludf.DUMMYFUNCTION("IMPORTRANGE(""https://docs.google.com/spreadsheets/d/1ItG2mGa2ceCfYo0BwxsXqNm01IGEUdYcSSLTEv9YCik/edit?usp=sharing"",""เบิกจ่ายกองทุน!AJ22"")"),53440)</f>
        <v>53440</v>
      </c>
      <c r="R271" s="486">
        <f ca="1">IFERROR(__xludf.DUMMYFUNCTION("IMPORTRANGE(""https://docs.google.com/spreadsheets/d/1ItG2mGa2ceCfYo0BwxsXqNm01IGEUdYcSSLTEv9YCik/edit?usp=sharing"",""เบิกจ่ายกองทุน!AK22"")"),53440)</f>
        <v>53440</v>
      </c>
      <c r="S271" s="486">
        <f ca="1">IFERROR(__xludf.DUMMYFUNCTION("IMPORTRANGE(""https://docs.google.com/spreadsheets/d/1ItG2mGa2ceCfYo0BwxsXqNm01IGEUdYcSSLTEv9YCik/edit?usp=sharing"",""เบิกจ่ายกองทุน!AL22"")"),0)</f>
        <v>0</v>
      </c>
      <c r="T271" s="486">
        <f t="shared" ca="1" si="67"/>
        <v>0</v>
      </c>
      <c r="U271" s="486">
        <f t="shared" ca="1" si="68"/>
        <v>0</v>
      </c>
    </row>
    <row r="272" spans="1:21" ht="18.75" x14ac:dyDescent="0.25">
      <c r="A272" s="610"/>
      <c r="B272" s="609"/>
      <c r="C272" s="609"/>
      <c r="D272" s="616" t="s">
        <v>23</v>
      </c>
      <c r="E272" s="609"/>
      <c r="F272" s="609"/>
      <c r="G272" s="608"/>
      <c r="H272" s="607" t="s">
        <v>14</v>
      </c>
      <c r="I272" s="601"/>
      <c r="J272" s="601"/>
      <c r="K272" s="599"/>
      <c r="L272" s="606">
        <f ca="1">L273+L274</f>
        <v>0</v>
      </c>
      <c r="M272" s="486">
        <f ca="1">M273+M274</f>
        <v>0</v>
      </c>
      <c r="N272" s="486">
        <f ca="1">N273+N274</f>
        <v>0</v>
      </c>
      <c r="O272" s="486">
        <f t="shared" ca="1" si="65"/>
        <v>0</v>
      </c>
      <c r="P272" s="486">
        <f t="shared" ca="1" si="66"/>
        <v>0</v>
      </c>
      <c r="Q272" s="486">
        <f>Q273+Q274</f>
        <v>0</v>
      </c>
      <c r="R272" s="486">
        <f>R273+R274</f>
        <v>0</v>
      </c>
      <c r="S272" s="486">
        <f>S273+S274</f>
        <v>0</v>
      </c>
      <c r="T272" s="486">
        <f t="shared" si="67"/>
        <v>0</v>
      </c>
      <c r="U272" s="486">
        <f t="shared" si="68"/>
        <v>0</v>
      </c>
    </row>
    <row r="273" spans="1:21" ht="18.75" hidden="1" x14ac:dyDescent="0.25">
      <c r="A273" s="615"/>
      <c r="B273" s="614"/>
      <c r="C273" s="614"/>
      <c r="D273" s="614"/>
      <c r="E273" s="156" t="s">
        <v>20</v>
      </c>
      <c r="F273" s="614"/>
      <c r="G273" s="613"/>
      <c r="H273" s="159" t="s">
        <v>14</v>
      </c>
      <c r="I273" s="612"/>
      <c r="J273" s="612"/>
      <c r="K273" s="611"/>
      <c r="L273" s="469">
        <v>0</v>
      </c>
      <c r="M273" s="83">
        <v>0</v>
      </c>
      <c r="N273" s="83">
        <v>0</v>
      </c>
      <c r="O273" s="83">
        <f t="shared" si="65"/>
        <v>0</v>
      </c>
      <c r="P273" s="83">
        <f t="shared" si="66"/>
        <v>0</v>
      </c>
      <c r="Q273" s="83">
        <v>0</v>
      </c>
      <c r="R273" s="83">
        <v>0</v>
      </c>
      <c r="S273" s="83">
        <v>0</v>
      </c>
      <c r="T273" s="83">
        <f t="shared" si="67"/>
        <v>0</v>
      </c>
      <c r="U273" s="83">
        <f t="shared" si="68"/>
        <v>0</v>
      </c>
    </row>
    <row r="274" spans="1:21" ht="18.75" hidden="1" x14ac:dyDescent="0.25">
      <c r="A274" s="610"/>
      <c r="B274" s="609"/>
      <c r="C274" s="609"/>
      <c r="D274" s="609"/>
      <c r="E274" s="605" t="s">
        <v>21</v>
      </c>
      <c r="F274" s="609"/>
      <c r="G274" s="608"/>
      <c r="H274" s="607" t="s">
        <v>14</v>
      </c>
      <c r="I274" s="601"/>
      <c r="J274" s="601"/>
      <c r="K274" s="599"/>
      <c r="L274" s="606">
        <f ca="1">IFERROR(__xludf.DUMMYFUNCTION("IMPORTRANGE(""https://docs.google.com/spreadsheets/d/1-uDff_7J0KD5mKrp0Vvzr7lt3OU09vwQwhkpOPPYv2Y/edit?usp=sharing"",""งบพรบ!DH22"")"),0)</f>
        <v>0</v>
      </c>
      <c r="M274" s="486">
        <f ca="1">IFERROR(__xludf.DUMMYFUNCTION("IMPORTRANGE(""https://docs.google.com/spreadsheets/d/1-uDff_7J0KD5mKrp0Vvzr7lt3OU09vwQwhkpOPPYv2Y/edit?usp=sharing"",""งบพรบ!DK22"")"),0)</f>
        <v>0</v>
      </c>
      <c r="N274" s="486">
        <f ca="1">IFERROR(__xludf.DUMMYFUNCTION("IMPORTRANGE(""https://docs.google.com/spreadsheets/d/1-uDff_7J0KD5mKrp0Vvzr7lt3OU09vwQwhkpOPPYv2Y/edit?usp=sharing"",""งบพรบ!DM22"")"),0)</f>
        <v>0</v>
      </c>
      <c r="O274" s="486">
        <f t="shared" ca="1" si="65"/>
        <v>0</v>
      </c>
      <c r="P274" s="486">
        <f t="shared" ca="1" si="66"/>
        <v>0</v>
      </c>
      <c r="Q274" s="486">
        <v>0</v>
      </c>
      <c r="R274" s="486">
        <v>0</v>
      </c>
      <c r="S274" s="486">
        <v>0</v>
      </c>
      <c r="T274" s="486">
        <f t="shared" si="67"/>
        <v>0</v>
      </c>
      <c r="U274" s="486">
        <f t="shared" si="68"/>
        <v>0</v>
      </c>
    </row>
    <row r="275" spans="1:21" ht="19.5" x14ac:dyDescent="0.3">
      <c r="A275" s="485"/>
      <c r="B275" s="484"/>
      <c r="C275" s="605" t="s">
        <v>18</v>
      </c>
      <c r="D275" s="604" t="s">
        <v>38</v>
      </c>
      <c r="E275" s="603"/>
      <c r="F275" s="603"/>
      <c r="G275" s="602"/>
      <c r="H275" s="481"/>
      <c r="I275" s="601"/>
      <c r="J275" s="601"/>
      <c r="K275" s="599"/>
      <c r="L275" s="600"/>
      <c r="M275" s="599"/>
      <c r="N275" s="599"/>
      <c r="O275" s="599"/>
      <c r="P275" s="599"/>
      <c r="Q275" s="599"/>
      <c r="R275" s="599"/>
      <c r="S275" s="599"/>
      <c r="T275" s="599"/>
      <c r="U275" s="599"/>
    </row>
    <row r="276" spans="1:21" ht="18.75" x14ac:dyDescent="0.25">
      <c r="A276" s="598"/>
      <c r="B276" s="597"/>
      <c r="C276" s="597"/>
      <c r="D276" s="596" t="s">
        <v>115</v>
      </c>
      <c r="E276" s="595"/>
      <c r="F276" s="595"/>
      <c r="G276" s="594"/>
      <c r="H276" s="593" t="s">
        <v>35</v>
      </c>
      <c r="I276" s="592">
        <f ca="1">IFERROR(__xludf.DUMMYFUNCTION("IMPORTRANGE(""https://docs.google.com/spreadsheets/d/1eHaY18a8A9IcSdp1K8H6x8fbOy06t2VsZHhMHf-1x7Y/edit?usp=sharing"",""แผน!EC22"")"),24)</f>
        <v>24</v>
      </c>
      <c r="J276" s="444">
        <v>0</v>
      </c>
      <c r="K276" s="591">
        <f ca="1">IF(I276&gt;0,J276*100/I276,0)</f>
        <v>0</v>
      </c>
      <c r="L276" s="465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590" t="s">
        <v>116</v>
      </c>
      <c r="E277" s="252"/>
      <c r="F277" s="252"/>
      <c r="G277" s="253"/>
      <c r="H277" s="589" t="s">
        <v>35</v>
      </c>
      <c r="I277" s="433">
        <v>0</v>
      </c>
      <c r="J277" s="433">
        <v>0</v>
      </c>
      <c r="K277" s="588">
        <v>0</v>
      </c>
      <c r="L277" s="587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58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585">
        <f ca="1">I293</f>
        <v>10</v>
      </c>
      <c r="J280" s="585">
        <f>J293</f>
        <v>0</v>
      </c>
      <c r="K280" s="584">
        <f ca="1">IF(I280&gt;0,J280*100/I280,0)</f>
        <v>0</v>
      </c>
      <c r="L280" s="583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585">
        <f ca="1">I292</f>
        <v>100</v>
      </c>
      <c r="J281" s="585">
        <f>J292</f>
        <v>0</v>
      </c>
      <c r="K281" s="584">
        <f ca="1">IF(I281&gt;0,J281*100/I281,0)</f>
        <v>0</v>
      </c>
      <c r="L281" s="583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472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471">
        <f ca="1">L283+L284</f>
        <v>140620</v>
      </c>
      <c r="M282" s="470">
        <f ca="1">M283+M284</f>
        <v>140620</v>
      </c>
      <c r="N282" s="470">
        <f ca="1">N283+N284</f>
        <v>73388.72</v>
      </c>
      <c r="O282" s="470">
        <f t="shared" ref="O282:O290" ca="1" si="71">IF(L282&gt;0,N282*100/L282,0)</f>
        <v>52.189389844972268</v>
      </c>
      <c r="P282" s="470">
        <f t="shared" ref="P282:P290" ca="1" si="72">IF(M282&gt;0,N282*100/M282,0)</f>
        <v>52.189389844972268</v>
      </c>
      <c r="Q282" s="470">
        <f>Q283+Q284</f>
        <v>0</v>
      </c>
      <c r="R282" s="470">
        <f>R283+R284</f>
        <v>0</v>
      </c>
      <c r="S282" s="470">
        <f>S283+S284</f>
        <v>0</v>
      </c>
      <c r="T282" s="470">
        <f t="shared" ref="T282:T290" si="73">IF(Q282&gt;0,S282*100/Q282,0)</f>
        <v>0</v>
      </c>
      <c r="U282" s="470">
        <f t="shared" ref="U282:U290" si="74"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469">
        <f t="shared" ref="L283:N284" si="75">L286+L289</f>
        <v>0</v>
      </c>
      <c r="M283" s="83">
        <f t="shared" si="75"/>
        <v>0</v>
      </c>
      <c r="N283" s="83">
        <f t="shared" si="75"/>
        <v>0</v>
      </c>
      <c r="O283" s="83">
        <f t="shared" si="71"/>
        <v>0</v>
      </c>
      <c r="P283" s="83">
        <f t="shared" si="72"/>
        <v>0</v>
      </c>
      <c r="Q283" s="83">
        <f t="shared" ref="Q283:S284" si="76">Q286+Q289</f>
        <v>0</v>
      </c>
      <c r="R283" s="83">
        <f t="shared" si="76"/>
        <v>0</v>
      </c>
      <c r="S283" s="83">
        <f t="shared" si="76"/>
        <v>0</v>
      </c>
      <c r="T283" s="83">
        <f t="shared" si="73"/>
        <v>0</v>
      </c>
      <c r="U283" s="83">
        <f t="shared" si="74"/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468">
        <f t="shared" ca="1" si="75"/>
        <v>140620</v>
      </c>
      <c r="M284" s="224">
        <f t="shared" ca="1" si="75"/>
        <v>140620</v>
      </c>
      <c r="N284" s="224">
        <f t="shared" ca="1" si="75"/>
        <v>73388.72</v>
      </c>
      <c r="O284" s="224">
        <f t="shared" ca="1" si="71"/>
        <v>52.189389844972268</v>
      </c>
      <c r="P284" s="224">
        <f t="shared" ca="1" si="72"/>
        <v>52.189389844972268</v>
      </c>
      <c r="Q284" s="224">
        <f t="shared" si="76"/>
        <v>0</v>
      </c>
      <c r="R284" s="224">
        <f t="shared" si="76"/>
        <v>0</v>
      </c>
      <c r="S284" s="224">
        <f t="shared" si="76"/>
        <v>0</v>
      </c>
      <c r="T284" s="224">
        <f t="shared" si="73"/>
        <v>0</v>
      </c>
      <c r="U284" s="224">
        <f t="shared" si="74"/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468">
        <f ca="1">L286+L287</f>
        <v>140620</v>
      </c>
      <c r="M285" s="224">
        <f ca="1">M286+M287</f>
        <v>140620</v>
      </c>
      <c r="N285" s="224">
        <f ca="1">N286+N287</f>
        <v>73388.72</v>
      </c>
      <c r="O285" s="224">
        <f t="shared" ca="1" si="71"/>
        <v>52.189389844972268</v>
      </c>
      <c r="P285" s="224">
        <f t="shared" ca="1" si="72"/>
        <v>52.189389844972268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 t="shared" si="73"/>
        <v>0</v>
      </c>
      <c r="U285" s="224">
        <f t="shared" si="74"/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469">
        <v>0</v>
      </c>
      <c r="M286" s="83">
        <v>0</v>
      </c>
      <c r="N286" s="83">
        <v>0</v>
      </c>
      <c r="O286" s="83">
        <f t="shared" si="71"/>
        <v>0</v>
      </c>
      <c r="P286" s="83">
        <f t="shared" si="72"/>
        <v>0</v>
      </c>
      <c r="Q286" s="83">
        <v>0</v>
      </c>
      <c r="R286" s="83">
        <v>0</v>
      </c>
      <c r="S286" s="83">
        <v>0</v>
      </c>
      <c r="T286" s="83">
        <f t="shared" si="73"/>
        <v>0</v>
      </c>
      <c r="U286" s="83">
        <f t="shared" si="74"/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468">
        <f ca="1">IFERROR(__xludf.DUMMYFUNCTION("IMPORTRANGE(""https://docs.google.com/spreadsheets/d/1-uDff_7J0KD5mKrp0Vvzr7lt3OU09vwQwhkpOPPYv2Y/edit?usp=sharing"",""งบพรบ!DO22"")"),140620)</f>
        <v>140620</v>
      </c>
      <c r="M287" s="224">
        <f ca="1">IFERROR(__xludf.DUMMYFUNCTION("IMPORTRANGE(""https://docs.google.com/spreadsheets/d/1-uDff_7J0KD5mKrp0Vvzr7lt3OU09vwQwhkpOPPYv2Y/edit?usp=sharing"",""งบพรบ!DT22"")"),140620)</f>
        <v>140620</v>
      </c>
      <c r="N287" s="224">
        <f ca="1">IFERROR(__xludf.DUMMYFUNCTION("IMPORTRANGE(""https://docs.google.com/spreadsheets/d/1-uDff_7J0KD5mKrp0Vvzr7lt3OU09vwQwhkpOPPYv2Y/edit?usp=sharing"",""งบพรบ!DV22"")"),73388.72)</f>
        <v>73388.72</v>
      </c>
      <c r="O287" s="224">
        <f t="shared" ca="1" si="71"/>
        <v>52.189389844972268</v>
      </c>
      <c r="P287" s="224">
        <f t="shared" ca="1" si="72"/>
        <v>52.189389844972268</v>
      </c>
      <c r="Q287" s="224">
        <v>0</v>
      </c>
      <c r="R287" s="224">
        <v>0</v>
      </c>
      <c r="S287" s="224">
        <v>0</v>
      </c>
      <c r="T287" s="83">
        <f t="shared" si="73"/>
        <v>0</v>
      </c>
      <c r="U287" s="83">
        <f t="shared" si="74"/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468">
        <f ca="1">L289+L290</f>
        <v>0</v>
      </c>
      <c r="M288" s="224">
        <f ca="1">M289+M290</f>
        <v>0</v>
      </c>
      <c r="N288" s="224">
        <f ca="1">N289+N290</f>
        <v>0</v>
      </c>
      <c r="O288" s="224">
        <f t="shared" ca="1" si="71"/>
        <v>0</v>
      </c>
      <c r="P288" s="224">
        <f t="shared" ca="1" si="72"/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 t="shared" si="73"/>
        <v>0</v>
      </c>
      <c r="U288" s="224">
        <f t="shared" si="74"/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469">
        <v>0</v>
      </c>
      <c r="M289" s="83">
        <v>0</v>
      </c>
      <c r="N289" s="83">
        <v>0</v>
      </c>
      <c r="O289" s="83">
        <f t="shared" si="71"/>
        <v>0</v>
      </c>
      <c r="P289" s="83">
        <f t="shared" si="72"/>
        <v>0</v>
      </c>
      <c r="Q289" s="83">
        <v>0</v>
      </c>
      <c r="R289" s="83">
        <v>0</v>
      </c>
      <c r="S289" s="83">
        <v>0</v>
      </c>
      <c r="T289" s="83">
        <f t="shared" si="73"/>
        <v>0</v>
      </c>
      <c r="U289" s="83">
        <f t="shared" si="74"/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468">
        <f ca="1">IFERROR(__xludf.DUMMYFUNCTION("IMPORTRANGE(""https://docs.google.com/spreadsheets/d/1-uDff_7J0KD5mKrp0Vvzr7lt3OU09vwQwhkpOPPYv2Y/edit?usp=sharing"",""งบพรบ!DR22"")"),0)</f>
        <v>0</v>
      </c>
      <c r="M290" s="224">
        <f ca="1">IFERROR(__xludf.DUMMYFUNCTION("IMPORTRANGE(""https://docs.google.com/spreadsheets/d/1-uDff_7J0KD5mKrp0Vvzr7lt3OU09vwQwhkpOPPYv2Y/edit?usp=sharing"",""งบพรบ!DU22"")"),0)</f>
        <v>0</v>
      </c>
      <c r="N290" s="224">
        <f ca="1">IFERROR(__xludf.DUMMYFUNCTION("IMPORTRANGE(""https://docs.google.com/spreadsheets/d/1-uDff_7J0KD5mKrp0Vvzr7lt3OU09vwQwhkpOPPYv2Y/edit?usp=sharing"",""งบพรบ!DW22"")"),0)</f>
        <v>0</v>
      </c>
      <c r="O290" s="224">
        <f t="shared" ca="1" si="71"/>
        <v>0</v>
      </c>
      <c r="P290" s="224">
        <f t="shared" ca="1" si="72"/>
        <v>0</v>
      </c>
      <c r="Q290" s="224">
        <v>0</v>
      </c>
      <c r="R290" s="224">
        <v>0</v>
      </c>
      <c r="S290" s="224">
        <v>0</v>
      </c>
      <c r="T290" s="224">
        <f t="shared" si="73"/>
        <v>0</v>
      </c>
      <c r="U290" s="224">
        <f t="shared" si="74"/>
        <v>0</v>
      </c>
    </row>
    <row r="291" spans="1:21" ht="19.5" x14ac:dyDescent="0.3">
      <c r="A291" s="138"/>
      <c r="B291" s="139"/>
      <c r="C291" s="129" t="s">
        <v>18</v>
      </c>
      <c r="D291" s="498" t="s">
        <v>38</v>
      </c>
      <c r="E291" s="141"/>
      <c r="F291" s="141"/>
      <c r="G291" s="142"/>
      <c r="H291" s="143"/>
      <c r="I291" s="135"/>
      <c r="J291" s="135"/>
      <c r="K291" s="136"/>
      <c r="L291" s="4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IFERROR(__xludf.DUMMYFUNCTION("IMPORTRANGE(""https://docs.google.com/spreadsheets/d/1eHaY18a8A9IcSdp1K8H6x8fbOy06t2VsZHhMHf-1x7Y/edit?usp=sharing"",""แผน!EE22"")"),100)</f>
        <v>100</v>
      </c>
      <c r="J292" s="466">
        <v>0</v>
      </c>
      <c r="K292" s="497">
        <f ca="1">IF(I292&gt;0,J292*100/I292,0)</f>
        <v>0</v>
      </c>
      <c r="L292" s="4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IFERROR(__xludf.DUMMYFUNCTION("IMPORTRANGE(""https://docs.google.com/spreadsheets/d/1eHaY18a8A9IcSdp1K8H6x8fbOy06t2VsZHhMHf-1x7Y/edit?usp=sharing"",""แผน!ED22"")"),10)</f>
        <v>10</v>
      </c>
      <c r="J293" s="328">
        <f>J296</f>
        <v>0</v>
      </c>
      <c r="K293" s="582">
        <f ca="1">IF(I293&gt;0,J293*100/I293,0)</f>
        <v>0</v>
      </c>
      <c r="L293" s="4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4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581">
        <f ca="1">IFERROR(__xludf.DUMMYFUNCTION("IMPORTRANGE(""https://docs.google.com/spreadsheets/d/1eHaY18a8A9IcSdp1K8H6x8fbOy06t2VsZHhMHf-1x7Y/edit?usp=sharing"",""แผน!ED22"")"),10)</f>
        <v>10</v>
      </c>
      <c r="J295" s="466">
        <v>0</v>
      </c>
      <c r="K295" s="497">
        <f ca="1">IF(I295&gt;0,J295*100/I295,0)</f>
        <v>0</v>
      </c>
      <c r="L295" s="4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581">
        <f ca="1">IFERROR(__xludf.DUMMYFUNCTION("IMPORTRANGE(""https://docs.google.com/spreadsheets/d/1eHaY18a8A9IcSdp1K8H6x8fbOy06t2VsZHhMHf-1x7Y/edit?usp=sharing"",""แผน!ED22"")"),10)</f>
        <v>10</v>
      </c>
      <c r="J296" s="466">
        <v>0</v>
      </c>
      <c r="K296" s="497">
        <f ca="1">IF(I296&gt;0,J296*100/I296,0)</f>
        <v>0</v>
      </c>
      <c r="L296" s="4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571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hidden="1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571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580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57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541">
        <f ca="1">I314</f>
        <v>30</v>
      </c>
      <c r="J302" s="541">
        <f>J314</f>
        <v>0</v>
      </c>
      <c r="K302" s="540">
        <f ca="1">IF(I302&gt;0,J302*100/I302,0)</f>
        <v>0</v>
      </c>
      <c r="L302" s="539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472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471">
        <f ca="1">L304+L305</f>
        <v>0</v>
      </c>
      <c r="M303" s="470">
        <f ca="1">M304+M305</f>
        <v>0</v>
      </c>
      <c r="N303" s="470">
        <f ca="1">N304+N305</f>
        <v>0</v>
      </c>
      <c r="O303" s="470">
        <f t="shared" ref="O303:O311" ca="1" si="77">IF(L303&gt;0,N303*100/L303,0)</f>
        <v>0</v>
      </c>
      <c r="P303" s="470">
        <f t="shared" ref="P303:P311" ca="1" si="78">IF(M303&gt;0,N303*100/M303,0)</f>
        <v>0</v>
      </c>
      <c r="Q303" s="470">
        <f ca="1">Q304+Q305</f>
        <v>260958.39</v>
      </c>
      <c r="R303" s="470">
        <f ca="1">R304+R305</f>
        <v>260958</v>
      </c>
      <c r="S303" s="470">
        <f ca="1">S304+S305</f>
        <v>0</v>
      </c>
      <c r="T303" s="470">
        <f t="shared" ref="T303:T311" ca="1" si="79">IF(Q303&gt;0,S303*100/Q303,0)</f>
        <v>0</v>
      </c>
      <c r="U303" s="470">
        <f t="shared" ref="U303:U311" ca="1" si="80">IF(R303&gt;0,S303*100/R303,0)</f>
        <v>0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469">
        <f t="shared" ref="L304:N305" si="81">L307+L310</f>
        <v>0</v>
      </c>
      <c r="M304" s="83">
        <f t="shared" si="81"/>
        <v>0</v>
      </c>
      <c r="N304" s="83">
        <f t="shared" si="81"/>
        <v>0</v>
      </c>
      <c r="O304" s="83">
        <f t="shared" si="77"/>
        <v>0</v>
      </c>
      <c r="P304" s="83">
        <f t="shared" si="78"/>
        <v>0</v>
      </c>
      <c r="Q304" s="83">
        <f t="shared" ref="Q304:S305" si="82">Q307+Q310</f>
        <v>0</v>
      </c>
      <c r="R304" s="83">
        <f t="shared" si="82"/>
        <v>0</v>
      </c>
      <c r="S304" s="83">
        <f t="shared" si="82"/>
        <v>0</v>
      </c>
      <c r="T304" s="83">
        <f t="shared" si="79"/>
        <v>0</v>
      </c>
      <c r="U304" s="83">
        <f t="shared" si="80"/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468">
        <f t="shared" ca="1" si="81"/>
        <v>0</v>
      </c>
      <c r="M305" s="224">
        <f t="shared" ca="1" si="81"/>
        <v>0</v>
      </c>
      <c r="N305" s="224">
        <f t="shared" ca="1" si="81"/>
        <v>0</v>
      </c>
      <c r="O305" s="224">
        <f t="shared" ca="1" si="77"/>
        <v>0</v>
      </c>
      <c r="P305" s="224">
        <f t="shared" ca="1" si="78"/>
        <v>0</v>
      </c>
      <c r="Q305" s="224">
        <f t="shared" ca="1" si="82"/>
        <v>260958.39</v>
      </c>
      <c r="R305" s="224">
        <f t="shared" ca="1" si="82"/>
        <v>260958</v>
      </c>
      <c r="S305" s="224">
        <f t="shared" ca="1" si="82"/>
        <v>0</v>
      </c>
      <c r="T305" s="224">
        <f t="shared" ca="1" si="79"/>
        <v>0</v>
      </c>
      <c r="U305" s="224">
        <f t="shared" ca="1" si="80"/>
        <v>0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468">
        <f ca="1">L307+L308</f>
        <v>0</v>
      </c>
      <c r="M306" s="224">
        <f ca="1">M307+M308</f>
        <v>0</v>
      </c>
      <c r="N306" s="224">
        <f ca="1">N307+N308</f>
        <v>0</v>
      </c>
      <c r="O306" s="224">
        <f t="shared" ca="1" si="77"/>
        <v>0</v>
      </c>
      <c r="P306" s="224">
        <f t="shared" ca="1" si="78"/>
        <v>0</v>
      </c>
      <c r="Q306" s="224">
        <f ca="1">Q307+Q308</f>
        <v>260958.39</v>
      </c>
      <c r="R306" s="224">
        <f ca="1">R307+R308</f>
        <v>260958</v>
      </c>
      <c r="S306" s="224">
        <f ca="1">S307+S308</f>
        <v>0</v>
      </c>
      <c r="T306" s="224">
        <f t="shared" ca="1" si="79"/>
        <v>0</v>
      </c>
      <c r="U306" s="224">
        <f t="shared" ca="1" si="80"/>
        <v>0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469">
        <v>0</v>
      </c>
      <c r="M307" s="83">
        <v>0</v>
      </c>
      <c r="N307" s="83">
        <v>0</v>
      </c>
      <c r="O307" s="83">
        <f t="shared" si="77"/>
        <v>0</v>
      </c>
      <c r="P307" s="83">
        <f t="shared" si="78"/>
        <v>0</v>
      </c>
      <c r="Q307" s="83">
        <v>0</v>
      </c>
      <c r="R307" s="83">
        <v>0</v>
      </c>
      <c r="S307" s="83">
        <v>0</v>
      </c>
      <c r="T307" s="83">
        <f t="shared" si="79"/>
        <v>0</v>
      </c>
      <c r="U307" s="83">
        <f t="shared" si="80"/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468">
        <f ca="1">IFERROR(__xludf.DUMMYFUNCTION("IMPORTRANGE(""https://docs.google.com/spreadsheets/d/1-uDff_7J0KD5mKrp0Vvzr7lt3OU09vwQwhkpOPPYv2Y/edit?usp=sharing"",""งบพรบ!DY22"")"),0)</f>
        <v>0</v>
      </c>
      <c r="M308" s="224">
        <f ca="1">IFERROR(__xludf.DUMMYFUNCTION("IMPORTRANGE(""https://docs.google.com/spreadsheets/d/1-uDff_7J0KD5mKrp0Vvzr7lt3OU09vwQwhkpOPPYv2Y/edit?usp=sharing"",""งบพรบ!ED22"")"),0)</f>
        <v>0</v>
      </c>
      <c r="N308" s="224">
        <f ca="1">IFERROR(__xludf.DUMMYFUNCTION("IMPORTRANGE(""https://docs.google.com/spreadsheets/d/1-uDff_7J0KD5mKrp0Vvzr7lt3OU09vwQwhkpOPPYv2Y/edit?usp=sharing"",""งบพรบ!EF22"")"),0)</f>
        <v>0</v>
      </c>
      <c r="O308" s="224">
        <f t="shared" ca="1" si="77"/>
        <v>0</v>
      </c>
      <c r="P308" s="224">
        <f t="shared" ca="1" si="78"/>
        <v>0</v>
      </c>
      <c r="Q308" s="224">
        <f ca="1">IFERROR(__xludf.DUMMYFUNCTION("IMPORTRANGE(""https://docs.google.com/spreadsheets/d/1ItG2mGa2ceCfYo0BwxsXqNm01IGEUdYcSSLTEv9YCik/edit?usp=sharing"",""เบิกจ่ายกองทุน!AP22"")"),260958.39)</f>
        <v>260958.39</v>
      </c>
      <c r="R308" s="224">
        <f ca="1">IFERROR(__xludf.DUMMYFUNCTION("IMPORTRANGE(""https://docs.google.com/spreadsheets/d/1ItG2mGa2ceCfYo0BwxsXqNm01IGEUdYcSSLTEv9YCik/edit?usp=sharing"",""เบิกจ่ายกองทุน!AQ22"")"),260958)</f>
        <v>260958</v>
      </c>
      <c r="S308" s="224">
        <f ca="1">IFERROR(__xludf.DUMMYFUNCTION("IMPORTRANGE(""https://docs.google.com/spreadsheets/d/1ItG2mGa2ceCfYo0BwxsXqNm01IGEUdYcSSLTEv9YCik/edit?usp=sharing"",""เบิกจ่ายกองทุน!AR22"")"),0)</f>
        <v>0</v>
      </c>
      <c r="T308" s="224">
        <f t="shared" ca="1" si="79"/>
        <v>0</v>
      </c>
      <c r="U308" s="224">
        <f t="shared" ca="1" si="80"/>
        <v>0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468">
        <f ca="1">L310+L311</f>
        <v>0</v>
      </c>
      <c r="M309" s="224">
        <f ca="1">M310+M311</f>
        <v>0</v>
      </c>
      <c r="N309" s="224">
        <f ca="1">N310+N311</f>
        <v>0</v>
      </c>
      <c r="O309" s="224">
        <f t="shared" ca="1" si="77"/>
        <v>0</v>
      </c>
      <c r="P309" s="224">
        <f t="shared" ca="1" si="78"/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 t="shared" si="79"/>
        <v>0</v>
      </c>
      <c r="U309" s="224">
        <f t="shared" si="80"/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469">
        <v>0</v>
      </c>
      <c r="M310" s="83">
        <v>0</v>
      </c>
      <c r="N310" s="83">
        <v>0</v>
      </c>
      <c r="O310" s="83">
        <f t="shared" si="77"/>
        <v>0</v>
      </c>
      <c r="P310" s="83">
        <f t="shared" si="78"/>
        <v>0</v>
      </c>
      <c r="Q310" s="83">
        <v>0</v>
      </c>
      <c r="R310" s="83">
        <v>0</v>
      </c>
      <c r="S310" s="83">
        <v>0</v>
      </c>
      <c r="T310" s="83">
        <f t="shared" si="79"/>
        <v>0</v>
      </c>
      <c r="U310" s="83">
        <f t="shared" si="80"/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468">
        <f ca="1">IFERROR(__xludf.DUMMYFUNCTION("IMPORTRANGE(""https://docs.google.com/spreadsheets/d/1-uDff_7J0KD5mKrp0Vvzr7lt3OU09vwQwhkpOPPYv2Y/edit?usp=sharing"",""งบพรบ!EB22"")"),0)</f>
        <v>0</v>
      </c>
      <c r="M311" s="224">
        <f ca="1">IFERROR(__xludf.DUMMYFUNCTION("IMPORTRANGE(""https://docs.google.com/spreadsheets/d/1-uDff_7J0KD5mKrp0Vvzr7lt3OU09vwQwhkpOPPYv2Y/edit?usp=sharing"",""งบพรบ!EE22"")"),0)</f>
        <v>0</v>
      </c>
      <c r="N311" s="224">
        <f ca="1">IFERROR(__xludf.DUMMYFUNCTION("IMPORTRANGE(""https://docs.google.com/spreadsheets/d/1-uDff_7J0KD5mKrp0Vvzr7lt3OU09vwQwhkpOPPYv2Y/edit?usp=sharing"",""งบพรบ!EG22"")"),0)</f>
        <v>0</v>
      </c>
      <c r="O311" s="224">
        <f t="shared" ca="1" si="77"/>
        <v>0</v>
      </c>
      <c r="P311" s="224">
        <f t="shared" ca="1" si="78"/>
        <v>0</v>
      </c>
      <c r="Q311" s="224">
        <v>0</v>
      </c>
      <c r="R311" s="224">
        <v>0</v>
      </c>
      <c r="S311" s="224">
        <v>0</v>
      </c>
      <c r="T311" s="224">
        <f t="shared" si="79"/>
        <v>0</v>
      </c>
      <c r="U311" s="224">
        <f t="shared" si="80"/>
        <v>0</v>
      </c>
    </row>
    <row r="312" spans="1:21" ht="19.5" x14ac:dyDescent="0.3">
      <c r="A312" s="138"/>
      <c r="B312" s="139"/>
      <c r="C312" s="129" t="s">
        <v>18</v>
      </c>
      <c r="D312" s="498" t="s">
        <v>38</v>
      </c>
      <c r="E312" s="141"/>
      <c r="F312" s="141"/>
      <c r="G312" s="142"/>
      <c r="H312" s="143"/>
      <c r="I312" s="44"/>
      <c r="J312" s="44"/>
      <c r="K312" s="45"/>
      <c r="L312" s="465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579"/>
      <c r="E313" s="18"/>
      <c r="F313" s="18"/>
      <c r="G313" s="19"/>
      <c r="H313" s="19"/>
      <c r="I313" s="20"/>
      <c r="J313" s="577"/>
      <c r="K313" s="21"/>
      <c r="L313" s="571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IFERROR(__xludf.DUMMYFUNCTION("IMPORTRANGE(""https://docs.google.com/spreadsheets/d/1eHaY18a8A9IcSdp1K8H6x8fbOy06t2VsZHhMHf-1x7Y/edit?usp=sharing"",""แผน!EF22"")"),30)</f>
        <v>30</v>
      </c>
      <c r="J314" s="466">
        <v>0</v>
      </c>
      <c r="K314" s="224">
        <f ca="1">IF(I314&gt;0,J314*100/I314,0)</f>
        <v>0</v>
      </c>
      <c r="L314" s="465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579"/>
      <c r="E315" s="18"/>
      <c r="F315" s="18"/>
      <c r="G315" s="19"/>
      <c r="H315" s="578"/>
      <c r="I315" s="577"/>
      <c r="J315" s="577"/>
      <c r="K315" s="576"/>
      <c r="L315" s="571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579"/>
      <c r="E316" s="18"/>
      <c r="F316" s="18"/>
      <c r="G316" s="19"/>
      <c r="H316" s="578"/>
      <c r="I316" s="577"/>
      <c r="J316" s="577"/>
      <c r="K316" s="576"/>
      <c r="L316" s="571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575"/>
      <c r="E317" s="18"/>
      <c r="F317" s="18"/>
      <c r="G317" s="19"/>
      <c r="H317" s="574"/>
      <c r="I317" s="573"/>
      <c r="J317" s="573"/>
      <c r="K317" s="572"/>
      <c r="L317" s="571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57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hidden="1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541">
        <f ca="1">I330</f>
        <v>0</v>
      </c>
      <c r="J319" s="541">
        <f>J330</f>
        <v>0</v>
      </c>
      <c r="K319" s="540">
        <f ca="1">IF(I319&gt;0,J319*100/I319,0)</f>
        <v>0</v>
      </c>
      <c r="L319" s="539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hidden="1" x14ac:dyDescent="0.3">
      <c r="A320" s="128"/>
      <c r="B320" s="40"/>
      <c r="C320" s="129" t="s">
        <v>18</v>
      </c>
      <c r="D320" s="472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471">
        <f ca="1">L321+L322</f>
        <v>0</v>
      </c>
      <c r="M320" s="470">
        <f ca="1">M321+M322</f>
        <v>0</v>
      </c>
      <c r="N320" s="470">
        <f ca="1">N321+N322</f>
        <v>0</v>
      </c>
      <c r="O320" s="470">
        <f t="shared" ref="O320:O328" ca="1" si="83">IF(L320&gt;0,N320*100/L320,0)</f>
        <v>0</v>
      </c>
      <c r="P320" s="470">
        <f t="shared" ref="P320:P328" ca="1" si="84">IF(M320&gt;0,N320*100/M320,0)</f>
        <v>0</v>
      </c>
      <c r="Q320" s="470">
        <f>Q321+Q322</f>
        <v>0</v>
      </c>
      <c r="R320" s="470">
        <f>R321+R322</f>
        <v>0</v>
      </c>
      <c r="S320" s="470">
        <f>S321+S322</f>
        <v>0</v>
      </c>
      <c r="T320" s="470">
        <f t="shared" ref="T320:T328" si="85">IF(Q320&gt;0,S320*100/Q320,0)</f>
        <v>0</v>
      </c>
      <c r="U320" s="470">
        <f t="shared" ref="U320:U328" si="86"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469">
        <f t="shared" ref="L321:N322" si="87">L324+L327</f>
        <v>0</v>
      </c>
      <c r="M321" s="83">
        <f t="shared" si="87"/>
        <v>0</v>
      </c>
      <c r="N321" s="83">
        <f t="shared" si="87"/>
        <v>0</v>
      </c>
      <c r="O321" s="83">
        <f t="shared" si="83"/>
        <v>0</v>
      </c>
      <c r="P321" s="83">
        <f t="shared" si="84"/>
        <v>0</v>
      </c>
      <c r="Q321" s="83">
        <f t="shared" ref="Q321:S322" si="88">Q324+Q327</f>
        <v>0</v>
      </c>
      <c r="R321" s="83">
        <f t="shared" si="88"/>
        <v>0</v>
      </c>
      <c r="S321" s="83">
        <f t="shared" si="88"/>
        <v>0</v>
      </c>
      <c r="T321" s="83">
        <f t="shared" si="85"/>
        <v>0</v>
      </c>
      <c r="U321" s="83">
        <f t="shared" si="86"/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468">
        <f t="shared" ca="1" si="87"/>
        <v>0</v>
      </c>
      <c r="M322" s="224">
        <f t="shared" ca="1" si="87"/>
        <v>0</v>
      </c>
      <c r="N322" s="224">
        <f t="shared" ca="1" si="87"/>
        <v>0</v>
      </c>
      <c r="O322" s="224">
        <f t="shared" ca="1" si="83"/>
        <v>0</v>
      </c>
      <c r="P322" s="224">
        <f t="shared" ca="1" si="84"/>
        <v>0</v>
      </c>
      <c r="Q322" s="224">
        <f t="shared" si="88"/>
        <v>0</v>
      </c>
      <c r="R322" s="224">
        <f t="shared" si="88"/>
        <v>0</v>
      </c>
      <c r="S322" s="224">
        <f t="shared" si="88"/>
        <v>0</v>
      </c>
      <c r="T322" s="224">
        <f t="shared" si="85"/>
        <v>0</v>
      </c>
      <c r="U322" s="224">
        <f t="shared" si="86"/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468">
        <f ca="1">L324+L325</f>
        <v>0</v>
      </c>
      <c r="M323" s="224">
        <f ca="1">M324+M325</f>
        <v>0</v>
      </c>
      <c r="N323" s="224">
        <f ca="1">N324+N325</f>
        <v>0</v>
      </c>
      <c r="O323" s="224">
        <f t="shared" ca="1" si="83"/>
        <v>0</v>
      </c>
      <c r="P323" s="224">
        <f t="shared" ca="1" si="84"/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 t="shared" si="85"/>
        <v>0</v>
      </c>
      <c r="U323" s="224">
        <f t="shared" si="86"/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469">
        <v>0</v>
      </c>
      <c r="M324" s="83">
        <v>0</v>
      </c>
      <c r="N324" s="83">
        <v>0</v>
      </c>
      <c r="O324" s="83">
        <f t="shared" si="83"/>
        <v>0</v>
      </c>
      <c r="P324" s="83">
        <f t="shared" si="84"/>
        <v>0</v>
      </c>
      <c r="Q324" s="83">
        <v>0</v>
      </c>
      <c r="R324" s="83">
        <v>0</v>
      </c>
      <c r="S324" s="83">
        <v>0</v>
      </c>
      <c r="T324" s="83">
        <f t="shared" si="85"/>
        <v>0</v>
      </c>
      <c r="U324" s="83">
        <f t="shared" si="86"/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468">
        <f ca="1">IFERROR(__xludf.DUMMYFUNCTION("IMPORTRANGE(""https://docs.google.com/spreadsheets/d/1-uDff_7J0KD5mKrp0Vvzr7lt3OU09vwQwhkpOPPYv2Y/edit?usp=sharing"",""งบพรบ!EI22"")"),0)</f>
        <v>0</v>
      </c>
      <c r="M325" s="224">
        <f ca="1">IFERROR(__xludf.DUMMYFUNCTION("IMPORTRANGE(""https://docs.google.com/spreadsheets/d/1-uDff_7J0KD5mKrp0Vvzr7lt3OU09vwQwhkpOPPYv2Y/edit?usp=sharing"",""งบพรบ!EN22"")"),0)</f>
        <v>0</v>
      </c>
      <c r="N325" s="224">
        <f ca="1">IFERROR(__xludf.DUMMYFUNCTION("IMPORTRANGE(""https://docs.google.com/spreadsheets/d/1-uDff_7J0KD5mKrp0Vvzr7lt3OU09vwQwhkpOPPYv2Y/edit?usp=sharing"",""งบพรบ!EP22"")"),0)</f>
        <v>0</v>
      </c>
      <c r="O325" s="224">
        <f t="shared" ca="1" si="83"/>
        <v>0</v>
      </c>
      <c r="P325" s="224">
        <f t="shared" ca="1" si="84"/>
        <v>0</v>
      </c>
      <c r="Q325" s="224">
        <v>0</v>
      </c>
      <c r="R325" s="224">
        <v>0</v>
      </c>
      <c r="S325" s="224">
        <v>0</v>
      </c>
      <c r="T325" s="224">
        <f t="shared" si="85"/>
        <v>0</v>
      </c>
      <c r="U325" s="224">
        <f t="shared" si="86"/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468">
        <f ca="1">L327+L328</f>
        <v>0</v>
      </c>
      <c r="M326" s="224">
        <f ca="1">M327+M328</f>
        <v>0</v>
      </c>
      <c r="N326" s="224">
        <f ca="1">N327+N328</f>
        <v>0</v>
      </c>
      <c r="O326" s="224">
        <f t="shared" ca="1" si="83"/>
        <v>0</v>
      </c>
      <c r="P326" s="224">
        <f t="shared" ca="1" si="84"/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 t="shared" si="85"/>
        <v>0</v>
      </c>
      <c r="U326" s="224">
        <f t="shared" si="86"/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469">
        <v>0</v>
      </c>
      <c r="M327" s="83">
        <v>0</v>
      </c>
      <c r="N327" s="83">
        <v>0</v>
      </c>
      <c r="O327" s="83">
        <f t="shared" si="83"/>
        <v>0</v>
      </c>
      <c r="P327" s="83">
        <f t="shared" si="84"/>
        <v>0</v>
      </c>
      <c r="Q327" s="83">
        <v>0</v>
      </c>
      <c r="R327" s="83">
        <v>0</v>
      </c>
      <c r="S327" s="83">
        <v>0</v>
      </c>
      <c r="T327" s="83">
        <f t="shared" si="85"/>
        <v>0</v>
      </c>
      <c r="U327" s="83">
        <f t="shared" si="86"/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468">
        <f ca="1">IFERROR(__xludf.DUMMYFUNCTION("IMPORTRANGE(""https://docs.google.com/spreadsheets/d/1-uDff_7J0KD5mKrp0Vvzr7lt3OU09vwQwhkpOPPYv2Y/edit?usp=sharing"",""งบพรบ!EL22"")"),0)</f>
        <v>0</v>
      </c>
      <c r="M328" s="224">
        <f ca="1">IFERROR(__xludf.DUMMYFUNCTION("IMPORTRANGE(""https://docs.google.com/spreadsheets/d/1-uDff_7J0KD5mKrp0Vvzr7lt3OU09vwQwhkpOPPYv2Y/edit?usp=sharing"",""งบพรบ!EO22"")"),0)</f>
        <v>0</v>
      </c>
      <c r="N328" s="224">
        <f ca="1">IFERROR(__xludf.DUMMYFUNCTION("IMPORTRANGE(""https://docs.google.com/spreadsheets/d/1-uDff_7J0KD5mKrp0Vvzr7lt3OU09vwQwhkpOPPYv2Y/edit?usp=sharing"",""งบพรบ!EQ22"")"),0)</f>
        <v>0</v>
      </c>
      <c r="O328" s="224">
        <f t="shared" ca="1" si="83"/>
        <v>0</v>
      </c>
      <c r="P328" s="224">
        <f t="shared" ca="1" si="84"/>
        <v>0</v>
      </c>
      <c r="Q328" s="224">
        <v>0</v>
      </c>
      <c r="R328" s="224">
        <v>0</v>
      </c>
      <c r="S328" s="224">
        <v>0</v>
      </c>
      <c r="T328" s="224">
        <f t="shared" si="85"/>
        <v>0</v>
      </c>
      <c r="U328" s="224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8" t="s">
        <v>38</v>
      </c>
      <c r="E329" s="141"/>
      <c r="F329" s="141"/>
      <c r="G329" s="142"/>
      <c r="H329" s="143"/>
      <c r="I329" s="135"/>
      <c r="J329" s="44"/>
      <c r="K329" s="45"/>
      <c r="L329" s="465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IFERROR(__xludf.DUMMYFUNCTION("IMPORTRANGE(""https://docs.google.com/spreadsheets/d/1eHaY18a8A9IcSdp1K8H6x8fbOy06t2VsZHhMHf-1x7Y/edit?usp=sharing"",""แผน!EJ22"")"),0)</f>
        <v>0</v>
      </c>
      <c r="J330" s="466">
        <v>0</v>
      </c>
      <c r="K330" s="224">
        <f ca="1">IF(I330&gt;0,J330*100/I330,0)</f>
        <v>0</v>
      </c>
      <c r="L330" s="465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57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569">
        <f ca="1">I344</f>
        <v>1060</v>
      </c>
      <c r="J332" s="568">
        <f ca="1">J344+J347+J348+J349+J353</f>
        <v>2745</v>
      </c>
      <c r="K332" s="567">
        <f ca="1">IF(I332&gt;0,J332*100/I332,0)</f>
        <v>258.96226415094338</v>
      </c>
      <c r="L332" s="539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472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471">
        <f ca="1">L334+L335</f>
        <v>110000</v>
      </c>
      <c r="M333" s="470">
        <f ca="1">M334+M335</f>
        <v>115000</v>
      </c>
      <c r="N333" s="470">
        <f ca="1">N334+N335</f>
        <v>101812.33</v>
      </c>
      <c r="O333" s="470">
        <f t="shared" ref="O333:O341" ca="1" si="89">IF(L333&gt;0,N333*100/L333,0)</f>
        <v>92.556663636363638</v>
      </c>
      <c r="P333" s="470">
        <f t="shared" ref="P333:P341" ca="1" si="90">IF(M333&gt;0,N333*100/M333,0)</f>
        <v>88.532460869565213</v>
      </c>
      <c r="Q333" s="470">
        <f>Q334+Q335</f>
        <v>0</v>
      </c>
      <c r="R333" s="470">
        <f>R334+R335</f>
        <v>0</v>
      </c>
      <c r="S333" s="470">
        <f>S334+S335</f>
        <v>0</v>
      </c>
      <c r="T333" s="470">
        <f t="shared" ref="T333:T341" si="91">IF(Q333&gt;0,S333*100/Q333,0)</f>
        <v>0</v>
      </c>
      <c r="U333" s="470">
        <f t="shared" ref="U333:U341" si="92"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469">
        <f t="shared" ref="L334:N335" si="93">L337+L340</f>
        <v>0</v>
      </c>
      <c r="M334" s="83">
        <f t="shared" si="93"/>
        <v>0</v>
      </c>
      <c r="N334" s="83">
        <f t="shared" si="93"/>
        <v>0</v>
      </c>
      <c r="O334" s="83">
        <f t="shared" si="89"/>
        <v>0</v>
      </c>
      <c r="P334" s="83">
        <f t="shared" si="90"/>
        <v>0</v>
      </c>
      <c r="Q334" s="83">
        <f t="shared" ref="Q334:S335" si="94">Q337+Q340</f>
        <v>0</v>
      </c>
      <c r="R334" s="83">
        <f t="shared" si="94"/>
        <v>0</v>
      </c>
      <c r="S334" s="83">
        <f t="shared" si="94"/>
        <v>0</v>
      </c>
      <c r="T334" s="83">
        <f t="shared" si="91"/>
        <v>0</v>
      </c>
      <c r="U334" s="83">
        <f t="shared" si="92"/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468">
        <f t="shared" ca="1" si="93"/>
        <v>110000</v>
      </c>
      <c r="M335" s="224">
        <f t="shared" ca="1" si="93"/>
        <v>115000</v>
      </c>
      <c r="N335" s="224">
        <f t="shared" ca="1" si="93"/>
        <v>101812.33</v>
      </c>
      <c r="O335" s="224">
        <f t="shared" ca="1" si="89"/>
        <v>92.556663636363638</v>
      </c>
      <c r="P335" s="224">
        <f t="shared" ca="1" si="90"/>
        <v>88.532460869565213</v>
      </c>
      <c r="Q335" s="224">
        <f t="shared" si="94"/>
        <v>0</v>
      </c>
      <c r="R335" s="224">
        <f t="shared" si="94"/>
        <v>0</v>
      </c>
      <c r="S335" s="224">
        <f t="shared" si="94"/>
        <v>0</v>
      </c>
      <c r="T335" s="224">
        <f t="shared" si="91"/>
        <v>0</v>
      </c>
      <c r="U335" s="224">
        <f t="shared" si="92"/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468">
        <f ca="1">L337+L338</f>
        <v>110000</v>
      </c>
      <c r="M336" s="224">
        <f ca="1">M337+M338</f>
        <v>115000</v>
      </c>
      <c r="N336" s="224">
        <f ca="1">N337+N338</f>
        <v>101812.33</v>
      </c>
      <c r="O336" s="224">
        <f t="shared" ca="1" si="89"/>
        <v>92.556663636363638</v>
      </c>
      <c r="P336" s="224">
        <f t="shared" ca="1" si="90"/>
        <v>88.532460869565213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 t="shared" si="91"/>
        <v>0</v>
      </c>
      <c r="U336" s="224">
        <f t="shared" si="92"/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469">
        <v>0</v>
      </c>
      <c r="M337" s="83">
        <v>0</v>
      </c>
      <c r="N337" s="83">
        <v>0</v>
      </c>
      <c r="O337" s="83">
        <f t="shared" si="89"/>
        <v>0</v>
      </c>
      <c r="P337" s="83">
        <f t="shared" si="90"/>
        <v>0</v>
      </c>
      <c r="Q337" s="83">
        <v>0</v>
      </c>
      <c r="R337" s="83">
        <v>0</v>
      </c>
      <c r="S337" s="83">
        <v>0</v>
      </c>
      <c r="T337" s="83">
        <f t="shared" si="91"/>
        <v>0</v>
      </c>
      <c r="U337" s="83">
        <f t="shared" si="92"/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468">
        <f ca="1">IFERROR(__xludf.DUMMYFUNCTION("IMPORTRANGE(""https://docs.google.com/spreadsheets/d/1-uDff_7J0KD5mKrp0Vvzr7lt3OU09vwQwhkpOPPYv2Y/edit?usp=sharing"",""งบพรบ!ES22"")"),110000)</f>
        <v>110000</v>
      </c>
      <c r="M338" s="224">
        <f ca="1">IFERROR(__xludf.DUMMYFUNCTION("IMPORTRANGE(""https://docs.google.com/spreadsheets/d/1-uDff_7J0KD5mKrp0Vvzr7lt3OU09vwQwhkpOPPYv2Y/edit?usp=sharing"",""งบพรบ!EX22"")"),115000)</f>
        <v>115000</v>
      </c>
      <c r="N338" s="224">
        <f ca="1">IFERROR(__xludf.DUMMYFUNCTION("IMPORTRANGE(""https://docs.google.com/spreadsheets/d/1-uDff_7J0KD5mKrp0Vvzr7lt3OU09vwQwhkpOPPYv2Y/edit?usp=sharing"",""งบพรบ!EZ22"")"),101812.33)</f>
        <v>101812.33</v>
      </c>
      <c r="O338" s="224">
        <f t="shared" ca="1" si="89"/>
        <v>92.556663636363638</v>
      </c>
      <c r="P338" s="224">
        <f t="shared" ca="1" si="90"/>
        <v>88.532460869565213</v>
      </c>
      <c r="Q338" s="224">
        <v>0</v>
      </c>
      <c r="R338" s="224">
        <v>0</v>
      </c>
      <c r="S338" s="224">
        <v>0</v>
      </c>
      <c r="T338" s="224">
        <f t="shared" si="91"/>
        <v>0</v>
      </c>
      <c r="U338" s="224">
        <f t="shared" si="92"/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468">
        <f ca="1">L340+L341</f>
        <v>0</v>
      </c>
      <c r="M339" s="224">
        <f ca="1">M340+M341</f>
        <v>0</v>
      </c>
      <c r="N339" s="224">
        <f ca="1">N340+N341</f>
        <v>0</v>
      </c>
      <c r="O339" s="224">
        <f t="shared" ca="1" si="89"/>
        <v>0</v>
      </c>
      <c r="P339" s="224">
        <f t="shared" ca="1" si="90"/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 t="shared" si="91"/>
        <v>0</v>
      </c>
      <c r="U339" s="224">
        <f t="shared" si="92"/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469">
        <v>0</v>
      </c>
      <c r="M340" s="83">
        <v>0</v>
      </c>
      <c r="N340" s="83">
        <v>0</v>
      </c>
      <c r="O340" s="83">
        <f t="shared" si="89"/>
        <v>0</v>
      </c>
      <c r="P340" s="83">
        <f t="shared" si="90"/>
        <v>0</v>
      </c>
      <c r="Q340" s="83">
        <v>0</v>
      </c>
      <c r="R340" s="83">
        <v>0</v>
      </c>
      <c r="S340" s="83">
        <v>0</v>
      </c>
      <c r="T340" s="83">
        <f t="shared" si="91"/>
        <v>0</v>
      </c>
      <c r="U340" s="83">
        <f t="shared" si="92"/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468">
        <f ca="1">IFERROR(__xludf.DUMMYFUNCTION("IMPORTRANGE(""https://docs.google.com/spreadsheets/d/1-uDff_7J0KD5mKrp0Vvzr7lt3OU09vwQwhkpOPPYv2Y/edit?usp=sharing"",""งบพรบ!EV22"")"),0)</f>
        <v>0</v>
      </c>
      <c r="M341" s="224">
        <f ca="1">IFERROR(__xludf.DUMMYFUNCTION("IMPORTRANGE(""https://docs.google.com/spreadsheets/d/1-uDff_7J0KD5mKrp0Vvzr7lt3OU09vwQwhkpOPPYv2Y/edit?usp=sharing"",""งบพรบ!EY22"")"),0)</f>
        <v>0</v>
      </c>
      <c r="N341" s="224">
        <f ca="1">IFERROR(__xludf.DUMMYFUNCTION("IMPORTRANGE(""https://docs.google.com/spreadsheets/d/1-uDff_7J0KD5mKrp0Vvzr7lt3OU09vwQwhkpOPPYv2Y/edit?usp=sharing"",""งบพรบ!FA22"")"),0)</f>
        <v>0</v>
      </c>
      <c r="O341" s="224">
        <f t="shared" ca="1" si="89"/>
        <v>0</v>
      </c>
      <c r="P341" s="224">
        <f t="shared" ca="1" si="90"/>
        <v>0</v>
      </c>
      <c r="Q341" s="224">
        <v>0</v>
      </c>
      <c r="R341" s="224">
        <v>0</v>
      </c>
      <c r="S341" s="224">
        <v>0</v>
      </c>
      <c r="T341" s="224">
        <f t="shared" si="91"/>
        <v>0</v>
      </c>
      <c r="U341" s="224">
        <f t="shared" si="92"/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465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566"/>
      <c r="B343" s="563"/>
      <c r="C343" s="565"/>
      <c r="D343" s="563"/>
      <c r="E343" s="564" t="s">
        <v>137</v>
      </c>
      <c r="F343" s="563"/>
      <c r="G343" s="562"/>
      <c r="H343" s="561" t="s">
        <v>35</v>
      </c>
      <c r="I343" s="560">
        <v>0</v>
      </c>
      <c r="J343" s="560">
        <f ca="1">J344+J347+J348+J349</f>
        <v>1276</v>
      </c>
      <c r="K343" s="559">
        <v>0</v>
      </c>
      <c r="L343" s="557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IFERROR(__xludf.DUMMYFUNCTION("IMPORTRANGE(""https://docs.google.com/spreadsheets/d/1eHaY18a8A9IcSdp1K8H6x8fbOy06t2VsZHhMHf-1x7Y/edit?usp=sharing"",""แผน!EK22"")"),1060)</f>
        <v>1060</v>
      </c>
      <c r="J344" s="184">
        <f ca="1">IFERROR(__xludf.DUMMYFUNCTION("IMPORTRANGE(""https://docs.google.com/spreadsheets/d/1awYsYK3VOup2i3Pq_Yjnu8DRu_mYwSBnCR2QPthd0rU/edit?usp=sharing"",""ศูนย์ยกเว้นโฉนด!D22"")"),1203)</f>
        <v>1203</v>
      </c>
      <c r="K344" s="224">
        <f ca="1">IF(I344&gt;0,J344*100/I344,0)</f>
        <v>113.49056603773585</v>
      </c>
      <c r="L344" s="465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465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IFERROR(__xludf.DUMMYFUNCTION("IMPORTRANGE(""https://docs.google.com/spreadsheets/d/1eHaY18a8A9IcSdp1K8H6x8fbOy06t2VsZHhMHf-1x7Y/edit?usp=sharing"",""แผน!EL22"")"),5)</f>
        <v>5</v>
      </c>
      <c r="J346" s="184">
        <f ca="1">IFERROR(__xludf.DUMMYFUNCTION("IMPORTRANGE(""https://docs.google.com/spreadsheets/d/1awYsYK3VOup2i3Pq_Yjnu8DRu_mYwSBnCR2QPthd0rU/edit?usp=sharing"",""ศูนย์รวม!E22"")"),5)</f>
        <v>5</v>
      </c>
      <c r="K346" s="224">
        <f ca="1">IF(I346&gt;0,J346*100/I346,0)</f>
        <v>100</v>
      </c>
      <c r="L346" s="465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IFERROR(__xludf.DUMMYFUNCTION("IMPORTRANGE(""https://docs.google.com/spreadsheets/d/1awYsYK3VOup2i3Pq_Yjnu8DRu_mYwSBnCR2QPthd0rU/edit?usp=sharing"",""ศูนย์ยกเว้นโฉนด!F22"")"),69)</f>
        <v>69</v>
      </c>
      <c r="K347" s="45"/>
      <c r="L347" s="465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IFERROR(__xludf.DUMMYFUNCTION("IMPORTRANGE(""https://docs.google.com/spreadsheets/d/1awYsYK3VOup2i3Pq_Yjnu8DRu_mYwSBnCR2QPthd0rU/edit?usp=sharing"",""ศูนย์ยกเว้นโฉนด!G22"")"),2)</f>
        <v>2</v>
      </c>
      <c r="K348" s="45"/>
      <c r="L348" s="465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IFERROR(__xludf.DUMMYFUNCTION("IMPORTRANGE(""https://docs.google.com/spreadsheets/d/1awYsYK3VOup2i3Pq_Yjnu8DRu_mYwSBnCR2QPthd0rU/edit?usp=sharing"",""ศูนย์ยกเว้นโฉนด!H22"")"),2)</f>
        <v>2</v>
      </c>
      <c r="K349" s="45"/>
      <c r="L349" s="465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0"/>
      <c r="F350" s="40"/>
      <c r="G350" s="42"/>
      <c r="H350" s="180"/>
      <c r="I350" s="44"/>
      <c r="J350" s="44"/>
      <c r="K350" s="45"/>
      <c r="L350" s="465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558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3044</v>
      </c>
      <c r="K351" s="304">
        <v>0</v>
      </c>
      <c r="L351" s="557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IFERROR(__xludf.DUMMYFUNCTION("IMPORTRANGE(""https://docs.google.com/spreadsheets/d/1awYsYK3VOup2i3Pq_Yjnu8DRu_mYwSBnCR2QPthd0rU/edit?usp=sharing"",""โฉนดM3!G22"")"),1575)</f>
        <v>1575</v>
      </c>
      <c r="K352" s="45"/>
      <c r="L352" s="465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IFERROR(__xludf.DUMMYFUNCTION("IMPORTRANGE(""https://docs.google.com/spreadsheets/d/1awYsYK3VOup2i3Pq_Yjnu8DRu_mYwSBnCR2QPthd0rU/edit?usp=sharing"",""โฉนดM3!H22"")"),1469)</f>
        <v>1469</v>
      </c>
      <c r="K353" s="45"/>
      <c r="L353" s="465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0"/>
      <c r="F354" s="40"/>
      <c r="G354" s="42"/>
      <c r="H354" s="180"/>
      <c r="I354" s="44"/>
      <c r="J354" s="44"/>
      <c r="K354" s="45"/>
      <c r="L354" s="465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539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472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471">
        <f ca="1">L357+L358</f>
        <v>405005</v>
      </c>
      <c r="M356" s="470">
        <f ca="1">M357+M358</f>
        <v>405005</v>
      </c>
      <c r="N356" s="470">
        <f ca="1">N357+N358</f>
        <v>305614.90000000002</v>
      </c>
      <c r="O356" s="470">
        <f t="shared" ref="O356:O364" ca="1" si="95">IF(L356&gt;0,N356*100/L356,0)</f>
        <v>75.459537536573634</v>
      </c>
      <c r="P356" s="470">
        <f t="shared" ref="P356:P364" ca="1" si="96">IF(M356&gt;0,N356*100/M356,0)</f>
        <v>75.459537536573634</v>
      </c>
      <c r="Q356" s="470">
        <f>Q357+Q358</f>
        <v>0</v>
      </c>
      <c r="R356" s="470">
        <f>R357+R358</f>
        <v>0</v>
      </c>
      <c r="S356" s="470">
        <f>S357+S358</f>
        <v>0</v>
      </c>
      <c r="T356" s="470">
        <f t="shared" ref="T356:T364" si="97">IF(Q356&gt;0,S356*100/Q356,0)</f>
        <v>0</v>
      </c>
      <c r="U356" s="470">
        <f t="shared" ref="U356:U364" si="98"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469">
        <f t="shared" ref="L357:N358" si="99">L360+L363</f>
        <v>0</v>
      </c>
      <c r="M357" s="83">
        <f t="shared" si="99"/>
        <v>0</v>
      </c>
      <c r="N357" s="83">
        <f t="shared" si="99"/>
        <v>0</v>
      </c>
      <c r="O357" s="83">
        <f t="shared" si="95"/>
        <v>0</v>
      </c>
      <c r="P357" s="83">
        <f t="shared" si="96"/>
        <v>0</v>
      </c>
      <c r="Q357" s="83">
        <f t="shared" ref="Q357:S358" si="100">Q360+Q363</f>
        <v>0</v>
      </c>
      <c r="R357" s="83">
        <f t="shared" si="100"/>
        <v>0</v>
      </c>
      <c r="S357" s="83">
        <f t="shared" si="100"/>
        <v>0</v>
      </c>
      <c r="T357" s="83">
        <f t="shared" si="97"/>
        <v>0</v>
      </c>
      <c r="U357" s="83">
        <f t="shared" si="98"/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468">
        <f t="shared" ca="1" si="99"/>
        <v>405005</v>
      </c>
      <c r="M358" s="224">
        <f t="shared" ca="1" si="99"/>
        <v>405005</v>
      </c>
      <c r="N358" s="224">
        <f t="shared" ca="1" si="99"/>
        <v>305614.90000000002</v>
      </c>
      <c r="O358" s="224">
        <f t="shared" ca="1" si="95"/>
        <v>75.459537536573634</v>
      </c>
      <c r="P358" s="224">
        <f t="shared" ca="1" si="96"/>
        <v>75.459537536573634</v>
      </c>
      <c r="Q358" s="224">
        <f t="shared" si="100"/>
        <v>0</v>
      </c>
      <c r="R358" s="224">
        <f t="shared" si="100"/>
        <v>0</v>
      </c>
      <c r="S358" s="224">
        <f t="shared" si="100"/>
        <v>0</v>
      </c>
      <c r="T358" s="224">
        <f t="shared" si="97"/>
        <v>0</v>
      </c>
      <c r="U358" s="224">
        <f t="shared" si="98"/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468">
        <f ca="1">L360+L361</f>
        <v>405005</v>
      </c>
      <c r="M359" s="224">
        <f ca="1">M360+M361</f>
        <v>405005</v>
      </c>
      <c r="N359" s="224">
        <f ca="1">N360+N361</f>
        <v>305614.90000000002</v>
      </c>
      <c r="O359" s="224">
        <f t="shared" ca="1" si="95"/>
        <v>75.459537536573634</v>
      </c>
      <c r="P359" s="224">
        <f t="shared" ca="1" si="96"/>
        <v>75.459537536573634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 t="shared" si="97"/>
        <v>0</v>
      </c>
      <c r="U359" s="224">
        <f t="shared" si="98"/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469">
        <v>0</v>
      </c>
      <c r="M360" s="83">
        <v>0</v>
      </c>
      <c r="N360" s="83">
        <v>0</v>
      </c>
      <c r="O360" s="83">
        <f t="shared" si="95"/>
        <v>0</v>
      </c>
      <c r="P360" s="83">
        <f t="shared" si="96"/>
        <v>0</v>
      </c>
      <c r="Q360" s="83">
        <v>0</v>
      </c>
      <c r="R360" s="83">
        <v>0</v>
      </c>
      <c r="S360" s="83">
        <v>0</v>
      </c>
      <c r="T360" s="83">
        <f t="shared" si="97"/>
        <v>0</v>
      </c>
      <c r="U360" s="83">
        <f t="shared" si="98"/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468">
        <f ca="1">IFERROR(__xludf.DUMMYFUNCTION("IMPORTRANGE(""https://docs.google.com/spreadsheets/d/1-uDff_7J0KD5mKrp0Vvzr7lt3OU09vwQwhkpOPPYv2Y/edit?usp=sharing"",""งบพรบ!FC22"")"),405005)</f>
        <v>405005</v>
      </c>
      <c r="M361" s="224">
        <f ca="1">IFERROR(__xludf.DUMMYFUNCTION("IMPORTRANGE(""https://docs.google.com/spreadsheets/d/1-uDff_7J0KD5mKrp0Vvzr7lt3OU09vwQwhkpOPPYv2Y/edit?usp=sharing"",""งบพรบ!FH22"")"),405005)</f>
        <v>405005</v>
      </c>
      <c r="N361" s="224">
        <f ca="1">IFERROR(__xludf.DUMMYFUNCTION("IMPORTRANGE(""https://docs.google.com/spreadsheets/d/1-uDff_7J0KD5mKrp0Vvzr7lt3OU09vwQwhkpOPPYv2Y/edit?usp=sharing"",""งบพรบ!FJ22"")"),305614.9)</f>
        <v>305614.90000000002</v>
      </c>
      <c r="O361" s="224">
        <f t="shared" ca="1" si="95"/>
        <v>75.459537536573634</v>
      </c>
      <c r="P361" s="224">
        <f t="shared" ca="1" si="96"/>
        <v>75.459537536573634</v>
      </c>
      <c r="Q361" s="224">
        <v>0</v>
      </c>
      <c r="R361" s="224">
        <v>0</v>
      </c>
      <c r="S361" s="224">
        <v>0</v>
      </c>
      <c r="T361" s="224">
        <f t="shared" si="97"/>
        <v>0</v>
      </c>
      <c r="U361" s="224">
        <f t="shared" si="98"/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468">
        <f ca="1">L363+L364</f>
        <v>0</v>
      </c>
      <c r="M362" s="224">
        <f ca="1">M363+M364</f>
        <v>0</v>
      </c>
      <c r="N362" s="224">
        <f ca="1">N363+N364</f>
        <v>0</v>
      </c>
      <c r="O362" s="224">
        <f t="shared" ca="1" si="95"/>
        <v>0</v>
      </c>
      <c r="P362" s="224">
        <f t="shared" ca="1" si="96"/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 t="shared" si="97"/>
        <v>0</v>
      </c>
      <c r="U362" s="224">
        <f t="shared" si="98"/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469">
        <v>0</v>
      </c>
      <c r="M363" s="83">
        <v>0</v>
      </c>
      <c r="N363" s="83">
        <v>0</v>
      </c>
      <c r="O363" s="83">
        <f t="shared" si="95"/>
        <v>0</v>
      </c>
      <c r="P363" s="83">
        <f t="shared" si="96"/>
        <v>0</v>
      </c>
      <c r="Q363" s="83">
        <v>0</v>
      </c>
      <c r="R363" s="83">
        <v>0</v>
      </c>
      <c r="S363" s="83">
        <v>0</v>
      </c>
      <c r="T363" s="83">
        <f t="shared" si="97"/>
        <v>0</v>
      </c>
      <c r="U363" s="83">
        <f t="shared" si="98"/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468">
        <f ca="1">IFERROR(__xludf.DUMMYFUNCTION("IMPORTRANGE(""https://docs.google.com/spreadsheets/d/1-uDff_7J0KD5mKrp0Vvzr7lt3OU09vwQwhkpOPPYv2Y/edit?usp=sharing"",""งบพรบ!FF22"")"),0)</f>
        <v>0</v>
      </c>
      <c r="M364" s="224">
        <f ca="1">IFERROR(__xludf.DUMMYFUNCTION("IMPORTRANGE(""https://docs.google.com/spreadsheets/d/1-uDff_7J0KD5mKrp0Vvzr7lt3OU09vwQwhkpOPPYv2Y/edit?usp=sharing"",""งบพรบ!FI22"")"),0)</f>
        <v>0</v>
      </c>
      <c r="N364" s="224">
        <f ca="1">IFERROR(__xludf.DUMMYFUNCTION("IMPORTRANGE(""https://docs.google.com/spreadsheets/d/1-uDff_7J0KD5mKrp0Vvzr7lt3OU09vwQwhkpOPPYv2Y/edit?usp=sharing"",""งบพรบ!FK22"")"),0)</f>
        <v>0</v>
      </c>
      <c r="O364" s="224">
        <f t="shared" ca="1" si="95"/>
        <v>0</v>
      </c>
      <c r="P364" s="224">
        <f t="shared" ca="1" si="96"/>
        <v>0</v>
      </c>
      <c r="Q364" s="224">
        <v>0</v>
      </c>
      <c r="R364" s="224">
        <v>0</v>
      </c>
      <c r="S364" s="224">
        <v>0</v>
      </c>
      <c r="T364" s="224">
        <f t="shared" si="97"/>
        <v>0</v>
      </c>
      <c r="U364" s="224">
        <f t="shared" si="98"/>
        <v>0</v>
      </c>
    </row>
    <row r="365" spans="1:21" ht="19.5" x14ac:dyDescent="0.3">
      <c r="A365" s="211"/>
      <c r="B365" s="212"/>
      <c r="C365" s="214"/>
      <c r="D365" s="558" t="s">
        <v>149</v>
      </c>
      <c r="E365" s="214"/>
      <c r="F365" s="214"/>
      <c r="G365" s="215"/>
      <c r="H365" s="223" t="s">
        <v>35</v>
      </c>
      <c r="I365" s="303">
        <f ca="1">I371</f>
        <v>157</v>
      </c>
      <c r="J365" s="303">
        <f ca="1">J371</f>
        <v>65</v>
      </c>
      <c r="K365" s="304">
        <f ca="1">IF(I365&gt;0,J365*100/I365,0)</f>
        <v>41.401273885350321</v>
      </c>
      <c r="L365" s="557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498" t="s">
        <v>38</v>
      </c>
      <c r="E366" s="141"/>
      <c r="F366" s="141"/>
      <c r="G366" s="142"/>
      <c r="H366" s="143"/>
      <c r="I366" s="44"/>
      <c r="J366" s="44"/>
      <c r="K366" s="45"/>
      <c r="L366" s="4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IFERROR(__xludf.DUMMYFUNCTION("IMPORTRANGE(""https://docs.google.com/spreadsheets/d/1tdoBKaGub7dwA3U6UFTqxio9LNnvDCQjHKmttSEBsFQ/edit?usp=sharing"",""จัดที่ดิน!AB22"")"),11)</f>
        <v>11</v>
      </c>
      <c r="K367" s="224">
        <f t="shared" ref="K367:K372" si="101">IF(I367&gt;0,J367*100/I367,0)</f>
        <v>0</v>
      </c>
      <c r="L367" s="4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IFERROR(__xludf.DUMMYFUNCTION("IMPORTRANGE(""https://docs.google.com/spreadsheets/d/1eHaY18a8A9IcSdp1K8H6x8fbOy06t2VsZHhMHf-1x7Y/edit?usp=sharing"",""แผน!EW22"")"),605)</f>
        <v>605</v>
      </c>
      <c r="J368" s="556">
        <f ca="1">IFERROR(__xludf.DUMMYFUNCTION("IMPORTRANGE(""https://docs.google.com/spreadsheets/d/1tdoBKaGub7dwA3U6UFTqxio9LNnvDCQjHKmttSEBsFQ/edit?usp=sharing"",""จัดที่ดิน!AC22"")"),52.65)</f>
        <v>52.65</v>
      </c>
      <c r="K368" s="224">
        <f t="shared" ca="1" si="101"/>
        <v>8.7024793388429753</v>
      </c>
      <c r="L368" s="4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IFERROR(__xludf.DUMMYFUNCTION("IMPORTRANGE(""https://docs.google.com/spreadsheets/d/1eHaY18a8A9IcSdp1K8H6x8fbOy06t2VsZHhMHf-1x7Y/edit?usp=sharing"",""แผน!EX22"")"),157)</f>
        <v>157</v>
      </c>
      <c r="J369" s="184">
        <f ca="1">IFERROR(__xludf.DUMMYFUNCTION("IMPORTRANGE(""https://docs.google.com/spreadsheets/d/1tdoBKaGub7dwA3U6UFTqxio9LNnvDCQjHKmttSEBsFQ/edit?usp=sharing"",""จัดที่ดิน!AD22"")"),65)</f>
        <v>65</v>
      </c>
      <c r="K369" s="224">
        <f t="shared" ca="1" si="101"/>
        <v>41.401273885350321</v>
      </c>
      <c r="L369" s="4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556">
        <f ca="1">IFERROR(__xludf.DUMMYFUNCTION("IMPORTRANGE(""https://docs.google.com/spreadsheets/d/1tdoBKaGub7dwA3U6UFTqxio9LNnvDCQjHKmttSEBsFQ/edit?usp=sharing"",""จัดที่ดิน!AE22"")"),1014.2)</f>
        <v>1014.2</v>
      </c>
      <c r="K370" s="224">
        <f t="shared" si="101"/>
        <v>0</v>
      </c>
      <c r="L370" s="4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IFERROR(__xludf.DUMMYFUNCTION("IMPORTRANGE(""https://docs.google.com/spreadsheets/d/1eHaY18a8A9IcSdp1K8H6x8fbOy06t2VsZHhMHf-1x7Y/edit?usp=sharing"",""แผน!EY22"")"),157)</f>
        <v>157</v>
      </c>
      <c r="J371" s="184">
        <f ca="1">IFERROR(__xludf.DUMMYFUNCTION("IMPORTRANGE(""https://docs.google.com/spreadsheets/d/1tdoBKaGub7dwA3U6UFTqxio9LNnvDCQjHKmttSEBsFQ/edit?usp=sharing"",""จัดที่ดิน!AF22"")"),65)</f>
        <v>65</v>
      </c>
      <c r="K371" s="224">
        <f t="shared" ca="1" si="101"/>
        <v>41.401273885350321</v>
      </c>
      <c r="L371" s="4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556">
        <f ca="1">IFERROR(__xludf.DUMMYFUNCTION("IMPORTRANGE(""https://docs.google.com/spreadsheets/d/1tdoBKaGub7dwA3U6UFTqxio9LNnvDCQjHKmttSEBsFQ/edit?usp=sharing"",""จัดที่ดิน!AG22"")"),1014.2)</f>
        <v>1014.2</v>
      </c>
      <c r="K372" s="224">
        <f t="shared" si="101"/>
        <v>0</v>
      </c>
      <c r="L372" s="4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2"/>
      <c r="H373" s="52"/>
      <c r="I373" s="54"/>
      <c r="J373" s="54"/>
      <c r="K373" s="3"/>
      <c r="L373" s="46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555"/>
      <c r="B374" s="554" t="s">
        <v>153</v>
      </c>
      <c r="C374" s="553"/>
      <c r="D374" s="552"/>
      <c r="E374" s="551"/>
      <c r="F374" s="551"/>
      <c r="G374" s="550"/>
      <c r="H374" s="549" t="s">
        <v>46</v>
      </c>
      <c r="I374" s="548">
        <f ca="1">I386+I388</f>
        <v>1000</v>
      </c>
      <c r="J374" s="548">
        <f ca="1">J386+J388</f>
        <v>0</v>
      </c>
      <c r="K374" s="547">
        <f ca="1">IF(I374&gt;0,J374*100/I374,0)</f>
        <v>0</v>
      </c>
      <c r="L374" s="539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128"/>
      <c r="B375" s="158"/>
      <c r="C375" s="161" t="s">
        <v>18</v>
      </c>
      <c r="D375" s="544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471">
        <f>L376+L377</f>
        <v>0</v>
      </c>
      <c r="M375" s="470">
        <f>M376+M377</f>
        <v>0</v>
      </c>
      <c r="N375" s="470">
        <f>N376+N377</f>
        <v>0</v>
      </c>
      <c r="O375" s="470">
        <f t="shared" ref="O375:O383" si="102">IF(L375&gt;0,N375*100/L375,0)</f>
        <v>0</v>
      </c>
      <c r="P375" s="470">
        <f t="shared" ref="P375:P383" si="103">IF(M375&gt;0,N375*100/M375,0)</f>
        <v>0</v>
      </c>
      <c r="Q375" s="470">
        <f ca="1">Q376+Q377</f>
        <v>62500</v>
      </c>
      <c r="R375" s="470">
        <f ca="1">R376+R377</f>
        <v>0</v>
      </c>
      <c r="S375" s="470">
        <f ca="1">S376+S377</f>
        <v>0</v>
      </c>
      <c r="T375" s="470">
        <f t="shared" ref="T375:T383" ca="1" si="104">IF(Q375&gt;0,S375*100/Q375,0)</f>
        <v>0</v>
      </c>
      <c r="U375" s="470">
        <f t="shared" ref="U375:U383" ca="1" si="105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469">
        <f t="shared" ref="L376:N377" si="106">L379+L382</f>
        <v>0</v>
      </c>
      <c r="M376" s="83">
        <f t="shared" si="106"/>
        <v>0</v>
      </c>
      <c r="N376" s="83">
        <f t="shared" si="106"/>
        <v>0</v>
      </c>
      <c r="O376" s="83">
        <f t="shared" si="102"/>
        <v>0</v>
      </c>
      <c r="P376" s="83">
        <f t="shared" si="103"/>
        <v>0</v>
      </c>
      <c r="Q376" s="83">
        <f t="shared" ref="Q376:S377" si="107">Q379+Q382</f>
        <v>0</v>
      </c>
      <c r="R376" s="83">
        <f t="shared" si="107"/>
        <v>0</v>
      </c>
      <c r="S376" s="83">
        <f t="shared" si="107"/>
        <v>0</v>
      </c>
      <c r="T376" s="83">
        <f t="shared" si="104"/>
        <v>0</v>
      </c>
      <c r="U376" s="83">
        <f t="shared" si="105"/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468">
        <f t="shared" si="106"/>
        <v>0</v>
      </c>
      <c r="M377" s="224">
        <f t="shared" si="106"/>
        <v>0</v>
      </c>
      <c r="N377" s="224">
        <f t="shared" si="106"/>
        <v>0</v>
      </c>
      <c r="O377" s="224">
        <f t="shared" si="102"/>
        <v>0</v>
      </c>
      <c r="P377" s="224">
        <f t="shared" si="103"/>
        <v>0</v>
      </c>
      <c r="Q377" s="224">
        <f t="shared" ca="1" si="107"/>
        <v>62500</v>
      </c>
      <c r="R377" s="224">
        <f t="shared" ca="1" si="107"/>
        <v>0</v>
      </c>
      <c r="S377" s="224">
        <f t="shared" ca="1" si="107"/>
        <v>0</v>
      </c>
      <c r="T377" s="224">
        <f t="shared" ca="1" si="104"/>
        <v>0</v>
      </c>
      <c r="U377" s="224">
        <f t="shared" ca="1" si="105"/>
        <v>0</v>
      </c>
    </row>
    <row r="378" spans="1:21" ht="18.75" x14ac:dyDescent="0.25">
      <c r="A378" s="128"/>
      <c r="B378" s="158"/>
      <c r="C378" s="158"/>
      <c r="D378" s="53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468">
        <f>L379+L380</f>
        <v>0</v>
      </c>
      <c r="M378" s="224">
        <f>M379+M380</f>
        <v>0</v>
      </c>
      <c r="N378" s="224">
        <f>N379+N380</f>
        <v>0</v>
      </c>
      <c r="O378" s="224">
        <f t="shared" si="102"/>
        <v>0</v>
      </c>
      <c r="P378" s="224">
        <f t="shared" si="103"/>
        <v>0</v>
      </c>
      <c r="Q378" s="224">
        <f ca="1">Q379+Q380</f>
        <v>62500</v>
      </c>
      <c r="R378" s="224">
        <f ca="1">R379+R380</f>
        <v>0</v>
      </c>
      <c r="S378" s="224">
        <f ca="1">S379+S380</f>
        <v>0</v>
      </c>
      <c r="T378" s="224">
        <f t="shared" ca="1" si="104"/>
        <v>0</v>
      </c>
      <c r="U378" s="224">
        <f t="shared" ca="1" si="105"/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469">
        <v>0</v>
      </c>
      <c r="M379" s="83">
        <v>0</v>
      </c>
      <c r="N379" s="83">
        <v>0</v>
      </c>
      <c r="O379" s="83">
        <f t="shared" si="102"/>
        <v>0</v>
      </c>
      <c r="P379" s="83">
        <f t="shared" si="103"/>
        <v>0</v>
      </c>
      <c r="Q379" s="83">
        <v>0</v>
      </c>
      <c r="R379" s="83">
        <v>0</v>
      </c>
      <c r="S379" s="83">
        <v>0</v>
      </c>
      <c r="T379" s="83">
        <f t="shared" si="104"/>
        <v>0</v>
      </c>
      <c r="U379" s="83">
        <f t="shared" si="105"/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468">
        <v>0</v>
      </c>
      <c r="M380" s="224">
        <v>0</v>
      </c>
      <c r="N380" s="224">
        <v>0</v>
      </c>
      <c r="O380" s="224">
        <f t="shared" si="102"/>
        <v>0</v>
      </c>
      <c r="P380" s="224">
        <f t="shared" si="103"/>
        <v>0</v>
      </c>
      <c r="Q380" s="224">
        <f ca="1">IFERROR(__xludf.DUMMYFUNCTION("IMPORTRANGE(""https://docs.google.com/spreadsheets/d/1ItG2mGa2ceCfYo0BwxsXqNm01IGEUdYcSSLTEv9YCik/edit?usp=sharing"",""เบิกจ่ายกองทุน!AY22"")"),62500)</f>
        <v>62500</v>
      </c>
      <c r="R380" s="224">
        <f ca="1">IFERROR(__xludf.DUMMYFUNCTION("IMPORTRANGE(""https://docs.google.com/spreadsheets/d/1ItG2mGa2ceCfYo0BwxsXqNm01IGEUdYcSSLTEv9YCik/edit?usp=sharing"",""เบิกจ่ายกองทุน!AZ22"")"),0)</f>
        <v>0</v>
      </c>
      <c r="S380" s="224">
        <f ca="1">IFERROR(__xludf.DUMMYFUNCTION("IMPORTRANGE(""https://docs.google.com/spreadsheets/d/1ItG2mGa2ceCfYo0BwxsXqNm01IGEUdYcSSLTEv9YCik/edit?usp=sharing"",""เบิกจ่ายกองทุน!BA22"")"),0)</f>
        <v>0</v>
      </c>
      <c r="T380" s="224">
        <f t="shared" ca="1" si="104"/>
        <v>0</v>
      </c>
      <c r="U380" s="224">
        <f t="shared" ca="1" si="105"/>
        <v>0</v>
      </c>
    </row>
    <row r="381" spans="1:21" ht="18.75" x14ac:dyDescent="0.25">
      <c r="A381" s="128"/>
      <c r="B381" s="158"/>
      <c r="C381" s="158"/>
      <c r="D381" s="53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468">
        <f>L382+L383</f>
        <v>0</v>
      </c>
      <c r="M381" s="224">
        <f>M382+M383</f>
        <v>0</v>
      </c>
      <c r="N381" s="224">
        <f>N382+N383</f>
        <v>0</v>
      </c>
      <c r="O381" s="224">
        <f t="shared" si="102"/>
        <v>0</v>
      </c>
      <c r="P381" s="224">
        <f t="shared" si="103"/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 t="shared" si="104"/>
        <v>0</v>
      </c>
      <c r="U381" s="224">
        <f t="shared" si="105"/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469">
        <v>0</v>
      </c>
      <c r="M382" s="83">
        <v>0</v>
      </c>
      <c r="N382" s="83">
        <v>0</v>
      </c>
      <c r="O382" s="83">
        <f t="shared" si="102"/>
        <v>0</v>
      </c>
      <c r="P382" s="83">
        <f t="shared" si="103"/>
        <v>0</v>
      </c>
      <c r="Q382" s="83">
        <v>0</v>
      </c>
      <c r="R382" s="83">
        <v>0</v>
      </c>
      <c r="S382" s="83">
        <v>0</v>
      </c>
      <c r="T382" s="83">
        <f t="shared" si="104"/>
        <v>0</v>
      </c>
      <c r="U382" s="83">
        <f t="shared" si="105"/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468">
        <v>0</v>
      </c>
      <c r="M383" s="224">
        <v>0</v>
      </c>
      <c r="N383" s="224">
        <v>0</v>
      </c>
      <c r="O383" s="224">
        <f t="shared" si="102"/>
        <v>0</v>
      </c>
      <c r="P383" s="224">
        <f t="shared" si="103"/>
        <v>0</v>
      </c>
      <c r="Q383" s="224">
        <v>0</v>
      </c>
      <c r="R383" s="224">
        <v>0</v>
      </c>
      <c r="S383" s="224">
        <v>0</v>
      </c>
      <c r="T383" s="224">
        <f t="shared" si="104"/>
        <v>0</v>
      </c>
      <c r="U383" s="224">
        <f t="shared" si="105"/>
        <v>0</v>
      </c>
    </row>
    <row r="384" spans="1:21" ht="19.5" x14ac:dyDescent="0.3">
      <c r="A384" s="138"/>
      <c r="B384" s="139"/>
      <c r="C384" s="161" t="s">
        <v>18</v>
      </c>
      <c r="D384" s="491" t="s">
        <v>38</v>
      </c>
      <c r="E384" s="141"/>
      <c r="F384" s="141"/>
      <c r="G384" s="142"/>
      <c r="H384" s="178"/>
      <c r="I384" s="135"/>
      <c r="J384" s="44"/>
      <c r="K384" s="45"/>
      <c r="L384" s="465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IFERROR(__xludf.DUMMYFUNCTION("IMPORTRANGE(""https://docs.google.com/spreadsheets/d/1w5rwWK1o49a35cNtocGL0gxDwhFSTZUQu90BiH9_zqM/edit?usp=sharing"",""RTK!H22"")"),0)</f>
        <v>0</v>
      </c>
      <c r="K385" s="224">
        <f>IF(I385&gt;0,J385*100/I385,0)</f>
        <v>0</v>
      </c>
      <c r="L385" s="465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IFERROR(__xludf.DUMMYFUNCTION("IMPORTRANGE(""https://docs.google.com/spreadsheets/d/1w5rwWK1o49a35cNtocGL0gxDwhFSTZUQu90BiH9_zqM/edit?usp=sharing"",""RTK!G22"")"),1000)</f>
        <v>1000</v>
      </c>
      <c r="J386" s="184">
        <f ca="1">IFERROR(__xludf.DUMMYFUNCTION("IMPORTRANGE(""https://docs.google.com/spreadsheets/d/1w5rwWK1o49a35cNtocGL0gxDwhFSTZUQu90BiH9_zqM/edit?usp=sharing"",""RTK!I22"")"),0)</f>
        <v>0</v>
      </c>
      <c r="K386" s="224">
        <f ca="1">IF(I386&gt;0,J386*100/I386,0)</f>
        <v>0</v>
      </c>
      <c r="L386" s="465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545"/>
      <c r="B387" s="545"/>
      <c r="C387" s="545"/>
      <c r="D387" s="545"/>
      <c r="E387" s="546" t="s">
        <v>155</v>
      </c>
      <c r="F387" s="545"/>
      <c r="G387" s="488"/>
      <c r="H387" s="480" t="s">
        <v>34</v>
      </c>
      <c r="I387" s="487">
        <v>0</v>
      </c>
      <c r="J387" s="487">
        <f ca="1">IFERROR(__xludf.DUMMYFUNCTION("IMPORTRANGE(""https://docs.google.com/spreadsheets/d/1w5rwWK1o49a35cNtocGL0gxDwhFSTZUQu90BiH9_zqM/edit?usp=sharing"",""RTK!L22"")"),0)</f>
        <v>0</v>
      </c>
      <c r="K387" s="486">
        <f>IF(I387&gt;0,J387*100/I387,0)</f>
        <v>0</v>
      </c>
      <c r="L387" s="477"/>
      <c r="M387" s="476"/>
      <c r="N387" s="476"/>
      <c r="O387" s="476"/>
      <c r="P387" s="476"/>
      <c r="Q387" s="476"/>
      <c r="R387" s="476"/>
      <c r="S387" s="476"/>
      <c r="T387" s="476"/>
      <c r="U387" s="476"/>
    </row>
    <row r="388" spans="1:21" ht="18.75" x14ac:dyDescent="0.25">
      <c r="A388" s="545"/>
      <c r="B388" s="545"/>
      <c r="C388" s="545"/>
      <c r="D388" s="545"/>
      <c r="E388" s="545"/>
      <c r="F388" s="545"/>
      <c r="G388" s="488"/>
      <c r="H388" s="480" t="s">
        <v>46</v>
      </c>
      <c r="I388" s="487">
        <f ca="1">IFERROR(__xludf.DUMMYFUNCTION("IMPORTRANGE(""https://docs.google.com/spreadsheets/d/1w5rwWK1o49a35cNtocGL0gxDwhFSTZUQu90BiH9_zqM/edit?usp=sharing"",""RTK!K22"")"),0)</f>
        <v>0</v>
      </c>
      <c r="J388" s="487">
        <f ca="1">IFERROR(__xludf.DUMMYFUNCTION("IMPORTRANGE(""https://docs.google.com/spreadsheets/d/1w5rwWK1o49a35cNtocGL0gxDwhFSTZUQu90BiH9_zqM/edit?usp=sharing"",""RTK!M22"")"),0)</f>
        <v>0</v>
      </c>
      <c r="K388" s="486">
        <f ca="1">IF(I388&gt;0,J388*100/I388,0)</f>
        <v>0</v>
      </c>
      <c r="L388" s="477"/>
      <c r="M388" s="476"/>
      <c r="N388" s="476"/>
      <c r="O388" s="476"/>
      <c r="P388" s="476"/>
      <c r="Q388" s="476"/>
      <c r="R388" s="476"/>
      <c r="S388" s="476"/>
      <c r="T388" s="476"/>
      <c r="U388" s="476"/>
    </row>
    <row r="389" spans="1:21" ht="12.75" hidden="1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11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16"/>
      <c r="B390" s="316"/>
      <c r="C390" s="316"/>
      <c r="D390" s="316"/>
      <c r="E390" s="316"/>
      <c r="F390" s="316"/>
      <c r="G390" s="317"/>
      <c r="H390" s="317"/>
      <c r="I390" s="318"/>
      <c r="J390" s="318"/>
      <c r="K390" s="319"/>
      <c r="L390" s="496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hidden="1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>I402</f>
        <v>0</v>
      </c>
      <c r="J391" s="307">
        <f>J402</f>
        <v>0</v>
      </c>
      <c r="K391" s="540">
        <f>IF(I391&gt;0,J391*100/I391,0)</f>
        <v>0</v>
      </c>
      <c r="L391" s="539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hidden="1" x14ac:dyDescent="0.3">
      <c r="A392" s="128"/>
      <c r="B392" s="158"/>
      <c r="C392" s="161" t="s">
        <v>18</v>
      </c>
      <c r="D392" s="54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471">
        <f>L393+L394</f>
        <v>0</v>
      </c>
      <c r="M392" s="470">
        <f>M393+M394</f>
        <v>0</v>
      </c>
      <c r="N392" s="470">
        <f>N393+N394</f>
        <v>0</v>
      </c>
      <c r="O392" s="470">
        <f t="shared" ref="O392:O400" si="108">IF(L392&gt;0,N392*100/L392,0)</f>
        <v>0</v>
      </c>
      <c r="P392" s="470">
        <f t="shared" ref="P392:P400" si="109">IF(M392&gt;0,N392*100/M392,0)</f>
        <v>0</v>
      </c>
      <c r="Q392" s="470">
        <f>Q393+Q394</f>
        <v>0</v>
      </c>
      <c r="R392" s="470">
        <f>R393+R394</f>
        <v>0</v>
      </c>
      <c r="S392" s="470">
        <f>S393+S394</f>
        <v>0</v>
      </c>
      <c r="T392" s="470">
        <f t="shared" ref="T392:T400" si="110">IF(Q392&gt;0,S392*100/Q392,0)</f>
        <v>0</v>
      </c>
      <c r="U392" s="470">
        <f t="shared" ref="U392:U400" si="11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469">
        <f t="shared" ref="L393:N394" si="112">L396+L399</f>
        <v>0</v>
      </c>
      <c r="M393" s="83">
        <f t="shared" si="112"/>
        <v>0</v>
      </c>
      <c r="N393" s="83">
        <f t="shared" si="112"/>
        <v>0</v>
      </c>
      <c r="O393" s="83">
        <f t="shared" si="108"/>
        <v>0</v>
      </c>
      <c r="P393" s="83">
        <f t="shared" si="109"/>
        <v>0</v>
      </c>
      <c r="Q393" s="83">
        <f t="shared" ref="Q393:S394" si="113">Q396+Q399</f>
        <v>0</v>
      </c>
      <c r="R393" s="83">
        <f t="shared" si="113"/>
        <v>0</v>
      </c>
      <c r="S393" s="83">
        <f t="shared" si="113"/>
        <v>0</v>
      </c>
      <c r="T393" s="83">
        <f t="shared" si="110"/>
        <v>0</v>
      </c>
      <c r="U393" s="83">
        <f t="shared" si="111"/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468">
        <f t="shared" si="112"/>
        <v>0</v>
      </c>
      <c r="M394" s="224">
        <f t="shared" si="112"/>
        <v>0</v>
      </c>
      <c r="N394" s="224">
        <f t="shared" si="112"/>
        <v>0</v>
      </c>
      <c r="O394" s="224">
        <f t="shared" si="108"/>
        <v>0</v>
      </c>
      <c r="P394" s="224">
        <f t="shared" si="109"/>
        <v>0</v>
      </c>
      <c r="Q394" s="224">
        <f t="shared" si="113"/>
        <v>0</v>
      </c>
      <c r="R394" s="224">
        <f t="shared" si="113"/>
        <v>0</v>
      </c>
      <c r="S394" s="224">
        <f t="shared" si="113"/>
        <v>0</v>
      </c>
      <c r="T394" s="224">
        <f t="shared" si="110"/>
        <v>0</v>
      </c>
      <c r="U394" s="224">
        <f t="shared" si="111"/>
        <v>0</v>
      </c>
    </row>
    <row r="395" spans="1:21" ht="18.75" hidden="1" x14ac:dyDescent="0.25">
      <c r="A395" s="128"/>
      <c r="B395" s="158"/>
      <c r="C395" s="158"/>
      <c r="D395" s="53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468">
        <f>L396+L397</f>
        <v>0</v>
      </c>
      <c r="M395" s="224">
        <f>M396+M397</f>
        <v>0</v>
      </c>
      <c r="N395" s="224">
        <f>N396+N397</f>
        <v>0</v>
      </c>
      <c r="O395" s="224">
        <f t="shared" si="108"/>
        <v>0</v>
      </c>
      <c r="P395" s="224">
        <f t="shared" si="109"/>
        <v>0</v>
      </c>
      <c r="Q395" s="224">
        <f>Q396+Q397</f>
        <v>0</v>
      </c>
      <c r="R395" s="224">
        <f>R396+R397</f>
        <v>0</v>
      </c>
      <c r="S395" s="224">
        <f>S396+S397</f>
        <v>0</v>
      </c>
      <c r="T395" s="224">
        <f t="shared" si="110"/>
        <v>0</v>
      </c>
      <c r="U395" s="224">
        <f t="shared" si="111"/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469">
        <v>0</v>
      </c>
      <c r="M396" s="83">
        <v>0</v>
      </c>
      <c r="N396" s="83">
        <v>0</v>
      </c>
      <c r="O396" s="83">
        <f t="shared" si="108"/>
        <v>0</v>
      </c>
      <c r="P396" s="83">
        <f t="shared" si="109"/>
        <v>0</v>
      </c>
      <c r="Q396" s="83">
        <v>0</v>
      </c>
      <c r="R396" s="83">
        <v>0</v>
      </c>
      <c r="S396" s="83">
        <v>0</v>
      </c>
      <c r="T396" s="83">
        <f t="shared" si="110"/>
        <v>0</v>
      </c>
      <c r="U396" s="83">
        <f t="shared" si="111"/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468">
        <v>0</v>
      </c>
      <c r="M397" s="224">
        <v>0</v>
      </c>
      <c r="N397" s="224">
        <v>0</v>
      </c>
      <c r="O397" s="224">
        <f t="shared" si="108"/>
        <v>0</v>
      </c>
      <c r="P397" s="224">
        <f t="shared" si="109"/>
        <v>0</v>
      </c>
      <c r="Q397" s="224">
        <v>0</v>
      </c>
      <c r="R397" s="224">
        <v>0</v>
      </c>
      <c r="S397" s="224">
        <v>0</v>
      </c>
      <c r="T397" s="224">
        <f t="shared" si="110"/>
        <v>0</v>
      </c>
      <c r="U397" s="224">
        <f t="shared" si="111"/>
        <v>0</v>
      </c>
    </row>
    <row r="398" spans="1:21" ht="18.75" hidden="1" x14ac:dyDescent="0.25">
      <c r="A398" s="128"/>
      <c r="B398" s="158"/>
      <c r="C398" s="158"/>
      <c r="D398" s="53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468">
        <f>L399+L400</f>
        <v>0</v>
      </c>
      <c r="M398" s="224">
        <f>M399+M400</f>
        <v>0</v>
      </c>
      <c r="N398" s="224">
        <f>N399+N400</f>
        <v>0</v>
      </c>
      <c r="O398" s="224">
        <f t="shared" si="108"/>
        <v>0</v>
      </c>
      <c r="P398" s="224">
        <f t="shared" si="109"/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 t="shared" si="110"/>
        <v>0</v>
      </c>
      <c r="U398" s="224">
        <f t="shared" si="111"/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469">
        <v>0</v>
      </c>
      <c r="M399" s="83">
        <v>0</v>
      </c>
      <c r="N399" s="83">
        <v>0</v>
      </c>
      <c r="O399" s="83">
        <f t="shared" si="108"/>
        <v>0</v>
      </c>
      <c r="P399" s="83">
        <f t="shared" si="109"/>
        <v>0</v>
      </c>
      <c r="Q399" s="83">
        <v>0</v>
      </c>
      <c r="R399" s="83">
        <v>0</v>
      </c>
      <c r="S399" s="83">
        <v>0</v>
      </c>
      <c r="T399" s="83">
        <f t="shared" si="110"/>
        <v>0</v>
      </c>
      <c r="U399" s="83">
        <f t="shared" si="111"/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468">
        <v>0</v>
      </c>
      <c r="M400" s="224">
        <v>0</v>
      </c>
      <c r="N400" s="224">
        <v>0</v>
      </c>
      <c r="O400" s="224">
        <f t="shared" si="108"/>
        <v>0</v>
      </c>
      <c r="P400" s="224">
        <f t="shared" si="109"/>
        <v>0</v>
      </c>
      <c r="Q400" s="224">
        <v>0</v>
      </c>
      <c r="R400" s="224">
        <v>0</v>
      </c>
      <c r="S400" s="224">
        <v>0</v>
      </c>
      <c r="T400" s="224">
        <f t="shared" si="110"/>
        <v>0</v>
      </c>
      <c r="U400" s="224">
        <f t="shared" si="111"/>
        <v>0</v>
      </c>
    </row>
    <row r="401" spans="1:21" ht="19.5" hidden="1" x14ac:dyDescent="0.3">
      <c r="A401" s="138"/>
      <c r="B401" s="139"/>
      <c r="C401" s="161" t="s">
        <v>18</v>
      </c>
      <c r="D401" s="491" t="s">
        <v>38</v>
      </c>
      <c r="E401" s="141"/>
      <c r="F401" s="141"/>
      <c r="G401" s="142"/>
      <c r="H401" s="178"/>
      <c r="I401" s="135"/>
      <c r="J401" s="44"/>
      <c r="K401" s="45"/>
      <c r="L401" s="465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11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11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11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11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11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11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11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11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11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496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hidden="1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541">
        <f ca="1">I423</f>
        <v>0</v>
      </c>
      <c r="J412" s="541">
        <f>J423</f>
        <v>0</v>
      </c>
      <c r="K412" s="540">
        <f ca="1">IF(I412&gt;0,J412*100/I412,0)</f>
        <v>0</v>
      </c>
      <c r="L412" s="539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hidden="1" x14ac:dyDescent="0.3">
      <c r="A413" s="128"/>
      <c r="B413" s="158"/>
      <c r="C413" s="322" t="s">
        <v>18</v>
      </c>
      <c r="D413" s="819" t="s">
        <v>19</v>
      </c>
      <c r="E413" s="800"/>
      <c r="F413" s="800"/>
      <c r="G413" s="801"/>
      <c r="H413" s="323" t="s">
        <v>14</v>
      </c>
      <c r="I413" s="44"/>
      <c r="J413" s="44"/>
      <c r="K413" s="45"/>
      <c r="L413" s="471">
        <f>L414+L415</f>
        <v>0</v>
      </c>
      <c r="M413" s="470">
        <f>M414+M415</f>
        <v>0</v>
      </c>
      <c r="N413" s="470">
        <f>N414+N415</f>
        <v>0</v>
      </c>
      <c r="O413" s="470">
        <f t="shared" ref="O413:O421" si="114">IF(L413&gt;0,N413*100/L413,0)</f>
        <v>0</v>
      </c>
      <c r="P413" s="470">
        <f t="shared" ref="P413:P421" si="115">IF(M413&gt;0,N413*100/M413,0)</f>
        <v>0</v>
      </c>
      <c r="Q413" s="470">
        <f ca="1">Q414+Q415</f>
        <v>0</v>
      </c>
      <c r="R413" s="470">
        <f ca="1">R414+R415</f>
        <v>0</v>
      </c>
      <c r="S413" s="470">
        <f ca="1">S414+S415</f>
        <v>0</v>
      </c>
      <c r="T413" s="470">
        <f t="shared" ref="T413:T421" ca="1" si="116">IF(Q413&gt;0,S413*100/Q413,0)</f>
        <v>0</v>
      </c>
      <c r="U413" s="470">
        <f t="shared" ref="U413:U421" ca="1" si="117">IF(R413&gt;0,S413*100/R413,0)</f>
        <v>0</v>
      </c>
    </row>
    <row r="414" spans="1:21" ht="18.75" hidden="1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469">
        <f t="shared" ref="L414:N415" si="118">L417+L420</f>
        <v>0</v>
      </c>
      <c r="M414" s="83">
        <f t="shared" si="118"/>
        <v>0</v>
      </c>
      <c r="N414" s="83">
        <f t="shared" si="118"/>
        <v>0</v>
      </c>
      <c r="O414" s="83">
        <f t="shared" si="114"/>
        <v>0</v>
      </c>
      <c r="P414" s="83">
        <f t="shared" si="115"/>
        <v>0</v>
      </c>
      <c r="Q414" s="83">
        <f t="shared" ref="Q414:S415" si="119">Q417+Q420</f>
        <v>0</v>
      </c>
      <c r="R414" s="83">
        <f t="shared" si="119"/>
        <v>0</v>
      </c>
      <c r="S414" s="83">
        <f t="shared" si="119"/>
        <v>0</v>
      </c>
      <c r="T414" s="83">
        <f t="shared" si="116"/>
        <v>0</v>
      </c>
      <c r="U414" s="83">
        <f t="shared" si="117"/>
        <v>0</v>
      </c>
    </row>
    <row r="415" spans="1:21" ht="18.75" hidden="1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468">
        <f t="shared" si="118"/>
        <v>0</v>
      </c>
      <c r="M415" s="224">
        <f t="shared" si="118"/>
        <v>0</v>
      </c>
      <c r="N415" s="224">
        <f t="shared" si="118"/>
        <v>0</v>
      </c>
      <c r="O415" s="224">
        <f t="shared" si="114"/>
        <v>0</v>
      </c>
      <c r="P415" s="224">
        <f t="shared" si="115"/>
        <v>0</v>
      </c>
      <c r="Q415" s="224">
        <f t="shared" ca="1" si="119"/>
        <v>0</v>
      </c>
      <c r="R415" s="224">
        <f t="shared" ca="1" si="119"/>
        <v>0</v>
      </c>
      <c r="S415" s="224">
        <f t="shared" ca="1" si="119"/>
        <v>0</v>
      </c>
      <c r="T415" s="224">
        <f t="shared" ca="1" si="116"/>
        <v>0</v>
      </c>
      <c r="U415" s="224">
        <f t="shared" ca="1" si="117"/>
        <v>0</v>
      </c>
    </row>
    <row r="416" spans="1:21" ht="19.5" hidden="1" x14ac:dyDescent="0.3">
      <c r="A416" s="128"/>
      <c r="B416" s="158"/>
      <c r="C416" s="158"/>
      <c r="D416" s="54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468">
        <f>L417+L418</f>
        <v>0</v>
      </c>
      <c r="M416" s="224">
        <f>M417+M418</f>
        <v>0</v>
      </c>
      <c r="N416" s="224">
        <f>N417+N418</f>
        <v>0</v>
      </c>
      <c r="O416" s="224">
        <f t="shared" si="114"/>
        <v>0</v>
      </c>
      <c r="P416" s="224">
        <f t="shared" si="115"/>
        <v>0</v>
      </c>
      <c r="Q416" s="224">
        <f ca="1">Q417+Q418</f>
        <v>0</v>
      </c>
      <c r="R416" s="224">
        <f ca="1">R417+R418</f>
        <v>0</v>
      </c>
      <c r="S416" s="224">
        <f ca="1">S417+S418</f>
        <v>0</v>
      </c>
      <c r="T416" s="224">
        <f t="shared" ca="1" si="116"/>
        <v>0</v>
      </c>
      <c r="U416" s="224">
        <f t="shared" ca="1" si="117"/>
        <v>0</v>
      </c>
    </row>
    <row r="417" spans="1:21" ht="18.75" hidden="1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469">
        <v>0</v>
      </c>
      <c r="M417" s="83">
        <v>0</v>
      </c>
      <c r="N417" s="83">
        <v>0</v>
      </c>
      <c r="O417" s="83">
        <f t="shared" si="114"/>
        <v>0</v>
      </c>
      <c r="P417" s="83">
        <f t="shared" si="115"/>
        <v>0</v>
      </c>
      <c r="Q417" s="83">
        <v>0</v>
      </c>
      <c r="R417" s="83">
        <v>0</v>
      </c>
      <c r="S417" s="83">
        <v>0</v>
      </c>
      <c r="T417" s="83">
        <f t="shared" si="116"/>
        <v>0</v>
      </c>
      <c r="U417" s="83">
        <f t="shared" si="117"/>
        <v>0</v>
      </c>
    </row>
    <row r="418" spans="1:21" ht="18.75" hidden="1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468">
        <v>0</v>
      </c>
      <c r="M418" s="224">
        <v>0</v>
      </c>
      <c r="N418" s="224">
        <v>0</v>
      </c>
      <c r="O418" s="224">
        <f t="shared" si="114"/>
        <v>0</v>
      </c>
      <c r="P418" s="224">
        <f t="shared" si="115"/>
        <v>0</v>
      </c>
      <c r="Q418" s="224">
        <f ca="1">IFERROR(__xludf.DUMMYFUNCTION("IMPORTRANGE(""https://docs.google.com/spreadsheets/d/1ItG2mGa2ceCfYo0BwxsXqNm01IGEUdYcSSLTEv9YCik/edit?usp=sharing"",""เบิกจ่ายกองทุน!BH22"")"),0)</f>
        <v>0</v>
      </c>
      <c r="R418" s="224">
        <f ca="1">IFERROR(__xludf.DUMMYFUNCTION("IMPORTRANGE(""https://docs.google.com/spreadsheets/d/1ItG2mGa2ceCfYo0BwxsXqNm01IGEUdYcSSLTEv9YCik/edit?usp=sharing"",""เบิกจ่ายกองทุน!BI22"")"),0)</f>
        <v>0</v>
      </c>
      <c r="S418" s="224">
        <f ca="1">IFERROR(__xludf.DUMMYFUNCTION("IMPORTRANGE(""https://docs.google.com/spreadsheets/d/1ItG2mGa2ceCfYo0BwxsXqNm01IGEUdYcSSLTEv9YCik/edit?usp=sharing"",""เบิกจ่ายกองทุน!BJ22"")"),0)</f>
        <v>0</v>
      </c>
      <c r="T418" s="224">
        <f t="shared" ca="1" si="116"/>
        <v>0</v>
      </c>
      <c r="U418" s="224">
        <f t="shared" ca="1" si="117"/>
        <v>0</v>
      </c>
    </row>
    <row r="419" spans="1:21" ht="19.5" hidden="1" x14ac:dyDescent="0.3">
      <c r="A419" s="128"/>
      <c r="B419" s="158"/>
      <c r="C419" s="158"/>
      <c r="D419" s="54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468">
        <f>L420+L421</f>
        <v>0</v>
      </c>
      <c r="M419" s="224">
        <f>M420+M421</f>
        <v>0</v>
      </c>
      <c r="N419" s="224">
        <f>N420+N421</f>
        <v>0</v>
      </c>
      <c r="O419" s="224">
        <f t="shared" si="114"/>
        <v>0</v>
      </c>
      <c r="P419" s="224">
        <f t="shared" si="115"/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 t="shared" si="116"/>
        <v>0</v>
      </c>
      <c r="U419" s="224">
        <f t="shared" si="117"/>
        <v>0</v>
      </c>
    </row>
    <row r="420" spans="1:21" ht="18.75" hidden="1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469">
        <v>0</v>
      </c>
      <c r="M420" s="83">
        <v>0</v>
      </c>
      <c r="N420" s="83">
        <v>0</v>
      </c>
      <c r="O420" s="83">
        <f t="shared" si="114"/>
        <v>0</v>
      </c>
      <c r="P420" s="83">
        <f t="shared" si="115"/>
        <v>0</v>
      </c>
      <c r="Q420" s="83">
        <v>0</v>
      </c>
      <c r="R420" s="83">
        <v>0</v>
      </c>
      <c r="S420" s="83">
        <v>0</v>
      </c>
      <c r="T420" s="83">
        <f t="shared" si="116"/>
        <v>0</v>
      </c>
      <c r="U420" s="83">
        <f t="shared" si="117"/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468">
        <v>0</v>
      </c>
      <c r="M421" s="224">
        <v>0</v>
      </c>
      <c r="N421" s="224">
        <v>0</v>
      </c>
      <c r="O421" s="224">
        <f t="shared" si="114"/>
        <v>0</v>
      </c>
      <c r="P421" s="224">
        <f t="shared" si="115"/>
        <v>0</v>
      </c>
      <c r="Q421" s="224">
        <v>0</v>
      </c>
      <c r="R421" s="224">
        <v>0</v>
      </c>
      <c r="S421" s="224">
        <v>0</v>
      </c>
      <c r="T421" s="224">
        <f t="shared" si="116"/>
        <v>0</v>
      </c>
      <c r="U421" s="224">
        <f t="shared" si="117"/>
        <v>0</v>
      </c>
    </row>
    <row r="422" spans="1:21" ht="19.5" hidden="1" x14ac:dyDescent="0.3">
      <c r="A422" s="208"/>
      <c r="B422" s="158"/>
      <c r="C422" s="322" t="s">
        <v>18</v>
      </c>
      <c r="D422" s="543" t="s">
        <v>38</v>
      </c>
      <c r="E422" s="158"/>
      <c r="F422" s="158"/>
      <c r="G422" s="180"/>
      <c r="H422" s="180"/>
      <c r="I422" s="44"/>
      <c r="J422" s="44"/>
      <c r="K422" s="45"/>
      <c r="L422" s="465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ca="1">I440</f>
        <v>0</v>
      </c>
      <c r="J423" s="328">
        <f>J440</f>
        <v>0</v>
      </c>
      <c r="K423" s="470">
        <f ca="1">IF(I423&gt;0,J423*100/I423,0)</f>
        <v>0</v>
      </c>
      <c r="L423" s="465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IFERROR(__xludf.DUMMYFUNCTION("IMPORTRANGE(""https://docs.google.com/spreadsheets/d/1eHaY18a8A9IcSdp1K8H6x8fbOy06t2VsZHhMHf-1x7Y/edit?usp=sharing"",""แผน!HJ22"")"),0)</f>
        <v>0</v>
      </c>
      <c r="J424" s="328">
        <f>J426+J428+J430</f>
        <v>0</v>
      </c>
      <c r="K424" s="470">
        <f ca="1">IF(I424&gt;0,J424*100/I424,0)</f>
        <v>0</v>
      </c>
      <c r="L424" s="465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IFERROR(__xludf.DUMMYFUNCTION("IMPORTRANGE(""https://docs.google.com/spreadsheets/d/1eHaY18a8A9IcSdp1K8H6x8fbOy06t2VsZHhMHf-1x7Y/edit?usp=sharing"",""แผน!HK22"")"),0)</f>
        <v>0</v>
      </c>
      <c r="J425" s="328">
        <f>J427+J429+J431</f>
        <v>0</v>
      </c>
      <c r="K425" s="470">
        <f ca="1">IF(I425&gt;0,J425*100/I425,0)</f>
        <v>0</v>
      </c>
      <c r="L425" s="465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465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465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465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465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465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465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IFERROR(__xludf.DUMMYFUNCTION("IMPORTRANGE(""https://docs.google.com/spreadsheets/d/1eHaY18a8A9IcSdp1K8H6x8fbOy06t2VsZHhMHf-1x7Y/edit?usp=sharing"",""แผน!HJ22"")"),0)</f>
        <v>0</v>
      </c>
      <c r="J432" s="328">
        <f>J434+J436+J438</f>
        <v>0</v>
      </c>
      <c r="K432" s="470">
        <f ca="1">IF(I432&gt;0,J432*100/I432,0)</f>
        <v>0</v>
      </c>
      <c r="L432" s="465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IFERROR(__xludf.DUMMYFUNCTION("IMPORTRANGE(""https://docs.google.com/spreadsheets/d/1eHaY18a8A9IcSdp1K8H6x8fbOy06t2VsZHhMHf-1x7Y/edit?usp=sharing"",""แผน!HK22"")"),0)</f>
        <v>0</v>
      </c>
      <c r="J433" s="328">
        <f>J435+J437+J439</f>
        <v>0</v>
      </c>
      <c r="K433" s="470">
        <f ca="1">IF(I433&gt;0,J433*100/I433,0)</f>
        <v>0</v>
      </c>
      <c r="L433" s="465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465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465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465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465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465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465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IFERROR(__xludf.DUMMYFUNCTION("IMPORTRANGE(""https://docs.google.com/spreadsheets/d/1eHaY18a8A9IcSdp1K8H6x8fbOy06t2VsZHhMHf-1x7Y/edit?usp=sharing"",""แผน!HJ22"")"),0)</f>
        <v>0</v>
      </c>
      <c r="J440" s="328">
        <f>J442+J444+J446+J452+J454</f>
        <v>0</v>
      </c>
      <c r="K440" s="470">
        <f ca="1">IF(I440&gt;0,J440*100/I440,0)</f>
        <v>0</v>
      </c>
      <c r="L440" s="465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IFERROR(__xludf.DUMMYFUNCTION("IMPORTRANGE(""https://docs.google.com/spreadsheets/d/1eHaY18a8A9IcSdp1K8H6x8fbOy06t2VsZHhMHf-1x7Y/edit?usp=sharing"",""แผน!HK22"")"),0)</f>
        <v>0</v>
      </c>
      <c r="J441" s="328">
        <f>J443+J445+J447+J453+J455</f>
        <v>0</v>
      </c>
      <c r="K441" s="470">
        <f ca="1">IF(I441&gt;0,J441*100/I441,0)</f>
        <v>0</v>
      </c>
      <c r="L441" s="465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465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465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465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465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>J448+J450</f>
        <v>0</v>
      </c>
      <c r="K446" s="45"/>
      <c r="L446" s="465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>J449+J451</f>
        <v>0</v>
      </c>
      <c r="K447" s="45"/>
      <c r="L447" s="465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465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465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465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465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465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465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542"/>
      <c r="K454" s="45"/>
      <c r="L454" s="465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465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hidden="1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ca="1">I457</f>
        <v>0</v>
      </c>
      <c r="J456" s="328">
        <f>J457</f>
        <v>0</v>
      </c>
      <c r="K456" s="470">
        <f ca="1">IF(I456&gt;0,J456*100/I456,0)</f>
        <v>0</v>
      </c>
      <c r="L456" s="465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IFERROR(__xludf.DUMMYFUNCTION("IMPORTRANGE(""https://docs.google.com/spreadsheets/d/1eHaY18a8A9IcSdp1K8H6x8fbOy06t2VsZHhMHf-1x7Y/edit?usp=sharing"",""แผน!HL22"")"),0)</f>
        <v>0</v>
      </c>
      <c r="J457" s="328">
        <f>J459+J467+J473</f>
        <v>0</v>
      </c>
      <c r="K457" s="470">
        <f ca="1">IF(I457&gt;0,J457*100/I457,0)</f>
        <v>0</v>
      </c>
      <c r="L457" s="465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IFERROR(__xludf.DUMMYFUNCTION("IMPORTRANGE(""https://docs.google.com/spreadsheets/d/1eHaY18a8A9IcSdp1K8H6x8fbOy06t2VsZHhMHf-1x7Y/edit?usp=sharing"",""แผน!HM22"")"),0)</f>
        <v>0</v>
      </c>
      <c r="J458" s="328">
        <f>J460+J468+J474</f>
        <v>0</v>
      </c>
      <c r="K458" s="470">
        <f ca="1">IF(I458&gt;0,J458*100/I458,0)</f>
        <v>0</v>
      </c>
      <c r="L458" s="465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hidden="1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>J461+J463</f>
        <v>0</v>
      </c>
      <c r="K459" s="45"/>
      <c r="L459" s="465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>J462+J464</f>
        <v>0</v>
      </c>
      <c r="K460" s="45"/>
      <c r="L460" s="465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465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465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465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465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465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465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>J469+J471</f>
        <v>0</v>
      </c>
      <c r="K467" s="45"/>
      <c r="L467" s="465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>J470+J472</f>
        <v>0</v>
      </c>
      <c r="K468" s="45"/>
      <c r="L468" s="465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465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465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465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465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465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465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470">
        <f>IF(I475&gt;0,J475*100/I475,0)</f>
        <v>0</v>
      </c>
      <c r="L475" s="465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>J478+J480</f>
        <v>0</v>
      </c>
      <c r="K476" s="470">
        <f>IF(I476&gt;0,J476*100/I476,0)</f>
        <v>0</v>
      </c>
      <c r="L476" s="465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>J479+J481</f>
        <v>0</v>
      </c>
      <c r="K477" s="470">
        <f>IF(I477&gt;0,J477*100/I477,0)</f>
        <v>0</v>
      </c>
      <c r="L477" s="465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hidden="1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465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465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465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465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IFERROR(__xludf.DUMMYFUNCTION("IMPORTRANGE(""https://docs.google.com/spreadsheets/d/1eHaY18a8A9IcSdp1K8H6x8fbOy06t2VsZHhMHf-1x7Y/edit?usp=sharing"",""แผน!HN22"")"),0)</f>
        <v>0</v>
      </c>
      <c r="K482" s="45"/>
      <c r="L482" s="465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IFERROR(__xludf.DUMMYFUNCTION("IMPORTRANGE(""https://docs.google.com/spreadsheets/d/1eHaY18a8A9IcSdp1K8H6x8fbOy06t2VsZHhMHf-1x7Y/edit?usp=sharing"",""แผน!HO22"")"),0)</f>
        <v>0</v>
      </c>
      <c r="K483" s="45"/>
      <c r="L483" s="465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>J480</f>
        <v>0</v>
      </c>
      <c r="J484" s="328">
        <f>J486+J488+J490</f>
        <v>0</v>
      </c>
      <c r="K484" s="470">
        <f>IF(I484&gt;0,J484*100/I484,0)</f>
        <v>0</v>
      </c>
      <c r="L484" s="465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>J481</f>
        <v>0</v>
      </c>
      <c r="J485" s="328">
        <f>J487+J489+J491</f>
        <v>0</v>
      </c>
      <c r="K485" s="470">
        <f>IF(I485&gt;0,J485*100/I485,0)</f>
        <v>0</v>
      </c>
      <c r="L485" s="465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hidden="1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465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465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465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465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465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46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541">
        <f ca="1">I503</f>
        <v>0</v>
      </c>
      <c r="J492" s="541">
        <f ca="1">J503</f>
        <v>0</v>
      </c>
      <c r="K492" s="540">
        <f ca="1">IF(I492&gt;0,J492*100/I492,0)</f>
        <v>0</v>
      </c>
      <c r="L492" s="539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hidden="1" x14ac:dyDescent="0.3">
      <c r="A493" s="128"/>
      <c r="B493" s="158"/>
      <c r="C493" s="177" t="s">
        <v>18</v>
      </c>
      <c r="D493" s="819" t="s">
        <v>19</v>
      </c>
      <c r="E493" s="800"/>
      <c r="F493" s="800"/>
      <c r="G493" s="42"/>
      <c r="H493" s="221" t="s">
        <v>14</v>
      </c>
      <c r="I493" s="44"/>
      <c r="J493" s="44"/>
      <c r="K493" s="45"/>
      <c r="L493" s="471">
        <f>L494+L495</f>
        <v>0</v>
      </c>
      <c r="M493" s="470">
        <f>M494+M495</f>
        <v>0</v>
      </c>
      <c r="N493" s="470">
        <f>N494+N495</f>
        <v>0</v>
      </c>
      <c r="O493" s="470">
        <f t="shared" ref="O493:O501" si="120">IF(L493&gt;0,N493*100/L493,0)</f>
        <v>0</v>
      </c>
      <c r="P493" s="470">
        <f t="shared" ref="P493:P501" si="121">IF(M493&gt;0,N493*100/M493,0)</f>
        <v>0</v>
      </c>
      <c r="Q493" s="470">
        <f ca="1">Q494+Q495</f>
        <v>0</v>
      </c>
      <c r="R493" s="470">
        <f ca="1">R494+R495</f>
        <v>0</v>
      </c>
      <c r="S493" s="470">
        <f ca="1">S494+S495</f>
        <v>0</v>
      </c>
      <c r="T493" s="470">
        <f t="shared" ref="T493:T501" ca="1" si="122">IF(Q493&gt;0,S493*100/Q493,0)</f>
        <v>0</v>
      </c>
      <c r="U493" s="470">
        <f t="shared" ref="U493:U501" ca="1" si="123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469">
        <f t="shared" ref="L494:N495" si="124">L497+L500</f>
        <v>0</v>
      </c>
      <c r="M494" s="83">
        <f t="shared" si="124"/>
        <v>0</v>
      </c>
      <c r="N494" s="83">
        <f t="shared" si="124"/>
        <v>0</v>
      </c>
      <c r="O494" s="83">
        <f t="shared" si="120"/>
        <v>0</v>
      </c>
      <c r="P494" s="83">
        <f t="shared" si="121"/>
        <v>0</v>
      </c>
      <c r="Q494" s="83">
        <f t="shared" ref="Q494:S495" si="125">Q497+Q500</f>
        <v>0</v>
      </c>
      <c r="R494" s="83">
        <f t="shared" si="125"/>
        <v>0</v>
      </c>
      <c r="S494" s="83">
        <f t="shared" si="125"/>
        <v>0</v>
      </c>
      <c r="T494" s="83">
        <f t="shared" si="122"/>
        <v>0</v>
      </c>
      <c r="U494" s="83">
        <f t="shared" si="123"/>
        <v>0</v>
      </c>
    </row>
    <row r="495" spans="1:21" ht="18.75" hidden="1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468">
        <f t="shared" si="124"/>
        <v>0</v>
      </c>
      <c r="M495" s="224">
        <f t="shared" si="124"/>
        <v>0</v>
      </c>
      <c r="N495" s="224">
        <f t="shared" si="124"/>
        <v>0</v>
      </c>
      <c r="O495" s="224">
        <f t="shared" si="120"/>
        <v>0</v>
      </c>
      <c r="P495" s="224">
        <f t="shared" si="121"/>
        <v>0</v>
      </c>
      <c r="Q495" s="224">
        <f t="shared" ca="1" si="125"/>
        <v>0</v>
      </c>
      <c r="R495" s="224">
        <f t="shared" ca="1" si="125"/>
        <v>0</v>
      </c>
      <c r="S495" s="224">
        <f t="shared" ca="1" si="125"/>
        <v>0</v>
      </c>
      <c r="T495" s="224">
        <f t="shared" ca="1" si="122"/>
        <v>0</v>
      </c>
      <c r="U495" s="224">
        <f t="shared" ca="1" si="123"/>
        <v>0</v>
      </c>
    </row>
    <row r="496" spans="1:21" ht="18.75" hidden="1" x14ac:dyDescent="0.25">
      <c r="A496" s="128"/>
      <c r="B496" s="158"/>
      <c r="C496" s="158"/>
      <c r="D496" s="53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468">
        <f>L497+L498</f>
        <v>0</v>
      </c>
      <c r="M496" s="224">
        <f>M497+M498</f>
        <v>0</v>
      </c>
      <c r="N496" s="224">
        <f>N497+N498</f>
        <v>0</v>
      </c>
      <c r="O496" s="224">
        <f t="shared" si="120"/>
        <v>0</v>
      </c>
      <c r="P496" s="224">
        <f t="shared" si="121"/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t="shared" ca="1" si="122"/>
        <v>0</v>
      </c>
      <c r="U496" s="224">
        <f t="shared" ca="1" si="123"/>
        <v>0</v>
      </c>
    </row>
    <row r="497" spans="1:21" ht="18.75" hidden="1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469">
        <v>0</v>
      </c>
      <c r="M497" s="83">
        <v>0</v>
      </c>
      <c r="N497" s="83">
        <v>0</v>
      </c>
      <c r="O497" s="83">
        <f t="shared" si="120"/>
        <v>0</v>
      </c>
      <c r="P497" s="83">
        <f t="shared" si="121"/>
        <v>0</v>
      </c>
      <c r="Q497" s="83">
        <v>0</v>
      </c>
      <c r="R497" s="83">
        <v>0</v>
      </c>
      <c r="S497" s="83">
        <v>0</v>
      </c>
      <c r="T497" s="83">
        <f t="shared" si="122"/>
        <v>0</v>
      </c>
      <c r="U497" s="83">
        <f t="shared" si="123"/>
        <v>0</v>
      </c>
    </row>
    <row r="498" spans="1:21" ht="18.75" hidden="1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468">
        <v>0</v>
      </c>
      <c r="M498" s="224">
        <v>0</v>
      </c>
      <c r="N498" s="224">
        <v>0</v>
      </c>
      <c r="O498" s="224">
        <f t="shared" si="120"/>
        <v>0</v>
      </c>
      <c r="P498" s="224">
        <f t="shared" si="121"/>
        <v>0</v>
      </c>
      <c r="Q498" s="224">
        <f ca="1">IFERROR(__xludf.DUMMYFUNCTION("IMPORTRANGE(""https://docs.google.com/spreadsheets/d/1ItG2mGa2ceCfYo0BwxsXqNm01IGEUdYcSSLTEv9YCik/edit?usp=sharing"",""เบิกจ่ายกองทุน!X22"")"),0)</f>
        <v>0</v>
      </c>
      <c r="R498" s="224">
        <f ca="1">IFERROR(__xludf.DUMMYFUNCTION("IMPORTRANGE(""https://docs.google.com/spreadsheets/d/1ItG2mGa2ceCfYo0BwxsXqNm01IGEUdYcSSLTEv9YCik/edit?usp=sharing"",""เบิกจ่ายกองทุน!Y22"")"),0)</f>
        <v>0</v>
      </c>
      <c r="S498" s="224">
        <f ca="1">IFERROR(__xludf.DUMMYFUNCTION("IMPORTRANGE(""https://docs.google.com/spreadsheets/d/1ItG2mGa2ceCfYo0BwxsXqNm01IGEUdYcSSLTEv9YCik/edit?usp=sharing"",""เบิกจ่ายกองทุน!Z22"")"),0)</f>
        <v>0</v>
      </c>
      <c r="T498" s="224">
        <f t="shared" ca="1" si="122"/>
        <v>0</v>
      </c>
      <c r="U498" s="224">
        <f t="shared" ca="1" si="123"/>
        <v>0</v>
      </c>
    </row>
    <row r="499" spans="1:21" ht="18.75" hidden="1" x14ac:dyDescent="0.25">
      <c r="A499" s="128"/>
      <c r="B499" s="158"/>
      <c r="C499" s="158"/>
      <c r="D499" s="53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468">
        <f>L500+L501</f>
        <v>0</v>
      </c>
      <c r="M499" s="224">
        <f>M500+M501</f>
        <v>0</v>
      </c>
      <c r="N499" s="224">
        <f>N500+N501</f>
        <v>0</v>
      </c>
      <c r="O499" s="224">
        <f t="shared" si="120"/>
        <v>0</v>
      </c>
      <c r="P499" s="224">
        <f t="shared" si="121"/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 t="shared" si="122"/>
        <v>0</v>
      </c>
      <c r="U499" s="224">
        <f t="shared" si="123"/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469">
        <v>0</v>
      </c>
      <c r="M500" s="83">
        <v>0</v>
      </c>
      <c r="N500" s="83">
        <v>0</v>
      </c>
      <c r="O500" s="83">
        <f t="shared" si="120"/>
        <v>0</v>
      </c>
      <c r="P500" s="83">
        <f t="shared" si="121"/>
        <v>0</v>
      </c>
      <c r="Q500" s="83">
        <v>0</v>
      </c>
      <c r="R500" s="83">
        <v>0</v>
      </c>
      <c r="S500" s="83">
        <v>0</v>
      </c>
      <c r="T500" s="83">
        <f t="shared" si="122"/>
        <v>0</v>
      </c>
      <c r="U500" s="83">
        <f t="shared" si="123"/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468">
        <v>0</v>
      </c>
      <c r="M501" s="224">
        <v>0</v>
      </c>
      <c r="N501" s="224">
        <v>0</v>
      </c>
      <c r="O501" s="224">
        <f t="shared" si="120"/>
        <v>0</v>
      </c>
      <c r="P501" s="224">
        <f t="shared" si="121"/>
        <v>0</v>
      </c>
      <c r="Q501" s="224">
        <v>0</v>
      </c>
      <c r="R501" s="224">
        <v>0</v>
      </c>
      <c r="S501" s="224">
        <v>0</v>
      </c>
      <c r="T501" s="224">
        <f t="shared" si="122"/>
        <v>0</v>
      </c>
      <c r="U501" s="224">
        <f t="shared" si="123"/>
        <v>0</v>
      </c>
    </row>
    <row r="502" spans="1:21" ht="19.5" hidden="1" x14ac:dyDescent="0.3">
      <c r="A502" s="138"/>
      <c r="B502" s="139"/>
      <c r="C502" s="177" t="s">
        <v>18</v>
      </c>
      <c r="D502" s="491" t="s">
        <v>38</v>
      </c>
      <c r="E502" s="141"/>
      <c r="F502" s="141"/>
      <c r="G502" s="142"/>
      <c r="H502" s="178"/>
      <c r="I502" s="135"/>
      <c r="J502" s="135"/>
      <c r="K502" s="136"/>
      <c r="L502" s="4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IFERROR(__xludf.DUMMYFUNCTION("IMPORTRANGE(""https://docs.google.com/spreadsheets/d/1eHaY18a8A9IcSdp1K8H6x8fbOy06t2VsZHhMHf-1x7Y/edit?usp=sharing"",""แผน!GX22"")"),0)</f>
        <v>0</v>
      </c>
      <c r="J503" s="328">
        <f ca="1">IF(AND(J504=I504,J505=I505,J506=I506,J507=I507),I503,0)</f>
        <v>0</v>
      </c>
      <c r="K503" s="470">
        <f t="shared" ref="K503:K509" ca="1" si="126">IF(I503&gt;0,J503*100/I503,0)</f>
        <v>0</v>
      </c>
      <c r="L503" s="465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IFERROR(__xludf.DUMMYFUNCTION("IMPORTRANGE(""https://docs.google.com/spreadsheets/d/1eHaY18a8A9IcSdp1K8H6x8fbOy06t2VsZHhMHf-1x7Y/edit?usp=sharing"",""แผน!GY22"")"),0)</f>
        <v>0</v>
      </c>
      <c r="J504" s="466">
        <v>0</v>
      </c>
      <c r="K504" s="224">
        <f t="shared" ca="1" si="126"/>
        <v>0</v>
      </c>
      <c r="L504" s="465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IFERROR(__xludf.DUMMYFUNCTION("IMPORTRANGE(""https://docs.google.com/spreadsheets/d/1eHaY18a8A9IcSdp1K8H6x8fbOy06t2VsZHhMHf-1x7Y/edit?usp=sharing"",""แผน!GZ22"")"),0)</f>
        <v>0</v>
      </c>
      <c r="J505" s="466">
        <v>0</v>
      </c>
      <c r="K505" s="224">
        <f t="shared" ca="1" si="126"/>
        <v>0</v>
      </c>
      <c r="L505" s="465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IFERROR(__xludf.DUMMYFUNCTION("IMPORTRANGE(""https://docs.google.com/spreadsheets/d/1eHaY18a8A9IcSdp1K8H6x8fbOy06t2VsZHhMHf-1x7Y/edit?usp=sharing"",""แผน!HA22"")"),0)</f>
        <v>0</v>
      </c>
      <c r="J506" s="466">
        <v>0</v>
      </c>
      <c r="K506" s="224">
        <f t="shared" ca="1" si="126"/>
        <v>0</v>
      </c>
      <c r="L506" s="465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IFERROR(__xludf.DUMMYFUNCTION("IMPORTRANGE(""https://docs.google.com/spreadsheets/d/1eHaY18a8A9IcSdp1K8H6x8fbOy06t2VsZHhMHf-1x7Y/edit?usp=sharing"",""แผน!HB22"")"),0)</f>
        <v>0</v>
      </c>
      <c r="J507" s="466">
        <v>0</v>
      </c>
      <c r="K507" s="224">
        <f t="shared" ca="1" si="126"/>
        <v>0</v>
      </c>
      <c r="L507" s="465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 t="shared" si="126"/>
        <v>0</v>
      </c>
      <c r="L508" s="465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IFERROR(__xludf.DUMMYFUNCTION("IMPORTRANGE(""https://docs.google.com/spreadsheets/d/1eHaY18a8A9IcSdp1K8H6x8fbOy06t2VsZHhMHf-1x7Y/edit?usp=sharing"",""แผน!HC22"")"),0)</f>
        <v>0</v>
      </c>
      <c r="J509" s="464">
        <v>0</v>
      </c>
      <c r="K509" s="455">
        <f t="shared" ca="1" si="126"/>
        <v>0</v>
      </c>
      <c r="L509" s="46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537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536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hidden="1" x14ac:dyDescent="0.3">
      <c r="A511" s="535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534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hidden="1" x14ac:dyDescent="0.3">
      <c r="A512" s="349"/>
      <c r="B512" s="533" t="s">
        <v>207</v>
      </c>
      <c r="C512" s="351"/>
      <c r="D512" s="352"/>
      <c r="E512" s="352"/>
      <c r="F512" s="352"/>
      <c r="G512" s="353"/>
      <c r="H512" s="532" t="s">
        <v>61</v>
      </c>
      <c r="I512" s="531">
        <f>I524</f>
        <v>0</v>
      </c>
      <c r="J512" s="531">
        <f>J524</f>
        <v>0</v>
      </c>
      <c r="K512" s="530">
        <f>IF(I512&gt;0,J512*100/I512,0)</f>
        <v>0</v>
      </c>
      <c r="L512" s="512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hidden="1" x14ac:dyDescent="0.3">
      <c r="A513" s="128"/>
      <c r="B513" s="40"/>
      <c r="C513" s="527" t="s">
        <v>18</v>
      </c>
      <c r="D513" s="494" t="s">
        <v>19</v>
      </c>
      <c r="E513" s="40"/>
      <c r="F513" s="40"/>
      <c r="G513" s="42"/>
      <c r="H513" s="529" t="s">
        <v>14</v>
      </c>
      <c r="I513" s="44"/>
      <c r="J513" s="44"/>
      <c r="K513" s="45"/>
      <c r="L513" s="471">
        <f ca="1">L514+L515</f>
        <v>0</v>
      </c>
      <c r="M513" s="470">
        <f ca="1">M514+M515</f>
        <v>0</v>
      </c>
      <c r="N513" s="470">
        <f ca="1">N514+N515</f>
        <v>0</v>
      </c>
      <c r="O513" s="470">
        <f t="shared" ref="O513:O521" ca="1" si="127">IF(L513&gt;0,N513*100/L513,0)</f>
        <v>0</v>
      </c>
      <c r="P513" s="470">
        <f t="shared" ref="P513:P521" ca="1" si="128">IF(M513&gt;0,N513*100/M513,0)</f>
        <v>0</v>
      </c>
      <c r="Q513" s="470">
        <f>Q514+Q515</f>
        <v>0</v>
      </c>
      <c r="R513" s="470">
        <f>R514+R515</f>
        <v>0</v>
      </c>
      <c r="S513" s="470">
        <f>S514+S515</f>
        <v>0</v>
      </c>
      <c r="T513" s="470">
        <f t="shared" ref="T513:T521" si="129">IF(Q513&gt;0,S513*100/Q513,0)</f>
        <v>0</v>
      </c>
      <c r="U513" s="470">
        <f t="shared" ref="U513:U521" si="130"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469">
        <f t="shared" ref="L514:N515" si="131">L517+L520</f>
        <v>0</v>
      </c>
      <c r="M514" s="83">
        <f t="shared" si="131"/>
        <v>0</v>
      </c>
      <c r="N514" s="83">
        <f t="shared" si="131"/>
        <v>0</v>
      </c>
      <c r="O514" s="83">
        <f t="shared" si="127"/>
        <v>0</v>
      </c>
      <c r="P514" s="83">
        <f t="shared" si="128"/>
        <v>0</v>
      </c>
      <c r="Q514" s="83">
        <f t="shared" ref="Q514:S515" si="132">Q517+Q520</f>
        <v>0</v>
      </c>
      <c r="R514" s="83">
        <f t="shared" si="132"/>
        <v>0</v>
      </c>
      <c r="S514" s="83">
        <f t="shared" si="132"/>
        <v>0</v>
      </c>
      <c r="T514" s="83">
        <f t="shared" si="129"/>
        <v>0</v>
      </c>
      <c r="U514" s="83">
        <f t="shared" si="130"/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468">
        <f t="shared" ca="1" si="131"/>
        <v>0</v>
      </c>
      <c r="M515" s="224">
        <f t="shared" ca="1" si="131"/>
        <v>0</v>
      </c>
      <c r="N515" s="224">
        <f t="shared" ca="1" si="131"/>
        <v>0</v>
      </c>
      <c r="O515" s="224">
        <f t="shared" ca="1" si="127"/>
        <v>0</v>
      </c>
      <c r="P515" s="224">
        <f t="shared" ca="1" si="128"/>
        <v>0</v>
      </c>
      <c r="Q515" s="224">
        <f t="shared" si="132"/>
        <v>0</v>
      </c>
      <c r="R515" s="224">
        <f t="shared" si="132"/>
        <v>0</v>
      </c>
      <c r="S515" s="224">
        <f t="shared" si="132"/>
        <v>0</v>
      </c>
      <c r="T515" s="224">
        <f t="shared" si="129"/>
        <v>0</v>
      </c>
      <c r="U515" s="224">
        <f t="shared" si="130"/>
        <v>0</v>
      </c>
    </row>
    <row r="516" spans="1:21" ht="18.75" hidden="1" x14ac:dyDescent="0.25">
      <c r="A516" s="128"/>
      <c r="B516" s="40"/>
      <c r="C516" s="40"/>
      <c r="D516" s="52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468">
        <f ca="1">L517+L518</f>
        <v>0</v>
      </c>
      <c r="M516" s="224">
        <f ca="1">M517+M518</f>
        <v>0</v>
      </c>
      <c r="N516" s="224">
        <f ca="1">N517+N518</f>
        <v>0</v>
      </c>
      <c r="O516" s="224">
        <f t="shared" ca="1" si="127"/>
        <v>0</v>
      </c>
      <c r="P516" s="224">
        <f t="shared" ca="1" si="128"/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 t="shared" si="129"/>
        <v>0</v>
      </c>
      <c r="U516" s="224">
        <f t="shared" si="130"/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469">
        <v>0</v>
      </c>
      <c r="M517" s="83">
        <v>0</v>
      </c>
      <c r="N517" s="83">
        <v>0</v>
      </c>
      <c r="O517" s="83">
        <f t="shared" si="127"/>
        <v>0</v>
      </c>
      <c r="P517" s="83">
        <f t="shared" si="128"/>
        <v>0</v>
      </c>
      <c r="Q517" s="83">
        <v>0</v>
      </c>
      <c r="R517" s="83">
        <v>0</v>
      </c>
      <c r="S517" s="83">
        <v>0</v>
      </c>
      <c r="T517" s="83">
        <f t="shared" si="129"/>
        <v>0</v>
      </c>
      <c r="U517" s="83">
        <f t="shared" si="130"/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468">
        <f ca="1">IFERROR(__xludf.DUMMYFUNCTION("IMPORTRANGE(""https://docs.google.com/spreadsheets/d/1-uDff_7J0KD5mKrp0Vvzr7lt3OU09vwQwhkpOPPYv2Y/edit?usp=sharing"",""งบพรบ!FM22"")"),0)</f>
        <v>0</v>
      </c>
      <c r="M518" s="224">
        <f ca="1">IFERROR(__xludf.DUMMYFUNCTION("IMPORTRANGE(""https://docs.google.com/spreadsheets/d/1-uDff_7J0KD5mKrp0Vvzr7lt3OU09vwQwhkpOPPYv2Y/edit?usp=sharing"",""งบพรบ!FR22"")"),0)</f>
        <v>0</v>
      </c>
      <c r="N518" s="224">
        <f ca="1">IFERROR(__xludf.DUMMYFUNCTION("IMPORTRANGE(""https://docs.google.com/spreadsheets/d/1-uDff_7J0KD5mKrp0Vvzr7lt3OU09vwQwhkpOPPYv2Y/edit?usp=sharing"",""งบพรบ!FT22"")"),0)</f>
        <v>0</v>
      </c>
      <c r="O518" s="224">
        <f t="shared" ca="1" si="127"/>
        <v>0</v>
      </c>
      <c r="P518" s="224">
        <f t="shared" ca="1" si="128"/>
        <v>0</v>
      </c>
      <c r="Q518" s="224">
        <v>0</v>
      </c>
      <c r="R518" s="224">
        <v>0</v>
      </c>
      <c r="S518" s="224">
        <v>0</v>
      </c>
      <c r="T518" s="224">
        <f t="shared" si="129"/>
        <v>0</v>
      </c>
      <c r="U518" s="224">
        <f t="shared" si="130"/>
        <v>0</v>
      </c>
    </row>
    <row r="519" spans="1:21" ht="18.75" hidden="1" x14ac:dyDescent="0.25">
      <c r="A519" s="128"/>
      <c r="B519" s="40"/>
      <c r="C519" s="40"/>
      <c r="D519" s="528" t="s">
        <v>23</v>
      </c>
      <c r="E519" s="40"/>
      <c r="F519" s="40"/>
      <c r="G519" s="42"/>
      <c r="H519" s="375" t="s">
        <v>14</v>
      </c>
      <c r="I519" s="135"/>
      <c r="J519" s="135"/>
      <c r="K519" s="136"/>
      <c r="L519" s="468">
        <f ca="1">L520+L521</f>
        <v>0</v>
      </c>
      <c r="M519" s="224">
        <f ca="1">M520+M521</f>
        <v>0</v>
      </c>
      <c r="N519" s="224">
        <f ca="1">N520+N521</f>
        <v>0</v>
      </c>
      <c r="O519" s="224">
        <f t="shared" ca="1" si="127"/>
        <v>0</v>
      </c>
      <c r="P519" s="224">
        <f t="shared" ca="1" si="128"/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 t="shared" si="129"/>
        <v>0</v>
      </c>
      <c r="U519" s="224">
        <f t="shared" si="130"/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469">
        <v>0</v>
      </c>
      <c r="M520" s="83">
        <v>0</v>
      </c>
      <c r="N520" s="83">
        <v>0</v>
      </c>
      <c r="O520" s="83">
        <f t="shared" si="127"/>
        <v>0</v>
      </c>
      <c r="P520" s="83">
        <f t="shared" si="128"/>
        <v>0</v>
      </c>
      <c r="Q520" s="83">
        <v>0</v>
      </c>
      <c r="R520" s="83">
        <v>0</v>
      </c>
      <c r="S520" s="83">
        <v>0</v>
      </c>
      <c r="T520" s="83">
        <f t="shared" si="129"/>
        <v>0</v>
      </c>
      <c r="U520" s="83">
        <f t="shared" si="130"/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375" t="s">
        <v>14</v>
      </c>
      <c r="I521" s="135"/>
      <c r="J521" s="135"/>
      <c r="K521" s="136"/>
      <c r="L521" s="468">
        <f ca="1">IFERROR(__xludf.DUMMYFUNCTION("IMPORTRANGE(""https://docs.google.com/spreadsheets/d/1-uDff_7J0KD5mKrp0Vvzr7lt3OU09vwQwhkpOPPYv2Y/edit?usp=sharing"",""งบพรบ!FP22"")"),0)</f>
        <v>0</v>
      </c>
      <c r="M521" s="224">
        <f ca="1">IFERROR(__xludf.DUMMYFUNCTION("IMPORTRANGE(""https://docs.google.com/spreadsheets/d/1-uDff_7J0KD5mKrp0Vvzr7lt3OU09vwQwhkpOPPYv2Y/edit?usp=sharing"",""งบพรบ!FS22"")"),0)</f>
        <v>0</v>
      </c>
      <c r="N521" s="224">
        <f ca="1">IFERROR(__xludf.DUMMYFUNCTION("IMPORTRANGE(""https://docs.google.com/spreadsheets/d/1-uDff_7J0KD5mKrp0Vvzr7lt3OU09vwQwhkpOPPYv2Y/edit?usp=sharing"",""งบพรบ!FU22"")"),0)</f>
        <v>0</v>
      </c>
      <c r="O521" s="224">
        <f t="shared" ca="1" si="127"/>
        <v>0</v>
      </c>
      <c r="P521" s="224">
        <f t="shared" ca="1" si="128"/>
        <v>0</v>
      </c>
      <c r="Q521" s="224">
        <v>0</v>
      </c>
      <c r="R521" s="224">
        <v>0</v>
      </c>
      <c r="S521" s="224">
        <v>0</v>
      </c>
      <c r="T521" s="224">
        <f t="shared" si="129"/>
        <v>0</v>
      </c>
      <c r="U521" s="224">
        <f t="shared" si="130"/>
        <v>0</v>
      </c>
    </row>
    <row r="522" spans="1:21" ht="19.5" hidden="1" x14ac:dyDescent="0.3">
      <c r="A522" s="138"/>
      <c r="B522" s="139"/>
      <c r="C522" s="527" t="s">
        <v>18</v>
      </c>
      <c r="D522" s="509" t="s">
        <v>38</v>
      </c>
      <c r="E522" s="141"/>
      <c r="F522" s="141"/>
      <c r="G522" s="142"/>
      <c r="H522" s="143"/>
      <c r="I522" s="135"/>
      <c r="J522" s="44"/>
      <c r="K522" s="45"/>
      <c r="L522" s="465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208</v>
      </c>
      <c r="E523" s="139"/>
      <c r="F523" s="40"/>
      <c r="G523" s="42"/>
      <c r="H523" s="526" t="s">
        <v>11</v>
      </c>
      <c r="I523" s="430">
        <v>0</v>
      </c>
      <c r="J523" s="525">
        <v>0</v>
      </c>
      <c r="K523" s="83">
        <f>IF(I523&gt;0,J523*100/I523,0)</f>
        <v>0</v>
      </c>
      <c r="L523" s="465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29"/>
      <c r="B524" s="1"/>
      <c r="C524" s="2"/>
      <c r="D524" s="524" t="s">
        <v>209</v>
      </c>
      <c r="E524" s="250"/>
      <c r="F524" s="1"/>
      <c r="G524" s="52"/>
      <c r="H524" s="523" t="s">
        <v>61</v>
      </c>
      <c r="I524" s="433">
        <v>0</v>
      </c>
      <c r="J524" s="522">
        <v>0</v>
      </c>
      <c r="K524" s="521">
        <f>IF(I524&gt;0,J524*100/I524,0)</f>
        <v>0</v>
      </c>
      <c r="L524" s="465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520"/>
      <c r="B525" s="519"/>
      <c r="C525" s="519"/>
      <c r="D525" s="518"/>
      <c r="E525" s="518"/>
      <c r="F525" s="518"/>
      <c r="G525" s="517"/>
      <c r="H525" s="516"/>
      <c r="I525" s="515"/>
      <c r="J525" s="515"/>
      <c r="K525" s="514"/>
      <c r="L525" s="511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11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11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11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11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11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11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496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hidden="1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64">
        <f>I545</f>
        <v>0</v>
      </c>
      <c r="J533" s="364">
        <f>J545</f>
        <v>0</v>
      </c>
      <c r="K533" s="513">
        <f>IF(I533&gt;0,J533*100/I533,0)</f>
        <v>0</v>
      </c>
      <c r="L533" s="512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hidden="1" x14ac:dyDescent="0.3">
      <c r="A534" s="128"/>
      <c r="B534" s="40"/>
      <c r="C534" s="129" t="s">
        <v>18</v>
      </c>
      <c r="D534" s="472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471">
        <f>L535+L536</f>
        <v>0</v>
      </c>
      <c r="M534" s="470">
        <f>M535+M536</f>
        <v>0</v>
      </c>
      <c r="N534" s="470">
        <f>N535+N536</f>
        <v>0</v>
      </c>
      <c r="O534" s="470">
        <f t="shared" ref="O534:O542" si="133">IF(L534&gt;0,N534*100/L534,0)</f>
        <v>0</v>
      </c>
      <c r="P534" s="470">
        <f t="shared" ref="P534:P542" si="134">IF(M534&gt;0,N534*100/M534,0)</f>
        <v>0</v>
      </c>
      <c r="Q534" s="470">
        <f>Q535+Q536</f>
        <v>0</v>
      </c>
      <c r="R534" s="470">
        <f>R535+R536</f>
        <v>0</v>
      </c>
      <c r="S534" s="470">
        <f>S535+S536</f>
        <v>0</v>
      </c>
      <c r="T534" s="470">
        <f t="shared" ref="T534:T542" si="135">IF(Q534&gt;0,S534*100/Q534,0)</f>
        <v>0</v>
      </c>
      <c r="U534" s="470">
        <f t="shared" ref="U534:U542" si="136"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469">
        <f t="shared" ref="L535:N536" si="137">L538+L541</f>
        <v>0</v>
      </c>
      <c r="M535" s="83">
        <f t="shared" si="137"/>
        <v>0</v>
      </c>
      <c r="N535" s="83">
        <f t="shared" si="137"/>
        <v>0</v>
      </c>
      <c r="O535" s="83">
        <f t="shared" si="133"/>
        <v>0</v>
      </c>
      <c r="P535" s="83">
        <f t="shared" si="134"/>
        <v>0</v>
      </c>
      <c r="Q535" s="83">
        <f t="shared" ref="Q535:S536" si="138">Q538+Q541</f>
        <v>0</v>
      </c>
      <c r="R535" s="83">
        <f t="shared" si="138"/>
        <v>0</v>
      </c>
      <c r="S535" s="83">
        <f t="shared" si="138"/>
        <v>0</v>
      </c>
      <c r="T535" s="83">
        <f t="shared" si="135"/>
        <v>0</v>
      </c>
      <c r="U535" s="83">
        <f t="shared" si="136"/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468">
        <f t="shared" si="137"/>
        <v>0</v>
      </c>
      <c r="M536" s="224">
        <f t="shared" si="137"/>
        <v>0</v>
      </c>
      <c r="N536" s="224">
        <f t="shared" si="137"/>
        <v>0</v>
      </c>
      <c r="O536" s="224">
        <f t="shared" si="133"/>
        <v>0</v>
      </c>
      <c r="P536" s="224">
        <f t="shared" si="134"/>
        <v>0</v>
      </c>
      <c r="Q536" s="224">
        <f t="shared" si="138"/>
        <v>0</v>
      </c>
      <c r="R536" s="224">
        <f t="shared" si="138"/>
        <v>0</v>
      </c>
      <c r="S536" s="224">
        <f t="shared" si="138"/>
        <v>0</v>
      </c>
      <c r="T536" s="224">
        <f t="shared" si="135"/>
        <v>0</v>
      </c>
      <c r="U536" s="224">
        <f t="shared" si="136"/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468">
        <f>L538+L539</f>
        <v>0</v>
      </c>
      <c r="M537" s="224">
        <f>M538+M539</f>
        <v>0</v>
      </c>
      <c r="N537" s="224">
        <f>N538+N539</f>
        <v>0</v>
      </c>
      <c r="O537" s="224">
        <f t="shared" si="133"/>
        <v>0</v>
      </c>
      <c r="P537" s="224">
        <f t="shared" si="134"/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 t="shared" si="135"/>
        <v>0</v>
      </c>
      <c r="U537" s="224">
        <f t="shared" si="136"/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469">
        <v>0</v>
      </c>
      <c r="M538" s="83">
        <v>0</v>
      </c>
      <c r="N538" s="83">
        <v>0</v>
      </c>
      <c r="O538" s="83">
        <f t="shared" si="133"/>
        <v>0</v>
      </c>
      <c r="P538" s="83">
        <f t="shared" si="134"/>
        <v>0</v>
      </c>
      <c r="Q538" s="83">
        <v>0</v>
      </c>
      <c r="R538" s="83">
        <v>0</v>
      </c>
      <c r="S538" s="83">
        <v>0</v>
      </c>
      <c r="T538" s="83">
        <f t="shared" si="135"/>
        <v>0</v>
      </c>
      <c r="U538" s="83">
        <f t="shared" si="136"/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468">
        <v>0</v>
      </c>
      <c r="M539" s="224">
        <v>0</v>
      </c>
      <c r="N539" s="224">
        <v>0</v>
      </c>
      <c r="O539" s="224">
        <f t="shared" si="133"/>
        <v>0</v>
      </c>
      <c r="P539" s="224">
        <f t="shared" si="134"/>
        <v>0</v>
      </c>
      <c r="Q539" s="224">
        <v>0</v>
      </c>
      <c r="R539" s="224">
        <v>0</v>
      </c>
      <c r="S539" s="224">
        <v>0</v>
      </c>
      <c r="T539" s="224">
        <f t="shared" si="135"/>
        <v>0</v>
      </c>
      <c r="U539" s="224">
        <f t="shared" si="136"/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468">
        <f>L541+L542</f>
        <v>0</v>
      </c>
      <c r="M540" s="224">
        <f>M541+M542</f>
        <v>0</v>
      </c>
      <c r="N540" s="224">
        <f>N541+N542</f>
        <v>0</v>
      </c>
      <c r="O540" s="224">
        <f t="shared" si="133"/>
        <v>0</v>
      </c>
      <c r="P540" s="224">
        <f t="shared" si="134"/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 t="shared" si="135"/>
        <v>0</v>
      </c>
      <c r="U540" s="224">
        <f t="shared" si="136"/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469">
        <v>0</v>
      </c>
      <c r="M541" s="83">
        <v>0</v>
      </c>
      <c r="N541" s="83">
        <v>0</v>
      </c>
      <c r="O541" s="83">
        <f t="shared" si="133"/>
        <v>0</v>
      </c>
      <c r="P541" s="83">
        <f t="shared" si="134"/>
        <v>0</v>
      </c>
      <c r="Q541" s="83">
        <v>0</v>
      </c>
      <c r="R541" s="83">
        <v>0</v>
      </c>
      <c r="S541" s="83">
        <v>0</v>
      </c>
      <c r="T541" s="83">
        <f t="shared" si="135"/>
        <v>0</v>
      </c>
      <c r="U541" s="83">
        <f t="shared" si="136"/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468">
        <v>0</v>
      </c>
      <c r="M542" s="224">
        <v>0</v>
      </c>
      <c r="N542" s="224">
        <v>0</v>
      </c>
      <c r="O542" s="224">
        <f t="shared" si="133"/>
        <v>0</v>
      </c>
      <c r="P542" s="224">
        <f t="shared" si="134"/>
        <v>0</v>
      </c>
      <c r="Q542" s="224">
        <v>0</v>
      </c>
      <c r="R542" s="224">
        <v>0</v>
      </c>
      <c r="S542" s="224">
        <v>0</v>
      </c>
      <c r="T542" s="224">
        <f t="shared" si="135"/>
        <v>0</v>
      </c>
      <c r="U542" s="224">
        <f t="shared" si="136"/>
        <v>0</v>
      </c>
    </row>
    <row r="543" spans="1:21" ht="19.5" hidden="1" x14ac:dyDescent="0.3">
      <c r="A543" s="138"/>
      <c r="B543" s="139"/>
      <c r="C543" s="365" t="s">
        <v>18</v>
      </c>
      <c r="D543" s="498" t="s">
        <v>38</v>
      </c>
      <c r="E543" s="141"/>
      <c r="F543" s="141"/>
      <c r="G543" s="142"/>
      <c r="H543" s="143"/>
      <c r="I543" s="135"/>
      <c r="J543" s="44"/>
      <c r="K543" s="45"/>
      <c r="L543" s="465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11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11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11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11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11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11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11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11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11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496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hidden="1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64">
        <f>I566</f>
        <v>0</v>
      </c>
      <c r="J554" s="364">
        <f>J566</f>
        <v>0</v>
      </c>
      <c r="K554" s="513">
        <f>IF(I554&gt;0,J554*100/I554,0)</f>
        <v>0</v>
      </c>
      <c r="L554" s="512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hidden="1" x14ac:dyDescent="0.3">
      <c r="A555" s="128"/>
      <c r="B555" s="40"/>
      <c r="C555" s="129" t="s">
        <v>18</v>
      </c>
      <c r="D555" s="472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471">
        <f>L556+L557</f>
        <v>0</v>
      </c>
      <c r="M555" s="470">
        <f>M556+M557</f>
        <v>0</v>
      </c>
      <c r="N555" s="470">
        <f>N556+N557</f>
        <v>0</v>
      </c>
      <c r="O555" s="470">
        <f t="shared" ref="O555:O563" si="139">IF(L555&gt;0,N555*100/L555,0)</f>
        <v>0</v>
      </c>
      <c r="P555" s="470">
        <f t="shared" ref="P555:P563" si="140">IF(M555&gt;0,N555*100/M555,0)</f>
        <v>0</v>
      </c>
      <c r="Q555" s="470">
        <f>Q556+Q557</f>
        <v>0</v>
      </c>
      <c r="R555" s="470">
        <f>R556+R557</f>
        <v>0</v>
      </c>
      <c r="S555" s="470">
        <f>S556+S557</f>
        <v>0</v>
      </c>
      <c r="T555" s="470">
        <f t="shared" ref="T555:T563" si="141">IF(Q555&gt;0,S555*100/Q555,0)</f>
        <v>0</v>
      </c>
      <c r="U555" s="470">
        <f t="shared" ref="U555:U563" si="142"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469">
        <f t="shared" ref="L556:N557" si="143">L559+L562</f>
        <v>0</v>
      </c>
      <c r="M556" s="83">
        <f t="shared" si="143"/>
        <v>0</v>
      </c>
      <c r="N556" s="83">
        <f t="shared" si="143"/>
        <v>0</v>
      </c>
      <c r="O556" s="83">
        <f t="shared" si="139"/>
        <v>0</v>
      </c>
      <c r="P556" s="83">
        <f t="shared" si="140"/>
        <v>0</v>
      </c>
      <c r="Q556" s="83">
        <f t="shared" ref="Q556:S557" si="144">Q559+Q562</f>
        <v>0</v>
      </c>
      <c r="R556" s="83">
        <f t="shared" si="144"/>
        <v>0</v>
      </c>
      <c r="S556" s="83">
        <f t="shared" si="144"/>
        <v>0</v>
      </c>
      <c r="T556" s="83">
        <f t="shared" si="141"/>
        <v>0</v>
      </c>
      <c r="U556" s="83">
        <f t="shared" si="142"/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468">
        <f t="shared" si="143"/>
        <v>0</v>
      </c>
      <c r="M557" s="224">
        <f t="shared" si="143"/>
        <v>0</v>
      </c>
      <c r="N557" s="224">
        <f t="shared" si="143"/>
        <v>0</v>
      </c>
      <c r="O557" s="224">
        <f t="shared" si="139"/>
        <v>0</v>
      </c>
      <c r="P557" s="224">
        <f t="shared" si="140"/>
        <v>0</v>
      </c>
      <c r="Q557" s="224">
        <f t="shared" si="144"/>
        <v>0</v>
      </c>
      <c r="R557" s="224">
        <f t="shared" si="144"/>
        <v>0</v>
      </c>
      <c r="S557" s="224">
        <f t="shared" si="144"/>
        <v>0</v>
      </c>
      <c r="T557" s="224">
        <f t="shared" si="141"/>
        <v>0</v>
      </c>
      <c r="U557" s="224">
        <f t="shared" si="142"/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468">
        <f>L559+L560</f>
        <v>0</v>
      </c>
      <c r="M558" s="224">
        <f>M559+M560</f>
        <v>0</v>
      </c>
      <c r="N558" s="224">
        <f>N559+N560</f>
        <v>0</v>
      </c>
      <c r="O558" s="224">
        <f t="shared" si="139"/>
        <v>0</v>
      </c>
      <c r="P558" s="224">
        <f t="shared" si="140"/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 t="shared" si="141"/>
        <v>0</v>
      </c>
      <c r="U558" s="224">
        <f t="shared" si="142"/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469">
        <v>0</v>
      </c>
      <c r="M559" s="83">
        <v>0</v>
      </c>
      <c r="N559" s="83">
        <v>0</v>
      </c>
      <c r="O559" s="83">
        <f t="shared" si="139"/>
        <v>0</v>
      </c>
      <c r="P559" s="83">
        <f t="shared" si="140"/>
        <v>0</v>
      </c>
      <c r="Q559" s="83">
        <v>0</v>
      </c>
      <c r="R559" s="83">
        <v>0</v>
      </c>
      <c r="S559" s="83">
        <v>0</v>
      </c>
      <c r="T559" s="83">
        <f t="shared" si="141"/>
        <v>0</v>
      </c>
      <c r="U559" s="83">
        <f t="shared" si="142"/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468">
        <v>0</v>
      </c>
      <c r="M560" s="224">
        <v>0</v>
      </c>
      <c r="N560" s="224">
        <v>0</v>
      </c>
      <c r="O560" s="224">
        <f t="shared" si="139"/>
        <v>0</v>
      </c>
      <c r="P560" s="224">
        <f t="shared" si="140"/>
        <v>0</v>
      </c>
      <c r="Q560" s="224">
        <v>0</v>
      </c>
      <c r="R560" s="224">
        <v>0</v>
      </c>
      <c r="S560" s="224">
        <v>0</v>
      </c>
      <c r="T560" s="224">
        <f t="shared" si="141"/>
        <v>0</v>
      </c>
      <c r="U560" s="224">
        <f t="shared" si="142"/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468">
        <f>L562+L563</f>
        <v>0</v>
      </c>
      <c r="M561" s="224">
        <f>M562+M563</f>
        <v>0</v>
      </c>
      <c r="N561" s="224">
        <f>N562+N563</f>
        <v>0</v>
      </c>
      <c r="O561" s="224">
        <f t="shared" si="139"/>
        <v>0</v>
      </c>
      <c r="P561" s="224">
        <f t="shared" si="140"/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 t="shared" si="141"/>
        <v>0</v>
      </c>
      <c r="U561" s="224">
        <f t="shared" si="142"/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469">
        <v>0</v>
      </c>
      <c r="M562" s="83">
        <v>0</v>
      </c>
      <c r="N562" s="83">
        <v>0</v>
      </c>
      <c r="O562" s="83">
        <f t="shared" si="139"/>
        <v>0</v>
      </c>
      <c r="P562" s="83">
        <f t="shared" si="140"/>
        <v>0</v>
      </c>
      <c r="Q562" s="83">
        <v>0</v>
      </c>
      <c r="R562" s="83">
        <v>0</v>
      </c>
      <c r="S562" s="83">
        <v>0</v>
      </c>
      <c r="T562" s="83">
        <f t="shared" si="141"/>
        <v>0</v>
      </c>
      <c r="U562" s="83">
        <f t="shared" si="142"/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468">
        <v>0</v>
      </c>
      <c r="M563" s="224">
        <v>0</v>
      </c>
      <c r="N563" s="224">
        <v>0</v>
      </c>
      <c r="O563" s="224">
        <f t="shared" si="139"/>
        <v>0</v>
      </c>
      <c r="P563" s="224">
        <f t="shared" si="140"/>
        <v>0</v>
      </c>
      <c r="Q563" s="224">
        <v>0</v>
      </c>
      <c r="R563" s="224">
        <v>0</v>
      </c>
      <c r="S563" s="224">
        <v>0</v>
      </c>
      <c r="T563" s="224">
        <f t="shared" si="141"/>
        <v>0</v>
      </c>
      <c r="U563" s="224">
        <f t="shared" si="142"/>
        <v>0</v>
      </c>
    </row>
    <row r="564" spans="1:21" ht="19.5" hidden="1" x14ac:dyDescent="0.3">
      <c r="A564" s="138"/>
      <c r="B564" s="139"/>
      <c r="C564" s="365" t="s">
        <v>18</v>
      </c>
      <c r="D564" s="498" t="s">
        <v>38</v>
      </c>
      <c r="E564" s="141"/>
      <c r="F564" s="141"/>
      <c r="G564" s="142"/>
      <c r="H564" s="143"/>
      <c r="I564" s="135"/>
      <c r="J564" s="44"/>
      <c r="K564" s="45"/>
      <c r="L564" s="465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11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11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11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11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11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11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11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11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11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496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hidden="1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64">
        <f>I587</f>
        <v>0</v>
      </c>
      <c r="J575" s="364">
        <f>J587</f>
        <v>0</v>
      </c>
      <c r="K575" s="513">
        <f>IF(I575&gt;0,J575*100/I575,0)</f>
        <v>0</v>
      </c>
      <c r="L575" s="512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hidden="1" x14ac:dyDescent="0.3">
      <c r="A576" s="128"/>
      <c r="B576" s="40"/>
      <c r="C576" s="129" t="s">
        <v>18</v>
      </c>
      <c r="D576" s="472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471">
        <f>L577+L578</f>
        <v>0</v>
      </c>
      <c r="M576" s="470">
        <f>M577+M578</f>
        <v>0</v>
      </c>
      <c r="N576" s="470">
        <f>N577+N578</f>
        <v>0</v>
      </c>
      <c r="O576" s="470">
        <f t="shared" ref="O576:O584" si="145">IF(L576&gt;0,N576*100/L576,0)</f>
        <v>0</v>
      </c>
      <c r="P576" s="470">
        <f t="shared" ref="P576:P584" si="146">IF(M576&gt;0,N576*100/M576,0)</f>
        <v>0</v>
      </c>
      <c r="Q576" s="470">
        <f>Q577+Q578</f>
        <v>0</v>
      </c>
      <c r="R576" s="470">
        <f>R577+R578</f>
        <v>0</v>
      </c>
      <c r="S576" s="470">
        <f>S577+S578</f>
        <v>0</v>
      </c>
      <c r="T576" s="470">
        <f t="shared" ref="T576:T584" si="147">IF(Q576&gt;0,S576*100/Q576,0)</f>
        <v>0</v>
      </c>
      <c r="U576" s="470">
        <f t="shared" ref="U576:U584" si="148"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469">
        <f t="shared" ref="L577:N578" si="149">L580+L583</f>
        <v>0</v>
      </c>
      <c r="M577" s="83">
        <f t="shared" si="149"/>
        <v>0</v>
      </c>
      <c r="N577" s="83">
        <f t="shared" si="149"/>
        <v>0</v>
      </c>
      <c r="O577" s="83">
        <f t="shared" si="145"/>
        <v>0</v>
      </c>
      <c r="P577" s="83">
        <f t="shared" si="146"/>
        <v>0</v>
      </c>
      <c r="Q577" s="83">
        <f t="shared" ref="Q577:S578" si="150">Q580+Q583</f>
        <v>0</v>
      </c>
      <c r="R577" s="83">
        <f t="shared" si="150"/>
        <v>0</v>
      </c>
      <c r="S577" s="83">
        <f t="shared" si="150"/>
        <v>0</v>
      </c>
      <c r="T577" s="83">
        <f t="shared" si="147"/>
        <v>0</v>
      </c>
      <c r="U577" s="83">
        <f t="shared" si="148"/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468">
        <f t="shared" si="149"/>
        <v>0</v>
      </c>
      <c r="M578" s="224">
        <f t="shared" si="149"/>
        <v>0</v>
      </c>
      <c r="N578" s="224">
        <f t="shared" si="149"/>
        <v>0</v>
      </c>
      <c r="O578" s="224">
        <f t="shared" si="145"/>
        <v>0</v>
      </c>
      <c r="P578" s="224">
        <f t="shared" si="146"/>
        <v>0</v>
      </c>
      <c r="Q578" s="224">
        <f t="shared" si="150"/>
        <v>0</v>
      </c>
      <c r="R578" s="224">
        <f t="shared" si="150"/>
        <v>0</v>
      </c>
      <c r="S578" s="224">
        <f t="shared" si="150"/>
        <v>0</v>
      </c>
      <c r="T578" s="224">
        <f t="shared" si="147"/>
        <v>0</v>
      </c>
      <c r="U578" s="224">
        <f t="shared" si="148"/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468">
        <f>L580+L581</f>
        <v>0</v>
      </c>
      <c r="M579" s="224">
        <f>M580+M581</f>
        <v>0</v>
      </c>
      <c r="N579" s="224">
        <f>N580+N581</f>
        <v>0</v>
      </c>
      <c r="O579" s="224">
        <f t="shared" si="145"/>
        <v>0</v>
      </c>
      <c r="P579" s="224">
        <f t="shared" si="146"/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 t="shared" si="147"/>
        <v>0</v>
      </c>
      <c r="U579" s="224">
        <f t="shared" si="148"/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469">
        <v>0</v>
      </c>
      <c r="M580" s="83">
        <v>0</v>
      </c>
      <c r="N580" s="83">
        <v>0</v>
      </c>
      <c r="O580" s="83">
        <f t="shared" si="145"/>
        <v>0</v>
      </c>
      <c r="P580" s="83">
        <f t="shared" si="146"/>
        <v>0</v>
      </c>
      <c r="Q580" s="83">
        <v>0</v>
      </c>
      <c r="R580" s="83">
        <v>0</v>
      </c>
      <c r="S580" s="83">
        <v>0</v>
      </c>
      <c r="T580" s="83">
        <f t="shared" si="147"/>
        <v>0</v>
      </c>
      <c r="U580" s="83">
        <f t="shared" si="148"/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468">
        <v>0</v>
      </c>
      <c r="M581" s="224">
        <v>0</v>
      </c>
      <c r="N581" s="224">
        <v>0</v>
      </c>
      <c r="O581" s="224">
        <f t="shared" si="145"/>
        <v>0</v>
      </c>
      <c r="P581" s="224">
        <f t="shared" si="146"/>
        <v>0</v>
      </c>
      <c r="Q581" s="224">
        <v>0</v>
      </c>
      <c r="R581" s="224">
        <v>0</v>
      </c>
      <c r="S581" s="224">
        <v>0</v>
      </c>
      <c r="T581" s="224">
        <f t="shared" si="147"/>
        <v>0</v>
      </c>
      <c r="U581" s="224">
        <f t="shared" si="148"/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468">
        <f>L583+L584</f>
        <v>0</v>
      </c>
      <c r="M582" s="224">
        <f>M583+M584</f>
        <v>0</v>
      </c>
      <c r="N582" s="224">
        <f>N583+N584</f>
        <v>0</v>
      </c>
      <c r="O582" s="224">
        <f t="shared" si="145"/>
        <v>0</v>
      </c>
      <c r="P582" s="224">
        <f t="shared" si="146"/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 t="shared" si="147"/>
        <v>0</v>
      </c>
      <c r="U582" s="224">
        <f t="shared" si="148"/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469">
        <v>0</v>
      </c>
      <c r="M583" s="83">
        <v>0</v>
      </c>
      <c r="N583" s="83">
        <v>0</v>
      </c>
      <c r="O583" s="83">
        <f t="shared" si="145"/>
        <v>0</v>
      </c>
      <c r="P583" s="83">
        <f t="shared" si="146"/>
        <v>0</v>
      </c>
      <c r="Q583" s="83">
        <v>0</v>
      </c>
      <c r="R583" s="83">
        <v>0</v>
      </c>
      <c r="S583" s="83">
        <v>0</v>
      </c>
      <c r="T583" s="83">
        <f t="shared" si="147"/>
        <v>0</v>
      </c>
      <c r="U583" s="83">
        <f t="shared" si="148"/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468">
        <v>0</v>
      </c>
      <c r="M584" s="224">
        <v>0</v>
      </c>
      <c r="N584" s="224">
        <v>0</v>
      </c>
      <c r="O584" s="224">
        <f t="shared" si="145"/>
        <v>0</v>
      </c>
      <c r="P584" s="224">
        <f t="shared" si="146"/>
        <v>0</v>
      </c>
      <c r="Q584" s="224">
        <v>0</v>
      </c>
      <c r="R584" s="224">
        <v>0</v>
      </c>
      <c r="S584" s="224">
        <v>0</v>
      </c>
      <c r="T584" s="224">
        <f t="shared" si="147"/>
        <v>0</v>
      </c>
      <c r="U584" s="224">
        <f t="shared" si="148"/>
        <v>0</v>
      </c>
    </row>
    <row r="585" spans="1:21" ht="19.5" hidden="1" x14ac:dyDescent="0.3">
      <c r="A585" s="138"/>
      <c r="B585" s="139"/>
      <c r="C585" s="365" t="s">
        <v>18</v>
      </c>
      <c r="D585" s="498" t="s">
        <v>38</v>
      </c>
      <c r="E585" s="141"/>
      <c r="F585" s="141"/>
      <c r="G585" s="142"/>
      <c r="H585" s="143"/>
      <c r="I585" s="135"/>
      <c r="J585" s="44"/>
      <c r="K585" s="45"/>
      <c r="L585" s="465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11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11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11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11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11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11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11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11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11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496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hidden="1" x14ac:dyDescent="0.3">
      <c r="A596" s="366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67" t="s">
        <v>214</v>
      </c>
      <c r="C597" s="172"/>
      <c r="D597" s="125"/>
      <c r="E597" s="27"/>
      <c r="F597" s="27"/>
      <c r="G597" s="27"/>
      <c r="H597" s="368" t="s">
        <v>99</v>
      </c>
      <c r="I597" s="182"/>
      <c r="J597" s="32"/>
      <c r="K597" s="33"/>
      <c r="L597" s="510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369"/>
      <c r="B598" s="370" t="s">
        <v>215</v>
      </c>
      <c r="C598" s="125"/>
      <c r="D598" s="27"/>
      <c r="E598" s="27"/>
      <c r="F598" s="27"/>
      <c r="G598" s="30"/>
      <c r="H598" s="371" t="s">
        <v>35</v>
      </c>
      <c r="I598" s="32"/>
      <c r="J598" s="32"/>
      <c r="K598" s="33"/>
      <c r="L598" s="510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820" t="s">
        <v>19</v>
      </c>
      <c r="E599" s="793"/>
      <c r="F599" s="793"/>
      <c r="G599" s="794"/>
      <c r="H599" s="372" t="s">
        <v>14</v>
      </c>
      <c r="I599" s="44"/>
      <c r="J599" s="44"/>
      <c r="K599" s="45"/>
      <c r="L599" s="471">
        <f>L600+L601</f>
        <v>0</v>
      </c>
      <c r="M599" s="470">
        <f>M600+M601</f>
        <v>0</v>
      </c>
      <c r="N599" s="470">
        <f>N600+N601</f>
        <v>0</v>
      </c>
      <c r="O599" s="470">
        <f t="shared" ref="O599:O607" si="151">IF(L599&gt;0,N599*100/L599,0)</f>
        <v>0</v>
      </c>
      <c r="P599" s="470">
        <f t="shared" ref="P599:P607" si="152">IF(M599&gt;0,N599*100/M599,0)</f>
        <v>0</v>
      </c>
      <c r="Q599" s="470">
        <f>Q600+Q601</f>
        <v>0</v>
      </c>
      <c r="R599" s="470">
        <f>R600+R601</f>
        <v>0</v>
      </c>
      <c r="S599" s="470">
        <f>S600+S601</f>
        <v>0</v>
      </c>
      <c r="T599" s="470">
        <f t="shared" ref="T599:T607" si="153">IF(Q599&gt;0,S599*100/Q599,0)</f>
        <v>0</v>
      </c>
      <c r="U599" s="470">
        <f t="shared" ref="U599:U607" si="154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469">
        <f t="shared" ref="L600:N601" si="155">L603+L606</f>
        <v>0</v>
      </c>
      <c r="M600" s="83">
        <f t="shared" si="155"/>
        <v>0</v>
      </c>
      <c r="N600" s="83">
        <f t="shared" si="155"/>
        <v>0</v>
      </c>
      <c r="O600" s="83">
        <f t="shared" si="151"/>
        <v>0</v>
      </c>
      <c r="P600" s="83">
        <f t="shared" si="152"/>
        <v>0</v>
      </c>
      <c r="Q600" s="83">
        <f t="shared" ref="Q600:S601" si="156">Q603+Q606</f>
        <v>0</v>
      </c>
      <c r="R600" s="83">
        <f t="shared" si="156"/>
        <v>0</v>
      </c>
      <c r="S600" s="83">
        <f t="shared" si="156"/>
        <v>0</v>
      </c>
      <c r="T600" s="83">
        <f t="shared" si="153"/>
        <v>0</v>
      </c>
      <c r="U600" s="83">
        <f t="shared" si="154"/>
        <v>0</v>
      </c>
    </row>
    <row r="601" spans="1:21" ht="18.75" hidden="1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468">
        <f t="shared" si="155"/>
        <v>0</v>
      </c>
      <c r="M601" s="224">
        <f t="shared" si="155"/>
        <v>0</v>
      </c>
      <c r="N601" s="224">
        <f t="shared" si="155"/>
        <v>0</v>
      </c>
      <c r="O601" s="224">
        <f t="shared" si="151"/>
        <v>0</v>
      </c>
      <c r="P601" s="224">
        <f t="shared" si="152"/>
        <v>0</v>
      </c>
      <c r="Q601" s="224">
        <f t="shared" si="156"/>
        <v>0</v>
      </c>
      <c r="R601" s="224">
        <f t="shared" si="156"/>
        <v>0</v>
      </c>
      <c r="S601" s="224">
        <f t="shared" si="156"/>
        <v>0</v>
      </c>
      <c r="T601" s="224">
        <f t="shared" si="153"/>
        <v>0</v>
      </c>
      <c r="U601" s="224">
        <f t="shared" si="154"/>
        <v>0</v>
      </c>
    </row>
    <row r="602" spans="1:21" ht="19.5" hidden="1" x14ac:dyDescent="0.3">
      <c r="A602" s="128"/>
      <c r="B602" s="158"/>
      <c r="C602" s="158"/>
      <c r="D602" s="494" t="s">
        <v>22</v>
      </c>
      <c r="E602" s="40"/>
      <c r="F602" s="40"/>
      <c r="G602" s="42"/>
      <c r="H602" s="372" t="s">
        <v>14</v>
      </c>
      <c r="I602" s="135"/>
      <c r="J602" s="135"/>
      <c r="K602" s="136"/>
      <c r="L602" s="468">
        <f>L603+L604</f>
        <v>0</v>
      </c>
      <c r="M602" s="224">
        <f>M603+M604</f>
        <v>0</v>
      </c>
      <c r="N602" s="224">
        <f>N603+N604</f>
        <v>0</v>
      </c>
      <c r="O602" s="224">
        <f t="shared" si="151"/>
        <v>0</v>
      </c>
      <c r="P602" s="224">
        <f t="shared" si="152"/>
        <v>0</v>
      </c>
      <c r="Q602" s="224">
        <f>Q603+Q604</f>
        <v>0</v>
      </c>
      <c r="R602" s="224">
        <f>R603+R604</f>
        <v>0</v>
      </c>
      <c r="S602" s="224">
        <f>S603+S604</f>
        <v>0</v>
      </c>
      <c r="T602" s="224">
        <f t="shared" si="153"/>
        <v>0</v>
      </c>
      <c r="U602" s="224">
        <f t="shared" si="154"/>
        <v>0</v>
      </c>
    </row>
    <row r="603" spans="1:21" ht="18.75" hidden="1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469">
        <v>0</v>
      </c>
      <c r="M603" s="83">
        <v>0</v>
      </c>
      <c r="N603" s="83">
        <v>0</v>
      </c>
      <c r="O603" s="83">
        <f t="shared" si="151"/>
        <v>0</v>
      </c>
      <c r="P603" s="83">
        <f t="shared" si="152"/>
        <v>0</v>
      </c>
      <c r="Q603" s="83">
        <v>0</v>
      </c>
      <c r="R603" s="83">
        <v>0</v>
      </c>
      <c r="S603" s="83">
        <v>0</v>
      </c>
      <c r="T603" s="83">
        <f t="shared" si="153"/>
        <v>0</v>
      </c>
      <c r="U603" s="83">
        <f t="shared" si="154"/>
        <v>0</v>
      </c>
    </row>
    <row r="604" spans="1:21" ht="18.75" hidden="1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468">
        <v>0</v>
      </c>
      <c r="M604" s="224">
        <v>0</v>
      </c>
      <c r="N604" s="224">
        <v>0</v>
      </c>
      <c r="O604" s="224">
        <f t="shared" si="151"/>
        <v>0</v>
      </c>
      <c r="P604" s="224">
        <f t="shared" si="152"/>
        <v>0</v>
      </c>
      <c r="Q604" s="224">
        <v>0</v>
      </c>
      <c r="R604" s="224">
        <v>0</v>
      </c>
      <c r="S604" s="224">
        <v>0</v>
      </c>
      <c r="T604" s="224">
        <f t="shared" si="153"/>
        <v>0</v>
      </c>
      <c r="U604" s="224">
        <f t="shared" si="154"/>
        <v>0</v>
      </c>
    </row>
    <row r="605" spans="1:21" ht="19.5" hidden="1" x14ac:dyDescent="0.3">
      <c r="A605" s="128"/>
      <c r="B605" s="158"/>
      <c r="C605" s="158"/>
      <c r="D605" s="494" t="s">
        <v>23</v>
      </c>
      <c r="E605" s="158"/>
      <c r="F605" s="40"/>
      <c r="G605" s="42"/>
      <c r="H605" s="374" t="s">
        <v>14</v>
      </c>
      <c r="I605" s="135"/>
      <c r="J605" s="135"/>
      <c r="K605" s="136"/>
      <c r="L605" s="468">
        <f>L606+L607</f>
        <v>0</v>
      </c>
      <c r="M605" s="224">
        <f>M606+M607</f>
        <v>0</v>
      </c>
      <c r="N605" s="224">
        <f>N606+N607</f>
        <v>0</v>
      </c>
      <c r="O605" s="224">
        <f t="shared" si="151"/>
        <v>0</v>
      </c>
      <c r="P605" s="224">
        <f t="shared" si="152"/>
        <v>0</v>
      </c>
      <c r="Q605" s="224">
        <f>Q606+Q607</f>
        <v>0</v>
      </c>
      <c r="R605" s="224">
        <f>R606+R607</f>
        <v>0</v>
      </c>
      <c r="S605" s="224">
        <f>S606+S607</f>
        <v>0</v>
      </c>
      <c r="T605" s="224">
        <f t="shared" si="153"/>
        <v>0</v>
      </c>
      <c r="U605" s="224">
        <f t="shared" si="154"/>
        <v>0</v>
      </c>
    </row>
    <row r="606" spans="1:21" ht="18.75" hidden="1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469">
        <v>0</v>
      </c>
      <c r="M606" s="83">
        <v>0</v>
      </c>
      <c r="N606" s="83">
        <v>0</v>
      </c>
      <c r="O606" s="83">
        <f t="shared" si="151"/>
        <v>0</v>
      </c>
      <c r="P606" s="83">
        <f t="shared" si="152"/>
        <v>0</v>
      </c>
      <c r="Q606" s="83">
        <v>0</v>
      </c>
      <c r="R606" s="83">
        <v>0</v>
      </c>
      <c r="S606" s="83">
        <v>0</v>
      </c>
      <c r="T606" s="83">
        <f t="shared" si="153"/>
        <v>0</v>
      </c>
      <c r="U606" s="83">
        <f t="shared" si="154"/>
        <v>0</v>
      </c>
    </row>
    <row r="607" spans="1:21" ht="18.75" hidden="1" x14ac:dyDescent="0.25">
      <c r="A607" s="128"/>
      <c r="B607" s="158"/>
      <c r="C607" s="158"/>
      <c r="D607" s="40"/>
      <c r="E607" s="314" t="s">
        <v>21</v>
      </c>
      <c r="F607" s="40"/>
      <c r="G607" s="42"/>
      <c r="H607" s="375" t="s">
        <v>14</v>
      </c>
      <c r="I607" s="135"/>
      <c r="J607" s="135"/>
      <c r="K607" s="136"/>
      <c r="L607" s="468">
        <v>0</v>
      </c>
      <c r="M607" s="224">
        <v>0</v>
      </c>
      <c r="N607" s="224">
        <v>0</v>
      </c>
      <c r="O607" s="224">
        <f t="shared" si="151"/>
        <v>0</v>
      </c>
      <c r="P607" s="224">
        <f t="shared" si="152"/>
        <v>0</v>
      </c>
      <c r="Q607" s="224">
        <v>0</v>
      </c>
      <c r="R607" s="224">
        <v>0</v>
      </c>
      <c r="S607" s="224">
        <v>0</v>
      </c>
      <c r="T607" s="224">
        <f t="shared" si="153"/>
        <v>0</v>
      </c>
      <c r="U607" s="224">
        <f t="shared" si="154"/>
        <v>0</v>
      </c>
    </row>
    <row r="608" spans="1:21" ht="19.5" hidden="1" x14ac:dyDescent="0.3">
      <c r="A608" s="138"/>
      <c r="B608" s="139"/>
      <c r="C608" s="177" t="s">
        <v>18</v>
      </c>
      <c r="D608" s="509" t="s">
        <v>38</v>
      </c>
      <c r="E608" s="141"/>
      <c r="F608" s="141"/>
      <c r="G608" s="142"/>
      <c r="H608" s="178"/>
      <c r="I608" s="135"/>
      <c r="J608" s="135"/>
      <c r="K608" s="136"/>
      <c r="L608" s="465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377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465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377" t="s">
        <v>217</v>
      </c>
      <c r="E610" s="145"/>
      <c r="F610" s="145"/>
      <c r="G610" s="143"/>
      <c r="H610" s="372" t="s">
        <v>35</v>
      </c>
      <c r="I610" s="44"/>
      <c r="J610" s="44"/>
      <c r="K610" s="136"/>
      <c r="L610" s="465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377" t="s">
        <v>218</v>
      </c>
      <c r="F611" s="145"/>
      <c r="G611" s="143"/>
      <c r="H611" s="375" t="s">
        <v>35</v>
      </c>
      <c r="I611" s="44"/>
      <c r="J611" s="44"/>
      <c r="K611" s="136"/>
      <c r="L611" s="465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378"/>
      <c r="B612" s="379"/>
      <c r="C612" s="379"/>
      <c r="D612" s="379"/>
      <c r="E612" s="380" t="s">
        <v>219</v>
      </c>
      <c r="F612" s="381"/>
      <c r="G612" s="382"/>
      <c r="H612" s="383" t="s">
        <v>35</v>
      </c>
      <c r="I612" s="384"/>
      <c r="J612" s="384"/>
      <c r="K612" s="385"/>
      <c r="L612" s="508"/>
      <c r="M612" s="386"/>
      <c r="N612" s="386"/>
      <c r="O612" s="386"/>
      <c r="P612" s="386"/>
      <c r="Q612" s="386"/>
      <c r="R612" s="386"/>
      <c r="S612" s="386"/>
      <c r="T612" s="386"/>
      <c r="U612" s="386"/>
    </row>
    <row r="613" spans="1:21" ht="19.5" hidden="1" x14ac:dyDescent="0.3">
      <c r="A613" s="387" t="s">
        <v>220</v>
      </c>
      <c r="B613" s="388"/>
      <c r="C613" s="388"/>
      <c r="D613" s="389"/>
      <c r="E613" s="389"/>
      <c r="F613" s="389"/>
      <c r="G613" s="390"/>
      <c r="H613" s="391"/>
      <c r="I613" s="392"/>
      <c r="J613" s="392"/>
      <c r="K613" s="393"/>
      <c r="L613" s="507"/>
      <c r="M613" s="393"/>
      <c r="N613" s="393"/>
      <c r="O613" s="393"/>
      <c r="P613" s="393"/>
      <c r="Q613" s="393"/>
      <c r="R613" s="393"/>
      <c r="S613" s="393"/>
      <c r="T613" s="393"/>
      <c r="U613" s="393"/>
    </row>
    <row r="614" spans="1:21" ht="19.5" x14ac:dyDescent="0.3">
      <c r="A614" s="394"/>
      <c r="B614" s="395" t="s">
        <v>221</v>
      </c>
      <c r="C614" s="394"/>
      <c r="D614" s="396"/>
      <c r="E614" s="396"/>
      <c r="F614" s="396"/>
      <c r="G614" s="397"/>
      <c r="H614" s="398"/>
      <c r="I614" s="399"/>
      <c r="J614" s="399"/>
      <c r="K614" s="400"/>
      <c r="L614" s="473"/>
      <c r="M614" s="400"/>
      <c r="N614" s="400"/>
      <c r="O614" s="400"/>
      <c r="P614" s="400"/>
      <c r="Q614" s="400"/>
      <c r="R614" s="400"/>
      <c r="S614" s="400"/>
      <c r="T614" s="400"/>
      <c r="U614" s="400"/>
    </row>
    <row r="615" spans="1:21" ht="19.5" x14ac:dyDescent="0.3">
      <c r="A615" s="401"/>
      <c r="B615" s="402" t="s">
        <v>222</v>
      </c>
      <c r="C615" s="401"/>
      <c r="D615" s="403"/>
      <c r="E615" s="403"/>
      <c r="F615" s="403"/>
      <c r="G615" s="404"/>
      <c r="H615" s="405" t="s">
        <v>46</v>
      </c>
      <c r="I615" s="506">
        <f ca="1">I626</f>
        <v>50</v>
      </c>
      <c r="J615" s="506">
        <f>J626</f>
        <v>0</v>
      </c>
      <c r="K615" s="505">
        <f ca="1">IF(I615&gt;0,J615*100/I615,0)</f>
        <v>0</v>
      </c>
      <c r="L615" s="504"/>
      <c r="M615" s="408"/>
      <c r="N615" s="408"/>
      <c r="O615" s="408"/>
      <c r="P615" s="408"/>
      <c r="Q615" s="408"/>
      <c r="R615" s="408"/>
      <c r="S615" s="408"/>
      <c r="T615" s="408"/>
      <c r="U615" s="408"/>
    </row>
    <row r="616" spans="1:21" ht="19.5" x14ac:dyDescent="0.3">
      <c r="A616" s="128"/>
      <c r="B616" s="158"/>
      <c r="C616" s="177" t="s">
        <v>18</v>
      </c>
      <c r="D616" s="821" t="s">
        <v>19</v>
      </c>
      <c r="E616" s="793"/>
      <c r="F616" s="793"/>
      <c r="G616" s="794"/>
      <c r="H616" s="221" t="s">
        <v>14</v>
      </c>
      <c r="I616" s="44"/>
      <c r="J616" s="44"/>
      <c r="K616" s="45"/>
      <c r="L616" s="471">
        <f>L617+L618</f>
        <v>0</v>
      </c>
      <c r="M616" s="470">
        <f>M617+M618</f>
        <v>0</v>
      </c>
      <c r="N616" s="470">
        <f>N617+N618</f>
        <v>0</v>
      </c>
      <c r="O616" s="470">
        <f t="shared" ref="O616:O624" si="157">IF(L616&gt;0,N616*100/L616,0)</f>
        <v>0</v>
      </c>
      <c r="P616" s="470">
        <f t="shared" ref="P616:P624" si="158">IF(M616&gt;0,N616*100/M616,0)</f>
        <v>0</v>
      </c>
      <c r="Q616" s="470">
        <f ca="1">Q617+Q618</f>
        <v>6725</v>
      </c>
      <c r="R616" s="470">
        <f ca="1">R617+R618</f>
        <v>6725</v>
      </c>
      <c r="S616" s="470">
        <f ca="1">S617+S618</f>
        <v>0</v>
      </c>
      <c r="T616" s="470">
        <f t="shared" ref="T616:T624" ca="1" si="159">IF(Q616&gt;0,S616*100/Q616,0)</f>
        <v>0</v>
      </c>
      <c r="U616" s="470">
        <f t="shared" ref="U616:U624" ca="1" si="160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469">
        <f t="shared" ref="L617:N618" si="161">L620+L623</f>
        <v>0</v>
      </c>
      <c r="M617" s="83">
        <f t="shared" si="161"/>
        <v>0</v>
      </c>
      <c r="N617" s="83">
        <f t="shared" si="161"/>
        <v>0</v>
      </c>
      <c r="O617" s="83">
        <f t="shared" si="157"/>
        <v>0</v>
      </c>
      <c r="P617" s="83">
        <f t="shared" si="158"/>
        <v>0</v>
      </c>
      <c r="Q617" s="83">
        <f t="shared" ref="Q617:S618" si="162">Q620+Q623</f>
        <v>0</v>
      </c>
      <c r="R617" s="83">
        <f t="shared" si="162"/>
        <v>0</v>
      </c>
      <c r="S617" s="83">
        <f t="shared" si="162"/>
        <v>0</v>
      </c>
      <c r="T617" s="83">
        <f t="shared" si="159"/>
        <v>0</v>
      </c>
      <c r="U617" s="83">
        <f t="shared" si="160"/>
        <v>0</v>
      </c>
    </row>
    <row r="618" spans="1:21" ht="18.75" hidden="1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468">
        <f t="shared" si="161"/>
        <v>0</v>
      </c>
      <c r="M618" s="224">
        <f t="shared" si="161"/>
        <v>0</v>
      </c>
      <c r="N618" s="224">
        <f t="shared" si="161"/>
        <v>0</v>
      </c>
      <c r="O618" s="224">
        <f t="shared" si="157"/>
        <v>0</v>
      </c>
      <c r="P618" s="224">
        <f t="shared" si="158"/>
        <v>0</v>
      </c>
      <c r="Q618" s="224">
        <f t="shared" ca="1" si="162"/>
        <v>6725</v>
      </c>
      <c r="R618" s="224">
        <f t="shared" ca="1" si="162"/>
        <v>6725</v>
      </c>
      <c r="S618" s="224">
        <f t="shared" ca="1" si="162"/>
        <v>0</v>
      </c>
      <c r="T618" s="224">
        <f t="shared" ca="1" si="159"/>
        <v>0</v>
      </c>
      <c r="U618" s="224">
        <f t="shared" ca="1" si="160"/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468">
        <f>L620+L621</f>
        <v>0</v>
      </c>
      <c r="M619" s="224">
        <f>M620+M621</f>
        <v>0</v>
      </c>
      <c r="N619" s="224">
        <f>N620+N621</f>
        <v>0</v>
      </c>
      <c r="O619" s="224">
        <f t="shared" si="157"/>
        <v>0</v>
      </c>
      <c r="P619" s="224">
        <f t="shared" si="158"/>
        <v>0</v>
      </c>
      <c r="Q619" s="224">
        <f ca="1">Q620+Q621</f>
        <v>6725</v>
      </c>
      <c r="R619" s="224">
        <f ca="1">R620+R621</f>
        <v>6725</v>
      </c>
      <c r="S619" s="224">
        <f ca="1">S620+S621</f>
        <v>0</v>
      </c>
      <c r="T619" s="224">
        <f t="shared" ca="1" si="159"/>
        <v>0</v>
      </c>
      <c r="U619" s="224">
        <f t="shared" ca="1" si="160"/>
        <v>0</v>
      </c>
    </row>
    <row r="620" spans="1:21" ht="18.75" hidden="1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469">
        <v>0</v>
      </c>
      <c r="M620" s="83">
        <v>0</v>
      </c>
      <c r="N620" s="83">
        <v>0</v>
      </c>
      <c r="O620" s="83">
        <f t="shared" si="157"/>
        <v>0</v>
      </c>
      <c r="P620" s="83">
        <f t="shared" si="158"/>
        <v>0</v>
      </c>
      <c r="Q620" s="83">
        <v>0</v>
      </c>
      <c r="R620" s="83">
        <v>0</v>
      </c>
      <c r="S620" s="83">
        <v>0</v>
      </c>
      <c r="T620" s="83">
        <f t="shared" si="159"/>
        <v>0</v>
      </c>
      <c r="U620" s="83">
        <f t="shared" si="160"/>
        <v>0</v>
      </c>
    </row>
    <row r="621" spans="1:21" ht="18.75" hidden="1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468">
        <v>0</v>
      </c>
      <c r="M621" s="224">
        <v>0</v>
      </c>
      <c r="N621" s="224">
        <v>0</v>
      </c>
      <c r="O621" s="224">
        <f t="shared" si="157"/>
        <v>0</v>
      </c>
      <c r="P621" s="224">
        <f t="shared" si="158"/>
        <v>0</v>
      </c>
      <c r="Q621" s="224">
        <f ca="1">IFERROR(__xludf.DUMMYFUNCTION("IMPORTRANGE(""https://docs.google.com/spreadsheets/d/1ItG2mGa2ceCfYo0BwxsXqNm01IGEUdYcSSLTEv9YCik/edit?usp=sharing"",""เบิกจ่ายกองทุน!F22"")"),6725)</f>
        <v>6725</v>
      </c>
      <c r="R621" s="224">
        <f ca="1">IFERROR(__xludf.DUMMYFUNCTION("IMPORTRANGE(""https://docs.google.com/spreadsheets/d/1ItG2mGa2ceCfYo0BwxsXqNm01IGEUdYcSSLTEv9YCik/edit?usp=sharing"",""เบิกจ่ายกองทุน!G22"")"),6725)</f>
        <v>6725</v>
      </c>
      <c r="S621" s="224">
        <f ca="1">IFERROR(__xludf.DUMMYFUNCTION("IMPORTRANGE(""https://docs.google.com/spreadsheets/d/1ItG2mGa2ceCfYo0BwxsXqNm01IGEUdYcSSLTEv9YCik/edit?usp=sharing"",""เบิกจ่ายกองทุน!H22"")"),0)</f>
        <v>0</v>
      </c>
      <c r="T621" s="224">
        <f t="shared" ca="1" si="159"/>
        <v>0</v>
      </c>
      <c r="U621" s="224">
        <f t="shared" ca="1" si="160"/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468">
        <f>L623+L624</f>
        <v>0</v>
      </c>
      <c r="M622" s="224">
        <f>M623+M624</f>
        <v>0</v>
      </c>
      <c r="N622" s="224">
        <f>N623+N624</f>
        <v>0</v>
      </c>
      <c r="O622" s="224">
        <f t="shared" si="157"/>
        <v>0</v>
      </c>
      <c r="P622" s="224">
        <f t="shared" si="158"/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 t="shared" si="159"/>
        <v>0</v>
      </c>
      <c r="U622" s="224">
        <f t="shared" si="160"/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469">
        <v>0</v>
      </c>
      <c r="M623" s="83">
        <v>0</v>
      </c>
      <c r="N623" s="83">
        <v>0</v>
      </c>
      <c r="O623" s="83">
        <f t="shared" si="157"/>
        <v>0</v>
      </c>
      <c r="P623" s="83">
        <f t="shared" si="158"/>
        <v>0</v>
      </c>
      <c r="Q623" s="83">
        <v>0</v>
      </c>
      <c r="R623" s="83">
        <v>0</v>
      </c>
      <c r="S623" s="83">
        <v>0</v>
      </c>
      <c r="T623" s="83">
        <f t="shared" si="159"/>
        <v>0</v>
      </c>
      <c r="U623" s="83">
        <f t="shared" si="160"/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468">
        <v>0</v>
      </c>
      <c r="M624" s="224">
        <v>0</v>
      </c>
      <c r="N624" s="224">
        <v>0</v>
      </c>
      <c r="O624" s="224">
        <f t="shared" si="157"/>
        <v>0</v>
      </c>
      <c r="P624" s="224">
        <f t="shared" si="158"/>
        <v>0</v>
      </c>
      <c r="Q624" s="224">
        <v>0</v>
      </c>
      <c r="R624" s="224">
        <v>0</v>
      </c>
      <c r="S624" s="224">
        <v>0</v>
      </c>
      <c r="T624" s="224">
        <f t="shared" si="159"/>
        <v>0</v>
      </c>
      <c r="U624" s="224">
        <f t="shared" si="160"/>
        <v>0</v>
      </c>
    </row>
    <row r="625" spans="1:21" ht="19.5" x14ac:dyDescent="0.3">
      <c r="A625" s="138"/>
      <c r="B625" s="139"/>
      <c r="C625" s="177" t="s">
        <v>18</v>
      </c>
      <c r="D625" s="467" t="s">
        <v>38</v>
      </c>
      <c r="E625" s="141"/>
      <c r="F625" s="141"/>
      <c r="G625" s="142"/>
      <c r="H625" s="178"/>
      <c r="I625" s="135"/>
      <c r="J625" s="135"/>
      <c r="K625" s="136"/>
      <c r="L625" s="4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10" t="s">
        <v>223</v>
      </c>
      <c r="E626" s="145"/>
      <c r="F626" s="145"/>
      <c r="G626" s="143"/>
      <c r="H626" s="411" t="s">
        <v>46</v>
      </c>
      <c r="I626" s="328">
        <f ca="1">IFERROR(__xludf.DUMMYFUNCTION("IMPORTRANGE(""https://docs.google.com/spreadsheets/d/1eHaY18a8A9IcSdp1K8H6x8fbOy06t2VsZHhMHf-1x7Y/edit?usp=sharing"",""แผน!ID22"")"),50)</f>
        <v>50</v>
      </c>
      <c r="J626" s="328">
        <f>J632</f>
        <v>0</v>
      </c>
      <c r="K626" s="470">
        <f ca="1">IF(I626&gt;0,J626*100/I626,0)</f>
        <v>0</v>
      </c>
      <c r="L626" s="4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IFERROR(__xludf.DUMMYFUNCTION("IMPORTRANGE(""https://docs.google.com/spreadsheets/d/1eHaY18a8A9IcSdp1K8H6x8fbOy06t2VsZHhMHf-1x7Y/edit?usp=sharing"",""แผน!IC22"")"),0)</f>
        <v>0</v>
      </c>
      <c r="J627" s="466">
        <v>0</v>
      </c>
      <c r="K627" s="224">
        <f ca="1">IF(I627&gt;0,(J627*100)/I627,0)</f>
        <v>0</v>
      </c>
      <c r="L627" s="4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IFERROR(__xludf.DUMMYFUNCTION("IMPORTRANGE(""https://docs.google.com/spreadsheets/d/1eHaY18a8A9IcSdp1K8H6x8fbOy06t2VsZHhMHf-1x7Y/edit?usp=sharing"",""แผน!IC22"")"),0)</f>
        <v>0</v>
      </c>
      <c r="J628" s="466">
        <v>0</v>
      </c>
      <c r="K628" s="224">
        <f ca="1">IF(I628&gt;0,(J628*100)/I628,0)</f>
        <v>0</v>
      </c>
      <c r="L628" s="4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466">
        <v>0</v>
      </c>
      <c r="K629" s="224">
        <f ca="1">IF(I$626&gt;0,J629*100/I$626,0)</f>
        <v>0</v>
      </c>
      <c r="L629" s="4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466">
        <v>0</v>
      </c>
      <c r="K630" s="224">
        <f ca="1">IF(I$626&gt;0,J630*100/I$626,0)</f>
        <v>0</v>
      </c>
      <c r="L630" s="4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466">
        <v>0</v>
      </c>
      <c r="K631" s="224">
        <f ca="1">IF(I$626&gt;0,J631*100/I$626,0)</f>
        <v>0</v>
      </c>
      <c r="L631" s="4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470">
        <f ca="1">IF(I626&gt;0,J632*100/I626,0)</f>
        <v>0</v>
      </c>
      <c r="L632" s="4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466">
        <v>0</v>
      </c>
      <c r="K633" s="45"/>
      <c r="L633" s="4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466">
        <v>0</v>
      </c>
      <c r="K634" s="45"/>
      <c r="L634" s="4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10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IFERROR(__xludf.DUMMYFUNCTION("IMPORTRANGE(""https://docs.google.com/spreadsheets/d/1eHaY18a8A9IcSdp1K8H6x8fbOy06t2VsZHhMHf-1x7Y/edit?usp=sharing"",""แผน!IE22"")"),0)</f>
        <v>0</v>
      </c>
      <c r="J635" s="328">
        <f>J636</f>
        <v>0</v>
      </c>
      <c r="K635" s="470">
        <f ca="1">IF(I635&gt;0,J635*100/I635,0)</f>
        <v>0</v>
      </c>
      <c r="L635" s="4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4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466">
        <v>0</v>
      </c>
      <c r="K637" s="45"/>
      <c r="L637" s="4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466">
        <v>0</v>
      </c>
      <c r="K638" s="45"/>
      <c r="L638" s="4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466">
        <v>0</v>
      </c>
      <c r="K639" s="45"/>
      <c r="L639" s="4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466">
        <v>0</v>
      </c>
      <c r="K640" s="45"/>
      <c r="L640" s="4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01"/>
      <c r="B641" s="402" t="s">
        <v>236</v>
      </c>
      <c r="C641" s="401"/>
      <c r="D641" s="403"/>
      <c r="E641" s="403"/>
      <c r="F641" s="403"/>
      <c r="G641" s="404"/>
      <c r="H641" s="412"/>
      <c r="I641" s="413"/>
      <c r="J641" s="413"/>
      <c r="K641" s="408"/>
      <c r="L641" s="504"/>
      <c r="M641" s="408"/>
      <c r="N641" s="408"/>
      <c r="O641" s="408"/>
      <c r="P641" s="408"/>
      <c r="Q641" s="408"/>
      <c r="R641" s="408"/>
      <c r="S641" s="408"/>
      <c r="T641" s="408"/>
      <c r="U641" s="408"/>
    </row>
    <row r="642" spans="1:21" ht="19.5" hidden="1" x14ac:dyDescent="0.3">
      <c r="A642" s="128"/>
      <c r="B642" s="158"/>
      <c r="C642" s="209" t="s">
        <v>18</v>
      </c>
      <c r="D642" s="821" t="s">
        <v>19</v>
      </c>
      <c r="E642" s="793"/>
      <c r="F642" s="793"/>
      <c r="G642" s="794"/>
      <c r="H642" s="221" t="s">
        <v>14</v>
      </c>
      <c r="I642" s="44"/>
      <c r="J642" s="44"/>
      <c r="K642" s="45"/>
      <c r="L642" s="471">
        <f>L643+L644</f>
        <v>0</v>
      </c>
      <c r="M642" s="470">
        <f>M643+M644</f>
        <v>0</v>
      </c>
      <c r="N642" s="470">
        <f>N643+N644</f>
        <v>0</v>
      </c>
      <c r="O642" s="470">
        <f t="shared" ref="O642:O650" si="163">IF(L642&gt;0,N642*100/L642,0)</f>
        <v>0</v>
      </c>
      <c r="P642" s="470">
        <f t="shared" ref="P642:P650" si="164">IF(M642&gt;0,N642*100/M642,0)</f>
        <v>0</v>
      </c>
      <c r="Q642" s="470">
        <f ca="1">Q643+Q644</f>
        <v>0</v>
      </c>
      <c r="R642" s="470">
        <f ca="1">R643+R644</f>
        <v>0</v>
      </c>
      <c r="S642" s="470">
        <f ca="1">S643+S644</f>
        <v>0</v>
      </c>
      <c r="T642" s="470">
        <f t="shared" ref="T642:T650" ca="1" si="165">IF(Q642&gt;0,S642*100/Q642,0)</f>
        <v>0</v>
      </c>
      <c r="U642" s="470">
        <f t="shared" ref="U642:U650" ca="1" si="166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469">
        <f t="shared" ref="L643:N644" si="167">L646+L649</f>
        <v>0</v>
      </c>
      <c r="M643" s="83">
        <f t="shared" si="167"/>
        <v>0</v>
      </c>
      <c r="N643" s="83">
        <f t="shared" si="167"/>
        <v>0</v>
      </c>
      <c r="O643" s="83">
        <f t="shared" si="163"/>
        <v>0</v>
      </c>
      <c r="P643" s="83">
        <f t="shared" si="164"/>
        <v>0</v>
      </c>
      <c r="Q643" s="83">
        <f t="shared" ref="Q643:S644" si="168">Q646+Q649</f>
        <v>0</v>
      </c>
      <c r="R643" s="83">
        <f t="shared" si="168"/>
        <v>0</v>
      </c>
      <c r="S643" s="83">
        <f t="shared" si="168"/>
        <v>0</v>
      </c>
      <c r="T643" s="83">
        <f t="shared" si="165"/>
        <v>0</v>
      </c>
      <c r="U643" s="83">
        <f t="shared" si="166"/>
        <v>0</v>
      </c>
    </row>
    <row r="644" spans="1:21" ht="18.75" hidden="1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468">
        <f t="shared" si="167"/>
        <v>0</v>
      </c>
      <c r="M644" s="224">
        <f t="shared" si="167"/>
        <v>0</v>
      </c>
      <c r="N644" s="224">
        <f t="shared" si="167"/>
        <v>0</v>
      </c>
      <c r="O644" s="224">
        <f t="shared" si="163"/>
        <v>0</v>
      </c>
      <c r="P644" s="224">
        <f t="shared" si="164"/>
        <v>0</v>
      </c>
      <c r="Q644" s="224">
        <f t="shared" ca="1" si="168"/>
        <v>0</v>
      </c>
      <c r="R644" s="224">
        <f t="shared" ca="1" si="168"/>
        <v>0</v>
      </c>
      <c r="S644" s="224">
        <f t="shared" ca="1" si="168"/>
        <v>0</v>
      </c>
      <c r="T644" s="224">
        <f t="shared" ca="1" si="165"/>
        <v>0</v>
      </c>
      <c r="U644" s="224">
        <f t="shared" ca="1" si="166"/>
        <v>0</v>
      </c>
    </row>
    <row r="645" spans="1:21" ht="18.75" hidden="1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468">
        <f>L646+L647</f>
        <v>0</v>
      </c>
      <c r="M645" s="224">
        <f>M646+M647</f>
        <v>0</v>
      </c>
      <c r="N645" s="224">
        <f>N646+N647</f>
        <v>0</v>
      </c>
      <c r="O645" s="224">
        <f t="shared" si="163"/>
        <v>0</v>
      </c>
      <c r="P645" s="224">
        <f t="shared" si="164"/>
        <v>0</v>
      </c>
      <c r="Q645" s="224">
        <f ca="1">Q646+Q647</f>
        <v>0</v>
      </c>
      <c r="R645" s="224">
        <f ca="1">R646+R647</f>
        <v>0</v>
      </c>
      <c r="S645" s="224">
        <f ca="1">S646+S647</f>
        <v>0</v>
      </c>
      <c r="T645" s="224">
        <f t="shared" ca="1" si="165"/>
        <v>0</v>
      </c>
      <c r="U645" s="224">
        <f t="shared" ca="1" si="166"/>
        <v>0</v>
      </c>
    </row>
    <row r="646" spans="1:21" ht="18.75" hidden="1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469">
        <v>0</v>
      </c>
      <c r="M646" s="83">
        <v>0</v>
      </c>
      <c r="N646" s="83">
        <v>0</v>
      </c>
      <c r="O646" s="83">
        <f t="shared" si="163"/>
        <v>0</v>
      </c>
      <c r="P646" s="83">
        <f t="shared" si="164"/>
        <v>0</v>
      </c>
      <c r="Q646" s="83">
        <v>0</v>
      </c>
      <c r="R646" s="83">
        <v>0</v>
      </c>
      <c r="S646" s="83">
        <v>0</v>
      </c>
      <c r="T646" s="83">
        <f t="shared" si="165"/>
        <v>0</v>
      </c>
      <c r="U646" s="83">
        <f t="shared" si="166"/>
        <v>0</v>
      </c>
    </row>
    <row r="647" spans="1:21" ht="18.75" hidden="1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468">
        <v>0</v>
      </c>
      <c r="M647" s="224">
        <v>0</v>
      </c>
      <c r="N647" s="224">
        <v>0</v>
      </c>
      <c r="O647" s="224">
        <f t="shared" si="163"/>
        <v>0</v>
      </c>
      <c r="P647" s="224">
        <f t="shared" si="164"/>
        <v>0</v>
      </c>
      <c r="Q647" s="224">
        <f ca="1">IFERROR(__xludf.DUMMYFUNCTION("IMPORTRANGE(""https://docs.google.com/spreadsheets/d/1ItG2mGa2ceCfYo0BwxsXqNm01IGEUdYcSSLTEv9YCik/edit?usp=sharing"",""เบิกจ่ายกองทุน!I22"")"),0)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IFERROR(__xludf.DUMMYFUNCTION("IMPORTRANGE(""https://docs.google.com/spreadsheets/d/1ItG2mGa2ceCfYo0BwxsXqNm01IGEUdYcSSLTEv9YCik/edit?usp=sharing"",""เบิกจ่ายกองทุน!J22"")"),0)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IFERROR(__xludf.DUMMYFUNCTION("IMPORTRANGE(""https://docs.google.com/spreadsheets/d/1ItG2mGa2ceCfYo0BwxsXqNm01IGEUdYcSSLTEv9YCik/edit?usp=sharing"",""เบิกจ่ายกองทุน!K22"")"),0)</f>
        <v>0</v>
      </c>
      <c r="T647" s="224">
        <f t="shared" ca="1" si="165"/>
        <v>0</v>
      </c>
      <c r="U647" s="224">
        <f t="shared" ca="1" si="166"/>
        <v>0</v>
      </c>
    </row>
    <row r="648" spans="1:21" ht="18.75" hidden="1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468">
        <f>L649+L650</f>
        <v>0</v>
      </c>
      <c r="M648" s="224">
        <f>M649+M650</f>
        <v>0</v>
      </c>
      <c r="N648" s="224">
        <f>N649+N650</f>
        <v>0</v>
      </c>
      <c r="O648" s="224">
        <f t="shared" si="163"/>
        <v>0</v>
      </c>
      <c r="P648" s="224">
        <f t="shared" si="164"/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 t="shared" si="165"/>
        <v>0</v>
      </c>
      <c r="U648" s="224">
        <f t="shared" si="166"/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469">
        <v>0</v>
      </c>
      <c r="M649" s="83">
        <v>0</v>
      </c>
      <c r="N649" s="83">
        <v>0</v>
      </c>
      <c r="O649" s="83">
        <f t="shared" si="163"/>
        <v>0</v>
      </c>
      <c r="P649" s="83">
        <f t="shared" si="164"/>
        <v>0</v>
      </c>
      <c r="Q649" s="83">
        <v>0</v>
      </c>
      <c r="R649" s="83">
        <v>0</v>
      </c>
      <c r="S649" s="83">
        <v>0</v>
      </c>
      <c r="T649" s="83">
        <f t="shared" si="165"/>
        <v>0</v>
      </c>
      <c r="U649" s="83">
        <f t="shared" si="166"/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468">
        <v>0</v>
      </c>
      <c r="M650" s="224">
        <v>0</v>
      </c>
      <c r="N650" s="224">
        <v>0</v>
      </c>
      <c r="O650" s="224">
        <f t="shared" si="163"/>
        <v>0</v>
      </c>
      <c r="P650" s="224">
        <f t="shared" si="164"/>
        <v>0</v>
      </c>
      <c r="Q650" s="224">
        <v>0</v>
      </c>
      <c r="R650" s="224">
        <v>0</v>
      </c>
      <c r="S650" s="224">
        <v>0</v>
      </c>
      <c r="T650" s="224">
        <f t="shared" si="165"/>
        <v>0</v>
      </c>
      <c r="U650" s="224">
        <f t="shared" si="166"/>
        <v>0</v>
      </c>
    </row>
    <row r="651" spans="1:21" ht="19.5" hidden="1" x14ac:dyDescent="0.3">
      <c r="A651" s="138"/>
      <c r="B651" s="139"/>
      <c r="C651" s="209" t="s">
        <v>18</v>
      </c>
      <c r="D651" s="503" t="s">
        <v>38</v>
      </c>
      <c r="E651" s="141"/>
      <c r="F651" s="141"/>
      <c r="G651" s="142"/>
      <c r="H651" s="178"/>
      <c r="I651" s="135"/>
      <c r="J651" s="135"/>
      <c r="K651" s="136"/>
      <c r="L651" s="4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502">
        <f ca="1">IFERROR(__xludf.DUMMYFUNCTION("IMPORTRANGE(""https://docs.google.com/spreadsheets/d/1eHaY18a8A9IcSdp1K8H6x8fbOy06t2VsZHhMHf-1x7Y/edit?usp=sharing"",""แผน!IF22"")"),0)</f>
        <v>0</v>
      </c>
      <c r="J652" s="184">
        <f ca="1">IFERROR(__xludf.DUMMYFUNCTION("IMPORTRANGE(""https://docs.google.com/spreadsheets/d/1tdoBKaGub7dwA3U6UFTqxio9LNnvDCQjHKmttSEBsFQ/edit?usp=sharing"",""จัดที่ดิน!AU22"")"),0)</f>
        <v>0</v>
      </c>
      <c r="K652" s="224">
        <f ca="1">IF(I652&gt;0,J652*100/I652,0)</f>
        <v>0</v>
      </c>
      <c r="L652" s="465"/>
      <c r="M652" s="45"/>
      <c r="N652" s="416"/>
      <c r="O652" s="45"/>
      <c r="P652" s="45"/>
      <c r="Q652" s="45"/>
      <c r="R652" s="45"/>
      <c r="S652" s="416"/>
      <c r="T652" s="45"/>
      <c r="U652" s="45"/>
    </row>
    <row r="653" spans="1:21" ht="18.75" hidden="1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502">
        <f ca="1">IFERROR(__xludf.DUMMYFUNCTION("IMPORTRANGE(""https://docs.google.com/spreadsheets/d/1eHaY18a8A9IcSdp1K8H6x8fbOy06t2VsZHhMHf-1x7Y/edit?usp=sharing"",""แผน!IG22"")"),0)</f>
        <v>0</v>
      </c>
      <c r="J653" s="184">
        <f ca="1">IFERROR(__xludf.DUMMYFUNCTION("IMPORTRANGE(""https://docs.google.com/spreadsheets/d/1tdoBKaGub7dwA3U6UFTqxio9LNnvDCQjHKmttSEBsFQ/edit?usp=sharing"",""จัดที่ดิน!AW22"")"),0)</f>
        <v>0</v>
      </c>
      <c r="K653" s="224">
        <f ca="1">IF(I653&gt;0,J653*100/I653,0)</f>
        <v>0</v>
      </c>
      <c r="L653" s="465"/>
      <c r="M653" s="45"/>
      <c r="N653" s="416"/>
      <c r="O653" s="45"/>
      <c r="P653" s="45"/>
      <c r="Q653" s="45"/>
      <c r="R653" s="45"/>
      <c r="S653" s="416"/>
      <c r="T653" s="45"/>
      <c r="U653" s="45"/>
    </row>
    <row r="654" spans="1:21" ht="19.5" hidden="1" x14ac:dyDescent="0.3">
      <c r="A654" s="208"/>
      <c r="B654" s="158"/>
      <c r="C654" s="158"/>
      <c r="D654" s="47" t="s">
        <v>239</v>
      </c>
      <c r="E654" s="40"/>
      <c r="F654" s="40"/>
      <c r="G654" s="42"/>
      <c r="H654" s="411" t="s">
        <v>46</v>
      </c>
      <c r="I654" s="501">
        <f ca="1">IFERROR(__xludf.DUMMYFUNCTION("IMPORTRANGE(""https://docs.google.com/spreadsheets/d/1eHaY18a8A9IcSdp1K8H6x8fbOy06t2VsZHhMHf-1x7Y/edit?usp=sharing"",""แผน!IH22"")"),0)</f>
        <v>0</v>
      </c>
      <c r="J654" s="328">
        <f>J657+J660</f>
        <v>0</v>
      </c>
      <c r="K654" s="470">
        <f ca="1">IF(I654&gt;0,J654*100/I654,0)</f>
        <v>0</v>
      </c>
      <c r="L654" s="465"/>
      <c r="M654" s="45"/>
      <c r="N654" s="416"/>
      <c r="O654" s="45"/>
      <c r="P654" s="45"/>
      <c r="Q654" s="45"/>
      <c r="R654" s="45"/>
      <c r="S654" s="416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466">
        <v>0</v>
      </c>
      <c r="K655" s="45"/>
      <c r="L655" s="465"/>
      <c r="M655" s="45"/>
      <c r="N655" s="416"/>
      <c r="O655" s="45"/>
      <c r="P655" s="45"/>
      <c r="Q655" s="45"/>
      <c r="R655" s="45"/>
      <c r="S655" s="416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466">
        <v>0</v>
      </c>
      <c r="K656" s="45"/>
      <c r="L656" s="465"/>
      <c r="M656" s="45"/>
      <c r="N656" s="416"/>
      <c r="O656" s="45"/>
      <c r="P656" s="45"/>
      <c r="Q656" s="45"/>
      <c r="R656" s="45"/>
      <c r="S656" s="416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02">
        <f ca="1">IFERROR(__xludf.DUMMYFUNCTION("IMPORTRANGE(""https://docs.google.com/spreadsheets/d/1eHaY18a8A9IcSdp1K8H6x8fbOy06t2VsZHhMHf-1x7Y/edit?usp=sharing"",""แผน!II22"")"),0)</f>
        <v>0</v>
      </c>
      <c r="J657" s="466">
        <v>0</v>
      </c>
      <c r="K657" s="45"/>
      <c r="L657" s="465"/>
      <c r="M657" s="45"/>
      <c r="N657" s="416"/>
      <c r="O657" s="45"/>
      <c r="P657" s="45"/>
      <c r="Q657" s="45"/>
      <c r="R657" s="45"/>
      <c r="S657" s="416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466">
        <v>0</v>
      </c>
      <c r="K658" s="45"/>
      <c r="L658" s="465"/>
      <c r="M658" s="45"/>
      <c r="N658" s="416"/>
      <c r="O658" s="45"/>
      <c r="P658" s="45"/>
      <c r="Q658" s="45"/>
      <c r="R658" s="45"/>
      <c r="S658" s="416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466">
        <v>0</v>
      </c>
      <c r="K659" s="45"/>
      <c r="L659" s="465"/>
      <c r="M659" s="45"/>
      <c r="N659" s="416"/>
      <c r="O659" s="45"/>
      <c r="P659" s="45"/>
      <c r="Q659" s="45"/>
      <c r="R659" s="45"/>
      <c r="S659" s="416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02">
        <f ca="1">IFERROR(__xludf.DUMMYFUNCTION("IMPORTRANGE(""https://docs.google.com/spreadsheets/d/1eHaY18a8A9IcSdp1K8H6x8fbOy06t2VsZHhMHf-1x7Y/edit?usp=sharing"",""แผน!IJ22"")"),0)</f>
        <v>0</v>
      </c>
      <c r="J660" s="466">
        <v>0</v>
      </c>
      <c r="K660" s="45"/>
      <c r="L660" s="465"/>
      <c r="M660" s="45"/>
      <c r="N660" s="416"/>
      <c r="O660" s="45"/>
      <c r="P660" s="45"/>
      <c r="Q660" s="45"/>
      <c r="R660" s="45"/>
      <c r="S660" s="416"/>
      <c r="T660" s="45"/>
      <c r="U660" s="45"/>
    </row>
    <row r="661" spans="1:21" ht="19.5" hidden="1" x14ac:dyDescent="0.3">
      <c r="A661" s="208"/>
      <c r="B661" s="158"/>
      <c r="C661" s="158"/>
      <c r="D661" s="332" t="s">
        <v>242</v>
      </c>
      <c r="E661" s="40"/>
      <c r="F661" s="40"/>
      <c r="G661" s="42"/>
      <c r="H661" s="411" t="s">
        <v>46</v>
      </c>
      <c r="I661" s="501">
        <f ca="1">IFERROR(__xludf.DUMMYFUNCTION("IMPORTRANGE(""https://docs.google.com/spreadsheets/d/1eHaY18a8A9IcSdp1K8H6x8fbOy06t2VsZHhMHf-1x7Y/edit?usp=sharing"",""แผน!IK22"")"),0)</f>
        <v>0</v>
      </c>
      <c r="J661" s="328">
        <f>J667+J670</f>
        <v>0</v>
      </c>
      <c r="K661" s="470">
        <f ca="1">IF(I661&gt;0,J661*100/I661,0)</f>
        <v>0</v>
      </c>
      <c r="L661" s="465"/>
      <c r="M661" s="45"/>
      <c r="N661" s="416"/>
      <c r="O661" s="45"/>
      <c r="P661" s="45"/>
      <c r="Q661" s="45"/>
      <c r="R661" s="45"/>
      <c r="S661" s="416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466">
        <v>0</v>
      </c>
      <c r="K662" s="45"/>
      <c r="L662" s="500"/>
      <c r="M662" s="45"/>
      <c r="N662" s="416"/>
      <c r="O662" s="45"/>
      <c r="P662" s="45"/>
      <c r="Q662" s="416"/>
      <c r="R662" s="45"/>
      <c r="S662" s="416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466">
        <v>0</v>
      </c>
      <c r="K663" s="45"/>
      <c r="L663" s="500"/>
      <c r="M663" s="45"/>
      <c r="N663" s="416"/>
      <c r="O663" s="45"/>
      <c r="P663" s="45"/>
      <c r="Q663" s="416"/>
      <c r="R663" s="45"/>
      <c r="S663" s="416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500"/>
      <c r="M664" s="45"/>
      <c r="N664" s="416"/>
      <c r="O664" s="45"/>
      <c r="P664" s="45"/>
      <c r="Q664" s="416"/>
      <c r="R664" s="45"/>
      <c r="S664" s="416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466">
        <v>0</v>
      </c>
      <c r="K665" s="45"/>
      <c r="L665" s="500"/>
      <c r="M665" s="45"/>
      <c r="N665" s="416"/>
      <c r="O665" s="45"/>
      <c r="P665" s="45"/>
      <c r="Q665" s="416"/>
      <c r="R665" s="45"/>
      <c r="S665" s="416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466">
        <v>0</v>
      </c>
      <c r="K666" s="45"/>
      <c r="L666" s="500"/>
      <c r="M666" s="45"/>
      <c r="N666" s="416"/>
      <c r="O666" s="45"/>
      <c r="P666" s="45"/>
      <c r="Q666" s="416"/>
      <c r="R666" s="45"/>
      <c r="S666" s="416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466">
        <v>0</v>
      </c>
      <c r="K667" s="45"/>
      <c r="L667" s="500"/>
      <c r="M667" s="45"/>
      <c r="N667" s="416"/>
      <c r="O667" s="45"/>
      <c r="P667" s="45"/>
      <c r="Q667" s="416"/>
      <c r="R667" s="45"/>
      <c r="S667" s="416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466">
        <v>0</v>
      </c>
      <c r="K668" s="45"/>
      <c r="L668" s="500"/>
      <c r="M668" s="45"/>
      <c r="N668" s="416"/>
      <c r="O668" s="45"/>
      <c r="P668" s="45"/>
      <c r="Q668" s="416"/>
      <c r="R668" s="45"/>
      <c r="S668" s="416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466">
        <v>0</v>
      </c>
      <c r="K669" s="45"/>
      <c r="L669" s="500"/>
      <c r="M669" s="45"/>
      <c r="N669" s="416"/>
      <c r="O669" s="45"/>
      <c r="P669" s="45"/>
      <c r="Q669" s="416"/>
      <c r="R669" s="45"/>
      <c r="S669" s="416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466">
        <v>0</v>
      </c>
      <c r="K670" s="45"/>
      <c r="L670" s="500"/>
      <c r="M670" s="45"/>
      <c r="N670" s="416"/>
      <c r="O670" s="45"/>
      <c r="P670" s="45"/>
      <c r="Q670" s="416"/>
      <c r="R670" s="45"/>
      <c r="S670" s="416"/>
      <c r="T670" s="45"/>
      <c r="U670" s="45"/>
    </row>
    <row r="671" spans="1:21" ht="18.75" hidden="1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IFERROR(__xludf.DUMMYFUNCTION("IMPORTRANGE(""https://docs.google.com/spreadsheets/d/1tdoBKaGub7dwA3U6UFTqxio9LNnvDCQjHKmttSEBsFQ/edit?usp=sharing"",""จัดที่ดิน!AY22"")"),0)</f>
        <v>0</v>
      </c>
      <c r="K671" s="45"/>
      <c r="L671" s="465"/>
      <c r="M671" s="45"/>
      <c r="N671" s="416"/>
      <c r="O671" s="45"/>
      <c r="P671" s="45"/>
      <c r="Q671" s="45"/>
      <c r="R671" s="45"/>
      <c r="S671" s="416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IFERROR(__xludf.DUMMYFUNCTION("IMPORTRANGE(""https://docs.google.com/spreadsheets/d/1tdoBKaGub7dwA3U6UFTqxio9LNnvDCQjHKmttSEBsFQ/edit?usp=sharing"",""จัดที่ดิน!AZ22"")"),0)</f>
        <v>0</v>
      </c>
      <c r="K672" s="45"/>
      <c r="L672" s="500"/>
      <c r="M672" s="45"/>
      <c r="N672" s="416"/>
      <c r="O672" s="45"/>
      <c r="P672" s="45"/>
      <c r="Q672" s="416"/>
      <c r="R672" s="45"/>
      <c r="S672" s="416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02">
        <f ca="1">IFERROR(__xludf.DUMMYFUNCTION("IMPORTRANGE(""https://docs.google.com/spreadsheets/d/1eHaY18a8A9IcSdp1K8H6x8fbOy06t2VsZHhMHf-1x7Y/edit?usp=sharing"",""แผน!IL22"")"),0)</f>
        <v>0</v>
      </c>
      <c r="J673" s="184">
        <f ca="1">IFERROR(__xludf.DUMMYFUNCTION("IMPORTRANGE(""https://docs.google.com/spreadsheets/d/1tdoBKaGub7dwA3U6UFTqxio9LNnvDCQjHKmttSEBsFQ/edit?usp=sharing"",""จัดที่ดิน!BA22"")"),0)</f>
        <v>0</v>
      </c>
      <c r="K673" s="224">
        <f ca="1">IF(I673&gt;0,J673*100/I673,0)</f>
        <v>0</v>
      </c>
      <c r="L673" s="500"/>
      <c r="M673" s="45"/>
      <c r="N673" s="416"/>
      <c r="O673" s="45"/>
      <c r="P673" s="45"/>
      <c r="Q673" s="416"/>
      <c r="R673" s="45"/>
      <c r="S673" s="416"/>
      <c r="T673" s="45"/>
      <c r="U673" s="45"/>
    </row>
    <row r="674" spans="1:21" ht="19.5" hidden="1" x14ac:dyDescent="0.3">
      <c r="A674" s="208"/>
      <c r="B674" s="158"/>
      <c r="C674" s="158"/>
      <c r="D674" s="47" t="s">
        <v>248</v>
      </c>
      <c r="E674" s="40"/>
      <c r="F674" s="40"/>
      <c r="G674" s="42"/>
      <c r="H674" s="411" t="s">
        <v>35</v>
      </c>
      <c r="I674" s="501">
        <f ca="1">IFERROR(__xludf.DUMMYFUNCTION("IMPORTRANGE(""https://docs.google.com/spreadsheets/d/1eHaY18a8A9IcSdp1K8H6x8fbOy06t2VsZHhMHf-1x7Y/edit?usp=sharing"",""แผน!IM22"")"),0)</f>
        <v>0</v>
      </c>
      <c r="J674" s="328">
        <f ca="1">J676+J679</f>
        <v>0</v>
      </c>
      <c r="K674" s="470">
        <f ca="1">IF(I674&gt;0,J674*100/I674,0)</f>
        <v>0</v>
      </c>
      <c r="L674" s="500"/>
      <c r="M674" s="45"/>
      <c r="N674" s="416"/>
      <c r="O674" s="45"/>
      <c r="P674" s="45"/>
      <c r="Q674" s="416"/>
      <c r="R674" s="45"/>
      <c r="S674" s="416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11" t="s">
        <v>46</v>
      </c>
      <c r="I675" s="501">
        <f ca="1">IFERROR(__xludf.DUMMYFUNCTION("IMPORTRANGE(""https://docs.google.com/spreadsheets/d/1eHaY18a8A9IcSdp1K8H6x8fbOy06t2VsZHhMHf-1x7Y/edit?usp=sharing"",""แผน!IN22"")"),0)</f>
        <v>0</v>
      </c>
      <c r="J675" s="328">
        <f ca="1">J678+J681</f>
        <v>0</v>
      </c>
      <c r="K675" s="470">
        <f ca="1">IF(I675&gt;0,J675*100/I675,0)</f>
        <v>0</v>
      </c>
      <c r="L675" s="465"/>
      <c r="M675" s="45"/>
      <c r="N675" s="416"/>
      <c r="O675" s="45"/>
      <c r="P675" s="45"/>
      <c r="Q675" s="45"/>
      <c r="R675" s="45"/>
      <c r="S675" s="416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502">
        <f ca="1">IFERROR(__xludf.DUMMYFUNCTION("IMPORTRANGE(""https://docs.google.com/spreadsheets/d/1eHaY18a8A9IcSdp1K8H6x8fbOy06t2VsZHhMHf-1x7Y/edit?usp=sharing"",""แผน!IO22"")"),0)</f>
        <v>0</v>
      </c>
      <c r="J676" s="184">
        <f ca="1">IFERROR(__xludf.DUMMYFUNCTION("IMPORTRANGE(""https://docs.google.com/spreadsheets/d/1tdoBKaGub7dwA3U6UFTqxio9LNnvDCQjHKmttSEBsFQ/edit?usp=sharing"",""จัดที่ดิน!BF22"")"),0)</f>
        <v>0</v>
      </c>
      <c r="K676" s="224">
        <f ca="1">IF(I676&gt;0,J676*100/I676,0)</f>
        <v>0</v>
      </c>
      <c r="L676" s="465"/>
      <c r="M676" s="45"/>
      <c r="N676" s="416"/>
      <c r="O676" s="45"/>
      <c r="P676" s="45"/>
      <c r="Q676" s="45"/>
      <c r="R676" s="45"/>
      <c r="S676" s="416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IFERROR(__xludf.DUMMYFUNCTION("IMPORTRANGE(""https://docs.google.com/spreadsheets/d/1tdoBKaGub7dwA3U6UFTqxio9LNnvDCQjHKmttSEBsFQ/edit?usp=sharing"",""จัดที่ดิน!BG22"")"),0)</f>
        <v>0</v>
      </c>
      <c r="K677" s="45"/>
      <c r="L677" s="500"/>
      <c r="M677" s="45"/>
      <c r="N677" s="416"/>
      <c r="O677" s="45"/>
      <c r="P677" s="45"/>
      <c r="Q677" s="416"/>
      <c r="R677" s="45"/>
      <c r="S677" s="416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02">
        <f ca="1">IFERROR(__xludf.DUMMYFUNCTION("IMPORTRANGE(""https://docs.google.com/spreadsheets/d/1eHaY18a8A9IcSdp1K8H6x8fbOy06t2VsZHhMHf-1x7Y/edit?usp=sharing"",""แผน!IP22"")"),0)</f>
        <v>0</v>
      </c>
      <c r="J678" s="184">
        <f ca="1">IFERROR(__xludf.DUMMYFUNCTION("IMPORTRANGE(""https://docs.google.com/spreadsheets/d/1tdoBKaGub7dwA3U6UFTqxio9LNnvDCQjHKmttSEBsFQ/edit?usp=sharing"",""จัดที่ดิน!BH22"")"),0)</f>
        <v>0</v>
      </c>
      <c r="K678" s="224">
        <f ca="1">IF(I678&gt;0,J678*100/I678,0)</f>
        <v>0</v>
      </c>
      <c r="L678" s="500"/>
      <c r="M678" s="45"/>
      <c r="N678" s="416"/>
      <c r="O678" s="45"/>
      <c r="P678" s="45"/>
      <c r="Q678" s="416"/>
      <c r="R678" s="45"/>
      <c r="S678" s="416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502">
        <f ca="1">IFERROR(__xludf.DUMMYFUNCTION("IMPORTRANGE(""https://docs.google.com/spreadsheets/d/1eHaY18a8A9IcSdp1K8H6x8fbOy06t2VsZHhMHf-1x7Y/edit?usp=sharing"",""แผน!IQ22"")"),0)</f>
        <v>0</v>
      </c>
      <c r="J679" s="184">
        <f ca="1">IFERROR(__xludf.DUMMYFUNCTION("IMPORTRANGE(""https://docs.google.com/spreadsheets/d/1tdoBKaGub7dwA3U6UFTqxio9LNnvDCQjHKmttSEBsFQ/edit?usp=sharing"",""จัดที่ดิน!BK22"")"),0)</f>
        <v>0</v>
      </c>
      <c r="K679" s="224">
        <f ca="1">IF(I679&gt;0,J679*100/I679,0)</f>
        <v>0</v>
      </c>
      <c r="L679" s="465"/>
      <c r="M679" s="45"/>
      <c r="N679" s="416"/>
      <c r="O679" s="45"/>
      <c r="P679" s="45"/>
      <c r="Q679" s="45"/>
      <c r="R679" s="45"/>
      <c r="S679" s="416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IFERROR(__xludf.DUMMYFUNCTION("IMPORTRANGE(""https://docs.google.com/spreadsheets/d/1tdoBKaGub7dwA3U6UFTqxio9LNnvDCQjHKmttSEBsFQ/edit?usp=sharing"",""จัดที่ดิน!BL22"")"),0)</f>
        <v>0</v>
      </c>
      <c r="K680" s="45"/>
      <c r="L680" s="500"/>
      <c r="M680" s="45"/>
      <c r="N680" s="416"/>
      <c r="O680" s="45"/>
      <c r="P680" s="45"/>
      <c r="Q680" s="416"/>
      <c r="R680" s="45"/>
      <c r="S680" s="416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02">
        <f ca="1">IFERROR(__xludf.DUMMYFUNCTION("IMPORTRANGE(""https://docs.google.com/spreadsheets/d/1eHaY18a8A9IcSdp1K8H6x8fbOy06t2VsZHhMHf-1x7Y/edit?usp=sharing"",""แผน!IR22"")"),0)</f>
        <v>0</v>
      </c>
      <c r="J681" s="184">
        <f ca="1">IFERROR(__xludf.DUMMYFUNCTION("IMPORTRANGE(""https://docs.google.com/spreadsheets/d/1tdoBKaGub7dwA3U6UFTqxio9LNnvDCQjHKmttSEBsFQ/edit?usp=sharing"",""จัดที่ดิน!BM22"")"),0)</f>
        <v>0</v>
      </c>
      <c r="K681" s="224">
        <f ca="1">IF(I681&gt;0,J681*100/I681,0)</f>
        <v>0</v>
      </c>
      <c r="L681" s="500"/>
      <c r="M681" s="45"/>
      <c r="N681" s="416"/>
      <c r="O681" s="45"/>
      <c r="P681" s="45"/>
      <c r="Q681" s="416"/>
      <c r="R681" s="45"/>
      <c r="S681" s="416"/>
      <c r="T681" s="45"/>
      <c r="U681" s="45"/>
    </row>
    <row r="682" spans="1:21" ht="19.5" hidden="1" x14ac:dyDescent="0.3">
      <c r="A682" s="208"/>
      <c r="B682" s="158"/>
      <c r="C682" s="158"/>
      <c r="D682" s="47" t="s">
        <v>251</v>
      </c>
      <c r="E682" s="40"/>
      <c r="F682" s="40"/>
      <c r="G682" s="42"/>
      <c r="H682" s="411" t="s">
        <v>46</v>
      </c>
      <c r="I682" s="501">
        <f ca="1">IFERROR(__xludf.DUMMYFUNCTION("IMPORTRANGE(""https://docs.google.com/spreadsheets/d/1eHaY18a8A9IcSdp1K8H6x8fbOy06t2VsZHhMHf-1x7Y/edit?usp=sharing"",""แผน!IS22"")"),0)</f>
        <v>0</v>
      </c>
      <c r="J682" s="328">
        <f>J685+J688</f>
        <v>0</v>
      </c>
      <c r="K682" s="470">
        <f ca="1">IF(I682&gt;0,J682*100/I682,0)</f>
        <v>0</v>
      </c>
      <c r="L682" s="465"/>
      <c r="M682" s="45"/>
      <c r="N682" s="416"/>
      <c r="O682" s="45"/>
      <c r="P682" s="45"/>
      <c r="Q682" s="45"/>
      <c r="R682" s="45"/>
      <c r="S682" s="416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466">
        <v>0</v>
      </c>
      <c r="K683" s="45"/>
      <c r="L683" s="500"/>
      <c r="M683" s="45"/>
      <c r="N683" s="416"/>
      <c r="O683" s="45"/>
      <c r="P683" s="45"/>
      <c r="Q683" s="416"/>
      <c r="R683" s="45"/>
      <c r="S683" s="416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466">
        <v>0</v>
      </c>
      <c r="K684" s="45"/>
      <c r="L684" s="500"/>
      <c r="M684" s="45"/>
      <c r="N684" s="416"/>
      <c r="O684" s="45"/>
      <c r="P684" s="45"/>
      <c r="Q684" s="416"/>
      <c r="R684" s="45"/>
      <c r="S684" s="416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466">
        <v>0</v>
      </c>
      <c r="K685" s="45"/>
      <c r="L685" s="500"/>
      <c r="M685" s="45"/>
      <c r="N685" s="416"/>
      <c r="O685" s="45"/>
      <c r="P685" s="45"/>
      <c r="Q685" s="416"/>
      <c r="R685" s="45"/>
      <c r="S685" s="416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466">
        <v>0</v>
      </c>
      <c r="K686" s="45"/>
      <c r="L686" s="500"/>
      <c r="M686" s="45"/>
      <c r="N686" s="416"/>
      <c r="O686" s="45"/>
      <c r="P686" s="45"/>
      <c r="Q686" s="416"/>
      <c r="R686" s="45"/>
      <c r="S686" s="416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466">
        <v>0</v>
      </c>
      <c r="K687" s="45"/>
      <c r="L687" s="500"/>
      <c r="M687" s="45"/>
      <c r="N687" s="416"/>
      <c r="O687" s="45"/>
      <c r="P687" s="45"/>
      <c r="Q687" s="416"/>
      <c r="R687" s="45"/>
      <c r="S687" s="416"/>
      <c r="T687" s="45"/>
      <c r="U687" s="45"/>
    </row>
    <row r="688" spans="1:21" ht="19.5" hidden="1" x14ac:dyDescent="0.3">
      <c r="A688" s="249"/>
      <c r="B688" s="419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464">
        <v>0</v>
      </c>
      <c r="K688" s="3"/>
      <c r="L688" s="499"/>
      <c r="M688" s="3"/>
      <c r="N688" s="420"/>
      <c r="O688" s="3"/>
      <c r="P688" s="3"/>
      <c r="Q688" s="420"/>
      <c r="R688" s="3"/>
      <c r="S688" s="420"/>
      <c r="T688" s="3"/>
      <c r="U688" s="3"/>
    </row>
    <row r="689" spans="1:21" ht="19.5" x14ac:dyDescent="0.3">
      <c r="A689" s="394"/>
      <c r="B689" s="395" t="s">
        <v>255</v>
      </c>
      <c r="C689" s="394"/>
      <c r="D689" s="396"/>
      <c r="E689" s="396"/>
      <c r="F689" s="396"/>
      <c r="G689" s="397"/>
      <c r="H689" s="421" t="s">
        <v>35</v>
      </c>
      <c r="I689" s="750">
        <f ca="1">I707</f>
        <v>93</v>
      </c>
      <c r="J689" s="750">
        <f ca="1">J707</f>
        <v>0</v>
      </c>
      <c r="K689" s="474">
        <f ca="1">IF(I689&gt;0,J689*100/I689,0)</f>
        <v>0</v>
      </c>
      <c r="L689" s="473"/>
      <c r="M689" s="400"/>
      <c r="N689" s="400"/>
      <c r="O689" s="400"/>
      <c r="P689" s="400"/>
      <c r="Q689" s="400"/>
      <c r="R689" s="400"/>
      <c r="S689" s="400"/>
      <c r="T689" s="400"/>
      <c r="U689" s="400"/>
    </row>
    <row r="690" spans="1:21" ht="19.5" x14ac:dyDescent="0.3">
      <c r="A690" s="128"/>
      <c r="B690" s="158"/>
      <c r="C690" s="177" t="s">
        <v>18</v>
      </c>
      <c r="D690" s="821" t="s">
        <v>19</v>
      </c>
      <c r="E690" s="793"/>
      <c r="F690" s="793"/>
      <c r="G690" s="794"/>
      <c r="H690" s="221" t="s">
        <v>14</v>
      </c>
      <c r="I690" s="44"/>
      <c r="J690" s="44"/>
      <c r="K690" s="45"/>
      <c r="L690" s="471">
        <f>L691+L692</f>
        <v>0</v>
      </c>
      <c r="M690" s="470">
        <f>M691+M692</f>
        <v>0</v>
      </c>
      <c r="N690" s="470">
        <f>N691+N692</f>
        <v>0</v>
      </c>
      <c r="O690" s="470">
        <f t="shared" ref="O690:O698" si="169">IF(L690&gt;0,N690*100/L690,0)</f>
        <v>0</v>
      </c>
      <c r="P690" s="470">
        <f t="shared" ref="P690:P698" si="170">IF(M690&gt;0,N690*100/M690,0)</f>
        <v>0</v>
      </c>
      <c r="Q690" s="470">
        <f ca="1">Q691+Q692</f>
        <v>206850</v>
      </c>
      <c r="R690" s="470">
        <f ca="1">R691+R692</f>
        <v>206850</v>
      </c>
      <c r="S690" s="470">
        <f ca="1">S691+S692</f>
        <v>480</v>
      </c>
      <c r="T690" s="470">
        <f t="shared" ref="T690:T698" ca="1" si="171">IF(Q690&gt;0,S690*100/Q690,0)</f>
        <v>0.23205221174764323</v>
      </c>
      <c r="U690" s="470">
        <f t="shared" ref="U690:U698" ca="1" si="172">IF(R690&gt;0,S690*100/R690,0)</f>
        <v>0.23205221174764323</v>
      </c>
    </row>
    <row r="691" spans="1:21" ht="18.75" hidden="1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469">
        <f t="shared" ref="L691:N692" si="173">L694+L697</f>
        <v>0</v>
      </c>
      <c r="M691" s="83">
        <f t="shared" si="173"/>
        <v>0</v>
      </c>
      <c r="N691" s="83">
        <f t="shared" si="173"/>
        <v>0</v>
      </c>
      <c r="O691" s="83">
        <f t="shared" si="169"/>
        <v>0</v>
      </c>
      <c r="P691" s="83">
        <f t="shared" si="170"/>
        <v>0</v>
      </c>
      <c r="Q691" s="83">
        <f t="shared" ref="Q691:S692" si="174">Q694+Q697</f>
        <v>0</v>
      </c>
      <c r="R691" s="83">
        <f t="shared" si="174"/>
        <v>0</v>
      </c>
      <c r="S691" s="83">
        <f t="shared" si="174"/>
        <v>0</v>
      </c>
      <c r="T691" s="83">
        <f t="shared" si="171"/>
        <v>0</v>
      </c>
      <c r="U691" s="83">
        <f t="shared" si="172"/>
        <v>0</v>
      </c>
    </row>
    <row r="692" spans="1:21" ht="18.75" hidden="1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468">
        <f t="shared" si="173"/>
        <v>0</v>
      </c>
      <c r="M692" s="224">
        <f t="shared" si="173"/>
        <v>0</v>
      </c>
      <c r="N692" s="224">
        <f t="shared" si="173"/>
        <v>0</v>
      </c>
      <c r="O692" s="224">
        <f t="shared" si="169"/>
        <v>0</v>
      </c>
      <c r="P692" s="224">
        <f t="shared" si="170"/>
        <v>0</v>
      </c>
      <c r="Q692" s="224">
        <f t="shared" ca="1" si="174"/>
        <v>206850</v>
      </c>
      <c r="R692" s="224">
        <f t="shared" ca="1" si="174"/>
        <v>206850</v>
      </c>
      <c r="S692" s="224">
        <f t="shared" ca="1" si="174"/>
        <v>480</v>
      </c>
      <c r="T692" s="224">
        <f t="shared" ca="1" si="171"/>
        <v>0.23205221174764323</v>
      </c>
      <c r="U692" s="224">
        <f t="shared" ca="1" si="172"/>
        <v>0.23205221174764323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468">
        <f>L694+L695</f>
        <v>0</v>
      </c>
      <c r="M693" s="224">
        <f>M694+M695</f>
        <v>0</v>
      </c>
      <c r="N693" s="224">
        <f>N694+N695</f>
        <v>0</v>
      </c>
      <c r="O693" s="224">
        <f t="shared" si="169"/>
        <v>0</v>
      </c>
      <c r="P693" s="224">
        <f t="shared" si="170"/>
        <v>0</v>
      </c>
      <c r="Q693" s="224">
        <f ca="1">Q694+Q695</f>
        <v>206850</v>
      </c>
      <c r="R693" s="224">
        <f ca="1">R694+R695</f>
        <v>206850</v>
      </c>
      <c r="S693" s="224">
        <f ca="1">S694+S695</f>
        <v>480</v>
      </c>
      <c r="T693" s="224">
        <f t="shared" ca="1" si="171"/>
        <v>0.23205221174764323</v>
      </c>
      <c r="U693" s="224">
        <f t="shared" ca="1" si="172"/>
        <v>0.23205221174764323</v>
      </c>
    </row>
    <row r="694" spans="1:21" ht="18.75" hidden="1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469">
        <v>0</v>
      </c>
      <c r="M694" s="83">
        <v>0</v>
      </c>
      <c r="N694" s="83">
        <v>0</v>
      </c>
      <c r="O694" s="83">
        <f t="shared" si="169"/>
        <v>0</v>
      </c>
      <c r="P694" s="83">
        <f t="shared" si="170"/>
        <v>0</v>
      </c>
      <c r="Q694" s="83">
        <v>0</v>
      </c>
      <c r="R694" s="83">
        <v>0</v>
      </c>
      <c r="S694" s="83">
        <v>0</v>
      </c>
      <c r="T694" s="83">
        <f t="shared" si="171"/>
        <v>0</v>
      </c>
      <c r="U694" s="83">
        <f t="shared" si="172"/>
        <v>0</v>
      </c>
    </row>
    <row r="695" spans="1:21" ht="18.75" hidden="1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468">
        <v>0</v>
      </c>
      <c r="M695" s="224">
        <v>0</v>
      </c>
      <c r="N695" s="224">
        <v>0</v>
      </c>
      <c r="O695" s="224">
        <f t="shared" si="169"/>
        <v>0</v>
      </c>
      <c r="P695" s="224">
        <f t="shared" si="170"/>
        <v>0</v>
      </c>
      <c r="Q695" s="224">
        <f ca="1">IFERROR(__xludf.DUMMYFUNCTION("IMPORTRANGE(""https://docs.google.com/spreadsheets/d/1ItG2mGa2ceCfYo0BwxsXqNm01IGEUdYcSSLTEv9YCik/edit?usp=sharing"",""เบิกจ่ายกองทุน!L22"")"),206850)</f>
        <v>206850</v>
      </c>
      <c r="R695" s="224">
        <f ca="1">IFERROR(__xludf.DUMMYFUNCTION("IMPORTRANGE(""https://docs.google.com/spreadsheets/d/1ItG2mGa2ceCfYo0BwxsXqNm01IGEUdYcSSLTEv9YCik/edit?usp=sharing"",""เบิกจ่ายกองทุน!M22"")"),206850)</f>
        <v>206850</v>
      </c>
      <c r="S695" s="224">
        <f ca="1">IFERROR(__xludf.DUMMYFUNCTION("IMPORTRANGE(""https://docs.google.com/spreadsheets/d/1ItG2mGa2ceCfYo0BwxsXqNm01IGEUdYcSSLTEv9YCik/edit?usp=sharing"",""เบิกจ่ายกองทุน!N22"")"),480)</f>
        <v>480</v>
      </c>
      <c r="T695" s="224">
        <f t="shared" ca="1" si="171"/>
        <v>0.23205221174764323</v>
      </c>
      <c r="U695" s="224">
        <f t="shared" ca="1" si="172"/>
        <v>0.23205221174764323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468">
        <f>L697+L698</f>
        <v>0</v>
      </c>
      <c r="M696" s="224">
        <f>M697+M698</f>
        <v>0</v>
      </c>
      <c r="N696" s="224">
        <f>N697+N698</f>
        <v>0</v>
      </c>
      <c r="O696" s="224">
        <f t="shared" si="169"/>
        <v>0</v>
      </c>
      <c r="P696" s="224">
        <f t="shared" si="170"/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 t="shared" si="171"/>
        <v>0</v>
      </c>
      <c r="U696" s="224">
        <f t="shared" si="172"/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469">
        <v>0</v>
      </c>
      <c r="M697" s="83">
        <v>0</v>
      </c>
      <c r="N697" s="83">
        <v>0</v>
      </c>
      <c r="O697" s="83">
        <f t="shared" si="169"/>
        <v>0</v>
      </c>
      <c r="P697" s="83">
        <f t="shared" si="170"/>
        <v>0</v>
      </c>
      <c r="Q697" s="83">
        <v>0</v>
      </c>
      <c r="R697" s="83">
        <v>0</v>
      </c>
      <c r="S697" s="83">
        <v>0</v>
      </c>
      <c r="T697" s="83">
        <f t="shared" si="171"/>
        <v>0</v>
      </c>
      <c r="U697" s="83">
        <f t="shared" si="172"/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468">
        <v>0</v>
      </c>
      <c r="M698" s="224">
        <v>0</v>
      </c>
      <c r="N698" s="224">
        <v>0</v>
      </c>
      <c r="O698" s="224">
        <f t="shared" si="169"/>
        <v>0</v>
      </c>
      <c r="P698" s="224">
        <f t="shared" si="170"/>
        <v>0</v>
      </c>
      <c r="Q698" s="224">
        <v>0</v>
      </c>
      <c r="R698" s="224">
        <v>0</v>
      </c>
      <c r="S698" s="224">
        <v>0</v>
      </c>
      <c r="T698" s="224">
        <f t="shared" si="171"/>
        <v>0</v>
      </c>
      <c r="U698" s="224">
        <f t="shared" si="172"/>
        <v>0</v>
      </c>
    </row>
    <row r="699" spans="1:21" ht="19.5" x14ac:dyDescent="0.3">
      <c r="A699" s="138"/>
      <c r="B699" s="139"/>
      <c r="C699" s="177" t="s">
        <v>18</v>
      </c>
      <c r="D699" s="498" t="s">
        <v>38</v>
      </c>
      <c r="E699" s="141"/>
      <c r="F699" s="141"/>
      <c r="G699" s="141"/>
      <c r="H699" s="178"/>
      <c r="I699" s="135"/>
      <c r="J699" s="135"/>
      <c r="K699" s="136"/>
      <c r="L699" s="465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IFERROR(__xludf.DUMMYFUNCTION("IMPORTRANGE(""https://docs.google.com/spreadsheets/d/1eHaY18a8A9IcSdp1K8H6x8fbOy06t2VsZHhMHf-1x7Y/edit?usp=sharing"",""แผน!LC22"")"),0)</f>
        <v>0</v>
      </c>
      <c r="J700" s="466">
        <v>0</v>
      </c>
      <c r="K700" s="497">
        <f t="shared" ref="K700:K710" ca="1" si="175">IF(I700&gt;0,J700*100/I700,0)</f>
        <v>0</v>
      </c>
      <c r="L700" s="4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24" t="s">
        <v>258</v>
      </c>
      <c r="F701" s="145"/>
      <c r="G701" s="143"/>
      <c r="H701" s="131" t="s">
        <v>35</v>
      </c>
      <c r="I701" s="328">
        <f ca="1">I703+I705</f>
        <v>98</v>
      </c>
      <c r="J701" s="328">
        <f ca="1">J703+J705</f>
        <v>0</v>
      </c>
      <c r="K701" s="470">
        <f t="shared" ca="1" si="175"/>
        <v>0</v>
      </c>
      <c r="L701" s="4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0</v>
      </c>
      <c r="K702" s="470">
        <f t="shared" si="175"/>
        <v>0</v>
      </c>
      <c r="L702" s="4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IFERROR(__xludf.DUMMYFUNCTION("IMPORTRANGE(""https://docs.google.com/spreadsheets/d/1eHaY18a8A9IcSdp1K8H6x8fbOy06t2VsZHhMHf-1x7Y/edit?usp=sharing"",""แผน!LJ22"")"),93)</f>
        <v>93</v>
      </c>
      <c r="J703" s="184">
        <f ca="1">IFERROR(__xludf.DUMMYFUNCTION("IMPORTRANGE(""https://docs.google.com/spreadsheets/d/1tdoBKaGub7dwA3U6UFTqxio9LNnvDCQjHKmttSEBsFQ/edit?usp=sharing"",""จัดที่ดิน!AP22"")"),0)</f>
        <v>0</v>
      </c>
      <c r="K703" s="224">
        <f t="shared" ca="1" si="175"/>
        <v>0</v>
      </c>
      <c r="L703" s="4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IFERROR(__xludf.DUMMYFUNCTION("IMPORTRANGE(""https://docs.google.com/spreadsheets/d/1tdoBKaGub7dwA3U6UFTqxio9LNnvDCQjHKmttSEBsFQ/edit?usp=sharing"",""จัดที่ดิน!AQ22"")"),0)</f>
        <v>0</v>
      </c>
      <c r="K704" s="224">
        <f t="shared" si="175"/>
        <v>0</v>
      </c>
      <c r="L704" s="4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IFERROR(__xludf.DUMMYFUNCTION("IMPORTRANGE(""https://docs.google.com/spreadsheets/d/1eHaY18a8A9IcSdp1K8H6x8fbOy06t2VsZHhMHf-1x7Y/edit?usp=sharing"",""แผน!LK22"")"),5)</f>
        <v>5</v>
      </c>
      <c r="J705" s="184">
        <f ca="1">IFERROR(__xludf.DUMMYFUNCTION("IMPORTRANGE(""https://docs.google.com/spreadsheets/d/1tdoBKaGub7dwA3U6UFTqxio9LNnvDCQjHKmttSEBsFQ/edit?usp=sharing"",""จัดที่ดิน!AR22"")"),0)</f>
        <v>0</v>
      </c>
      <c r="K705" s="497">
        <f t="shared" ca="1" si="175"/>
        <v>0</v>
      </c>
      <c r="L705" s="4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IFERROR(__xludf.DUMMYFUNCTION("IMPORTRANGE(""https://docs.google.com/spreadsheets/d/1tdoBKaGub7dwA3U6UFTqxio9LNnvDCQjHKmttSEBsFQ/edit?usp=sharing"",""จัดที่ดิน!AS22"")"),0)</f>
        <v>0</v>
      </c>
      <c r="K706" s="224">
        <f t="shared" si="175"/>
        <v>0</v>
      </c>
      <c r="L706" s="4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IFERROR(__xludf.DUMMYFUNCTION("IMPORTRANGE(""https://docs.google.com/spreadsheets/d/1eHaY18a8A9IcSdp1K8H6x8fbOy06t2VsZHhMHf-1x7Y/edit?usp=sharing"",""แผน!LJ22"")"),93)</f>
        <v>93</v>
      </c>
      <c r="J707" s="184">
        <f ca="1">IFERROR(__xludf.DUMMYFUNCTION("IMPORTRANGE(""https://docs.google.com/spreadsheets/d/1tdoBKaGub7dwA3U6UFTqxio9LNnvDCQjHKmttSEBsFQ/edit?usp=sharing"",""จัดที่ดิน!BN22"")"),0)</f>
        <v>0</v>
      </c>
      <c r="K707" s="224">
        <f t="shared" ca="1" si="175"/>
        <v>0</v>
      </c>
      <c r="L707" s="4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25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IFERROR(__xludf.DUMMYFUNCTION("IMPORTRANGE(""https://docs.google.com/spreadsheets/d/1tdoBKaGub7dwA3U6UFTqxio9LNnvDCQjHKmttSEBsFQ/edit?usp=sharing"",""จัดที่ดิน!BO22"")"),0)</f>
        <v>0</v>
      </c>
      <c r="K708" s="224">
        <f t="shared" si="175"/>
        <v>0</v>
      </c>
      <c r="L708" s="4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IFERROR(__xludf.DUMMYFUNCTION("IMPORTRANGE(""https://docs.google.com/spreadsheets/d/1eHaY18a8A9IcSdp1K8H6x8fbOy06t2VsZHhMHf-1x7Y/edit?usp=sharing"",""แผน!LK22"")"),5)</f>
        <v>5</v>
      </c>
      <c r="J709" s="184">
        <f ca="1">IFERROR(__xludf.DUMMYFUNCTION("IMPORTRANGE(""https://docs.google.com/spreadsheets/d/1tdoBKaGub7dwA3U6UFTqxio9LNnvDCQjHKmttSEBsFQ/edit?usp=sharing"",""จัดที่ดิน!BP22"")"),6)</f>
        <v>6</v>
      </c>
      <c r="K709" s="224">
        <f t="shared" ca="1" si="175"/>
        <v>120</v>
      </c>
      <c r="L709" s="465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25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IFERROR(__xludf.DUMMYFUNCTION("IMPORTRANGE(""https://docs.google.com/spreadsheets/d/1tdoBKaGub7dwA3U6UFTqxio9LNnvDCQjHKmttSEBsFQ/edit?usp=sharing"",""จัดที่ดิน!BQ22"")"),0)</f>
        <v>0</v>
      </c>
      <c r="K710" s="224">
        <f t="shared" si="175"/>
        <v>0</v>
      </c>
      <c r="L710" s="465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496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hidden="1" x14ac:dyDescent="0.3">
      <c r="A712" s="394"/>
      <c r="B712" s="426" t="s">
        <v>265</v>
      </c>
      <c r="C712" s="394"/>
      <c r="D712" s="396"/>
      <c r="E712" s="396"/>
      <c r="F712" s="396"/>
      <c r="G712" s="397"/>
      <c r="H712" s="427" t="s">
        <v>46</v>
      </c>
      <c r="I712" s="399"/>
      <c r="J712" s="399">
        <f>J724</f>
        <v>0</v>
      </c>
      <c r="K712" s="495">
        <f>IF(I712&gt;0,J712*100/I712,0)</f>
        <v>0</v>
      </c>
      <c r="L712" s="473"/>
      <c r="M712" s="400"/>
      <c r="N712" s="400"/>
      <c r="O712" s="400"/>
      <c r="P712" s="400"/>
      <c r="Q712" s="400"/>
      <c r="R712" s="400"/>
      <c r="S712" s="400"/>
      <c r="T712" s="400"/>
      <c r="U712" s="400"/>
    </row>
    <row r="713" spans="1:21" ht="19.5" hidden="1" x14ac:dyDescent="0.3">
      <c r="A713" s="394"/>
      <c r="B713" s="426" t="s">
        <v>266</v>
      </c>
      <c r="C713" s="394"/>
      <c r="D713" s="396"/>
      <c r="E713" s="396"/>
      <c r="F713" s="396"/>
      <c r="G713" s="397"/>
      <c r="H713" s="398"/>
      <c r="I713" s="399"/>
      <c r="J713" s="399"/>
      <c r="K713" s="400"/>
      <c r="L713" s="47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128"/>
      <c r="B714" s="158"/>
      <c r="C714" s="314" t="s">
        <v>18</v>
      </c>
      <c r="D714" s="820" t="s">
        <v>19</v>
      </c>
      <c r="E714" s="793"/>
      <c r="F714" s="793"/>
      <c r="G714" s="794"/>
      <c r="H714" s="372" t="s">
        <v>14</v>
      </c>
      <c r="I714" s="44"/>
      <c r="J714" s="44"/>
      <c r="K714" s="45"/>
      <c r="L714" s="471">
        <f>L715+L716</f>
        <v>0</v>
      </c>
      <c r="M714" s="470">
        <f>M715+M716</f>
        <v>0</v>
      </c>
      <c r="N714" s="470">
        <f>N715+N716</f>
        <v>0</v>
      </c>
      <c r="O714" s="470">
        <f t="shared" ref="O714:O722" si="176">IF(L714&gt;0,N714*100/L714,0)</f>
        <v>0</v>
      </c>
      <c r="P714" s="470">
        <f t="shared" ref="P714:P722" si="177">IF(M714&gt;0,N714*100/M714,0)</f>
        <v>0</v>
      </c>
      <c r="Q714" s="470">
        <f>Q715+Q716</f>
        <v>0</v>
      </c>
      <c r="R714" s="470">
        <f>R715+R716</f>
        <v>0</v>
      </c>
      <c r="S714" s="470">
        <f>S715+S716</f>
        <v>0</v>
      </c>
      <c r="T714" s="470">
        <f t="shared" ref="T714:T722" si="178">IF(Q714&gt;0,S714*100/Q714,0)</f>
        <v>0</v>
      </c>
      <c r="U714" s="470">
        <f t="shared" ref="U714:U722" si="179"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469">
        <f t="shared" ref="L715:N716" si="180">L718+L721</f>
        <v>0</v>
      </c>
      <c r="M715" s="83">
        <f t="shared" si="180"/>
        <v>0</v>
      </c>
      <c r="N715" s="83">
        <f t="shared" si="180"/>
        <v>0</v>
      </c>
      <c r="O715" s="83">
        <f t="shared" si="176"/>
        <v>0</v>
      </c>
      <c r="P715" s="83">
        <f t="shared" si="177"/>
        <v>0</v>
      </c>
      <c r="Q715" s="83">
        <f t="shared" ref="Q715:S716" si="181">Q718+Q721</f>
        <v>0</v>
      </c>
      <c r="R715" s="83">
        <f t="shared" si="181"/>
        <v>0</v>
      </c>
      <c r="S715" s="83">
        <f t="shared" si="181"/>
        <v>0</v>
      </c>
      <c r="T715" s="83">
        <f t="shared" si="178"/>
        <v>0</v>
      </c>
      <c r="U715" s="83">
        <f t="shared" si="179"/>
        <v>0</v>
      </c>
    </row>
    <row r="716" spans="1:21" ht="18.75" hidden="1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468">
        <f t="shared" si="180"/>
        <v>0</v>
      </c>
      <c r="M716" s="224">
        <f t="shared" si="180"/>
        <v>0</v>
      </c>
      <c r="N716" s="224">
        <f t="shared" si="180"/>
        <v>0</v>
      </c>
      <c r="O716" s="224">
        <f t="shared" si="176"/>
        <v>0</v>
      </c>
      <c r="P716" s="224">
        <f t="shared" si="177"/>
        <v>0</v>
      </c>
      <c r="Q716" s="224">
        <f t="shared" si="181"/>
        <v>0</v>
      </c>
      <c r="R716" s="224">
        <f t="shared" si="181"/>
        <v>0</v>
      </c>
      <c r="S716" s="224">
        <f t="shared" si="181"/>
        <v>0</v>
      </c>
      <c r="T716" s="224">
        <f t="shared" si="178"/>
        <v>0</v>
      </c>
      <c r="U716" s="224">
        <f t="shared" si="179"/>
        <v>0</v>
      </c>
    </row>
    <row r="717" spans="1:21" ht="19.5" hidden="1" x14ac:dyDescent="0.3">
      <c r="A717" s="128"/>
      <c r="B717" s="158"/>
      <c r="C717" s="158"/>
      <c r="D717" s="494" t="s">
        <v>22</v>
      </c>
      <c r="E717" s="40"/>
      <c r="F717" s="40"/>
      <c r="G717" s="42"/>
      <c r="H717" s="372" t="s">
        <v>14</v>
      </c>
      <c r="I717" s="135"/>
      <c r="J717" s="135"/>
      <c r="K717" s="136"/>
      <c r="L717" s="468">
        <f>L718+L719</f>
        <v>0</v>
      </c>
      <c r="M717" s="224">
        <f>M718+M719</f>
        <v>0</v>
      </c>
      <c r="N717" s="224">
        <f>N718+N719</f>
        <v>0</v>
      </c>
      <c r="O717" s="224">
        <f t="shared" si="176"/>
        <v>0</v>
      </c>
      <c r="P717" s="224">
        <f t="shared" si="177"/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 t="shared" si="178"/>
        <v>0</v>
      </c>
      <c r="U717" s="224">
        <f t="shared" si="179"/>
        <v>0</v>
      </c>
    </row>
    <row r="718" spans="1:21" ht="18.75" hidden="1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469">
        <v>0</v>
      </c>
      <c r="M718" s="83">
        <v>0</v>
      </c>
      <c r="N718" s="83">
        <v>0</v>
      </c>
      <c r="O718" s="83">
        <f t="shared" si="176"/>
        <v>0</v>
      </c>
      <c r="P718" s="83">
        <f t="shared" si="177"/>
        <v>0</v>
      </c>
      <c r="Q718" s="83">
        <v>0</v>
      </c>
      <c r="R718" s="83">
        <v>0</v>
      </c>
      <c r="S718" s="83">
        <v>0</v>
      </c>
      <c r="T718" s="83">
        <f t="shared" si="178"/>
        <v>0</v>
      </c>
      <c r="U718" s="83">
        <f t="shared" si="179"/>
        <v>0</v>
      </c>
    </row>
    <row r="719" spans="1:21" ht="18.75" hidden="1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468">
        <v>0</v>
      </c>
      <c r="M719" s="224">
        <v>0</v>
      </c>
      <c r="N719" s="224">
        <v>0</v>
      </c>
      <c r="O719" s="224">
        <f t="shared" si="176"/>
        <v>0</v>
      </c>
      <c r="P719" s="224">
        <f t="shared" si="177"/>
        <v>0</v>
      </c>
      <c r="Q719" s="224">
        <v>0</v>
      </c>
      <c r="R719" s="224">
        <v>0</v>
      </c>
      <c r="S719" s="224">
        <v>0</v>
      </c>
      <c r="T719" s="224">
        <f t="shared" si="178"/>
        <v>0</v>
      </c>
      <c r="U719" s="224">
        <f t="shared" si="179"/>
        <v>0</v>
      </c>
    </row>
    <row r="720" spans="1:21" ht="19.5" hidden="1" x14ac:dyDescent="0.3">
      <c r="A720" s="128"/>
      <c r="B720" s="158"/>
      <c r="C720" s="158"/>
      <c r="D720" s="494" t="s">
        <v>23</v>
      </c>
      <c r="E720" s="40"/>
      <c r="F720" s="40"/>
      <c r="G720" s="42"/>
      <c r="H720" s="374" t="s">
        <v>14</v>
      </c>
      <c r="I720" s="135"/>
      <c r="J720" s="135"/>
      <c r="K720" s="136"/>
      <c r="L720" s="468">
        <f>L721+L722</f>
        <v>0</v>
      </c>
      <c r="M720" s="224">
        <f>M721+M722</f>
        <v>0</v>
      </c>
      <c r="N720" s="224">
        <f>N721+N722</f>
        <v>0</v>
      </c>
      <c r="O720" s="224">
        <f t="shared" si="176"/>
        <v>0</v>
      </c>
      <c r="P720" s="224">
        <f t="shared" si="177"/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 t="shared" si="178"/>
        <v>0</v>
      </c>
      <c r="U720" s="224">
        <f t="shared" si="179"/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469">
        <v>0</v>
      </c>
      <c r="M721" s="83">
        <v>0</v>
      </c>
      <c r="N721" s="83">
        <v>0</v>
      </c>
      <c r="O721" s="83">
        <f t="shared" si="176"/>
        <v>0</v>
      </c>
      <c r="P721" s="83">
        <f t="shared" si="177"/>
        <v>0</v>
      </c>
      <c r="Q721" s="83">
        <v>0</v>
      </c>
      <c r="R721" s="83">
        <v>0</v>
      </c>
      <c r="S721" s="83">
        <v>0</v>
      </c>
      <c r="T721" s="83">
        <f t="shared" si="178"/>
        <v>0</v>
      </c>
      <c r="U721" s="83">
        <f t="shared" si="179"/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375" t="s">
        <v>14</v>
      </c>
      <c r="I722" s="135"/>
      <c r="J722" s="135"/>
      <c r="K722" s="136"/>
      <c r="L722" s="468">
        <v>0</v>
      </c>
      <c r="M722" s="224">
        <v>0</v>
      </c>
      <c r="N722" s="224">
        <v>0</v>
      </c>
      <c r="O722" s="224">
        <f t="shared" si="176"/>
        <v>0</v>
      </c>
      <c r="P722" s="224">
        <f t="shared" si="177"/>
        <v>0</v>
      </c>
      <c r="Q722" s="224">
        <v>0</v>
      </c>
      <c r="R722" s="224">
        <v>0</v>
      </c>
      <c r="S722" s="224">
        <v>0</v>
      </c>
      <c r="T722" s="224">
        <f t="shared" si="178"/>
        <v>0</v>
      </c>
      <c r="U722" s="224">
        <f t="shared" si="179"/>
        <v>0</v>
      </c>
    </row>
    <row r="723" spans="1:21" ht="19.5" hidden="1" x14ac:dyDescent="0.3">
      <c r="A723" s="138"/>
      <c r="B723" s="139"/>
      <c r="C723" s="314" t="s">
        <v>18</v>
      </c>
      <c r="D723" s="493" t="s">
        <v>38</v>
      </c>
      <c r="E723" s="141"/>
      <c r="F723" s="141"/>
      <c r="G723" s="142"/>
      <c r="H723" s="178"/>
      <c r="I723" s="135"/>
      <c r="J723" s="135"/>
      <c r="K723" s="136"/>
      <c r="L723" s="4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30">
        <v>0</v>
      </c>
      <c r="J724" s="44"/>
      <c r="K724" s="45"/>
      <c r="L724" s="465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29"/>
      <c r="B725" s="2"/>
      <c r="C725" s="2"/>
      <c r="D725" s="1"/>
      <c r="E725" s="431" t="s">
        <v>268</v>
      </c>
      <c r="F725" s="1"/>
      <c r="G725" s="52"/>
      <c r="H725" s="432" t="s">
        <v>46</v>
      </c>
      <c r="I725" s="433">
        <v>0</v>
      </c>
      <c r="J725" s="54"/>
      <c r="K725" s="3"/>
      <c r="L725" s="46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94"/>
      <c r="B726" s="395" t="s">
        <v>269</v>
      </c>
      <c r="C726" s="394"/>
      <c r="D726" s="396"/>
      <c r="E726" s="396"/>
      <c r="F726" s="396"/>
      <c r="G726" s="397"/>
      <c r="H726" s="434" t="s">
        <v>35</v>
      </c>
      <c r="I726" s="475">
        <f ca="1">IFERROR(__xludf.DUMMYFUNCTION("IMPORTRANGE(""https://docs.google.com/spreadsheets/d/1eHaY18a8A9IcSdp1K8H6x8fbOy06t2VsZHhMHf-1x7Y/edit?usp=sharing"",""แผน!GA22"")"),128)</f>
        <v>128</v>
      </c>
      <c r="J726" s="475">
        <f>J742+J746+J749</f>
        <v>0</v>
      </c>
      <c r="K726" s="474">
        <f ca="1">IF(I726&gt;0,J726*100/I726,0)</f>
        <v>0</v>
      </c>
      <c r="L726" s="473"/>
      <c r="M726" s="400"/>
      <c r="N726" s="400"/>
      <c r="O726" s="400"/>
      <c r="P726" s="400"/>
      <c r="Q726" s="400"/>
      <c r="R726" s="400"/>
      <c r="S726" s="400"/>
      <c r="T726" s="400"/>
      <c r="U726" s="400"/>
    </row>
    <row r="727" spans="1:21" ht="19.5" x14ac:dyDescent="0.3">
      <c r="A727" s="436"/>
      <c r="B727" s="394"/>
      <c r="C727" s="394"/>
      <c r="D727" s="396"/>
      <c r="E727" s="396"/>
      <c r="F727" s="396"/>
      <c r="G727" s="397"/>
      <c r="H727" s="434" t="s">
        <v>46</v>
      </c>
      <c r="I727" s="475">
        <f ca="1">IFERROR(__xludf.DUMMYFUNCTION("IMPORTRANGE(""https://docs.google.com/spreadsheets/d/1eHaY18a8A9IcSdp1K8H6x8fbOy06t2VsZHhMHf-1x7Y/edit?usp=sharing"",""แผน!FZ22"")"),1250)</f>
        <v>1250</v>
      </c>
      <c r="J727" s="475">
        <f>J752+J755</f>
        <v>0</v>
      </c>
      <c r="K727" s="474">
        <f ca="1">IF(I727&gt;0,J727*100/I727,0)</f>
        <v>0</v>
      </c>
      <c r="L727" s="47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128"/>
      <c r="B728" s="158"/>
      <c r="C728" s="177" t="s">
        <v>18</v>
      </c>
      <c r="D728" s="821" t="s">
        <v>19</v>
      </c>
      <c r="E728" s="793"/>
      <c r="F728" s="793"/>
      <c r="G728" s="794"/>
      <c r="H728" s="221" t="s">
        <v>14</v>
      </c>
      <c r="I728" s="44"/>
      <c r="J728" s="44"/>
      <c r="K728" s="45"/>
      <c r="L728" s="471">
        <f>L729+L730</f>
        <v>0</v>
      </c>
      <c r="M728" s="470">
        <f>M729+M730</f>
        <v>0</v>
      </c>
      <c r="N728" s="470">
        <f>N729+N730</f>
        <v>0</v>
      </c>
      <c r="O728" s="470">
        <f t="shared" ref="O728:O736" si="182">IF(L728&gt;0,N728*100/L728,0)</f>
        <v>0</v>
      </c>
      <c r="P728" s="470">
        <f t="shared" ref="P728:P736" si="183">IF(M728&gt;0,N728*100/M728,0)</f>
        <v>0</v>
      </c>
      <c r="Q728" s="470">
        <f ca="1">Q729+Q730</f>
        <v>1008470</v>
      </c>
      <c r="R728" s="470">
        <f ca="1">R729+R730</f>
        <v>1008470</v>
      </c>
      <c r="S728" s="470">
        <f ca="1">S729+S730</f>
        <v>28880.65</v>
      </c>
      <c r="T728" s="470">
        <f t="shared" ref="T728:T736" ca="1" si="184">IF(Q728&gt;0,S728*100/Q728,0)</f>
        <v>2.8638085416522059</v>
      </c>
      <c r="U728" s="470">
        <f t="shared" ref="U728:U736" ca="1" si="185">IF(R728&gt;0,S728*100/R728,0)</f>
        <v>2.8638085416522059</v>
      </c>
    </row>
    <row r="729" spans="1:21" ht="18.75" hidden="1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469">
        <f t="shared" ref="L729:N730" si="186">L732+L735</f>
        <v>0</v>
      </c>
      <c r="M729" s="83">
        <f t="shared" si="186"/>
        <v>0</v>
      </c>
      <c r="N729" s="83">
        <f t="shared" si="186"/>
        <v>0</v>
      </c>
      <c r="O729" s="83">
        <f t="shared" si="182"/>
        <v>0</v>
      </c>
      <c r="P729" s="83">
        <f t="shared" si="183"/>
        <v>0</v>
      </c>
      <c r="Q729" s="83">
        <f t="shared" ref="Q729:S730" si="187">Q732+Q735</f>
        <v>0</v>
      </c>
      <c r="R729" s="83">
        <f t="shared" si="187"/>
        <v>0</v>
      </c>
      <c r="S729" s="83">
        <f t="shared" si="187"/>
        <v>0</v>
      </c>
      <c r="T729" s="83">
        <f t="shared" si="184"/>
        <v>0</v>
      </c>
      <c r="U729" s="83">
        <f t="shared" si="185"/>
        <v>0</v>
      </c>
    </row>
    <row r="730" spans="1:21" ht="18.75" hidden="1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468">
        <f t="shared" si="186"/>
        <v>0</v>
      </c>
      <c r="M730" s="224">
        <f t="shared" si="186"/>
        <v>0</v>
      </c>
      <c r="N730" s="224">
        <f t="shared" si="186"/>
        <v>0</v>
      </c>
      <c r="O730" s="224">
        <f t="shared" si="182"/>
        <v>0</v>
      </c>
      <c r="P730" s="224">
        <f t="shared" si="183"/>
        <v>0</v>
      </c>
      <c r="Q730" s="224">
        <f t="shared" ca="1" si="187"/>
        <v>1008470</v>
      </c>
      <c r="R730" s="224">
        <f t="shared" ca="1" si="187"/>
        <v>1008470</v>
      </c>
      <c r="S730" s="224">
        <f t="shared" ca="1" si="187"/>
        <v>28880.65</v>
      </c>
      <c r="T730" s="224">
        <f t="shared" ca="1" si="184"/>
        <v>2.8638085416522059</v>
      </c>
      <c r="U730" s="224">
        <f t="shared" ca="1" si="185"/>
        <v>2.8638085416522059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468">
        <f>L732+L733</f>
        <v>0</v>
      </c>
      <c r="M731" s="224">
        <f>M732+M733</f>
        <v>0</v>
      </c>
      <c r="N731" s="224">
        <f>N732+N733</f>
        <v>0</v>
      </c>
      <c r="O731" s="224">
        <f t="shared" si="182"/>
        <v>0</v>
      </c>
      <c r="P731" s="224">
        <f t="shared" si="183"/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28880.65</v>
      </c>
      <c r="T731" s="224">
        <f t="shared" ca="1" si="184"/>
        <v>2.8638085416522059</v>
      </c>
      <c r="U731" s="224">
        <f t="shared" ca="1" si="185"/>
        <v>2.8638085416522059</v>
      </c>
    </row>
    <row r="732" spans="1:21" ht="18.75" hidden="1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469">
        <v>0</v>
      </c>
      <c r="M732" s="83">
        <v>0</v>
      </c>
      <c r="N732" s="83">
        <v>0</v>
      </c>
      <c r="O732" s="83">
        <f t="shared" si="182"/>
        <v>0</v>
      </c>
      <c r="P732" s="83">
        <f t="shared" si="183"/>
        <v>0</v>
      </c>
      <c r="Q732" s="83">
        <v>0</v>
      </c>
      <c r="R732" s="83">
        <v>0</v>
      </c>
      <c r="S732" s="83">
        <v>0</v>
      </c>
      <c r="T732" s="83">
        <f t="shared" si="184"/>
        <v>0</v>
      </c>
      <c r="U732" s="83">
        <f t="shared" si="185"/>
        <v>0</v>
      </c>
    </row>
    <row r="733" spans="1:21" ht="18.75" hidden="1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468">
        <v>0</v>
      </c>
      <c r="M733" s="224">
        <v>0</v>
      </c>
      <c r="N733" s="224">
        <v>0</v>
      </c>
      <c r="O733" s="224">
        <f t="shared" si="182"/>
        <v>0</v>
      </c>
      <c r="P733" s="224">
        <f t="shared" si="183"/>
        <v>0</v>
      </c>
      <c r="Q733" s="224">
        <f ca="1">IFERROR(__xludf.DUMMYFUNCTION("IMPORTRANGE(""https://docs.google.com/spreadsheets/d/1ItG2mGa2ceCfYo0BwxsXqNm01IGEUdYcSSLTEv9YCik/edit?usp=sharing"",""เบิกจ่ายกองทุน!O22"")"),1008470)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IFERROR(__xludf.DUMMYFUNCTION("IMPORTRANGE(""https://docs.google.com/spreadsheets/d/1ItG2mGa2ceCfYo0BwxsXqNm01IGEUdYcSSLTEv9YCik/edit?usp=sharing"",""เบิกจ่ายกองทุน!P22"")"),1008470)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IFERROR(__xludf.DUMMYFUNCTION("IMPORTRANGE(""https://docs.google.com/spreadsheets/d/1ItG2mGa2ceCfYo0BwxsXqNm01IGEUdYcSSLTEv9YCik/edit?usp=sharing"",""เบิกจ่ายกองทุน!Q22"")"),28880.65)</f>
        <v>28880.65</v>
      </c>
      <c r="T733" s="224">
        <f t="shared" ca="1" si="184"/>
        <v>2.8638085416522059</v>
      </c>
      <c r="U733" s="224">
        <f t="shared" ca="1" si="185"/>
        <v>2.8638085416522059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468">
        <f>L735+L736</f>
        <v>0</v>
      </c>
      <c r="M734" s="224">
        <f>M735+M736</f>
        <v>0</v>
      </c>
      <c r="N734" s="224">
        <f>N735+N736</f>
        <v>0</v>
      </c>
      <c r="O734" s="224">
        <f t="shared" si="182"/>
        <v>0</v>
      </c>
      <c r="P734" s="224">
        <f t="shared" si="183"/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 t="shared" si="184"/>
        <v>0</v>
      </c>
      <c r="U734" s="224">
        <f t="shared" si="185"/>
        <v>0</v>
      </c>
    </row>
    <row r="735" spans="1:21" ht="18.75" hidden="1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469">
        <v>0</v>
      </c>
      <c r="M735" s="83">
        <v>0</v>
      </c>
      <c r="N735" s="83">
        <v>0</v>
      </c>
      <c r="O735" s="83">
        <f t="shared" si="182"/>
        <v>0</v>
      </c>
      <c r="P735" s="83">
        <f t="shared" si="183"/>
        <v>0</v>
      </c>
      <c r="Q735" s="83">
        <v>0</v>
      </c>
      <c r="R735" s="83">
        <v>0</v>
      </c>
      <c r="S735" s="83">
        <v>0</v>
      </c>
      <c r="T735" s="83">
        <f t="shared" si="184"/>
        <v>0</v>
      </c>
      <c r="U735" s="83">
        <f t="shared" si="185"/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468">
        <v>0</v>
      </c>
      <c r="M736" s="224">
        <v>0</v>
      </c>
      <c r="N736" s="224">
        <v>0</v>
      </c>
      <c r="O736" s="224">
        <f t="shared" si="182"/>
        <v>0</v>
      </c>
      <c r="P736" s="224">
        <f t="shared" si="183"/>
        <v>0</v>
      </c>
      <c r="Q736" s="224">
        <v>0</v>
      </c>
      <c r="R736" s="224">
        <v>0</v>
      </c>
      <c r="S736" s="224">
        <v>0</v>
      </c>
      <c r="T736" s="224">
        <f t="shared" si="184"/>
        <v>0</v>
      </c>
      <c r="U736" s="224">
        <f t="shared" si="185"/>
        <v>0</v>
      </c>
    </row>
    <row r="737" spans="1:21" ht="19.5" x14ac:dyDescent="0.3">
      <c r="A737" s="138"/>
      <c r="B737" s="139"/>
      <c r="C737" s="177" t="s">
        <v>18</v>
      </c>
      <c r="D737" s="491" t="s">
        <v>38</v>
      </c>
      <c r="E737" s="203"/>
      <c r="F737" s="141"/>
      <c r="G737" s="142"/>
      <c r="H737" s="178"/>
      <c r="I737" s="44"/>
      <c r="J737" s="44"/>
      <c r="K737" s="45"/>
      <c r="L737" s="465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7" t="s">
        <v>121</v>
      </c>
      <c r="E738" s="139"/>
      <c r="F738" s="139"/>
      <c r="G738" s="143"/>
      <c r="H738" s="180"/>
      <c r="I738" s="44"/>
      <c r="J738" s="44"/>
      <c r="K738" s="45"/>
      <c r="L738" s="465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10" t="s">
        <v>270</v>
      </c>
      <c r="F739" s="139"/>
      <c r="G739" s="143"/>
      <c r="H739" s="180"/>
      <c r="I739" s="44"/>
      <c r="J739" s="44"/>
      <c r="K739" s="45"/>
      <c r="L739" s="465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485"/>
      <c r="B740" s="484"/>
      <c r="C740" s="484"/>
      <c r="D740" s="484"/>
      <c r="E740" s="484"/>
      <c r="F740" s="489" t="s">
        <v>271</v>
      </c>
      <c r="G740" s="481"/>
      <c r="H740" s="480" t="s">
        <v>46</v>
      </c>
      <c r="I740" s="487">
        <f ca="1">IFERROR(__xludf.DUMMYFUNCTION("IMPORTRANGE(""https://docs.google.com/spreadsheets/d/1eHaY18a8A9IcSdp1K8H6x8fbOy06t2VsZHhMHf-1x7Y/edit?usp=sharing"",""แผน!GB22"")"),1000)</f>
        <v>1000</v>
      </c>
      <c r="J740" s="478">
        <v>0</v>
      </c>
      <c r="K740" s="486">
        <f ca="1">IF(I740&gt;0,J740*100/I740,0)</f>
        <v>0</v>
      </c>
      <c r="L740" s="477"/>
      <c r="M740" s="476"/>
      <c r="N740" s="476"/>
      <c r="O740" s="476"/>
      <c r="P740" s="476"/>
      <c r="Q740" s="476"/>
      <c r="R740" s="476"/>
      <c r="S740" s="476"/>
      <c r="T740" s="476"/>
      <c r="U740" s="476"/>
    </row>
    <row r="741" spans="1:21" ht="18.75" x14ac:dyDescent="0.25">
      <c r="A741" s="485"/>
      <c r="B741" s="484"/>
      <c r="C741" s="484"/>
      <c r="D741" s="484"/>
      <c r="E741" s="484"/>
      <c r="F741" s="489" t="s">
        <v>306</v>
      </c>
      <c r="G741" s="481"/>
      <c r="H741" s="480" t="s">
        <v>35</v>
      </c>
      <c r="I741" s="479"/>
      <c r="J741" s="478">
        <v>0</v>
      </c>
      <c r="K741" s="476"/>
      <c r="L741" s="477"/>
      <c r="M741" s="476"/>
      <c r="N741" s="476"/>
      <c r="O741" s="476"/>
      <c r="P741" s="476"/>
      <c r="Q741" s="476"/>
      <c r="R741" s="476"/>
      <c r="S741" s="476"/>
      <c r="T741" s="476"/>
      <c r="U741" s="476"/>
    </row>
    <row r="742" spans="1:21" ht="18.75" x14ac:dyDescent="0.25">
      <c r="A742" s="485"/>
      <c r="B742" s="484"/>
      <c r="C742" s="484"/>
      <c r="D742" s="484"/>
      <c r="E742" s="484"/>
      <c r="F742" s="489" t="s">
        <v>305</v>
      </c>
      <c r="G742" s="481"/>
      <c r="H742" s="480" t="s">
        <v>35</v>
      </c>
      <c r="I742" s="487">
        <f ca="1">IFERROR(__xludf.DUMMYFUNCTION("IMPORTRANGE(""https://docs.google.com/spreadsheets/d/1eHaY18a8A9IcSdp1K8H6x8fbOy06t2VsZHhMHf-1x7Y/edit?usp=sharing"",""แผน!GC22"")"),100)</f>
        <v>100</v>
      </c>
      <c r="J742" s="478">
        <v>0</v>
      </c>
      <c r="K742" s="486">
        <f ca="1">IF(I742&gt;0,J742*100/I742,0)</f>
        <v>0</v>
      </c>
      <c r="L742" s="477"/>
      <c r="M742" s="476"/>
      <c r="N742" s="476"/>
      <c r="O742" s="476"/>
      <c r="P742" s="476"/>
      <c r="Q742" s="476"/>
      <c r="R742" s="476"/>
      <c r="S742" s="476"/>
      <c r="T742" s="476"/>
      <c r="U742" s="476"/>
    </row>
    <row r="743" spans="1:21" ht="18.75" x14ac:dyDescent="0.25">
      <c r="A743" s="485"/>
      <c r="B743" s="484"/>
      <c r="C743" s="484"/>
      <c r="D743" s="484"/>
      <c r="E743" s="489" t="s">
        <v>274</v>
      </c>
      <c r="F743" s="484"/>
      <c r="G743" s="481"/>
      <c r="H743" s="488"/>
      <c r="I743" s="479"/>
      <c r="J743" s="479"/>
      <c r="K743" s="476"/>
      <c r="L743" s="477"/>
      <c r="M743" s="476"/>
      <c r="N743" s="476"/>
      <c r="O743" s="476"/>
      <c r="P743" s="476"/>
      <c r="Q743" s="476"/>
      <c r="R743" s="476"/>
      <c r="S743" s="476"/>
      <c r="T743" s="476"/>
      <c r="U743" s="476"/>
    </row>
    <row r="744" spans="1:21" ht="18.75" x14ac:dyDescent="0.25">
      <c r="A744" s="485"/>
      <c r="B744" s="484"/>
      <c r="C744" s="484"/>
      <c r="D744" s="484"/>
      <c r="E744" s="484"/>
      <c r="F744" s="489" t="s">
        <v>271</v>
      </c>
      <c r="G744" s="481"/>
      <c r="H744" s="480" t="s">
        <v>46</v>
      </c>
      <c r="I744" s="487">
        <f ca="1">IFERROR(__xludf.DUMMYFUNCTION("IMPORTRANGE(""https://docs.google.com/spreadsheets/d/1eHaY18a8A9IcSdp1K8H6x8fbOy06t2VsZHhMHf-1x7Y/edit?usp=sharing"",""แผน!GD22"")"),250)</f>
        <v>250</v>
      </c>
      <c r="J744" s="478">
        <v>0</v>
      </c>
      <c r="K744" s="486">
        <f ca="1">IF(I744&gt;0,J744*100/I744,0)</f>
        <v>0</v>
      </c>
      <c r="L744" s="477"/>
      <c r="M744" s="476"/>
      <c r="N744" s="476"/>
      <c r="O744" s="476"/>
      <c r="P744" s="476"/>
      <c r="Q744" s="476"/>
      <c r="R744" s="476"/>
      <c r="S744" s="476"/>
      <c r="T744" s="476"/>
      <c r="U744" s="476"/>
    </row>
    <row r="745" spans="1:21" ht="18.75" x14ac:dyDescent="0.25">
      <c r="A745" s="485"/>
      <c r="B745" s="484"/>
      <c r="C745" s="484"/>
      <c r="D745" s="484"/>
      <c r="E745" s="484"/>
      <c r="F745" s="489" t="s">
        <v>304</v>
      </c>
      <c r="G745" s="481"/>
      <c r="H745" s="480" t="s">
        <v>35</v>
      </c>
      <c r="I745" s="479"/>
      <c r="J745" s="478">
        <v>0</v>
      </c>
      <c r="K745" s="476"/>
      <c r="L745" s="477"/>
      <c r="M745" s="476"/>
      <c r="N745" s="476"/>
      <c r="O745" s="476"/>
      <c r="P745" s="476"/>
      <c r="Q745" s="476"/>
      <c r="R745" s="476"/>
      <c r="S745" s="476"/>
      <c r="T745" s="476"/>
      <c r="U745" s="476"/>
    </row>
    <row r="746" spans="1:21" ht="18.75" x14ac:dyDescent="0.25">
      <c r="A746" s="485"/>
      <c r="B746" s="484"/>
      <c r="C746" s="484"/>
      <c r="D746" s="484"/>
      <c r="E746" s="484"/>
      <c r="F746" s="489" t="s">
        <v>303</v>
      </c>
      <c r="G746" s="481"/>
      <c r="H746" s="480" t="s">
        <v>35</v>
      </c>
      <c r="I746" s="487">
        <f ca="1">IFERROR(__xludf.DUMMYFUNCTION("IMPORTRANGE(""https://docs.google.com/spreadsheets/d/1eHaY18a8A9IcSdp1K8H6x8fbOy06t2VsZHhMHf-1x7Y/edit?usp=sharing"",""แผน!GE22"")"),25)</f>
        <v>25</v>
      </c>
      <c r="J746" s="478">
        <v>0</v>
      </c>
      <c r="K746" s="486">
        <f ca="1">IF(I746&gt;0,J746*100/I746,0)</f>
        <v>0</v>
      </c>
      <c r="L746" s="477"/>
      <c r="M746" s="476"/>
      <c r="N746" s="476"/>
      <c r="O746" s="476"/>
      <c r="P746" s="476"/>
      <c r="Q746" s="476"/>
      <c r="R746" s="476"/>
      <c r="S746" s="476"/>
      <c r="T746" s="476"/>
      <c r="U746" s="476"/>
    </row>
    <row r="747" spans="1:21" ht="18.75" x14ac:dyDescent="0.25">
      <c r="A747" s="485"/>
      <c r="B747" s="484"/>
      <c r="C747" s="484"/>
      <c r="D747" s="484"/>
      <c r="E747" s="489" t="s">
        <v>277</v>
      </c>
      <c r="F747" s="483"/>
      <c r="G747" s="481"/>
      <c r="H747" s="488"/>
      <c r="I747" s="479"/>
      <c r="J747" s="479"/>
      <c r="K747" s="476"/>
      <c r="L747" s="477"/>
      <c r="M747" s="476"/>
      <c r="N747" s="476"/>
      <c r="O747" s="476"/>
      <c r="P747" s="476"/>
      <c r="Q747" s="476"/>
      <c r="R747" s="476"/>
      <c r="S747" s="476"/>
      <c r="T747" s="476"/>
      <c r="U747" s="476"/>
    </row>
    <row r="748" spans="1:21" ht="18.75" x14ac:dyDescent="0.25">
      <c r="A748" s="485"/>
      <c r="B748" s="484"/>
      <c r="C748" s="484"/>
      <c r="D748" s="484"/>
      <c r="E748" s="484"/>
      <c r="F748" s="489" t="s">
        <v>302</v>
      </c>
      <c r="G748" s="481"/>
      <c r="H748" s="480" t="s">
        <v>35</v>
      </c>
      <c r="I748" s="479"/>
      <c r="J748" s="478">
        <v>0</v>
      </c>
      <c r="K748" s="476"/>
      <c r="L748" s="477"/>
      <c r="M748" s="476"/>
      <c r="N748" s="476"/>
      <c r="O748" s="476"/>
      <c r="P748" s="476"/>
      <c r="Q748" s="476"/>
      <c r="R748" s="476"/>
      <c r="S748" s="476"/>
      <c r="T748" s="476"/>
      <c r="U748" s="476"/>
    </row>
    <row r="749" spans="1:21" ht="18.75" x14ac:dyDescent="0.25">
      <c r="A749" s="485"/>
      <c r="B749" s="484"/>
      <c r="C749" s="484"/>
      <c r="D749" s="484"/>
      <c r="E749" s="484"/>
      <c r="F749" s="489" t="s">
        <v>301</v>
      </c>
      <c r="G749" s="481"/>
      <c r="H749" s="480" t="s">
        <v>35</v>
      </c>
      <c r="I749" s="487">
        <f ca="1">IFERROR(__xludf.DUMMYFUNCTION("IMPORTRANGE(""https://docs.google.com/spreadsheets/d/1eHaY18a8A9IcSdp1K8H6x8fbOy06t2VsZHhMHf-1x7Y/edit?usp=sharing"",""แผน!GF22"")"),3)</f>
        <v>3</v>
      </c>
      <c r="J749" s="478">
        <v>0</v>
      </c>
      <c r="K749" s="486">
        <f ca="1">IF(I749&gt;0,J749*100/I749,0)</f>
        <v>0</v>
      </c>
      <c r="L749" s="477"/>
      <c r="M749" s="476"/>
      <c r="N749" s="476"/>
      <c r="O749" s="476"/>
      <c r="P749" s="476"/>
      <c r="Q749" s="476"/>
      <c r="R749" s="476"/>
      <c r="S749" s="476"/>
      <c r="T749" s="476"/>
      <c r="U749" s="476"/>
    </row>
    <row r="750" spans="1:21" ht="19.5" x14ac:dyDescent="0.3">
      <c r="A750" s="485"/>
      <c r="B750" s="484"/>
      <c r="C750" s="484"/>
      <c r="D750" s="490" t="s">
        <v>50</v>
      </c>
      <c r="E750" s="484"/>
      <c r="F750" s="483"/>
      <c r="G750" s="481"/>
      <c r="H750" s="488"/>
      <c r="I750" s="479"/>
      <c r="J750" s="479"/>
      <c r="K750" s="476"/>
      <c r="L750" s="477"/>
      <c r="M750" s="476"/>
      <c r="N750" s="476"/>
      <c r="O750" s="476"/>
      <c r="P750" s="476"/>
      <c r="Q750" s="476"/>
      <c r="R750" s="476"/>
      <c r="S750" s="476"/>
      <c r="T750" s="476"/>
      <c r="U750" s="476"/>
    </row>
    <row r="751" spans="1:21" ht="18.75" x14ac:dyDescent="0.25">
      <c r="A751" s="485"/>
      <c r="B751" s="484"/>
      <c r="C751" s="484"/>
      <c r="D751" s="484"/>
      <c r="E751" s="489" t="s">
        <v>270</v>
      </c>
      <c r="F751" s="483"/>
      <c r="G751" s="481"/>
      <c r="H751" s="488"/>
      <c r="I751" s="479"/>
      <c r="J751" s="479"/>
      <c r="K751" s="476"/>
      <c r="L751" s="477"/>
      <c r="M751" s="476"/>
      <c r="N751" s="476"/>
      <c r="O751" s="476"/>
      <c r="P751" s="476"/>
      <c r="Q751" s="476"/>
      <c r="R751" s="476"/>
      <c r="S751" s="476"/>
      <c r="T751" s="476"/>
      <c r="U751" s="476"/>
    </row>
    <row r="752" spans="1:21" ht="18.75" x14ac:dyDescent="0.25">
      <c r="A752" s="485"/>
      <c r="B752" s="484"/>
      <c r="C752" s="484"/>
      <c r="D752" s="484"/>
      <c r="E752" s="484"/>
      <c r="F752" s="482" t="s">
        <v>300</v>
      </c>
      <c r="G752" s="481"/>
      <c r="H752" s="480" t="s">
        <v>46</v>
      </c>
      <c r="I752" s="487">
        <f ca="1">IFERROR(__xludf.DUMMYFUNCTION("IMPORTRANGE(""https://docs.google.com/spreadsheets/d/1eHaY18a8A9IcSdp1K8H6x8fbOy06t2VsZHhMHf-1x7Y/edit?usp=sharing"",""แผน!GB22"")"),1000)</f>
        <v>1000</v>
      </c>
      <c r="J752" s="478">
        <v>0</v>
      </c>
      <c r="K752" s="486">
        <f ca="1">IF(I752&gt;0,J752*100/I752,0)</f>
        <v>0</v>
      </c>
      <c r="L752" s="477"/>
      <c r="M752" s="476"/>
      <c r="N752" s="476"/>
      <c r="O752" s="476"/>
      <c r="P752" s="476"/>
      <c r="Q752" s="476"/>
      <c r="R752" s="476"/>
      <c r="S752" s="476"/>
      <c r="T752" s="476"/>
      <c r="U752" s="476"/>
    </row>
    <row r="753" spans="1:21" ht="18.75" x14ac:dyDescent="0.25">
      <c r="A753" s="485"/>
      <c r="B753" s="484"/>
      <c r="C753" s="484"/>
      <c r="D753" s="484"/>
      <c r="E753" s="484"/>
      <c r="F753" s="482" t="s">
        <v>299</v>
      </c>
      <c r="G753" s="481"/>
      <c r="H753" s="480" t="s">
        <v>46</v>
      </c>
      <c r="I753" s="479"/>
      <c r="J753" s="478">
        <v>0</v>
      </c>
      <c r="K753" s="476"/>
      <c r="L753" s="477"/>
      <c r="M753" s="476"/>
      <c r="N753" s="476"/>
      <c r="O753" s="476"/>
      <c r="P753" s="476"/>
      <c r="Q753" s="476"/>
      <c r="R753" s="476"/>
      <c r="S753" s="476"/>
      <c r="T753" s="476"/>
      <c r="U753" s="476"/>
    </row>
    <row r="754" spans="1:21" ht="18.75" x14ac:dyDescent="0.25">
      <c r="A754" s="485"/>
      <c r="B754" s="484"/>
      <c r="C754" s="484"/>
      <c r="D754" s="484"/>
      <c r="E754" s="489" t="s">
        <v>274</v>
      </c>
      <c r="F754" s="483"/>
      <c r="G754" s="481"/>
      <c r="H754" s="488"/>
      <c r="I754" s="479"/>
      <c r="J754" s="479"/>
      <c r="K754" s="476"/>
      <c r="L754" s="477"/>
      <c r="M754" s="476"/>
      <c r="N754" s="476"/>
      <c r="O754" s="476"/>
      <c r="P754" s="476"/>
      <c r="Q754" s="476"/>
      <c r="R754" s="476"/>
      <c r="S754" s="476"/>
      <c r="T754" s="476"/>
      <c r="U754" s="476"/>
    </row>
    <row r="755" spans="1:21" ht="18.75" x14ac:dyDescent="0.25">
      <c r="A755" s="485"/>
      <c r="B755" s="484"/>
      <c r="C755" s="484"/>
      <c r="D755" s="484"/>
      <c r="E755" s="483"/>
      <c r="F755" s="482" t="s">
        <v>298</v>
      </c>
      <c r="G755" s="481"/>
      <c r="H755" s="480" t="s">
        <v>46</v>
      </c>
      <c r="I755" s="487">
        <f ca="1">IFERROR(__xludf.DUMMYFUNCTION("IMPORTRANGE(""https://docs.google.com/spreadsheets/d/1eHaY18a8A9IcSdp1K8H6x8fbOy06t2VsZHhMHf-1x7Y/edit?usp=sharing"",""แผน!GD22"")"),250)</f>
        <v>250</v>
      </c>
      <c r="J755" s="478">
        <v>0</v>
      </c>
      <c r="K755" s="486">
        <f ca="1">IF(I755&gt;0,J755*100/I755,0)</f>
        <v>0</v>
      </c>
      <c r="L755" s="477"/>
      <c r="M755" s="476"/>
      <c r="N755" s="476"/>
      <c r="O755" s="476"/>
      <c r="P755" s="476"/>
      <c r="Q755" s="476"/>
      <c r="R755" s="476"/>
      <c r="S755" s="476"/>
      <c r="T755" s="476"/>
      <c r="U755" s="476"/>
    </row>
    <row r="756" spans="1:21" ht="18.75" x14ac:dyDescent="0.25">
      <c r="A756" s="485"/>
      <c r="B756" s="484"/>
      <c r="C756" s="484"/>
      <c r="D756" s="484"/>
      <c r="E756" s="483"/>
      <c r="F756" s="482" t="s">
        <v>297</v>
      </c>
      <c r="G756" s="481"/>
      <c r="H756" s="480" t="s">
        <v>46</v>
      </c>
      <c r="I756" s="479"/>
      <c r="J756" s="478">
        <v>0</v>
      </c>
      <c r="K756" s="476"/>
      <c r="L756" s="477"/>
      <c r="M756" s="476"/>
      <c r="N756" s="476"/>
      <c r="O756" s="476"/>
      <c r="P756" s="476"/>
      <c r="Q756" s="476"/>
      <c r="R756" s="476"/>
      <c r="S756" s="476"/>
      <c r="T756" s="476"/>
      <c r="U756" s="476"/>
    </row>
    <row r="757" spans="1:21" ht="18.75" x14ac:dyDescent="0.25">
      <c r="A757" s="438"/>
      <c r="B757" s="438"/>
      <c r="C757" s="438"/>
      <c r="D757" s="438"/>
      <c r="E757" s="439" t="s">
        <v>284</v>
      </c>
      <c r="F757" s="440"/>
      <c r="G757" s="441"/>
      <c r="H757" s="442" t="s">
        <v>35</v>
      </c>
      <c r="I757" s="443"/>
      <c r="J757" s="444">
        <v>0</v>
      </c>
      <c r="K757" s="445"/>
      <c r="L757" s="445"/>
      <c r="M757" s="445"/>
      <c r="N757" s="445"/>
      <c r="O757" s="445"/>
      <c r="P757" s="445"/>
      <c r="Q757" s="445"/>
      <c r="R757" s="445"/>
      <c r="S757" s="445"/>
      <c r="T757" s="445"/>
      <c r="U757" s="445"/>
    </row>
    <row r="758" spans="1:21" ht="19.5" hidden="1" x14ac:dyDescent="0.3">
      <c r="A758" s="394"/>
      <c r="B758" s="395" t="s">
        <v>285</v>
      </c>
      <c r="C758" s="394"/>
      <c r="D758" s="396"/>
      <c r="E758" s="396"/>
      <c r="F758" s="396"/>
      <c r="G758" s="397"/>
      <c r="H758" s="434" t="s">
        <v>35</v>
      </c>
      <c r="I758" s="475">
        <f ca="1">I772</f>
        <v>0</v>
      </c>
      <c r="J758" s="475">
        <f>J772</f>
        <v>0</v>
      </c>
      <c r="K758" s="474">
        <f ca="1">IF(I758&gt;0,J758*100/I758,0)</f>
        <v>0</v>
      </c>
      <c r="L758" s="47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hidden="1" x14ac:dyDescent="0.3">
      <c r="A759" s="436"/>
      <c r="B759" s="394"/>
      <c r="C759" s="394"/>
      <c r="D759" s="396"/>
      <c r="E759" s="396"/>
      <c r="F759" s="396"/>
      <c r="G759" s="397"/>
      <c r="H759" s="434" t="s">
        <v>46</v>
      </c>
      <c r="I759" s="475">
        <f ca="1">I774</f>
        <v>0</v>
      </c>
      <c r="J759" s="475">
        <f>J774</f>
        <v>0</v>
      </c>
      <c r="K759" s="474">
        <f ca="1">IF(I759&gt;0,J759*100/I759,0)</f>
        <v>0</v>
      </c>
      <c r="L759" s="47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hidden="1" x14ac:dyDescent="0.3">
      <c r="A760" s="128"/>
      <c r="B760" s="158"/>
      <c r="C760" s="177" t="s">
        <v>18</v>
      </c>
      <c r="D760" s="821" t="s">
        <v>19</v>
      </c>
      <c r="E760" s="793"/>
      <c r="F760" s="793"/>
      <c r="G760" s="794"/>
      <c r="H760" s="221" t="s">
        <v>14</v>
      </c>
      <c r="I760" s="44"/>
      <c r="J760" s="44"/>
      <c r="K760" s="45"/>
      <c r="L760" s="471">
        <f>L761+L762</f>
        <v>0</v>
      </c>
      <c r="M760" s="470">
        <f>M761+M762</f>
        <v>0</v>
      </c>
      <c r="N760" s="470">
        <f>N761+N762</f>
        <v>0</v>
      </c>
      <c r="O760" s="470">
        <f t="shared" ref="O760:O768" si="188">IF(L760&gt;0,N760*100/L760,0)</f>
        <v>0</v>
      </c>
      <c r="P760" s="470">
        <f t="shared" ref="P760:P768" si="189">IF(M760&gt;0,N760*100/M760,0)</f>
        <v>0</v>
      </c>
      <c r="Q760" s="470">
        <f ca="1">Q761+Q762</f>
        <v>0</v>
      </c>
      <c r="R760" s="470">
        <f ca="1">R761+R762</f>
        <v>0</v>
      </c>
      <c r="S760" s="470">
        <f ca="1">S761+S762</f>
        <v>0</v>
      </c>
      <c r="T760" s="470">
        <f t="shared" ref="T760:T768" ca="1" si="190">IF(Q760&gt;0,S760*100/Q760,0)</f>
        <v>0</v>
      </c>
      <c r="U760" s="470">
        <f t="shared" ref="U760:U768" ca="1" si="191">IF(R760&gt;0,S760*100/R760,0)</f>
        <v>0</v>
      </c>
    </row>
    <row r="761" spans="1:21" ht="18.75" hidden="1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469">
        <f t="shared" ref="L761:N762" si="192">L764+L767</f>
        <v>0</v>
      </c>
      <c r="M761" s="83">
        <f t="shared" si="192"/>
        <v>0</v>
      </c>
      <c r="N761" s="83">
        <f t="shared" si="192"/>
        <v>0</v>
      </c>
      <c r="O761" s="83">
        <f t="shared" si="188"/>
        <v>0</v>
      </c>
      <c r="P761" s="83">
        <f t="shared" si="189"/>
        <v>0</v>
      </c>
      <c r="Q761" s="83">
        <f t="shared" ref="Q761:S762" si="193">Q764+Q767</f>
        <v>0</v>
      </c>
      <c r="R761" s="83">
        <f t="shared" si="193"/>
        <v>0</v>
      </c>
      <c r="S761" s="83">
        <f t="shared" si="193"/>
        <v>0</v>
      </c>
      <c r="T761" s="83">
        <f t="shared" si="190"/>
        <v>0</v>
      </c>
      <c r="U761" s="83">
        <f t="shared" si="191"/>
        <v>0</v>
      </c>
    </row>
    <row r="762" spans="1:21" ht="18.75" hidden="1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468">
        <f t="shared" si="192"/>
        <v>0</v>
      </c>
      <c r="M762" s="224">
        <f t="shared" si="192"/>
        <v>0</v>
      </c>
      <c r="N762" s="224">
        <f t="shared" si="192"/>
        <v>0</v>
      </c>
      <c r="O762" s="224">
        <f t="shared" si="188"/>
        <v>0</v>
      </c>
      <c r="P762" s="224">
        <f t="shared" si="189"/>
        <v>0</v>
      </c>
      <c r="Q762" s="224">
        <f t="shared" ca="1" si="193"/>
        <v>0</v>
      </c>
      <c r="R762" s="224">
        <f t="shared" ca="1" si="193"/>
        <v>0</v>
      </c>
      <c r="S762" s="224">
        <f t="shared" ca="1" si="193"/>
        <v>0</v>
      </c>
      <c r="T762" s="224">
        <f t="shared" ca="1" si="190"/>
        <v>0</v>
      </c>
      <c r="U762" s="224">
        <f t="shared" ca="1" si="191"/>
        <v>0</v>
      </c>
    </row>
    <row r="763" spans="1:21" ht="18.75" hidden="1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468">
        <f>L764+L765</f>
        <v>0</v>
      </c>
      <c r="M763" s="224">
        <f>M764+M765</f>
        <v>0</v>
      </c>
      <c r="N763" s="224">
        <f>N764+N765</f>
        <v>0</v>
      </c>
      <c r="O763" s="224">
        <f t="shared" si="188"/>
        <v>0</v>
      </c>
      <c r="P763" s="224">
        <f t="shared" si="189"/>
        <v>0</v>
      </c>
      <c r="Q763" s="224">
        <f ca="1">Q764+Q765</f>
        <v>0</v>
      </c>
      <c r="R763" s="224">
        <f ca="1">R764+R765</f>
        <v>0</v>
      </c>
      <c r="S763" s="224">
        <f ca="1">S764+S765</f>
        <v>0</v>
      </c>
      <c r="T763" s="224">
        <f t="shared" ca="1" si="190"/>
        <v>0</v>
      </c>
      <c r="U763" s="224">
        <f t="shared" ca="1" si="191"/>
        <v>0</v>
      </c>
    </row>
    <row r="764" spans="1:21" ht="18.75" hidden="1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469">
        <v>0</v>
      </c>
      <c r="M764" s="83">
        <v>0</v>
      </c>
      <c r="N764" s="83">
        <v>0</v>
      </c>
      <c r="O764" s="83">
        <f t="shared" si="188"/>
        <v>0</v>
      </c>
      <c r="P764" s="83">
        <f t="shared" si="189"/>
        <v>0</v>
      </c>
      <c r="Q764" s="83">
        <v>0</v>
      </c>
      <c r="R764" s="83">
        <v>0</v>
      </c>
      <c r="S764" s="83">
        <v>0</v>
      </c>
      <c r="T764" s="83">
        <f t="shared" si="190"/>
        <v>0</v>
      </c>
      <c r="U764" s="83">
        <f t="shared" si="191"/>
        <v>0</v>
      </c>
    </row>
    <row r="765" spans="1:21" ht="18.75" hidden="1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468">
        <v>0</v>
      </c>
      <c r="M765" s="224">
        <v>0</v>
      </c>
      <c r="N765" s="224">
        <v>0</v>
      </c>
      <c r="O765" s="224">
        <f t="shared" si="188"/>
        <v>0</v>
      </c>
      <c r="P765" s="224">
        <f t="shared" si="189"/>
        <v>0</v>
      </c>
      <c r="Q765" s="224">
        <f ca="1">IFERROR(__xludf.DUMMYFUNCTION("IMPORTRANGE(""https://docs.google.com/spreadsheets/d/1ItG2mGa2ceCfYo0BwxsXqNm01IGEUdYcSSLTEv9YCik/edit?usp=sharing"",""เบิกจ่ายกองทุน!U22"")"),0)</f>
        <v>0</v>
      </c>
      <c r="R765" s="224">
        <f ca="1">IFERROR(__xludf.DUMMYFUNCTION("IMPORTRANGE(""https://docs.google.com/spreadsheets/d/1ItG2mGa2ceCfYo0BwxsXqNm01IGEUdYcSSLTEv9YCik/edit?usp=sharing"",""เบิกจ่ายกองทุน!V22"")"),0)</f>
        <v>0</v>
      </c>
      <c r="S765" s="224">
        <f ca="1">IFERROR(__xludf.DUMMYFUNCTION("IMPORTRANGE(""https://docs.google.com/spreadsheets/d/1ItG2mGa2ceCfYo0BwxsXqNm01IGEUdYcSSLTEv9YCik/edit?usp=sharing"",""เบิกจ่ายกองทุน!W22"")"),0)</f>
        <v>0</v>
      </c>
      <c r="T765" s="224">
        <f t="shared" ca="1" si="190"/>
        <v>0</v>
      </c>
      <c r="U765" s="224">
        <f t="shared" ca="1" si="191"/>
        <v>0</v>
      </c>
    </row>
    <row r="766" spans="1:21" ht="18.75" hidden="1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468">
        <f>L767+L768</f>
        <v>0</v>
      </c>
      <c r="M766" s="224">
        <f>M767+M768</f>
        <v>0</v>
      </c>
      <c r="N766" s="224">
        <f>N767+N768</f>
        <v>0</v>
      </c>
      <c r="O766" s="224">
        <f t="shared" si="188"/>
        <v>0</v>
      </c>
      <c r="P766" s="224">
        <f t="shared" si="189"/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 t="shared" si="190"/>
        <v>0</v>
      </c>
      <c r="U766" s="224">
        <f t="shared" si="191"/>
        <v>0</v>
      </c>
    </row>
    <row r="767" spans="1:21" ht="18.75" hidden="1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469">
        <v>0</v>
      </c>
      <c r="M767" s="83">
        <v>0</v>
      </c>
      <c r="N767" s="83">
        <v>0</v>
      </c>
      <c r="O767" s="83">
        <f t="shared" si="188"/>
        <v>0</v>
      </c>
      <c r="P767" s="83">
        <f t="shared" si="189"/>
        <v>0</v>
      </c>
      <c r="Q767" s="83">
        <v>0</v>
      </c>
      <c r="R767" s="83">
        <v>0</v>
      </c>
      <c r="S767" s="83">
        <v>0</v>
      </c>
      <c r="T767" s="83">
        <f t="shared" si="190"/>
        <v>0</v>
      </c>
      <c r="U767" s="83">
        <f t="shared" si="191"/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468">
        <v>0</v>
      </c>
      <c r="M768" s="224">
        <v>0</v>
      </c>
      <c r="N768" s="224">
        <v>0</v>
      </c>
      <c r="O768" s="224">
        <f t="shared" si="188"/>
        <v>0</v>
      </c>
      <c r="P768" s="224">
        <f t="shared" si="189"/>
        <v>0</v>
      </c>
      <c r="Q768" s="224">
        <v>0</v>
      </c>
      <c r="R768" s="224">
        <v>0</v>
      </c>
      <c r="S768" s="224">
        <v>0</v>
      </c>
      <c r="T768" s="224">
        <f t="shared" si="190"/>
        <v>0</v>
      </c>
      <c r="U768" s="224">
        <f t="shared" si="191"/>
        <v>0</v>
      </c>
    </row>
    <row r="769" spans="1:21" ht="19.5" hidden="1" x14ac:dyDescent="0.3">
      <c r="A769" s="138"/>
      <c r="B769" s="139"/>
      <c r="C769" s="446" t="s">
        <v>18</v>
      </c>
      <c r="D769" s="467" t="s">
        <v>38</v>
      </c>
      <c r="E769" s="203"/>
      <c r="F769" s="141"/>
      <c r="G769" s="142"/>
      <c r="H769" s="178"/>
      <c r="I769" s="44"/>
      <c r="J769" s="44"/>
      <c r="K769" s="45"/>
      <c r="L769" s="465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377" t="s">
        <v>286</v>
      </c>
      <c r="E770" s="139"/>
      <c r="F770" s="145"/>
      <c r="G770" s="143"/>
      <c r="H770" s="375" t="s">
        <v>35</v>
      </c>
      <c r="I770" s="430">
        <f ca="1">IFERROR(__xludf.DUMMYFUNCTION("IMPORTRANGE(""https://docs.google.com/spreadsheets/d/1eHaY18a8A9IcSdp1K8H6x8fbOy06t2VsZHhMHf-1x7Y/edit?usp=sharing"",""แผน!FI22"")"),0)</f>
        <v>0</v>
      </c>
      <c r="J770" s="430">
        <v>0</v>
      </c>
      <c r="K770" s="83">
        <f ca="1">IF(I770&gt;0,J770*100/I770,0)</f>
        <v>0</v>
      </c>
      <c r="L770" s="465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377" t="s">
        <v>287</v>
      </c>
      <c r="E771" s="139"/>
      <c r="F771" s="145"/>
      <c r="G771" s="143"/>
      <c r="H771" s="178"/>
      <c r="I771" s="44"/>
      <c r="J771" s="44"/>
      <c r="K771" s="45"/>
      <c r="L771" s="465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hidden="1" x14ac:dyDescent="0.25">
      <c r="A772" s="138"/>
      <c r="B772" s="139"/>
      <c r="C772" s="139"/>
      <c r="D772" s="410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IFERROR(__xludf.DUMMYFUNCTION("IMPORTRANGE(""https://docs.google.com/spreadsheets/d/1eHaY18a8A9IcSdp1K8H6x8fbOy06t2VsZHhMHf-1x7Y/edit?usp=sharing"",""แผน!FQ22"")"),0)</f>
        <v>0</v>
      </c>
      <c r="J772" s="466">
        <v>0</v>
      </c>
      <c r="K772" s="224">
        <f ca="1">IF(I772&gt;0,J772*100/I772,0)</f>
        <v>0</v>
      </c>
      <c r="L772" s="465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hidden="1" x14ac:dyDescent="0.25">
      <c r="A773" s="138"/>
      <c r="B773" s="139"/>
      <c r="C773" s="139"/>
      <c r="D773" s="410" t="s">
        <v>289</v>
      </c>
      <c r="E773" s="139"/>
      <c r="F773" s="145"/>
      <c r="G773" s="143"/>
      <c r="H773" s="178"/>
      <c r="I773" s="44"/>
      <c r="J773" s="44"/>
      <c r="K773" s="45"/>
      <c r="L773" s="465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hidden="1" x14ac:dyDescent="0.25">
      <c r="A774" s="138"/>
      <c r="B774" s="139"/>
      <c r="C774" s="139"/>
      <c r="D774" s="410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IFERROR(__xludf.DUMMYFUNCTION("IMPORTRANGE(""https://docs.google.com/spreadsheets/d/1eHaY18a8A9IcSdp1K8H6x8fbOy06t2VsZHhMHf-1x7Y/edit?usp=sharing"",""แผน!FR22"")"),0)</f>
        <v>0</v>
      </c>
      <c r="J774" s="466">
        <v>0</v>
      </c>
      <c r="K774" s="224">
        <f ca="1">IF(I774&gt;0,J774*100/I774,0)</f>
        <v>0</v>
      </c>
      <c r="L774" s="465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hidden="1" x14ac:dyDescent="0.25">
      <c r="A775" s="138"/>
      <c r="B775" s="139"/>
      <c r="C775" s="139"/>
      <c r="D775" s="410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IFERROR(__xludf.DUMMYFUNCTION("IMPORTRANGE(""https://docs.google.com/spreadsheets/d/1eHaY18a8A9IcSdp1K8H6x8fbOy06t2VsZHhMHf-1x7Y/edit?usp=sharing"",""แผน!FS22"")"),0)</f>
        <v>0</v>
      </c>
      <c r="J775" s="466">
        <v>0</v>
      </c>
      <c r="K775" s="45"/>
      <c r="L775" s="465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hidden="1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IFERROR(__xludf.DUMMYFUNCTION("IMPORTRANGE(""https://docs.google.com/spreadsheets/d/1eHaY18a8A9IcSdp1K8H6x8fbOy06t2VsZHhMHf-1x7Y/edit?usp=sharing"",""แผน!FT22"")"),0)</f>
        <v>0</v>
      </c>
      <c r="J776" s="464">
        <v>0</v>
      </c>
      <c r="K776" s="3"/>
      <c r="L776" s="46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462" t="s">
        <v>291</v>
      </c>
      <c r="B777" s="449"/>
      <c r="C777" s="449"/>
      <c r="D777" s="448"/>
      <c r="E777" s="449"/>
      <c r="F777" s="449"/>
      <c r="G777" s="450"/>
      <c r="H777" s="461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2"/>
      <c r="J777" s="453"/>
      <c r="K777" s="454"/>
      <c r="L777" s="454"/>
      <c r="M777" s="454"/>
      <c r="N777" s="454"/>
      <c r="O777" s="454"/>
      <c r="P777" s="454"/>
      <c r="Q777" s="454"/>
      <c r="R777" s="454"/>
      <c r="S777" s="454"/>
      <c r="T777" s="454"/>
      <c r="U777" s="454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IFERROR(__xludf.DUMMYFUNCTION("IMPORTRANGE(""https://docs.google.com/spreadsheets/d/10OvvATaaLtwErnr3qtWFcTmtbfpFEt5Bsqel9sXx0uE/edit?usp=sharing"",""งานกองทุน!D22"")"),4046685.39)</f>
        <v>4046685.39</v>
      </c>
      <c r="J778" s="184">
        <f ca="1">IFERROR(__xludf.DUMMYFUNCTION("IMPORTRANGE(""https://docs.google.com/spreadsheets/d/10OvvATaaLtwErnr3qtWFcTmtbfpFEt5Bsqel9sXx0uE/edit?usp=sharing"",""งานกองทุน!F22"")"),518629.26)</f>
        <v>518629.26</v>
      </c>
      <c r="K778" s="224">
        <f t="shared" ref="K778:K785" ca="1" si="194">IF(I778&gt;0,J778*100/I778,0)</f>
        <v>12.816149762509706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IFERROR(__xludf.DUMMYFUNCTION("IMPORTRANGE(""https://docs.google.com/spreadsheets/d/10OvvATaaLtwErnr3qtWFcTmtbfpFEt5Bsqel9sXx0uE/edit?usp=sharing"",""งานกองทุน!C22"")"),278)</f>
        <v>278</v>
      </c>
      <c r="J779" s="184">
        <f ca="1">IFERROR(__xludf.DUMMYFUNCTION("IMPORTRANGE(""https://docs.google.com/spreadsheets/d/10OvvATaaLtwErnr3qtWFcTmtbfpFEt5Bsqel9sXx0uE/edit?usp=sharing"",""งานกองทุน!E22"")"),33)</f>
        <v>33</v>
      </c>
      <c r="K779" s="224">
        <f t="shared" ca="1" si="194"/>
        <v>11.870503597122303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IFERROR(__xludf.DUMMYFUNCTION("IMPORTRANGE(""https://docs.google.com/spreadsheets/d/10OvvATaaLtwErnr3qtWFcTmtbfpFEt5Bsqel9sXx0uE/edit?usp=sharing"",""งานกองทุน!I22"")"),2152334.62)</f>
        <v>2152334.62</v>
      </c>
      <c r="J780" s="184">
        <f ca="1">IFERROR(__xludf.DUMMYFUNCTION("IMPORTRANGE(""https://docs.google.com/spreadsheets/d/10OvvATaaLtwErnr3qtWFcTmtbfpFEt5Bsqel9sXx0uE/edit?usp=sharing"",""งานกองทุน!K22"")"),197793.59)</f>
        <v>197793.59</v>
      </c>
      <c r="K780" s="224">
        <f t="shared" ca="1" si="194"/>
        <v>9.18972301806863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IFERROR(__xludf.DUMMYFUNCTION("IMPORTRANGE(""https://docs.google.com/spreadsheets/d/10OvvATaaLtwErnr3qtWFcTmtbfpFEt5Bsqel9sXx0uE/edit?usp=sharing"",""งานกองทุน!H22"")"),97)</f>
        <v>97</v>
      </c>
      <c r="J781" s="184">
        <f ca="1">IFERROR(__xludf.DUMMYFUNCTION("IMPORTRANGE(""https://docs.google.com/spreadsheets/d/10OvvATaaLtwErnr3qtWFcTmtbfpFEt5Bsqel9sXx0uE/edit?usp=sharing"",""งานกองทุน!J22"")"),33)</f>
        <v>33</v>
      </c>
      <c r="K781" s="224">
        <f t="shared" ca="1" si="194"/>
        <v>34.020618556701031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IFERROR(__xludf.DUMMYFUNCTION("IMPORTRANGE(""https://docs.google.com/spreadsheets/d/10OvvATaaLtwErnr3qtWFcTmtbfpFEt5Bsqel9sXx0uE/edit?usp=sharing"",""งานกองทุน!N22"")"),0)</f>
        <v>0</v>
      </c>
      <c r="J782" s="184">
        <f ca="1">IFERROR(__xludf.DUMMYFUNCTION("IMPORTRANGE(""https://docs.google.com/spreadsheets/d/10OvvATaaLtwErnr3qtWFcTmtbfpFEt5Bsqel9sXx0uE/edit?usp=sharing"",""งานกองทุน!P22"")"),0)</f>
        <v>0</v>
      </c>
      <c r="K782" s="224">
        <f t="shared" ca="1" si="194"/>
        <v>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IFERROR(__xludf.DUMMYFUNCTION("IMPORTRANGE(""https://docs.google.com/spreadsheets/d/10OvvATaaLtwErnr3qtWFcTmtbfpFEt5Bsqel9sXx0uE/edit?usp=sharing"",""งานกองทุน!M22"")"),0)</f>
        <v>0</v>
      </c>
      <c r="J783" s="184">
        <f ca="1">IFERROR(__xludf.DUMMYFUNCTION("IMPORTRANGE(""https://docs.google.com/spreadsheets/d/10OvvATaaLtwErnr3qtWFcTmtbfpFEt5Bsqel9sXx0uE/edit?usp=sharing"",""งานกองทุน!O22"")"),0)</f>
        <v>0</v>
      </c>
      <c r="K783" s="224">
        <f t="shared" ca="1" si="194"/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IFERROR(__xludf.DUMMYFUNCTION("IMPORTRANGE(""https://docs.google.com/spreadsheets/d/10OvvATaaLtwErnr3qtWFcTmtbfpFEt5Bsqel9sXx0uE/edit?usp=sharing"",""งานกองทุน!S22"")"),4928000)</f>
        <v>4928000</v>
      </c>
      <c r="J784" s="184">
        <f ca="1">IFERROR(__xludf.DUMMYFUNCTION("IMPORTRANGE(""https://docs.google.com/spreadsheets/d/10OvvATaaLtwErnr3qtWFcTmtbfpFEt5Bsqel9sXx0uE/edit?usp=sharing"",""งานกองทุน!U22"")"),980000)</f>
        <v>980000</v>
      </c>
      <c r="K784" s="224">
        <f t="shared" ca="1" si="194"/>
        <v>19.886363636363637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IFERROR(__xludf.DUMMYFUNCTION("IMPORTRANGE(""https://docs.google.com/spreadsheets/d/10OvvATaaLtwErnr3qtWFcTmtbfpFEt5Bsqel9sXx0uE/edit?usp=sharing"",""งานกองทุน!R22"")"),176)</f>
        <v>176</v>
      </c>
      <c r="J785" s="188">
        <f ca="1">IFERROR(__xludf.DUMMYFUNCTION("IMPORTRANGE(""https://docs.google.com/spreadsheets/d/10OvvATaaLtwErnr3qtWFcTmtbfpFEt5Bsqel9sXx0uE/edit?usp=sharing"",""งานกองทุน!T22"")"),35)</f>
        <v>35</v>
      </c>
      <c r="K785" s="455">
        <f t="shared" ca="1" si="194"/>
        <v>19.886363636363637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460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4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4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horizontalDpi="4294967293" verticalDpi="4294967293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B215D-4861-40AC-B3D3-58600516259A}">
  <sheetPr>
    <outlinePr summaryBelow="0" summaryRight="0"/>
  </sheetPr>
  <dimension ref="A1:U789"/>
  <sheetViews>
    <sheetView view="pageBreakPreview" zoomScale="60" zoomScaleNormal="70" workbookViewId="0">
      <pane xSplit="8" ySplit="6" topLeftCell="I50" activePane="bottomRight" state="frozen"/>
      <selection activeCell="N28" sqref="N28"/>
      <selection pane="topRight" activeCell="N28" sqref="N28"/>
      <selection pane="bottomLeft" activeCell="N28" sqref="N28"/>
      <selection pane="bottomRight" activeCell="N28" sqref="N2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5703125" bestFit="1" customWidth="1"/>
    <col min="10" max="10" width="16.7109375" bestFit="1" customWidth="1"/>
    <col min="11" max="11" width="12.42578125" bestFit="1" customWidth="1"/>
    <col min="12" max="14" width="21" bestFit="1" customWidth="1"/>
    <col min="15" max="15" width="20.140625" bestFit="1" customWidth="1"/>
    <col min="16" max="16" width="22" bestFit="1" customWidth="1"/>
    <col min="17" max="18" width="21" bestFit="1" customWidth="1"/>
    <col min="19" max="19" width="18.57031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815" t="s">
        <v>0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5"/>
      <c r="T1" s="815"/>
      <c r="U1" s="815"/>
    </row>
    <row r="2" spans="1:21" ht="19.5" x14ac:dyDescent="0.3">
      <c r="A2" s="815" t="s">
        <v>326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</row>
    <row r="3" spans="1:21" ht="19.5" x14ac:dyDescent="0.3">
      <c r="A3" s="815" t="s">
        <v>335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709"/>
      <c r="L4" s="816" t="s">
        <v>2</v>
      </c>
      <c r="M4" s="800"/>
      <c r="N4" s="800"/>
      <c r="O4" s="800"/>
      <c r="P4" s="801"/>
      <c r="Q4" s="817" t="s">
        <v>3</v>
      </c>
      <c r="R4" s="800"/>
      <c r="S4" s="800"/>
      <c r="T4" s="800"/>
      <c r="U4" s="801"/>
    </row>
    <row r="5" spans="1:21" ht="19.5" x14ac:dyDescent="0.3">
      <c r="A5" s="822" t="s">
        <v>4</v>
      </c>
      <c r="B5" s="797"/>
      <c r="C5" s="797"/>
      <c r="D5" s="797"/>
      <c r="E5" s="797"/>
      <c r="F5" s="797"/>
      <c r="G5" s="798"/>
      <c r="H5" s="789" t="s">
        <v>5</v>
      </c>
      <c r="I5" s="814" t="s">
        <v>6</v>
      </c>
      <c r="J5" s="800"/>
      <c r="K5" s="801"/>
      <c r="L5" s="818" t="s">
        <v>7</v>
      </c>
      <c r="M5" s="801"/>
      <c r="N5" s="807" t="s">
        <v>8</v>
      </c>
      <c r="O5" s="800"/>
      <c r="P5" s="801"/>
      <c r="Q5" s="808" t="s">
        <v>7</v>
      </c>
      <c r="R5" s="801"/>
      <c r="S5" s="807" t="s">
        <v>8</v>
      </c>
      <c r="T5" s="800"/>
      <c r="U5" s="801"/>
    </row>
    <row r="6" spans="1:21" ht="19.5" x14ac:dyDescent="0.3">
      <c r="A6" s="799"/>
      <c r="B6" s="800"/>
      <c r="C6" s="800"/>
      <c r="D6" s="800"/>
      <c r="E6" s="800"/>
      <c r="F6" s="800"/>
      <c r="G6" s="801"/>
      <c r="H6" s="788"/>
      <c r="I6" s="6" t="s">
        <v>9</v>
      </c>
      <c r="J6" s="7" t="s">
        <v>10</v>
      </c>
      <c r="K6" s="6" t="s">
        <v>11</v>
      </c>
      <c r="L6" s="706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823"/>
      <c r="B7" s="800"/>
      <c r="C7" s="800"/>
      <c r="D7" s="800"/>
      <c r="E7" s="800"/>
      <c r="F7" s="800"/>
      <c r="G7" s="801"/>
      <c r="H7" s="14"/>
      <c r="I7" s="15"/>
      <c r="J7" s="15"/>
      <c r="K7" s="16"/>
      <c r="L7" s="580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571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71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71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71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71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71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71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71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580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803" t="s">
        <v>17</v>
      </c>
      <c r="B17" s="800"/>
      <c r="C17" s="800"/>
      <c r="D17" s="800"/>
      <c r="E17" s="800"/>
      <c r="F17" s="800"/>
      <c r="G17" s="801"/>
      <c r="H17" s="23"/>
      <c r="I17" s="24"/>
      <c r="J17" s="24"/>
      <c r="K17" s="25"/>
      <c r="L17" s="705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704">
        <f ca="1">L19+L20</f>
        <v>2910905</v>
      </c>
      <c r="M18" s="664">
        <f ca="1">M19+M20</f>
        <v>3170320</v>
      </c>
      <c r="N18" s="664">
        <f ca="1">N19+N20</f>
        <v>2260337.62</v>
      </c>
      <c r="O18" s="664">
        <f t="shared" ref="O18:O26" ca="1" si="0">IF(L18&gt;0,N18*100/L18,0)</f>
        <v>77.650683206769031</v>
      </c>
      <c r="P18" s="664">
        <f t="shared" ref="P18:P26" ca="1" si="1">IF(M18&gt;0,N18*100/M18,0)</f>
        <v>71.29682871129728</v>
      </c>
      <c r="Q18" s="664">
        <f ca="1">Q19+Q20</f>
        <v>2652572.2400000002</v>
      </c>
      <c r="R18" s="664">
        <f ca="1">R19+R20</f>
        <v>2652572</v>
      </c>
      <c r="S18" s="664">
        <f ca="1">S19+S20</f>
        <v>525139</v>
      </c>
      <c r="T18" s="664">
        <f t="shared" ref="T18:T26" ca="1" si="2">IF(Q18&gt;0,S18*100/Q18,0)</f>
        <v>19.797349609600076</v>
      </c>
      <c r="U18" s="664">
        <f t="shared" ref="U18:U26" ca="1" si="3">IF(R18&gt;0,S18*100/R18,0)</f>
        <v>19.797351400829083</v>
      </c>
    </row>
    <row r="19" spans="1:21" ht="18.75" hidden="1" x14ac:dyDescent="0.25">
      <c r="A19" s="26"/>
      <c r="B19" s="27"/>
      <c r="C19" s="27"/>
      <c r="D19" s="27"/>
      <c r="E19" s="703" t="s">
        <v>20</v>
      </c>
      <c r="F19" s="27"/>
      <c r="G19" s="30"/>
      <c r="H19" s="702" t="s">
        <v>14</v>
      </c>
      <c r="I19" s="32"/>
      <c r="J19" s="32"/>
      <c r="K19" s="33"/>
      <c r="L19" s="701">
        <f t="shared" ref="L19:N20" si="4">L22+L25</f>
        <v>0</v>
      </c>
      <c r="M19" s="700">
        <f t="shared" si="4"/>
        <v>0</v>
      </c>
      <c r="N19" s="700">
        <f t="shared" si="4"/>
        <v>0</v>
      </c>
      <c r="O19" s="700">
        <f t="shared" si="0"/>
        <v>0</v>
      </c>
      <c r="P19" s="700">
        <f t="shared" si="1"/>
        <v>0</v>
      </c>
      <c r="Q19" s="700">
        <f t="shared" ref="Q19:S20" si="5">Q22+Q25</f>
        <v>0</v>
      </c>
      <c r="R19" s="700">
        <f t="shared" si="5"/>
        <v>0</v>
      </c>
      <c r="S19" s="700">
        <f t="shared" si="5"/>
        <v>0</v>
      </c>
      <c r="T19" s="700">
        <f t="shared" si="2"/>
        <v>0</v>
      </c>
      <c r="U19" s="700">
        <f t="shared" si="3"/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699">
        <f t="shared" ca="1" si="4"/>
        <v>2910905</v>
      </c>
      <c r="M20" s="698">
        <f t="shared" ca="1" si="4"/>
        <v>3170320</v>
      </c>
      <c r="N20" s="698">
        <f t="shared" ca="1" si="4"/>
        <v>2260337.62</v>
      </c>
      <c r="O20" s="698">
        <f t="shared" ca="1" si="0"/>
        <v>77.650683206769031</v>
      </c>
      <c r="P20" s="698">
        <f t="shared" ca="1" si="1"/>
        <v>71.29682871129728</v>
      </c>
      <c r="Q20" s="698">
        <f t="shared" ca="1" si="5"/>
        <v>2652572.2400000002</v>
      </c>
      <c r="R20" s="698">
        <f t="shared" ca="1" si="5"/>
        <v>2652572</v>
      </c>
      <c r="S20" s="698">
        <f t="shared" ca="1" si="5"/>
        <v>525139</v>
      </c>
      <c r="T20" s="698">
        <f t="shared" ca="1" si="2"/>
        <v>19.797349609600076</v>
      </c>
      <c r="U20" s="698">
        <f t="shared" ca="1" si="3"/>
        <v>19.797351400829083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468">
        <f ca="1">L22+L23</f>
        <v>2910905</v>
      </c>
      <c r="M21" s="224">
        <f ca="1">M22+M23</f>
        <v>3170320</v>
      </c>
      <c r="N21" s="224">
        <f ca="1">N22+N23</f>
        <v>2260337.62</v>
      </c>
      <c r="O21" s="224">
        <f t="shared" ca="1" si="0"/>
        <v>77.650683206769031</v>
      </c>
      <c r="P21" s="224">
        <f t="shared" ca="1" si="1"/>
        <v>71.29682871129728</v>
      </c>
      <c r="Q21" s="224">
        <f ca="1">Q22+Q23</f>
        <v>2652572.2400000002</v>
      </c>
      <c r="R21" s="224">
        <f ca="1">R22+R23</f>
        <v>2652572</v>
      </c>
      <c r="S21" s="224">
        <f ca="1">S22+S23</f>
        <v>525139</v>
      </c>
      <c r="T21" s="224">
        <f t="shared" ca="1" si="2"/>
        <v>19.797349609600076</v>
      </c>
      <c r="U21" s="224">
        <f t="shared" ca="1" si="3"/>
        <v>19.797351400829083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674" t="s">
        <v>14</v>
      </c>
      <c r="I22" s="44"/>
      <c r="J22" s="44"/>
      <c r="K22" s="45"/>
      <c r="L22" s="469">
        <f t="shared" ref="L22:N23" si="6">L48+L63+L76+L98+L129+L143+L161+L190+L177+L270+L286+L307+L324+L337+L360+L517</f>
        <v>0</v>
      </c>
      <c r="M22" s="83">
        <f t="shared" si="6"/>
        <v>0</v>
      </c>
      <c r="N22" s="83">
        <f t="shared" si="6"/>
        <v>0</v>
      </c>
      <c r="O22" s="83">
        <f t="shared" si="0"/>
        <v>0</v>
      </c>
      <c r="P22" s="83">
        <f t="shared" si="1"/>
        <v>0</v>
      </c>
      <c r="Q22" s="83">
        <f t="shared" ref="Q22:S23" si="7">Q76+Q98+Q121+Q143+Q161+Q177+Q190+Q270+Q286+Q307+Q337+Q379+Q396+Q417+Q497+Q603+Q620+Q646+Q694+Q718+Q732+Q764</f>
        <v>0</v>
      </c>
      <c r="R22" s="83">
        <f t="shared" si="7"/>
        <v>0</v>
      </c>
      <c r="S22" s="83">
        <f t="shared" si="7"/>
        <v>0</v>
      </c>
      <c r="T22" s="83">
        <f t="shared" si="2"/>
        <v>0</v>
      </c>
      <c r="U22" s="83">
        <f t="shared" si="3"/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468">
        <f t="shared" ca="1" si="6"/>
        <v>2910905</v>
      </c>
      <c r="M23" s="224">
        <f t="shared" ca="1" si="6"/>
        <v>3170320</v>
      </c>
      <c r="N23" s="224">
        <f t="shared" ca="1" si="6"/>
        <v>2260337.62</v>
      </c>
      <c r="O23" s="224">
        <f t="shared" ca="1" si="0"/>
        <v>77.650683206769031</v>
      </c>
      <c r="P23" s="224">
        <f t="shared" ca="1" si="1"/>
        <v>71.29682871129728</v>
      </c>
      <c r="Q23" s="224">
        <f t="shared" ca="1" si="7"/>
        <v>2652572.2400000002</v>
      </c>
      <c r="R23" s="224">
        <f t="shared" ca="1" si="7"/>
        <v>2652572</v>
      </c>
      <c r="S23" s="224">
        <f t="shared" ca="1" si="7"/>
        <v>525139</v>
      </c>
      <c r="T23" s="224">
        <f t="shared" ca="1" si="2"/>
        <v>19.797349609600076</v>
      </c>
      <c r="U23" s="224">
        <f t="shared" ca="1" si="3"/>
        <v>19.797351400829083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468">
        <f ca="1">L25+L26</f>
        <v>0</v>
      </c>
      <c r="M24" s="224">
        <f ca="1">M25+M26</f>
        <v>0</v>
      </c>
      <c r="N24" s="224">
        <f ca="1">N25+N26</f>
        <v>0</v>
      </c>
      <c r="O24" s="224">
        <f t="shared" ca="1" si="0"/>
        <v>0</v>
      </c>
      <c r="P24" s="224">
        <f t="shared" ca="1" si="1"/>
        <v>0</v>
      </c>
      <c r="Q24" s="224">
        <f>Q25+Q26</f>
        <v>0</v>
      </c>
      <c r="R24" s="224">
        <f>R25+R26</f>
        <v>0</v>
      </c>
      <c r="S24" s="224">
        <f>S25+S26</f>
        <v>0</v>
      </c>
      <c r="T24" s="224">
        <f t="shared" si="2"/>
        <v>0</v>
      </c>
      <c r="U24" s="224">
        <f t="shared" si="3"/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674" t="s">
        <v>14</v>
      </c>
      <c r="I25" s="44"/>
      <c r="J25" s="44"/>
      <c r="K25" s="45"/>
      <c r="L25" s="469">
        <f t="shared" ref="L25:N26" si="8">L51+L66+L79+L101+L132+L146+L164+L193+L180+L273+L289+L310+L327+L340+L363+L520</f>
        <v>0</v>
      </c>
      <c r="M25" s="83">
        <f t="shared" si="8"/>
        <v>0</v>
      </c>
      <c r="N25" s="83">
        <f t="shared" si="8"/>
        <v>0</v>
      </c>
      <c r="O25" s="83">
        <f t="shared" si="0"/>
        <v>0</v>
      </c>
      <c r="P25" s="83">
        <f t="shared" si="1"/>
        <v>0</v>
      </c>
      <c r="Q25" s="83">
        <f t="shared" ref="Q25:S26" si="9">Q79+Q101+Q124+Q146+Q164+Q180+Q193+Q273+Q289+Q310+Q340+Q382+Q399+Q420+Q500+Q606+Q623+Q649+Q697+Q721+Q735+Q767</f>
        <v>0</v>
      </c>
      <c r="R25" s="83">
        <f t="shared" si="9"/>
        <v>0</v>
      </c>
      <c r="S25" s="83">
        <f t="shared" si="9"/>
        <v>0</v>
      </c>
      <c r="T25" s="83">
        <f t="shared" si="2"/>
        <v>0</v>
      </c>
      <c r="U25" s="83">
        <f t="shared" si="3"/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468">
        <f t="shared" ca="1" si="8"/>
        <v>0</v>
      </c>
      <c r="M26" s="224">
        <f t="shared" ca="1" si="8"/>
        <v>0</v>
      </c>
      <c r="N26" s="224">
        <f t="shared" ca="1" si="8"/>
        <v>0</v>
      </c>
      <c r="O26" s="224">
        <f t="shared" ca="1" si="0"/>
        <v>0</v>
      </c>
      <c r="P26" s="224">
        <f t="shared" ca="1" si="1"/>
        <v>0</v>
      </c>
      <c r="Q26" s="83">
        <f t="shared" si="9"/>
        <v>0</v>
      </c>
      <c r="R26" s="83">
        <f t="shared" si="9"/>
        <v>0</v>
      </c>
      <c r="S26" s="83">
        <f t="shared" si="9"/>
        <v>0</v>
      </c>
      <c r="T26" s="224">
        <f t="shared" si="2"/>
        <v>0</v>
      </c>
      <c r="U26" s="224">
        <f t="shared" si="3"/>
        <v>0</v>
      </c>
    </row>
    <row r="27" spans="1:21" ht="18.75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465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674" t="s">
        <v>14</v>
      </c>
      <c r="I28" s="44"/>
      <c r="J28" s="44"/>
      <c r="K28" s="45"/>
      <c r="L28" s="465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463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823"/>
      <c r="B30" s="800"/>
      <c r="C30" s="800"/>
      <c r="D30" s="800"/>
      <c r="E30" s="800"/>
      <c r="F30" s="800"/>
      <c r="G30" s="801"/>
      <c r="H30" s="14"/>
      <c r="I30" s="15"/>
      <c r="J30" s="15"/>
      <c r="K30" s="16"/>
      <c r="L30" s="580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571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7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71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7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7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7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7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71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580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697">
        <f ca="1">L44+L59+L72+L94+L125+L139+L157+L173+L186+L266+L282+L303+L320+L333+L356</f>
        <v>2910905</v>
      </c>
      <c r="M40" s="696">
        <f ca="1">M44+M59+M72+M94+M125+M139+M157+M173+M186+M266+M282+M303+M320+M333+M356</f>
        <v>3170320</v>
      </c>
      <c r="N40" s="696">
        <f ca="1">N44+N59+N72+N94+N125+N139+N157+N173+N186+N266+N282+N303+N320+N333+N356</f>
        <v>2260337.62</v>
      </c>
      <c r="O40" s="696">
        <f ca="1">IF(L40&gt;0,N40*100/L40,0)</f>
        <v>77.650683206769031</v>
      </c>
      <c r="P40" s="696">
        <f ca="1">IF(M40&gt;0,N40*100/M40,0)</f>
        <v>71.29682871129728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695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571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694" t="s">
        <v>19</v>
      </c>
      <c r="E44" s="71"/>
      <c r="F44" s="71"/>
      <c r="G44" s="74"/>
      <c r="H44" s="75" t="s">
        <v>14</v>
      </c>
      <c r="I44" s="76"/>
      <c r="J44" s="76"/>
      <c r="K44" s="77"/>
      <c r="L44" s="693">
        <f ca="1">L45+L46</f>
        <v>345850</v>
      </c>
      <c r="M44" s="692">
        <f ca="1">M45+M46</f>
        <v>494275</v>
      </c>
      <c r="N44" s="692">
        <f ca="1">N45+N46</f>
        <v>432625</v>
      </c>
      <c r="O44" s="692">
        <f t="shared" ref="O44:O52" ca="1" si="10">IF(L44&gt;0,N44*100/L44,0)</f>
        <v>125.09035709122452</v>
      </c>
      <c r="P44" s="692">
        <f t="shared" ref="P44:P52" ca="1" si="11">IF(M44&gt;0,N44*100/M44,0)</f>
        <v>87.527186282939653</v>
      </c>
      <c r="Q44" s="692">
        <f>Q45+Q46</f>
        <v>0</v>
      </c>
      <c r="R44" s="692">
        <f>R45+R46</f>
        <v>0</v>
      </c>
      <c r="S44" s="692">
        <f>S45+S46</f>
        <v>0</v>
      </c>
      <c r="T44" s="692">
        <f t="shared" ref="T44:T52" si="12">IF(Q44&gt;0,S44*100/Q44,0)</f>
        <v>0</v>
      </c>
      <c r="U44" s="692">
        <f t="shared" ref="U44:U52" si="13">IF(R44&gt;0,S44*100/R44,0)</f>
        <v>0</v>
      </c>
    </row>
    <row r="45" spans="1:21" ht="18.75" hidden="1" x14ac:dyDescent="0.25">
      <c r="A45" s="70"/>
      <c r="B45" s="71"/>
      <c r="C45" s="71"/>
      <c r="D45" s="71"/>
      <c r="E45" s="691" t="s">
        <v>20</v>
      </c>
      <c r="F45" s="71"/>
      <c r="G45" s="74"/>
      <c r="H45" s="690" t="s">
        <v>14</v>
      </c>
      <c r="I45" s="76"/>
      <c r="J45" s="76"/>
      <c r="K45" s="77"/>
      <c r="L45" s="689">
        <f t="shared" ref="L45:N46" si="14">L48+L51</f>
        <v>0</v>
      </c>
      <c r="M45" s="688">
        <f t="shared" si="14"/>
        <v>0</v>
      </c>
      <c r="N45" s="688">
        <f t="shared" si="14"/>
        <v>0</v>
      </c>
      <c r="O45" s="688">
        <f t="shared" si="10"/>
        <v>0</v>
      </c>
      <c r="P45" s="688">
        <f t="shared" si="11"/>
        <v>0</v>
      </c>
      <c r="Q45" s="688">
        <f t="shared" ref="Q45:S46" si="15">Q48+Q51</f>
        <v>0</v>
      </c>
      <c r="R45" s="688">
        <f t="shared" si="15"/>
        <v>0</v>
      </c>
      <c r="S45" s="688">
        <f t="shared" si="15"/>
        <v>0</v>
      </c>
      <c r="T45" s="688">
        <f t="shared" si="12"/>
        <v>0</v>
      </c>
      <c r="U45" s="688">
        <f t="shared" si="13"/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687">
        <f t="shared" ca="1" si="14"/>
        <v>345850</v>
      </c>
      <c r="M46" s="686">
        <f t="shared" ca="1" si="14"/>
        <v>494275</v>
      </c>
      <c r="N46" s="686">
        <f t="shared" ca="1" si="14"/>
        <v>432625</v>
      </c>
      <c r="O46" s="686">
        <f t="shared" ca="1" si="10"/>
        <v>125.09035709122452</v>
      </c>
      <c r="P46" s="686">
        <f t="shared" ca="1" si="11"/>
        <v>87.527186282939653</v>
      </c>
      <c r="Q46" s="686">
        <f t="shared" si="15"/>
        <v>0</v>
      </c>
      <c r="R46" s="686">
        <f t="shared" si="15"/>
        <v>0</v>
      </c>
      <c r="S46" s="686">
        <f t="shared" si="15"/>
        <v>0</v>
      </c>
      <c r="T46" s="686">
        <f t="shared" si="12"/>
        <v>0</v>
      </c>
      <c r="U46" s="686">
        <f t="shared" si="13"/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468">
        <f ca="1">L48+L49</f>
        <v>345850</v>
      </c>
      <c r="M47" s="224">
        <f ca="1">M48+M49</f>
        <v>494275</v>
      </c>
      <c r="N47" s="224">
        <f ca="1">N48+N49</f>
        <v>432625</v>
      </c>
      <c r="O47" s="224">
        <f t="shared" ca="1" si="10"/>
        <v>125.09035709122452</v>
      </c>
      <c r="P47" s="224">
        <f t="shared" ca="1" si="11"/>
        <v>87.527186282939653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 t="shared" si="12"/>
        <v>0</v>
      </c>
      <c r="U47" s="224">
        <f t="shared" si="13"/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674" t="s">
        <v>14</v>
      </c>
      <c r="I48" s="44"/>
      <c r="J48" s="44"/>
      <c r="K48" s="45"/>
      <c r="L48" s="469">
        <v>0</v>
      </c>
      <c r="M48" s="83">
        <v>0</v>
      </c>
      <c r="N48" s="83">
        <v>0</v>
      </c>
      <c r="O48" s="83">
        <f t="shared" si="10"/>
        <v>0</v>
      </c>
      <c r="P48" s="83">
        <f t="shared" si="11"/>
        <v>0</v>
      </c>
      <c r="Q48" s="83">
        <v>0</v>
      </c>
      <c r="R48" s="83">
        <v>0</v>
      </c>
      <c r="S48" s="83">
        <v>0</v>
      </c>
      <c r="T48" s="83">
        <f t="shared" si="12"/>
        <v>0</v>
      </c>
      <c r="U48" s="83">
        <f t="shared" si="13"/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468">
        <f ca="1">IFERROR(__xludf.DUMMYFUNCTION("IMPORTRANGE(""https://docs.google.com/spreadsheets/d/1-uDff_7J0KD5mKrp0Vvzr7lt3OU09vwQwhkpOPPYv2Y/edit?usp=sharing"",""งบพรบ!P23"")"),345850)</f>
        <v>345850</v>
      </c>
      <c r="M49" s="224">
        <f ca="1">IFERROR(__xludf.DUMMYFUNCTION("IMPORTRANGE(""https://docs.google.com/spreadsheets/d/1-uDff_7J0KD5mKrp0Vvzr7lt3OU09vwQwhkpOPPYv2Y/edit?usp=sharing"",""งบพรบ!V23"")"),494275)</f>
        <v>494275</v>
      </c>
      <c r="N49" s="224">
        <f ca="1">IFERROR(__xludf.DUMMYFUNCTION("IMPORTRANGE(""https://docs.google.com/spreadsheets/d/1-uDff_7J0KD5mKrp0Vvzr7lt3OU09vwQwhkpOPPYv2Y/edit?usp=sharing"",""งบพรบ!Y23"")"),432625)</f>
        <v>432625</v>
      </c>
      <c r="O49" s="224">
        <f t="shared" ca="1" si="10"/>
        <v>125.09035709122452</v>
      </c>
      <c r="P49" s="224">
        <f t="shared" ca="1" si="11"/>
        <v>87.527186282939653</v>
      </c>
      <c r="Q49" s="224">
        <v>0</v>
      </c>
      <c r="R49" s="224">
        <v>0</v>
      </c>
      <c r="S49" s="224">
        <v>0</v>
      </c>
      <c r="T49" s="224">
        <f t="shared" si="12"/>
        <v>0</v>
      </c>
      <c r="U49" s="224">
        <f t="shared" si="13"/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468">
        <f ca="1">L51+L52</f>
        <v>0</v>
      </c>
      <c r="M50" s="224">
        <f ca="1">M51+M52</f>
        <v>0</v>
      </c>
      <c r="N50" s="224">
        <f ca="1">N51+N52</f>
        <v>0</v>
      </c>
      <c r="O50" s="224">
        <f t="shared" ca="1" si="10"/>
        <v>0</v>
      </c>
      <c r="P50" s="224">
        <f t="shared" ca="1" si="11"/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 t="shared" si="12"/>
        <v>0</v>
      </c>
      <c r="U50" s="224">
        <f t="shared" si="13"/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674" t="s">
        <v>14</v>
      </c>
      <c r="I51" s="44"/>
      <c r="J51" s="44"/>
      <c r="K51" s="45"/>
      <c r="L51" s="469">
        <v>0</v>
      </c>
      <c r="M51" s="83">
        <v>0</v>
      </c>
      <c r="N51" s="83">
        <v>0</v>
      </c>
      <c r="O51" s="83">
        <f t="shared" si="10"/>
        <v>0</v>
      </c>
      <c r="P51" s="83">
        <f t="shared" si="11"/>
        <v>0</v>
      </c>
      <c r="Q51" s="83">
        <v>0</v>
      </c>
      <c r="R51" s="83">
        <v>0</v>
      </c>
      <c r="S51" s="83">
        <v>0</v>
      </c>
      <c r="T51" s="83">
        <f t="shared" si="12"/>
        <v>0</v>
      </c>
      <c r="U51" s="83">
        <f t="shared" si="13"/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468">
        <f ca="1">IFERROR(__xludf.DUMMYFUNCTION("IMPORTRANGE(""https://docs.google.com/spreadsheets/d/1-uDff_7J0KD5mKrp0Vvzr7lt3OU09vwQwhkpOPPYv2Y/edit?usp=sharing"",""งบพรบ!S23"")"),0)</f>
        <v>0</v>
      </c>
      <c r="M52" s="224">
        <f ca="1">IFERROR(__xludf.DUMMYFUNCTION("IMPORTRANGE(""https://docs.google.com/spreadsheets/d/1-uDff_7J0KD5mKrp0Vvzr7lt3OU09vwQwhkpOPPYv2Y/edit?usp=sharing"",""งบพรบ!W23"")"),0)</f>
        <v>0</v>
      </c>
      <c r="N52" s="224">
        <f ca="1">IFERROR(__xludf.DUMMYFUNCTION("IMPORTRANGE(""https://docs.google.com/spreadsheets/d/1-uDff_7J0KD5mKrp0Vvzr7lt3OU09vwQwhkpOPPYv2Y/edit?usp=sharing"",""งบพรบ!Z23"")"),0)</f>
        <v>0</v>
      </c>
      <c r="O52" s="224">
        <f t="shared" ca="1" si="10"/>
        <v>0</v>
      </c>
      <c r="P52" s="224">
        <f t="shared" ca="1" si="11"/>
        <v>0</v>
      </c>
      <c r="Q52" s="224">
        <v>0</v>
      </c>
      <c r="R52" s="224">
        <v>0</v>
      </c>
      <c r="S52" s="224">
        <v>0</v>
      </c>
      <c r="T52" s="224">
        <f t="shared" si="12"/>
        <v>0</v>
      </c>
      <c r="U52" s="224">
        <f t="shared" si="13"/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465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674" t="s">
        <v>14</v>
      </c>
      <c r="I54" s="44"/>
      <c r="J54" s="44"/>
      <c r="K54" s="45"/>
      <c r="L54" s="465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463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804" t="s">
        <v>28</v>
      </c>
      <c r="B56" s="800"/>
      <c r="C56" s="800"/>
      <c r="D56" s="800"/>
      <c r="E56" s="800"/>
      <c r="F56" s="800"/>
      <c r="G56" s="80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805" t="s">
        <v>29</v>
      </c>
      <c r="C57" s="793"/>
      <c r="D57" s="793"/>
      <c r="E57" s="793"/>
      <c r="F57" s="793"/>
      <c r="G57" s="794"/>
      <c r="H57" s="89"/>
      <c r="I57" s="90"/>
      <c r="J57" s="90"/>
      <c r="K57" s="91"/>
      <c r="L57" s="68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8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8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82">
        <f ca="1">L60+L61</f>
        <v>549000</v>
      </c>
      <c r="M59" s="681">
        <f ca="1">M60+M61</f>
        <v>550500</v>
      </c>
      <c r="N59" s="681">
        <f ca="1">N60+N61</f>
        <v>514257.33</v>
      </c>
      <c r="O59" s="681">
        <f t="shared" ref="O59:O67" ca="1" si="16">IF(L59&gt;0,N59*100/L59,0)</f>
        <v>93.671644808743167</v>
      </c>
      <c r="P59" s="681">
        <f t="shared" ref="P59:P67" ca="1" si="17">IF(M59&gt;0,N59*100/M59,0)</f>
        <v>93.416408719346052</v>
      </c>
      <c r="Q59" s="681">
        <f>Q60+Q61</f>
        <v>0</v>
      </c>
      <c r="R59" s="681">
        <f>R60+R61</f>
        <v>0</v>
      </c>
      <c r="S59" s="681">
        <f>S60+S61</f>
        <v>0</v>
      </c>
      <c r="T59" s="681">
        <f t="shared" ref="T59:T67" si="18">IF(Q59&gt;0,S59*100/Q59,0)</f>
        <v>0</v>
      </c>
      <c r="U59" s="681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80" t="s">
        <v>20</v>
      </c>
      <c r="F60" s="99"/>
      <c r="G60" s="102"/>
      <c r="H60" s="679" t="s">
        <v>14</v>
      </c>
      <c r="I60" s="104"/>
      <c r="J60" s="104"/>
      <c r="K60" s="105"/>
      <c r="L60" s="678">
        <f t="shared" ref="L60:N61" si="20">L63+L66</f>
        <v>0</v>
      </c>
      <c r="M60" s="677">
        <f t="shared" si="20"/>
        <v>0</v>
      </c>
      <c r="N60" s="677">
        <f t="shared" si="20"/>
        <v>0</v>
      </c>
      <c r="O60" s="677">
        <f t="shared" si="16"/>
        <v>0</v>
      </c>
      <c r="P60" s="677">
        <f t="shared" si="17"/>
        <v>0</v>
      </c>
      <c r="Q60" s="677">
        <f t="shared" ref="Q60:S61" si="21">Q63+Q66</f>
        <v>0</v>
      </c>
      <c r="R60" s="677">
        <f t="shared" si="21"/>
        <v>0</v>
      </c>
      <c r="S60" s="677">
        <f t="shared" si="21"/>
        <v>0</v>
      </c>
      <c r="T60" s="677">
        <f t="shared" si="18"/>
        <v>0</v>
      </c>
      <c r="U60" s="677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76">
        <f t="shared" ca="1" si="20"/>
        <v>549000</v>
      </c>
      <c r="M61" s="675">
        <f t="shared" ca="1" si="20"/>
        <v>550500</v>
      </c>
      <c r="N61" s="675">
        <f t="shared" ca="1" si="20"/>
        <v>514257.33</v>
      </c>
      <c r="O61" s="675">
        <f t="shared" ca="1" si="16"/>
        <v>93.671644808743167</v>
      </c>
      <c r="P61" s="675">
        <f t="shared" ca="1" si="17"/>
        <v>93.416408719346052</v>
      </c>
      <c r="Q61" s="675">
        <f t="shared" si="21"/>
        <v>0</v>
      </c>
      <c r="R61" s="675">
        <f t="shared" si="21"/>
        <v>0</v>
      </c>
      <c r="S61" s="675">
        <f t="shared" si="21"/>
        <v>0</v>
      </c>
      <c r="T61" s="675">
        <f t="shared" si="18"/>
        <v>0</v>
      </c>
      <c r="U61" s="675">
        <f t="shared" si="19"/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468">
        <f ca="1">L63+L64</f>
        <v>549000</v>
      </c>
      <c r="M62" s="224">
        <f ca="1">M63+M64</f>
        <v>550500</v>
      </c>
      <c r="N62" s="224">
        <f ca="1">N63+N64</f>
        <v>514257.33</v>
      </c>
      <c r="O62" s="224">
        <f t="shared" ca="1" si="16"/>
        <v>93.671644808743167</v>
      </c>
      <c r="P62" s="224">
        <f t="shared" ca="1" si="17"/>
        <v>93.416408719346052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 t="shared" si="18"/>
        <v>0</v>
      </c>
      <c r="U62" s="224">
        <f t="shared" si="19"/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674" t="s">
        <v>14</v>
      </c>
      <c r="I63" s="44"/>
      <c r="J63" s="44"/>
      <c r="K63" s="45"/>
      <c r="L63" s="469">
        <v>0</v>
      </c>
      <c r="M63" s="83">
        <v>0</v>
      </c>
      <c r="N63" s="83">
        <v>0</v>
      </c>
      <c r="O63" s="83">
        <f t="shared" si="16"/>
        <v>0</v>
      </c>
      <c r="P63" s="83">
        <f t="shared" si="17"/>
        <v>0</v>
      </c>
      <c r="Q63" s="83">
        <v>0</v>
      </c>
      <c r="R63" s="83">
        <v>0</v>
      </c>
      <c r="S63" s="83">
        <v>0</v>
      </c>
      <c r="T63" s="83">
        <f t="shared" si="18"/>
        <v>0</v>
      </c>
      <c r="U63" s="83">
        <f t="shared" si="19"/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468">
        <f ca="1">IFERROR(__xludf.DUMMYFUNCTION("IMPORTRANGE(""https://docs.google.com/spreadsheets/d/1-uDff_7J0KD5mKrp0Vvzr7lt3OU09vwQwhkpOPPYv2Y/edit?usp=sharing"",""งบพรบ!AC23"")"),549000)</f>
        <v>549000</v>
      </c>
      <c r="M64" s="224">
        <f ca="1">IFERROR(__xludf.DUMMYFUNCTION("IMPORTRANGE(""https://docs.google.com/spreadsheets/d/1-uDff_7J0KD5mKrp0Vvzr7lt3OU09vwQwhkpOPPYv2Y/edit?usp=sharing"",""งบพรบ!AH23"")"),550500)</f>
        <v>550500</v>
      </c>
      <c r="N64" s="224">
        <f ca="1">IFERROR(__xludf.DUMMYFUNCTION("IMPORTRANGE(""https://docs.google.com/spreadsheets/d/1-uDff_7J0KD5mKrp0Vvzr7lt3OU09vwQwhkpOPPYv2Y/edit?usp=sharing"",""งบพรบ!AJ23"")"),514257.33)</f>
        <v>514257.33</v>
      </c>
      <c r="O64" s="224">
        <f t="shared" ca="1" si="16"/>
        <v>93.671644808743167</v>
      </c>
      <c r="P64" s="224">
        <f t="shared" ca="1" si="17"/>
        <v>93.416408719346052</v>
      </c>
      <c r="Q64" s="224">
        <v>0</v>
      </c>
      <c r="R64" s="224">
        <v>0</v>
      </c>
      <c r="S64" s="224">
        <v>0</v>
      </c>
      <c r="T64" s="224">
        <f t="shared" si="18"/>
        <v>0</v>
      </c>
      <c r="U64" s="224">
        <f t="shared" si="19"/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468">
        <f ca="1">L66+L67</f>
        <v>0</v>
      </c>
      <c r="M65" s="224">
        <f ca="1">M66+M67</f>
        <v>0</v>
      </c>
      <c r="N65" s="224">
        <f ca="1">N66+N67</f>
        <v>0</v>
      </c>
      <c r="O65" s="224">
        <f t="shared" ca="1" si="16"/>
        <v>0</v>
      </c>
      <c r="P65" s="224">
        <f t="shared" ca="1" si="17"/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 t="shared" si="18"/>
        <v>0</v>
      </c>
      <c r="U65" s="224">
        <f t="shared" si="19"/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674" t="s">
        <v>14</v>
      </c>
      <c r="I66" s="44"/>
      <c r="J66" s="44"/>
      <c r="K66" s="45"/>
      <c r="L66" s="469">
        <v>0</v>
      </c>
      <c r="M66" s="83">
        <v>0</v>
      </c>
      <c r="N66" s="83">
        <v>0</v>
      </c>
      <c r="O66" s="83">
        <f t="shared" si="16"/>
        <v>0</v>
      </c>
      <c r="P66" s="83">
        <f t="shared" si="17"/>
        <v>0</v>
      </c>
      <c r="Q66" s="83">
        <v>0</v>
      </c>
      <c r="R66" s="83">
        <v>0</v>
      </c>
      <c r="S66" s="83">
        <v>0</v>
      </c>
      <c r="T66" s="83">
        <f t="shared" si="18"/>
        <v>0</v>
      </c>
      <c r="U66" s="83">
        <f t="shared" si="19"/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673">
        <f ca="1">IFERROR(__xludf.DUMMYFUNCTION("IMPORTRANGE(""https://docs.google.com/spreadsheets/d/1-uDff_7J0KD5mKrp0Vvzr7lt3OU09vwQwhkpOPPYv2Y/edit?usp=sharing"",""งบพรบ!AF23"")"),0)</f>
        <v>0</v>
      </c>
      <c r="M67" s="455">
        <f ca="1">IFERROR(__xludf.DUMMYFUNCTION("IMPORTRANGE(""https://docs.google.com/spreadsheets/d/1-uDff_7J0KD5mKrp0Vvzr7lt3OU09vwQwhkpOPPYv2Y/edit?usp=sharing"",""งบพรบ!AI23"")"),0)</f>
        <v>0</v>
      </c>
      <c r="N67" s="455">
        <f ca="1">IFERROR(__xludf.DUMMYFUNCTION("IMPORTRANGE(""https://docs.google.com/spreadsheets/d/1-uDff_7J0KD5mKrp0Vvzr7lt3OU09vwQwhkpOPPYv2Y/edit?usp=sharing"",""งบพรบ!AK23"")"),0)</f>
        <v>0</v>
      </c>
      <c r="O67" s="455">
        <f t="shared" ca="1" si="16"/>
        <v>0</v>
      </c>
      <c r="P67" s="455">
        <f t="shared" ca="1" si="17"/>
        <v>0</v>
      </c>
      <c r="Q67" s="455">
        <v>0</v>
      </c>
      <c r="R67" s="455">
        <v>0</v>
      </c>
      <c r="S67" s="455">
        <v>0</v>
      </c>
      <c r="T67" s="455">
        <f t="shared" si="18"/>
        <v>0</v>
      </c>
      <c r="U67" s="455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7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665">
        <f ca="1">I82</f>
        <v>1</v>
      </c>
      <c r="J70" s="665">
        <f>J82</f>
        <v>1</v>
      </c>
      <c r="K70" s="664">
        <f ca="1">IF(I70&gt;0,J70*100/I70,0)</f>
        <v>100</v>
      </c>
      <c r="L70" s="510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665">
        <f ca="1">I83</f>
        <v>33</v>
      </c>
      <c r="J71" s="665">
        <f>J83</f>
        <v>33</v>
      </c>
      <c r="K71" s="664">
        <f ca="1">IF(I71&gt;0,J71*100/I71,0)</f>
        <v>100</v>
      </c>
      <c r="L71" s="510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129" t="s">
        <v>18</v>
      </c>
      <c r="D72" s="472" t="s">
        <v>19</v>
      </c>
      <c r="E72" s="40"/>
      <c r="F72" s="40"/>
      <c r="G72" s="42"/>
      <c r="H72" s="131" t="s">
        <v>14</v>
      </c>
      <c r="I72" s="44"/>
      <c r="J72" s="44"/>
      <c r="K72" s="45"/>
      <c r="L72" s="471">
        <f ca="1">L73+L74</f>
        <v>90000</v>
      </c>
      <c r="M72" s="470">
        <f ca="1">M73+M74</f>
        <v>90000</v>
      </c>
      <c r="N72" s="470">
        <f ca="1">N73+N74</f>
        <v>28247</v>
      </c>
      <c r="O72" s="470">
        <f t="shared" ref="O72:O80" ca="1" si="22">IF(L72&gt;0,N72*100/L72,0)</f>
        <v>31.385555555555555</v>
      </c>
      <c r="P72" s="470">
        <f t="shared" ref="P72:P80" ca="1" si="23">IF(M72&gt;0,N72*100/M72,0)</f>
        <v>31.385555555555555</v>
      </c>
      <c r="Q72" s="470">
        <f ca="1">Q73+Q74</f>
        <v>422960</v>
      </c>
      <c r="R72" s="470">
        <f ca="1">R73+R74</f>
        <v>422960</v>
      </c>
      <c r="S72" s="470">
        <f ca="1">S73+S74</f>
        <v>28670</v>
      </c>
      <c r="T72" s="470">
        <f t="shared" ref="T72:T80" ca="1" si="24">IF(Q72&gt;0,S72*100/Q72,0)</f>
        <v>6.7784187630035939</v>
      </c>
      <c r="U72" s="470">
        <f t="shared" ref="U72:U80" ca="1" si="25">IF(R72&gt;0,S72*100/R72,0)</f>
        <v>6.7784187630035939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469">
        <f t="shared" ref="L73:N74" si="26">L76+L79</f>
        <v>0</v>
      </c>
      <c r="M73" s="83">
        <f t="shared" si="26"/>
        <v>0</v>
      </c>
      <c r="N73" s="83">
        <f t="shared" si="26"/>
        <v>0</v>
      </c>
      <c r="O73" s="83">
        <f t="shared" si="22"/>
        <v>0</v>
      </c>
      <c r="P73" s="83">
        <f t="shared" si="23"/>
        <v>0</v>
      </c>
      <c r="Q73" s="83">
        <f t="shared" ref="Q73:S74" si="27">Q76+Q79</f>
        <v>0</v>
      </c>
      <c r="R73" s="83">
        <f t="shared" si="27"/>
        <v>0</v>
      </c>
      <c r="S73" s="83">
        <f t="shared" si="27"/>
        <v>0</v>
      </c>
      <c r="T73" s="83">
        <f t="shared" si="24"/>
        <v>0</v>
      </c>
      <c r="U73" s="83">
        <f t="shared" si="25"/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468">
        <f t="shared" ca="1" si="26"/>
        <v>90000</v>
      </c>
      <c r="M74" s="224">
        <f t="shared" ca="1" si="26"/>
        <v>90000</v>
      </c>
      <c r="N74" s="224">
        <f t="shared" ca="1" si="26"/>
        <v>28247</v>
      </c>
      <c r="O74" s="224">
        <f t="shared" ca="1" si="22"/>
        <v>31.385555555555555</v>
      </c>
      <c r="P74" s="224">
        <f t="shared" ca="1" si="23"/>
        <v>31.385555555555555</v>
      </c>
      <c r="Q74" s="224">
        <f t="shared" ca="1" si="27"/>
        <v>422960</v>
      </c>
      <c r="R74" s="224">
        <f t="shared" ca="1" si="27"/>
        <v>422960</v>
      </c>
      <c r="S74" s="224">
        <f t="shared" ca="1" si="27"/>
        <v>28670</v>
      </c>
      <c r="T74" s="224">
        <f t="shared" ca="1" si="24"/>
        <v>6.7784187630035939</v>
      </c>
      <c r="U74" s="224">
        <f t="shared" ca="1" si="25"/>
        <v>6.7784187630035939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468">
        <f ca="1">L76+L77</f>
        <v>90000</v>
      </c>
      <c r="M75" s="224">
        <f ca="1">M76+M77</f>
        <v>90000</v>
      </c>
      <c r="N75" s="224">
        <f ca="1">N76+N77</f>
        <v>28247</v>
      </c>
      <c r="O75" s="224">
        <f t="shared" ca="1" si="22"/>
        <v>31.385555555555555</v>
      </c>
      <c r="P75" s="224">
        <f t="shared" ca="1" si="23"/>
        <v>31.385555555555555</v>
      </c>
      <c r="Q75" s="224">
        <f ca="1">Q76+Q77</f>
        <v>422960</v>
      </c>
      <c r="R75" s="224">
        <f ca="1">R76+R77</f>
        <v>422960</v>
      </c>
      <c r="S75" s="224">
        <f ca="1">S76+S77</f>
        <v>28670</v>
      </c>
      <c r="T75" s="224">
        <f t="shared" ca="1" si="24"/>
        <v>6.7784187630035939</v>
      </c>
      <c r="U75" s="224">
        <f t="shared" ca="1" si="25"/>
        <v>6.7784187630035939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469">
        <v>0</v>
      </c>
      <c r="M76" s="83">
        <v>0</v>
      </c>
      <c r="N76" s="83">
        <v>0</v>
      </c>
      <c r="O76" s="83">
        <f t="shared" si="22"/>
        <v>0</v>
      </c>
      <c r="P76" s="83">
        <f t="shared" si="23"/>
        <v>0</v>
      </c>
      <c r="Q76" s="83">
        <v>0</v>
      </c>
      <c r="R76" s="83">
        <v>0</v>
      </c>
      <c r="S76" s="83">
        <v>0</v>
      </c>
      <c r="T76" s="83">
        <f t="shared" si="24"/>
        <v>0</v>
      </c>
      <c r="U76" s="83">
        <f t="shared" si="25"/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468">
        <f ca="1">IFERROR(__xludf.DUMMYFUNCTION("IMPORTRANGE(""https://docs.google.com/spreadsheets/d/1-uDff_7J0KD5mKrp0Vvzr7lt3OU09vwQwhkpOPPYv2Y/edit?usp=sharing"",""งบพรบ!AM23"")"),90000)</f>
        <v>90000</v>
      </c>
      <c r="M77" s="224">
        <f ca="1">IFERROR(__xludf.DUMMYFUNCTION("IMPORTRANGE(""https://docs.google.com/spreadsheets/d/1-uDff_7J0KD5mKrp0Vvzr7lt3OU09vwQwhkpOPPYv2Y/edit?usp=sharing"",""งบพรบ!AR23"")"),90000)</f>
        <v>90000</v>
      </c>
      <c r="N77" s="224">
        <f ca="1">IFERROR(__xludf.DUMMYFUNCTION("IMPORTRANGE(""https://docs.google.com/spreadsheets/d/1-uDff_7J0KD5mKrp0Vvzr7lt3OU09vwQwhkpOPPYv2Y/edit?usp=sharing"",""งบพรบ!AT23"")"),28247)</f>
        <v>28247</v>
      </c>
      <c r="O77" s="224">
        <f t="shared" ca="1" si="22"/>
        <v>31.385555555555555</v>
      </c>
      <c r="P77" s="224">
        <f t="shared" ca="1" si="23"/>
        <v>31.385555555555555</v>
      </c>
      <c r="Q77" s="224">
        <f ca="1">IFERROR(__xludf.DUMMYFUNCTION("IMPORTRANGE(""https://docs.google.com/spreadsheets/d/1ItG2mGa2ceCfYo0BwxsXqNm01IGEUdYcSSLTEv9YCik/edit?usp=sharing"",""เบิกจ่ายกองทุน!AS23"")"),422960)</f>
        <v>422960</v>
      </c>
      <c r="R77" s="224">
        <f ca="1">IFERROR(__xludf.DUMMYFUNCTION("IMPORTRANGE(""https://docs.google.com/spreadsheets/d/1ItG2mGa2ceCfYo0BwxsXqNm01IGEUdYcSSLTEv9YCik/edit?usp=sharing"",""เบิกจ่ายกองทุน!AT23"")"),422960)</f>
        <v>422960</v>
      </c>
      <c r="S77" s="224">
        <f ca="1">IFERROR(__xludf.DUMMYFUNCTION("IMPORTRANGE(""https://docs.google.com/spreadsheets/d/1ItG2mGa2ceCfYo0BwxsXqNm01IGEUdYcSSLTEv9YCik/edit?usp=sharing"",""เบิกจ่ายกองทุน!AU23"")"),28670)</f>
        <v>28670</v>
      </c>
      <c r="T77" s="224">
        <f t="shared" ca="1" si="24"/>
        <v>6.7784187630035939</v>
      </c>
      <c r="U77" s="224">
        <f t="shared" ca="1" si="25"/>
        <v>6.7784187630035939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468">
        <f ca="1">L79+L80</f>
        <v>0</v>
      </c>
      <c r="M78" s="224">
        <f ca="1">M79+M80</f>
        <v>0</v>
      </c>
      <c r="N78" s="224">
        <f ca="1">N79+N80</f>
        <v>0</v>
      </c>
      <c r="O78" s="224">
        <f t="shared" ca="1" si="22"/>
        <v>0</v>
      </c>
      <c r="P78" s="224">
        <f t="shared" ca="1" si="23"/>
        <v>0</v>
      </c>
      <c r="Q78" s="224">
        <f>Q79+Q80</f>
        <v>0</v>
      </c>
      <c r="R78" s="224">
        <f>R79+R80</f>
        <v>0</v>
      </c>
      <c r="S78" s="224">
        <f>S79+S80</f>
        <v>0</v>
      </c>
      <c r="T78" s="224">
        <f t="shared" si="24"/>
        <v>0</v>
      </c>
      <c r="U78" s="224">
        <f t="shared" si="25"/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469">
        <v>0</v>
      </c>
      <c r="M79" s="224">
        <v>0</v>
      </c>
      <c r="N79" s="224">
        <v>0</v>
      </c>
      <c r="O79" s="83">
        <f t="shared" si="22"/>
        <v>0</v>
      </c>
      <c r="P79" s="83">
        <f t="shared" si="23"/>
        <v>0</v>
      </c>
      <c r="Q79" s="83">
        <v>0</v>
      </c>
      <c r="R79" s="224">
        <v>0</v>
      </c>
      <c r="S79" s="224">
        <v>0</v>
      </c>
      <c r="T79" s="83">
        <f t="shared" si="24"/>
        <v>0</v>
      </c>
      <c r="U79" s="83">
        <f t="shared" si="25"/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468">
        <f ca="1">IFERROR(__xludf.DUMMYFUNCTION("IMPORTRANGE(""https://docs.google.com/spreadsheets/d/1-uDff_7J0KD5mKrp0Vvzr7lt3OU09vwQwhkpOPPYv2Y/edit?usp=sharing"",""งบพรบ!AP23"")"),0)</f>
        <v>0</v>
      </c>
      <c r="M80" s="224">
        <f ca="1">IFERROR(__xludf.DUMMYFUNCTION("IMPORTRANGE(""https://docs.google.com/spreadsheets/d/1-uDff_7J0KD5mKrp0Vvzr7lt3OU09vwQwhkpOPPYv2Y/edit?usp=sharing"",""งบพรบ!AS23"")"),0)</f>
        <v>0</v>
      </c>
      <c r="N80" s="224">
        <f ca="1">IFERROR(__xludf.DUMMYFUNCTION("IMPORTRANGE(""https://docs.google.com/spreadsheets/d/1-uDff_7J0KD5mKrp0Vvzr7lt3OU09vwQwhkpOPPYv2Y/edit?usp=sharing"",""งบพรบ!AU23"")"),0)</f>
        <v>0</v>
      </c>
      <c r="O80" s="224">
        <f t="shared" ca="1" si="22"/>
        <v>0</v>
      </c>
      <c r="P80" s="224">
        <f t="shared" ca="1" si="23"/>
        <v>0</v>
      </c>
      <c r="Q80" s="224">
        <v>0</v>
      </c>
      <c r="R80" s="224">
        <v>0</v>
      </c>
      <c r="S80" s="224">
        <v>0</v>
      </c>
      <c r="T80" s="224">
        <f t="shared" si="24"/>
        <v>0</v>
      </c>
      <c r="U80" s="224">
        <f t="shared" si="25"/>
        <v>0</v>
      </c>
    </row>
    <row r="81" spans="1:21" ht="19.5" x14ac:dyDescent="0.3">
      <c r="A81" s="138"/>
      <c r="B81" s="139"/>
      <c r="C81" s="129" t="s">
        <v>18</v>
      </c>
      <c r="D81" s="498" t="s">
        <v>38</v>
      </c>
      <c r="E81" s="141"/>
      <c r="F81" s="141"/>
      <c r="G81" s="142"/>
      <c r="H81" s="143"/>
      <c r="I81" s="135"/>
      <c r="J81" s="135"/>
      <c r="K81" s="136"/>
      <c r="L81" s="4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ca="1">I84+I86+I88</f>
        <v>1</v>
      </c>
      <c r="J82" s="328">
        <f>J84+J86+J88</f>
        <v>1</v>
      </c>
      <c r="K82" s="582">
        <f t="shared" ref="K82:K90" ca="1" si="28">IF(I82&gt;0,J82*100/I82,0)</f>
        <v>100</v>
      </c>
      <c r="L82" s="4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ca="1">I85+I87+I89</f>
        <v>33</v>
      </c>
      <c r="J83" s="328">
        <f>J85+J87+J89</f>
        <v>33</v>
      </c>
      <c r="K83" s="582">
        <f t="shared" ca="1" si="28"/>
        <v>100</v>
      </c>
      <c r="L83" s="4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581">
        <f ca="1">IFERROR(__xludf.DUMMYFUNCTION("IMPORTRANGE(""https://docs.google.com/spreadsheets/d/1eHaY18a8A9IcSdp1K8H6x8fbOy06t2VsZHhMHf-1x7Y/edit?usp=sharing"",""แผน!H23"")"),1)</f>
        <v>1</v>
      </c>
      <c r="J84" s="466">
        <v>1</v>
      </c>
      <c r="K84" s="497">
        <f t="shared" ca="1" si="28"/>
        <v>100</v>
      </c>
      <c r="L84" s="4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581">
        <f ca="1">IFERROR(__xludf.DUMMYFUNCTION("IMPORTRANGE(""https://docs.google.com/spreadsheets/d/1eHaY18a8A9IcSdp1K8H6x8fbOy06t2VsZHhMHf-1x7Y/edit?usp=sharing"",""แผน!I23"")"),33)</f>
        <v>33</v>
      </c>
      <c r="J85" s="466">
        <v>33</v>
      </c>
      <c r="K85" s="497">
        <f t="shared" ca="1" si="28"/>
        <v>100</v>
      </c>
      <c r="L85" s="4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581">
        <f ca="1">IFERROR(__xludf.DUMMYFUNCTION("IMPORTRANGE(""https://docs.google.com/spreadsheets/d/1eHaY18a8A9IcSdp1K8H6x8fbOy06t2VsZHhMHf-1x7Y/edit?usp=sharing"",""แผน!F23"")"),0)</f>
        <v>0</v>
      </c>
      <c r="J86" s="466">
        <v>0</v>
      </c>
      <c r="K86" s="497">
        <f t="shared" ca="1" si="28"/>
        <v>0</v>
      </c>
      <c r="L86" s="4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581">
        <f ca="1">IFERROR(__xludf.DUMMYFUNCTION("IMPORTRANGE(""https://docs.google.com/spreadsheets/d/1eHaY18a8A9IcSdp1K8H6x8fbOy06t2VsZHhMHf-1x7Y/edit?usp=sharing"",""แผน!G23"")"),0)</f>
        <v>0</v>
      </c>
      <c r="J87" s="466">
        <v>0</v>
      </c>
      <c r="K87" s="497">
        <f t="shared" ca="1" si="28"/>
        <v>0</v>
      </c>
      <c r="L87" s="4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581">
        <f ca="1">IFERROR(__xludf.DUMMYFUNCTION("IMPORTRANGE(""https://docs.google.com/spreadsheets/d/1eHaY18a8A9IcSdp1K8H6x8fbOy06t2VsZHhMHf-1x7Y/edit?usp=sharing"",""แผน!D23"")"),0)</f>
        <v>0</v>
      </c>
      <c r="J88" s="466">
        <v>0</v>
      </c>
      <c r="K88" s="497">
        <f t="shared" ca="1" si="28"/>
        <v>0</v>
      </c>
      <c r="L88" s="4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581">
        <f ca="1">IFERROR(__xludf.DUMMYFUNCTION("IMPORTRANGE(""https://docs.google.com/spreadsheets/d/1eHaY18a8A9IcSdp1K8H6x8fbOy06t2VsZHhMHf-1x7Y/edit?usp=sharing"",""แผน!E23"")"),0)</f>
        <v>0</v>
      </c>
      <c r="J89" s="466">
        <v>0</v>
      </c>
      <c r="K89" s="497">
        <f t="shared" ca="1" si="28"/>
        <v>0</v>
      </c>
      <c r="L89" s="4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581">
        <f ca="1">IFERROR(__xludf.DUMMYFUNCTION("IMPORTRANGE(""https://docs.google.com/spreadsheets/d/1eHaY18a8A9IcSdp1K8H6x8fbOy06t2VsZHhMHf-1x7Y/edit?usp=sharing"",""แผน!J23"")"),1)</f>
        <v>1</v>
      </c>
      <c r="J90" s="466">
        <v>0</v>
      </c>
      <c r="K90" s="497">
        <f t="shared" ca="1" si="28"/>
        <v>0</v>
      </c>
      <c r="L90" s="4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7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665">
        <f ca="1">I108</f>
        <v>60</v>
      </c>
      <c r="J92" s="665">
        <f>J108</f>
        <v>0</v>
      </c>
      <c r="K92" s="664">
        <f ca="1">IF(I92&gt;0,J92*100/I92,0)</f>
        <v>0</v>
      </c>
      <c r="L92" s="510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665">
        <f ca="1">I109</f>
        <v>20</v>
      </c>
      <c r="J93" s="665">
        <f>J109</f>
        <v>0</v>
      </c>
      <c r="K93" s="664">
        <f ca="1">IF(I93&gt;0,J93*100/I93,0)</f>
        <v>0</v>
      </c>
      <c r="L93" s="510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129" t="s">
        <v>18</v>
      </c>
      <c r="D94" s="472" t="s">
        <v>19</v>
      </c>
      <c r="E94" s="40"/>
      <c r="F94" s="40"/>
      <c r="G94" s="42"/>
      <c r="H94" s="131" t="s">
        <v>14</v>
      </c>
      <c r="I94" s="44"/>
      <c r="J94" s="44"/>
      <c r="K94" s="45"/>
      <c r="L94" s="471">
        <f ca="1">L95+L96</f>
        <v>0</v>
      </c>
      <c r="M94" s="470">
        <f ca="1">M95+M96</f>
        <v>39000</v>
      </c>
      <c r="N94" s="470">
        <f ca="1">N95+N96</f>
        <v>0</v>
      </c>
      <c r="O94" s="470">
        <f t="shared" ref="O94:O102" ca="1" si="29">IF(L94&gt;0,N94*100/L94,0)</f>
        <v>0</v>
      </c>
      <c r="P94" s="470">
        <f t="shared" ref="P94:P102" ca="1" si="30">IF(M94&gt;0,N94*100/M94,0)</f>
        <v>0</v>
      </c>
      <c r="Q94" s="470">
        <f ca="1">Q95+Q96</f>
        <v>129840</v>
      </c>
      <c r="R94" s="470">
        <f ca="1">R95+R96</f>
        <v>129840</v>
      </c>
      <c r="S94" s="470">
        <f ca="1">S95+S96</f>
        <v>18110</v>
      </c>
      <c r="T94" s="470">
        <f t="shared" ref="T94:T102" ca="1" si="31">IF(Q94&gt;0,S94*100/Q94,0)</f>
        <v>13.947935921133704</v>
      </c>
      <c r="U94" s="470">
        <f t="shared" ref="U94:U102" ca="1" si="32">IF(R94&gt;0,S94*100/R94,0)</f>
        <v>13.947935921133704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469">
        <f t="shared" ref="L95:N96" si="33">L98+L101</f>
        <v>0</v>
      </c>
      <c r="M95" s="83">
        <f t="shared" si="33"/>
        <v>0</v>
      </c>
      <c r="N95" s="83">
        <f t="shared" si="33"/>
        <v>0</v>
      </c>
      <c r="O95" s="83">
        <f t="shared" si="29"/>
        <v>0</v>
      </c>
      <c r="P95" s="83">
        <f t="shared" si="30"/>
        <v>0</v>
      </c>
      <c r="Q95" s="83">
        <f t="shared" ref="Q95:S96" si="34">Q98+Q101</f>
        <v>0</v>
      </c>
      <c r="R95" s="83">
        <f t="shared" si="34"/>
        <v>0</v>
      </c>
      <c r="S95" s="83">
        <f t="shared" si="34"/>
        <v>0</v>
      </c>
      <c r="T95" s="83">
        <f t="shared" si="31"/>
        <v>0</v>
      </c>
      <c r="U95" s="83">
        <f t="shared" si="32"/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468">
        <f t="shared" ca="1" si="33"/>
        <v>0</v>
      </c>
      <c r="M96" s="224">
        <f t="shared" ca="1" si="33"/>
        <v>39000</v>
      </c>
      <c r="N96" s="224">
        <f t="shared" ca="1" si="33"/>
        <v>0</v>
      </c>
      <c r="O96" s="224">
        <f t="shared" ca="1" si="29"/>
        <v>0</v>
      </c>
      <c r="P96" s="224">
        <f t="shared" ca="1" si="30"/>
        <v>0</v>
      </c>
      <c r="Q96" s="224">
        <f t="shared" ca="1" si="34"/>
        <v>129840</v>
      </c>
      <c r="R96" s="224">
        <f t="shared" ca="1" si="34"/>
        <v>129840</v>
      </c>
      <c r="S96" s="224">
        <f t="shared" ca="1" si="34"/>
        <v>18110</v>
      </c>
      <c r="T96" s="224">
        <f t="shared" ca="1" si="31"/>
        <v>13.947935921133704</v>
      </c>
      <c r="U96" s="224">
        <f t="shared" ca="1" si="32"/>
        <v>13.947935921133704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468">
        <f ca="1">L98+L99</f>
        <v>0</v>
      </c>
      <c r="M97" s="224">
        <f ca="1">M98+M99</f>
        <v>39000</v>
      </c>
      <c r="N97" s="224">
        <f ca="1">N98+N99</f>
        <v>0</v>
      </c>
      <c r="O97" s="224">
        <f t="shared" ca="1" si="29"/>
        <v>0</v>
      </c>
      <c r="P97" s="224">
        <f t="shared" ca="1" si="30"/>
        <v>0</v>
      </c>
      <c r="Q97" s="224">
        <f ca="1">Q98+Q99</f>
        <v>129840</v>
      </c>
      <c r="R97" s="224">
        <f ca="1">R98+R99</f>
        <v>129840</v>
      </c>
      <c r="S97" s="224">
        <f ca="1">S98+S99</f>
        <v>18110</v>
      </c>
      <c r="T97" s="224">
        <f t="shared" ca="1" si="31"/>
        <v>13.947935921133704</v>
      </c>
      <c r="U97" s="224">
        <f t="shared" ca="1" si="32"/>
        <v>13.947935921133704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469">
        <v>0</v>
      </c>
      <c r="M98" s="83">
        <v>0</v>
      </c>
      <c r="N98" s="83">
        <v>0</v>
      </c>
      <c r="O98" s="83">
        <f t="shared" si="29"/>
        <v>0</v>
      </c>
      <c r="P98" s="83">
        <f t="shared" si="30"/>
        <v>0</v>
      </c>
      <c r="Q98" s="83">
        <v>0</v>
      </c>
      <c r="R98" s="83">
        <v>0</v>
      </c>
      <c r="S98" s="83">
        <v>0</v>
      </c>
      <c r="T98" s="83">
        <f t="shared" si="31"/>
        <v>0</v>
      </c>
      <c r="U98" s="83">
        <f t="shared" si="32"/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468">
        <f ca="1">IFERROR(__xludf.DUMMYFUNCTION("IMPORTRANGE(""https://docs.google.com/spreadsheets/d/1-uDff_7J0KD5mKrp0Vvzr7lt3OU09vwQwhkpOPPYv2Y/edit?usp=sharing"",""งบพรบ!AW23"")"),0)</f>
        <v>0</v>
      </c>
      <c r="M99" s="224">
        <f ca="1">IFERROR(__xludf.DUMMYFUNCTION("IMPORTRANGE(""https://docs.google.com/spreadsheets/d/1-uDff_7J0KD5mKrp0Vvzr7lt3OU09vwQwhkpOPPYv2Y/edit?usp=sharing"",""งบพรบ!BB23"")"),39000)</f>
        <v>39000</v>
      </c>
      <c r="N99" s="224">
        <f ca="1">IFERROR(__xludf.DUMMYFUNCTION("IMPORTRANGE(""https://docs.google.com/spreadsheets/d/1-uDff_7J0KD5mKrp0Vvzr7lt3OU09vwQwhkpOPPYv2Y/edit?usp=sharing"",""งบพรบ!BD23"")"),0)</f>
        <v>0</v>
      </c>
      <c r="O99" s="224">
        <f t="shared" ca="1" si="29"/>
        <v>0</v>
      </c>
      <c r="P99" s="224">
        <f t="shared" ca="1" si="30"/>
        <v>0</v>
      </c>
      <c r="Q99" s="224">
        <f ca="1">IFERROR(__xludf.DUMMYFUNCTION("IMPORTRANGE(""https://docs.google.com/spreadsheets/d/1ItG2mGa2ceCfYo0BwxsXqNm01IGEUdYcSSLTEv9YCik/edit?usp=sharing"",""เบิกจ่ายกองทุน!AD23"")"),129840)</f>
        <v>129840</v>
      </c>
      <c r="R99" s="224">
        <f ca="1">IFERROR(__xludf.DUMMYFUNCTION("IMPORTRANGE(""https://docs.google.com/spreadsheets/d/1ItG2mGa2ceCfYo0BwxsXqNm01IGEUdYcSSLTEv9YCik/edit?usp=sharing"",""เบิกจ่ายกองทุน!AE23"")"),129840)</f>
        <v>129840</v>
      </c>
      <c r="S99" s="224">
        <f ca="1">IFERROR(__xludf.DUMMYFUNCTION("IMPORTRANGE(""https://docs.google.com/spreadsheets/d/1ItG2mGa2ceCfYo0BwxsXqNm01IGEUdYcSSLTEv9YCik/edit?usp=sharing"",""เบิกจ่ายกองทุน!AF23"")"),18110)</f>
        <v>18110</v>
      </c>
      <c r="T99" s="224">
        <f t="shared" ca="1" si="31"/>
        <v>13.947935921133704</v>
      </c>
      <c r="U99" s="224">
        <f t="shared" ca="1" si="32"/>
        <v>13.947935921133704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468">
        <f ca="1">L101+L102</f>
        <v>0</v>
      </c>
      <c r="M100" s="224">
        <f ca="1">M101+M102</f>
        <v>0</v>
      </c>
      <c r="N100" s="224">
        <f ca="1">N101+N102</f>
        <v>0</v>
      </c>
      <c r="O100" s="224">
        <f t="shared" ca="1" si="29"/>
        <v>0</v>
      </c>
      <c r="P100" s="224">
        <f t="shared" ca="1" si="30"/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 t="shared" si="31"/>
        <v>0</v>
      </c>
      <c r="U100" s="224">
        <f t="shared" si="32"/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469">
        <v>0</v>
      </c>
      <c r="M101" s="83">
        <v>0</v>
      </c>
      <c r="N101" s="83">
        <v>0</v>
      </c>
      <c r="O101" s="83">
        <f t="shared" si="29"/>
        <v>0</v>
      </c>
      <c r="P101" s="83">
        <f t="shared" si="30"/>
        <v>0</v>
      </c>
      <c r="Q101" s="83">
        <v>0</v>
      </c>
      <c r="R101" s="83">
        <v>0</v>
      </c>
      <c r="S101" s="83">
        <v>0</v>
      </c>
      <c r="T101" s="83">
        <f t="shared" si="31"/>
        <v>0</v>
      </c>
      <c r="U101" s="83">
        <f t="shared" si="32"/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468">
        <f ca="1">IFERROR(__xludf.DUMMYFUNCTION("IMPORTRANGE(""https://docs.google.com/spreadsheets/d/1-uDff_7J0KD5mKrp0Vvzr7lt3OU09vwQwhkpOPPYv2Y/edit?usp=sharing"",""งบพรบ!AZ23"")"),0)</f>
        <v>0</v>
      </c>
      <c r="M102" s="224">
        <f ca="1">IFERROR(__xludf.DUMMYFUNCTION("IMPORTRANGE(""https://docs.google.com/spreadsheets/d/1-uDff_7J0KD5mKrp0Vvzr7lt3OU09vwQwhkpOPPYv2Y/edit?usp=sharing"",""งบพรบ!BC23"")"),0)</f>
        <v>0</v>
      </c>
      <c r="N102" s="224">
        <f ca="1">IFERROR(__xludf.DUMMYFUNCTION("IMPORTRANGE(""https://docs.google.com/spreadsheets/d/1-uDff_7J0KD5mKrp0Vvzr7lt3OU09vwQwhkpOPPYv2Y/edit?usp=sharing"",""งบพรบ!BE23"")"),0)</f>
        <v>0</v>
      </c>
      <c r="O102" s="224">
        <f t="shared" ca="1" si="29"/>
        <v>0</v>
      </c>
      <c r="P102" s="224">
        <f t="shared" ca="1" si="30"/>
        <v>0</v>
      </c>
      <c r="Q102" s="224">
        <v>0</v>
      </c>
      <c r="R102" s="224">
        <v>0</v>
      </c>
      <c r="S102" s="224">
        <v>0</v>
      </c>
      <c r="T102" s="224">
        <f t="shared" si="31"/>
        <v>0</v>
      </c>
      <c r="U102" s="224">
        <f t="shared" si="32"/>
        <v>0</v>
      </c>
    </row>
    <row r="103" spans="1:21" ht="19.5" x14ac:dyDescent="0.3">
      <c r="A103" s="138"/>
      <c r="B103" s="139"/>
      <c r="C103" s="129" t="s">
        <v>18</v>
      </c>
      <c r="D103" s="498" t="s">
        <v>38</v>
      </c>
      <c r="E103" s="141"/>
      <c r="F103" s="141"/>
      <c r="G103" s="142"/>
      <c r="H103" s="143"/>
      <c r="I103" s="135"/>
      <c r="J103" s="44"/>
      <c r="K103" s="45"/>
      <c r="L103" s="465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571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571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571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465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IFERROR(__xludf.DUMMYFUNCTION("IMPORTRANGE(""https://docs.google.com/spreadsheets/d/1eHaY18a8A9IcSdp1K8H6x8fbOy06t2VsZHhMHf-1x7Y/edit?usp=sharing"",""แผน!N23"")"),60)</f>
        <v>60</v>
      </c>
      <c r="J108" s="466">
        <v>0</v>
      </c>
      <c r="K108" s="224">
        <f ca="1">IF(I108&gt;0,J108*100/I108,0)</f>
        <v>0</v>
      </c>
      <c r="L108" s="465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IFERROR(__xludf.DUMMYFUNCTION("IMPORTRANGE(""https://docs.google.com/spreadsheets/d/1eHaY18a8A9IcSdp1K8H6x8fbOy06t2VsZHhMHf-1x7Y/edit?usp=sharing"",""แผน!O23"")"),20)</f>
        <v>20</v>
      </c>
      <c r="J109" s="466">
        <v>0</v>
      </c>
      <c r="K109" s="224">
        <f ca="1">IF(I109&gt;0,J109*100/I109,0)</f>
        <v>0</v>
      </c>
      <c r="L109" s="465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571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571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571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749"/>
      <c r="B113" s="438"/>
      <c r="C113" s="438"/>
      <c r="D113" s="748" t="s">
        <v>50</v>
      </c>
      <c r="E113" s="440"/>
      <c r="F113" s="440"/>
      <c r="G113" s="441"/>
      <c r="H113" s="747" t="s">
        <v>46</v>
      </c>
      <c r="I113" s="746">
        <f ca="1">IFERROR(__xludf.DUMMYFUNCTION("IMPORTRANGE(""https://docs.google.com/spreadsheets/d/1eHaY18a8A9IcSdp1K8H6x8fbOy06t2VsZHhMHf-1x7Y/edit?usp=sharing"",""แผน!N23"")"),60)</f>
        <v>60</v>
      </c>
      <c r="J113" s="444">
        <v>0</v>
      </c>
      <c r="K113" s="591">
        <f ca="1">IF(I113&gt;0,J113*100/I113,0)</f>
        <v>0</v>
      </c>
      <c r="L113" s="656"/>
      <c r="M113" s="656"/>
      <c r="N113" s="656"/>
      <c r="O113" s="445"/>
      <c r="P113" s="445"/>
      <c r="Q113" s="656"/>
      <c r="R113" s="656"/>
      <c r="S113" s="656"/>
      <c r="T113" s="445"/>
      <c r="U113" s="445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581">
        <f ca="1">IFERROR(__xludf.DUMMYFUNCTION("IMPORTRANGE(""https://docs.google.com/spreadsheets/d/1eHaY18a8A9IcSdp1K8H6x8fbOy06t2VsZHhMHf-1x7Y/edit?usp=sharing"",""แผน!O23"")"),20)</f>
        <v>20</v>
      </c>
      <c r="J114" s="466">
        <v>0</v>
      </c>
      <c r="K114" s="224">
        <f ca="1">IF(I114&gt;0,J114*100/I114,0)</f>
        <v>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671" t="s">
        <v>51</v>
      </c>
      <c r="B115" s="668"/>
      <c r="C115" s="670"/>
      <c r="D115" s="669"/>
      <c r="E115" s="669"/>
      <c r="F115" s="669"/>
      <c r="G115" s="669"/>
      <c r="H115" s="668"/>
      <c r="I115" s="667"/>
      <c r="J115" s="667"/>
      <c r="K115" s="66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665">
        <f ca="1">I127</f>
        <v>20</v>
      </c>
      <c r="J116" s="665">
        <f>J127</f>
        <v>20</v>
      </c>
      <c r="K116" s="664">
        <f ca="1">IF(I116&gt;0,J116*100/I116,0)</f>
        <v>100</v>
      </c>
      <c r="L116" s="510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472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471">
        <f ca="1">L118+L119</f>
        <v>0</v>
      </c>
      <c r="M117" s="470">
        <f ca="1">M118+M119</f>
        <v>0</v>
      </c>
      <c r="N117" s="470">
        <f ca="1">N118+N119</f>
        <v>0</v>
      </c>
      <c r="O117" s="470">
        <f t="shared" ref="O117:O125" ca="1" si="35">IF(L117&gt;0,N117*100/L117,0)</f>
        <v>0</v>
      </c>
      <c r="P117" s="470">
        <f t="shared" ref="P117:P125" ca="1" si="36">IF(M117&gt;0,N117*100/M117,0)</f>
        <v>0</v>
      </c>
      <c r="Q117" s="470">
        <f ca="1">Q118+Q119</f>
        <v>209360</v>
      </c>
      <c r="R117" s="470">
        <f ca="1">R118+R119</f>
        <v>209360</v>
      </c>
      <c r="S117" s="470">
        <f ca="1">S118+S119</f>
        <v>127050.5</v>
      </c>
      <c r="T117" s="470">
        <f t="shared" ref="T117:T125" ca="1" si="37">IF(Q117&gt;0,S117*100/Q117,0)</f>
        <v>60.685183416125334</v>
      </c>
      <c r="U117" s="470">
        <f t="shared" ref="U117:U125" ca="1" si="38">IF(R117&gt;0,S117*100/R117,0)</f>
        <v>60.685183416125334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469">
        <f t="shared" ref="L118:N119" si="39">L121+L124</f>
        <v>0</v>
      </c>
      <c r="M118" s="83">
        <f t="shared" si="39"/>
        <v>0</v>
      </c>
      <c r="N118" s="83">
        <f t="shared" si="39"/>
        <v>0</v>
      </c>
      <c r="O118" s="83">
        <f t="shared" si="35"/>
        <v>0</v>
      </c>
      <c r="P118" s="83">
        <f t="shared" si="36"/>
        <v>0</v>
      </c>
      <c r="Q118" s="83">
        <f t="shared" ref="Q118:S119" si="40">Q121+Q124</f>
        <v>0</v>
      </c>
      <c r="R118" s="83">
        <f t="shared" si="40"/>
        <v>0</v>
      </c>
      <c r="S118" s="83">
        <f t="shared" si="40"/>
        <v>0</v>
      </c>
      <c r="T118" s="83">
        <f t="shared" si="37"/>
        <v>0</v>
      </c>
      <c r="U118" s="83">
        <f t="shared" si="38"/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468">
        <f t="shared" ca="1" si="39"/>
        <v>0</v>
      </c>
      <c r="M119" s="224">
        <f t="shared" ca="1" si="39"/>
        <v>0</v>
      </c>
      <c r="N119" s="224">
        <f t="shared" ca="1" si="39"/>
        <v>0</v>
      </c>
      <c r="O119" s="224">
        <f t="shared" ca="1" si="35"/>
        <v>0</v>
      </c>
      <c r="P119" s="224">
        <f t="shared" ca="1" si="36"/>
        <v>0</v>
      </c>
      <c r="Q119" s="224">
        <f t="shared" ca="1" si="40"/>
        <v>209360</v>
      </c>
      <c r="R119" s="224">
        <f t="shared" ca="1" si="40"/>
        <v>209360</v>
      </c>
      <c r="S119" s="224">
        <f t="shared" ca="1" si="40"/>
        <v>127050.5</v>
      </c>
      <c r="T119" s="224">
        <f t="shared" ca="1" si="37"/>
        <v>60.685183416125334</v>
      </c>
      <c r="U119" s="224">
        <f t="shared" ca="1" si="38"/>
        <v>60.685183416125334</v>
      </c>
    </row>
    <row r="120" spans="1:21" ht="18.75" x14ac:dyDescent="0.25">
      <c r="A120" s="128"/>
      <c r="B120" s="158"/>
      <c r="C120" s="174"/>
      <c r="D120" s="53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468">
        <f ca="1">L121+L122</f>
        <v>0</v>
      </c>
      <c r="M120" s="224">
        <f ca="1">M121+M122</f>
        <v>0</v>
      </c>
      <c r="N120" s="224">
        <f ca="1">N121+N122</f>
        <v>0</v>
      </c>
      <c r="O120" s="224">
        <f t="shared" ca="1" si="35"/>
        <v>0</v>
      </c>
      <c r="P120" s="224">
        <f t="shared" ca="1" si="36"/>
        <v>0</v>
      </c>
      <c r="Q120" s="224">
        <f ca="1">Q121+Q122</f>
        <v>209360</v>
      </c>
      <c r="R120" s="224">
        <f ca="1">R121+R122</f>
        <v>209360</v>
      </c>
      <c r="S120" s="224">
        <f ca="1">S121+S122</f>
        <v>127050.5</v>
      </c>
      <c r="T120" s="224">
        <f t="shared" ca="1" si="37"/>
        <v>60.685183416125334</v>
      </c>
      <c r="U120" s="224">
        <f t="shared" ca="1" si="38"/>
        <v>60.685183416125334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469">
        <v>0</v>
      </c>
      <c r="M121" s="83">
        <v>0</v>
      </c>
      <c r="N121" s="83">
        <v>0</v>
      </c>
      <c r="O121" s="83">
        <f t="shared" si="35"/>
        <v>0</v>
      </c>
      <c r="P121" s="83">
        <f t="shared" si="36"/>
        <v>0</v>
      </c>
      <c r="Q121" s="83">
        <v>0</v>
      </c>
      <c r="R121" s="83">
        <v>0</v>
      </c>
      <c r="S121" s="83">
        <v>0</v>
      </c>
      <c r="T121" s="83">
        <f t="shared" si="37"/>
        <v>0</v>
      </c>
      <c r="U121" s="83">
        <f t="shared" si="38"/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468">
        <f ca="1">IFERROR(__xludf.DUMMYFUNCTION("IMPORTRANGE(""https://docs.google.com/spreadsheets/d/1-uDff_7J0KD5mKrp0Vvzr7lt3OU09vwQwhkpOPPYv2Y/edit?usp=sharing"",""งบพรบ!BG23"")"),0)</f>
        <v>0</v>
      </c>
      <c r="M122" s="224">
        <f ca="1">IFERROR(__xludf.DUMMYFUNCTION("IMPORTRANGE(""https://docs.google.com/spreadsheets/d/1-uDff_7J0KD5mKrp0Vvzr7lt3OU09vwQwhkpOPPYv2Y/edit?usp=sharing"",""งบพรบ!BL23"")"),0)</f>
        <v>0</v>
      </c>
      <c r="N122" s="224">
        <f ca="1">IFERROR(__xludf.DUMMYFUNCTION("IMPORTRANGE(""https://docs.google.com/spreadsheets/d/1-uDff_7J0KD5mKrp0Vvzr7lt3OU09vwQwhkpOPPYv2Y/edit?usp=sharing"",""งบพรบ!BN23"")"),0)</f>
        <v>0</v>
      </c>
      <c r="O122" s="224">
        <f t="shared" ca="1" si="35"/>
        <v>0</v>
      </c>
      <c r="P122" s="224">
        <f t="shared" ca="1" si="36"/>
        <v>0</v>
      </c>
      <c r="Q122" s="224">
        <f ca="1">IFERROR(__xludf.DUMMYFUNCTION("IMPORTRANGE(""https://docs.google.com/spreadsheets/d/1ItG2mGa2ceCfYo0BwxsXqNm01IGEUdYcSSLTEv9YCik/edit?usp=sharing"",""เบิกจ่ายกองทุน!R23"")"),209360)</f>
        <v>209360</v>
      </c>
      <c r="R122" s="224">
        <f ca="1">IFERROR(__xludf.DUMMYFUNCTION("IMPORTRANGE(""https://docs.google.com/spreadsheets/d/1ItG2mGa2ceCfYo0BwxsXqNm01IGEUdYcSSLTEv9YCik/edit?usp=sharing"",""เบิกจ่ายกองทุน!S23"")"),209360)</f>
        <v>209360</v>
      </c>
      <c r="S122" s="224">
        <f ca="1">IFERROR(__xludf.DUMMYFUNCTION("IMPORTRANGE(""https://docs.google.com/spreadsheets/d/1ItG2mGa2ceCfYo0BwxsXqNm01IGEUdYcSSLTEv9YCik/edit?usp=sharing"",""เบิกจ่ายกองทุน!T23"")"),127050.5)</f>
        <v>127050.5</v>
      </c>
      <c r="T122" s="224">
        <f t="shared" ca="1" si="37"/>
        <v>60.685183416125334</v>
      </c>
      <c r="U122" s="224">
        <f t="shared" ca="1" si="38"/>
        <v>60.685183416125334</v>
      </c>
    </row>
    <row r="123" spans="1:21" ht="18.75" x14ac:dyDescent="0.25">
      <c r="A123" s="128"/>
      <c r="B123" s="40"/>
      <c r="C123" s="174"/>
      <c r="D123" s="53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468">
        <f ca="1">L124+L125</f>
        <v>0</v>
      </c>
      <c r="M123" s="224">
        <f ca="1">M124+M125</f>
        <v>0</v>
      </c>
      <c r="N123" s="224">
        <f ca="1">N124+N125</f>
        <v>0</v>
      </c>
      <c r="O123" s="224">
        <f t="shared" ca="1" si="35"/>
        <v>0</v>
      </c>
      <c r="P123" s="224">
        <f t="shared" ca="1" si="36"/>
        <v>0</v>
      </c>
      <c r="Q123" s="224">
        <f>Q124+Q125</f>
        <v>0</v>
      </c>
      <c r="R123" s="224">
        <f>R124+R125</f>
        <v>0</v>
      </c>
      <c r="S123" s="224">
        <f>S124+S125</f>
        <v>0</v>
      </c>
      <c r="T123" s="224">
        <f t="shared" si="37"/>
        <v>0</v>
      </c>
      <c r="U123" s="224">
        <f t="shared" si="38"/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469">
        <v>0</v>
      </c>
      <c r="M124" s="83">
        <v>0</v>
      </c>
      <c r="N124" s="83">
        <v>0</v>
      </c>
      <c r="O124" s="83">
        <f t="shared" si="35"/>
        <v>0</v>
      </c>
      <c r="P124" s="83">
        <f t="shared" si="36"/>
        <v>0</v>
      </c>
      <c r="Q124" s="83">
        <v>0</v>
      </c>
      <c r="R124" s="83">
        <v>0</v>
      </c>
      <c r="S124" s="83">
        <v>0</v>
      </c>
      <c r="T124" s="83">
        <f t="shared" si="37"/>
        <v>0</v>
      </c>
      <c r="U124" s="83">
        <f t="shared" si="38"/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468">
        <f ca="1">IFERROR(__xludf.DUMMYFUNCTION("IMPORTRANGE(""https://docs.google.com/spreadsheets/d/1-uDff_7J0KD5mKrp0Vvzr7lt3OU09vwQwhkpOPPYv2Y/edit?usp=sharing"",""งบพรบ!BJ23"")"),0)</f>
        <v>0</v>
      </c>
      <c r="M125" s="224">
        <f ca="1">IFERROR(__xludf.DUMMYFUNCTION("IMPORTRANGE(""https://docs.google.com/spreadsheets/d/1-uDff_7J0KD5mKrp0Vvzr7lt3OU09vwQwhkpOPPYv2Y/edit?usp=sharing"",""งบพรบ!BM23"")"),0)</f>
        <v>0</v>
      </c>
      <c r="N125" s="224">
        <f ca="1">IFERROR(__xludf.DUMMYFUNCTION("IMPORTRANGE(""https://docs.google.com/spreadsheets/d/1-uDff_7J0KD5mKrp0Vvzr7lt3OU09vwQwhkpOPPYv2Y/edit?usp=sharing"",""งบพรบ!BO23"")"),0)</f>
        <v>0</v>
      </c>
      <c r="O125" s="224">
        <f t="shared" ca="1" si="35"/>
        <v>0</v>
      </c>
      <c r="P125" s="224">
        <f t="shared" ca="1" si="36"/>
        <v>0</v>
      </c>
      <c r="Q125" s="224">
        <v>0</v>
      </c>
      <c r="R125" s="224">
        <v>0</v>
      </c>
      <c r="S125" s="224">
        <v>0</v>
      </c>
      <c r="T125" s="224">
        <f t="shared" si="37"/>
        <v>0</v>
      </c>
      <c r="U125" s="224">
        <f t="shared" si="38"/>
        <v>0</v>
      </c>
    </row>
    <row r="126" spans="1:21" ht="19.5" x14ac:dyDescent="0.3">
      <c r="A126" s="138"/>
      <c r="B126" s="139"/>
      <c r="C126" s="177" t="s">
        <v>18</v>
      </c>
      <c r="D126" s="498" t="s">
        <v>38</v>
      </c>
      <c r="E126" s="141"/>
      <c r="F126" s="141"/>
      <c r="G126" s="142"/>
      <c r="H126" s="178"/>
      <c r="I126" s="44"/>
      <c r="J126" s="44"/>
      <c r="K126" s="45"/>
      <c r="L126" s="465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IFERROR(__xludf.DUMMYFUNCTION("IMPORTRANGE(""https://docs.google.com/spreadsheets/d/1eHaY18a8A9IcSdp1K8H6x8fbOy06t2VsZHhMHf-1x7Y/edit?usp=sharing"",""แผน!FF23"")"),20)</f>
        <v>20</v>
      </c>
      <c r="J127" s="466">
        <v>20</v>
      </c>
      <c r="K127" s="224">
        <f ca="1">IF(I127&gt;0,J127*100/I127,0)</f>
        <v>100</v>
      </c>
      <c r="L127" s="465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IFERROR(__xludf.DUMMYFUNCTION("IMPORTRANGE(""https://docs.google.com/spreadsheets/d/1eHaY18a8A9IcSdp1K8H6x8fbOy06t2VsZHhMHf-1x7Y/edit?usp=sharing"",""แผน!FG23"")"),0)</f>
        <v>0</v>
      </c>
      <c r="J128" s="466">
        <v>0</v>
      </c>
      <c r="K128" s="224">
        <f ca="1">IF(I128&gt;0,J128*100/I128,0)</f>
        <v>0</v>
      </c>
      <c r="L128" s="465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IFERROR(__xludf.DUMMYFUNCTION("IMPORTRANGE(""https://docs.google.com/spreadsheets/d/1eHaY18a8A9IcSdp1K8H6x8fbOy06t2VsZHhMHf-1x7Y/edit?usp=sharing"",""แผน!FH23"")"),20)</f>
        <v>20</v>
      </c>
      <c r="J129" s="466">
        <v>20</v>
      </c>
      <c r="K129" s="224">
        <f ca="1">IF(I129&gt;0,J129*100/I129,0)</f>
        <v>100</v>
      </c>
      <c r="L129" s="465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IFERROR(__xludf.DUMMYFUNCTION("IMPORTRANGE(""https://docs.google.com/spreadsheets/d/1eHaY18a8A9IcSdp1K8H6x8fbOy06t2VsZHhMHf-1x7Y/edit?usp=sharing"",""แผน!FI23"")"),0)</f>
        <v>0</v>
      </c>
      <c r="J130" s="466">
        <v>0</v>
      </c>
      <c r="K130" s="224">
        <f ca="1">IF(I130&gt;0,J130*100/I130,0)</f>
        <v>0</v>
      </c>
      <c r="L130" s="465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465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465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57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10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665">
        <f ca="1">I154</f>
        <v>0</v>
      </c>
      <c r="J136" s="665">
        <f>J154</f>
        <v>0</v>
      </c>
      <c r="K136" s="664">
        <f ca="1">IF(I136&gt;0,J136*100/I136,0)</f>
        <v>0</v>
      </c>
      <c r="L136" s="510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665">
        <f ca="1">I152</f>
        <v>10</v>
      </c>
      <c r="J137" s="665">
        <f>J152</f>
        <v>10</v>
      </c>
      <c r="K137" s="664">
        <f ca="1">IF(I137&gt;0,J137*100/I137,0)</f>
        <v>100</v>
      </c>
      <c r="L137" s="510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665">
        <f ca="1">I153</f>
        <v>1</v>
      </c>
      <c r="J138" s="665">
        <f>J153</f>
        <v>1</v>
      </c>
      <c r="K138" s="664">
        <f ca="1">IF(I138&gt;0,J138*100/I138,0)</f>
        <v>100</v>
      </c>
      <c r="L138" s="510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129" t="s">
        <v>18</v>
      </c>
      <c r="D139" s="472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471">
        <f ca="1">L140+L141</f>
        <v>23300</v>
      </c>
      <c r="M139" s="470">
        <f ca="1">M140+M141</f>
        <v>18300</v>
      </c>
      <c r="N139" s="470">
        <f ca="1">N140+N141</f>
        <v>17920</v>
      </c>
      <c r="O139" s="470">
        <f t="shared" ref="O139:O147" ca="1" si="41">IF(L139&gt;0,N139*100/L139,0)</f>
        <v>76.909871244635198</v>
      </c>
      <c r="P139" s="470">
        <f t="shared" ref="P139:P147" ca="1" si="42">IF(M139&gt;0,N139*100/M139,0)</f>
        <v>97.923497267759558</v>
      </c>
      <c r="Q139" s="470">
        <f ca="1">Q140+Q141</f>
        <v>0</v>
      </c>
      <c r="R139" s="470">
        <f ca="1">R140+R141</f>
        <v>0</v>
      </c>
      <c r="S139" s="470">
        <f ca="1">S140+S141</f>
        <v>0</v>
      </c>
      <c r="T139" s="470">
        <f t="shared" ref="T139:T147" ca="1" si="43">IF(Q139&gt;0,S139*100/Q139,0)</f>
        <v>0</v>
      </c>
      <c r="U139" s="470">
        <f t="shared" ref="U139:U147" ca="1" si="44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469">
        <f t="shared" ref="L140:N141" si="45">L143+L146</f>
        <v>0</v>
      </c>
      <c r="M140" s="83">
        <f t="shared" si="45"/>
        <v>0</v>
      </c>
      <c r="N140" s="83">
        <f t="shared" si="45"/>
        <v>0</v>
      </c>
      <c r="O140" s="83">
        <f t="shared" si="41"/>
        <v>0</v>
      </c>
      <c r="P140" s="83">
        <f t="shared" si="42"/>
        <v>0</v>
      </c>
      <c r="Q140" s="83">
        <f t="shared" ref="Q140:S141" si="46">Q143+Q146</f>
        <v>0</v>
      </c>
      <c r="R140" s="83">
        <f t="shared" si="46"/>
        <v>0</v>
      </c>
      <c r="S140" s="83">
        <f t="shared" si="46"/>
        <v>0</v>
      </c>
      <c r="T140" s="83">
        <f t="shared" si="43"/>
        <v>0</v>
      </c>
      <c r="U140" s="83">
        <f t="shared" si="44"/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468">
        <f t="shared" ca="1" si="45"/>
        <v>23300</v>
      </c>
      <c r="M141" s="224">
        <f t="shared" ca="1" si="45"/>
        <v>18300</v>
      </c>
      <c r="N141" s="224">
        <f t="shared" ca="1" si="45"/>
        <v>17920</v>
      </c>
      <c r="O141" s="224">
        <f t="shared" ca="1" si="41"/>
        <v>76.909871244635198</v>
      </c>
      <c r="P141" s="224">
        <f t="shared" ca="1" si="42"/>
        <v>97.923497267759558</v>
      </c>
      <c r="Q141" s="224">
        <f t="shared" ca="1" si="46"/>
        <v>0</v>
      </c>
      <c r="R141" s="224">
        <f t="shared" ca="1" si="46"/>
        <v>0</v>
      </c>
      <c r="S141" s="224">
        <f t="shared" ca="1" si="46"/>
        <v>0</v>
      </c>
      <c r="T141" s="224">
        <f t="shared" ca="1" si="43"/>
        <v>0</v>
      </c>
      <c r="U141" s="224">
        <f t="shared" ca="1" si="44"/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468">
        <f ca="1">L143+L144</f>
        <v>23300</v>
      </c>
      <c r="M142" s="224">
        <f ca="1">M143+M144</f>
        <v>18300</v>
      </c>
      <c r="N142" s="224">
        <f ca="1">N143+N144</f>
        <v>17920</v>
      </c>
      <c r="O142" s="224">
        <f t="shared" ca="1" si="41"/>
        <v>76.909871244635198</v>
      </c>
      <c r="P142" s="224">
        <f t="shared" ca="1" si="42"/>
        <v>97.923497267759558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t="shared" ca="1" si="43"/>
        <v>0</v>
      </c>
      <c r="U142" s="224">
        <f t="shared" ca="1" si="44"/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469">
        <v>0</v>
      </c>
      <c r="M143" s="83">
        <v>0</v>
      </c>
      <c r="N143" s="83">
        <v>0</v>
      </c>
      <c r="O143" s="83">
        <f t="shared" si="41"/>
        <v>0</v>
      </c>
      <c r="P143" s="83">
        <f t="shared" si="42"/>
        <v>0</v>
      </c>
      <c r="Q143" s="83">
        <v>0</v>
      </c>
      <c r="R143" s="83">
        <v>0</v>
      </c>
      <c r="S143" s="83">
        <v>0</v>
      </c>
      <c r="T143" s="83">
        <f t="shared" si="43"/>
        <v>0</v>
      </c>
      <c r="U143" s="83">
        <f t="shared" si="44"/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468">
        <f ca="1">IFERROR(__xludf.DUMMYFUNCTION("IMPORTRANGE(""https://docs.google.com/spreadsheets/d/1-uDff_7J0KD5mKrp0Vvzr7lt3OU09vwQwhkpOPPYv2Y/edit?usp=sharing"",""งบพรบ!BQ23"")"),23300)</f>
        <v>23300</v>
      </c>
      <c r="M144" s="224">
        <f ca="1">IFERROR(__xludf.DUMMYFUNCTION("IMPORTRANGE(""https://docs.google.com/spreadsheets/d/1-uDff_7J0KD5mKrp0Vvzr7lt3OU09vwQwhkpOPPYv2Y/edit?usp=sharing"",""งบพรบ!BV23"")"),18300)</f>
        <v>18300</v>
      </c>
      <c r="N144" s="224">
        <f ca="1">IFERROR(__xludf.DUMMYFUNCTION("IMPORTRANGE(""https://docs.google.com/spreadsheets/d/1-uDff_7J0KD5mKrp0Vvzr7lt3OU09vwQwhkpOPPYv2Y/edit?usp=sharing"",""งบพรบ!BX23"")"),17920)</f>
        <v>17920</v>
      </c>
      <c r="O144" s="224">
        <f t="shared" ca="1" si="41"/>
        <v>76.909871244635198</v>
      </c>
      <c r="P144" s="224">
        <f t="shared" ca="1" si="42"/>
        <v>97.923497267759558</v>
      </c>
      <c r="Q144" s="224">
        <f ca="1">IFERROR(__xludf.DUMMYFUNCTION("IMPORTRANGE(""https://docs.google.com/spreadsheets/d/1ItG2mGa2ceCfYo0BwxsXqNm01IGEUdYcSSLTEv9YCik/edit?usp=sharing"",""เบิกจ่ายกองทุน!BB23"")"),0)</f>
        <v>0</v>
      </c>
      <c r="R144" s="224">
        <f ca="1">IFERROR(__xludf.DUMMYFUNCTION("IMPORTRANGE(""https://docs.google.com/spreadsheets/d/1ItG2mGa2ceCfYo0BwxsXqNm01IGEUdYcSSLTEv9YCik/edit?usp=sharing"",""เบิกจ่ายกองทุน!BC23"")"),0)</f>
        <v>0</v>
      </c>
      <c r="S144" s="224">
        <f ca="1">IFERROR(__xludf.DUMMYFUNCTION("IMPORTRANGE(""https://docs.google.com/spreadsheets/d/1ItG2mGa2ceCfYo0BwxsXqNm01IGEUdYcSSLTEv9YCik/edit?usp=sharing"",""เบิกจ่ายกองทุน!BD23"")"),0)</f>
        <v>0</v>
      </c>
      <c r="T144" s="224">
        <f t="shared" ca="1" si="43"/>
        <v>0</v>
      </c>
      <c r="U144" s="224">
        <f t="shared" ca="1" si="44"/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468">
        <f ca="1">L146+L147</f>
        <v>0</v>
      </c>
      <c r="M145" s="224">
        <f ca="1">M146+M147</f>
        <v>0</v>
      </c>
      <c r="N145" s="224">
        <f ca="1">N146+N147</f>
        <v>0</v>
      </c>
      <c r="O145" s="224">
        <f t="shared" ca="1" si="41"/>
        <v>0</v>
      </c>
      <c r="P145" s="224">
        <f t="shared" ca="1" si="42"/>
        <v>0</v>
      </c>
      <c r="Q145" s="224">
        <f>Q146+Q147</f>
        <v>0</v>
      </c>
      <c r="R145" s="224">
        <f>R146+R147</f>
        <v>0</v>
      </c>
      <c r="S145" s="224">
        <f>S146+S147</f>
        <v>0</v>
      </c>
      <c r="T145" s="224">
        <f t="shared" si="43"/>
        <v>0</v>
      </c>
      <c r="U145" s="224">
        <f t="shared" si="44"/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469">
        <v>0</v>
      </c>
      <c r="M146" s="83">
        <v>0</v>
      </c>
      <c r="N146" s="83">
        <v>0</v>
      </c>
      <c r="O146" s="83">
        <f t="shared" si="41"/>
        <v>0</v>
      </c>
      <c r="P146" s="83">
        <f t="shared" si="42"/>
        <v>0</v>
      </c>
      <c r="Q146" s="83">
        <v>0</v>
      </c>
      <c r="R146" s="83">
        <v>0</v>
      </c>
      <c r="S146" s="83">
        <v>0</v>
      </c>
      <c r="T146" s="83">
        <f t="shared" si="43"/>
        <v>0</v>
      </c>
      <c r="U146" s="83">
        <f t="shared" si="44"/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468">
        <f ca="1">IFERROR(__xludf.DUMMYFUNCTION("IMPORTRANGE(""https://docs.google.com/spreadsheets/d/1-uDff_7J0KD5mKrp0Vvzr7lt3OU09vwQwhkpOPPYv2Y/edit?usp=sharing"",""งบพรบ!BT23"")"),0)</f>
        <v>0</v>
      </c>
      <c r="M147" s="224">
        <f ca="1">IFERROR(__xludf.DUMMYFUNCTION("IMPORTRANGE(""https://docs.google.com/spreadsheets/d/1-uDff_7J0KD5mKrp0Vvzr7lt3OU09vwQwhkpOPPYv2Y/edit?usp=sharing"",""งบพรบ!BW23"")"),0)</f>
        <v>0</v>
      </c>
      <c r="N147" s="224">
        <f ca="1">IFERROR(__xludf.DUMMYFUNCTION("IMPORTRANGE(""https://docs.google.com/spreadsheets/d/1-uDff_7J0KD5mKrp0Vvzr7lt3OU09vwQwhkpOPPYv2Y/edit?usp=sharing"",""งบพรบ!BY23"")"),0)</f>
        <v>0</v>
      </c>
      <c r="O147" s="224">
        <f t="shared" ca="1" si="41"/>
        <v>0</v>
      </c>
      <c r="P147" s="224">
        <f t="shared" ca="1" si="42"/>
        <v>0</v>
      </c>
      <c r="Q147" s="224">
        <v>0</v>
      </c>
      <c r="R147" s="224">
        <v>0</v>
      </c>
      <c r="S147" s="224">
        <v>0</v>
      </c>
      <c r="T147" s="224">
        <f t="shared" si="43"/>
        <v>0</v>
      </c>
      <c r="U147" s="224">
        <f t="shared" si="44"/>
        <v>0</v>
      </c>
    </row>
    <row r="148" spans="1:21" ht="19.5" x14ac:dyDescent="0.3">
      <c r="A148" s="138"/>
      <c r="B148" s="139"/>
      <c r="C148" s="129" t="s">
        <v>18</v>
      </c>
      <c r="D148" s="498" t="s">
        <v>38</v>
      </c>
      <c r="E148" s="141"/>
      <c r="F148" s="141"/>
      <c r="G148" s="142"/>
      <c r="H148" s="178"/>
      <c r="I148" s="44"/>
      <c r="J148" s="44"/>
      <c r="K148" s="45"/>
      <c r="L148" s="465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466">
        <v>0</v>
      </c>
      <c r="K149" s="45"/>
      <c r="L149" s="465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IFERROR(__xludf.DUMMYFUNCTION("IMPORTRANGE(""https://docs.google.com/spreadsheets/d/1eHaY18a8A9IcSdp1K8H6x8fbOy06t2VsZHhMHf-1x7Y/edit?usp=sharing"",""แผน!U23"")"),0)</f>
        <v>0</v>
      </c>
      <c r="J150" s="466">
        <v>0</v>
      </c>
      <c r="K150" s="224">
        <f ca="1">IF(I150&gt;0,J150*100/I150,0)</f>
        <v>0</v>
      </c>
      <c r="L150" s="465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IFERROR(__xludf.DUMMYFUNCTION("IMPORTRANGE(""https://docs.google.com/spreadsheets/d/1eHaY18a8A9IcSdp1K8H6x8fbOy06t2VsZHhMHf-1x7Y/edit?usp=sharing"",""แผน!V23"")"),0)</f>
        <v>0</v>
      </c>
      <c r="J151" s="466">
        <v>0</v>
      </c>
      <c r="K151" s="224">
        <f ca="1">IF(I151&gt;0,J151*100/I151,0)</f>
        <v>0</v>
      </c>
      <c r="L151" s="465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IFERROR(__xludf.DUMMYFUNCTION("IMPORTRANGE(""https://docs.google.com/spreadsheets/d/1eHaY18a8A9IcSdp1K8H6x8fbOy06t2VsZHhMHf-1x7Y/edit?usp=sharing"",""แผน!W23"")"),10)</f>
        <v>10</v>
      </c>
      <c r="J152" s="466">
        <v>10</v>
      </c>
      <c r="K152" s="224">
        <f ca="1">IF(I152&gt;0,J152*100/I152,0)</f>
        <v>100</v>
      </c>
      <c r="L152" s="465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IFERROR(__xludf.DUMMYFUNCTION("IMPORTRANGE(""https://docs.google.com/spreadsheets/d/1eHaY18a8A9IcSdp1K8H6x8fbOy06t2VsZHhMHf-1x7Y/edit?usp=sharing"",""แผน!X23"")"),1)</f>
        <v>1</v>
      </c>
      <c r="J153" s="466">
        <v>1</v>
      </c>
      <c r="K153" s="224">
        <f ca="1">IF(I153&gt;0,J153*100/I153,0)</f>
        <v>100</v>
      </c>
      <c r="L153" s="465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IFERROR(__xludf.DUMMYFUNCTION("IMPORTRANGE(""https://docs.google.com/spreadsheets/d/1eHaY18a8A9IcSdp1K8H6x8fbOy06t2VsZHhMHf-1x7Y/edit?usp=sharing"",""แผน!Y23"")"),0)</f>
        <v>0</v>
      </c>
      <c r="J154" s="466">
        <v>0</v>
      </c>
      <c r="K154" s="224">
        <f ca="1">IF(I154&gt;0,J154*100/I154,0)</f>
        <v>0</v>
      </c>
      <c r="L154" s="465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665">
        <f ca="1">I167</f>
        <v>30</v>
      </c>
      <c r="J156" s="665">
        <f>J167</f>
        <v>20</v>
      </c>
      <c r="K156" s="664">
        <f ca="1">IF(I156&gt;0,J156*100/I156,0)</f>
        <v>66.666666666666671</v>
      </c>
      <c r="L156" s="510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129" t="s">
        <v>18</v>
      </c>
      <c r="D157" s="472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471">
        <f ca="1">L158+L159</f>
        <v>6000</v>
      </c>
      <c r="M157" s="470">
        <f ca="1">M158+M159</f>
        <v>6740</v>
      </c>
      <c r="N157" s="470">
        <f ca="1">N158+N159</f>
        <v>0</v>
      </c>
      <c r="O157" s="470">
        <f t="shared" ref="O157:O165" ca="1" si="47">IF(L157&gt;0,N157*100/L157,0)</f>
        <v>0</v>
      </c>
      <c r="P157" s="470">
        <f t="shared" ref="P157:P165" ca="1" si="48">IF(M157&gt;0,N157*100/M157,0)</f>
        <v>0</v>
      </c>
      <c r="Q157" s="470">
        <f ca="1">Q158+Q159</f>
        <v>0</v>
      </c>
      <c r="R157" s="470">
        <f ca="1">R158+R159</f>
        <v>0</v>
      </c>
      <c r="S157" s="470">
        <f ca="1">S158+S159</f>
        <v>0</v>
      </c>
      <c r="T157" s="470">
        <f t="shared" ref="T157:T165" ca="1" si="49">IF(Q157&gt;0,S157*100/Q157,0)</f>
        <v>0</v>
      </c>
      <c r="U157" s="470">
        <f t="shared" ref="U157:U165" ca="1" si="50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469">
        <f t="shared" ref="L158:N159" si="51">L161+L164</f>
        <v>0</v>
      </c>
      <c r="M158" s="83">
        <f t="shared" si="51"/>
        <v>0</v>
      </c>
      <c r="N158" s="83">
        <f t="shared" si="51"/>
        <v>0</v>
      </c>
      <c r="O158" s="83">
        <f t="shared" si="47"/>
        <v>0</v>
      </c>
      <c r="P158" s="83">
        <f t="shared" si="48"/>
        <v>0</v>
      </c>
      <c r="Q158" s="83">
        <f t="shared" ref="Q158:S159" si="52">Q161+Q164</f>
        <v>0</v>
      </c>
      <c r="R158" s="83">
        <f t="shared" si="52"/>
        <v>0</v>
      </c>
      <c r="S158" s="83">
        <f t="shared" si="52"/>
        <v>0</v>
      </c>
      <c r="T158" s="83">
        <f t="shared" si="49"/>
        <v>0</v>
      </c>
      <c r="U158" s="83">
        <f t="shared" si="50"/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468">
        <f t="shared" ca="1" si="51"/>
        <v>6000</v>
      </c>
      <c r="M159" s="224">
        <f t="shared" ca="1" si="51"/>
        <v>6740</v>
      </c>
      <c r="N159" s="224">
        <f t="shared" ca="1" si="51"/>
        <v>0</v>
      </c>
      <c r="O159" s="224">
        <f t="shared" ca="1" si="47"/>
        <v>0</v>
      </c>
      <c r="P159" s="224">
        <f t="shared" ca="1" si="48"/>
        <v>0</v>
      </c>
      <c r="Q159" s="224">
        <f t="shared" ca="1" si="52"/>
        <v>0</v>
      </c>
      <c r="R159" s="224">
        <f t="shared" ca="1" si="52"/>
        <v>0</v>
      </c>
      <c r="S159" s="224">
        <f t="shared" ca="1" si="52"/>
        <v>0</v>
      </c>
      <c r="T159" s="224">
        <f t="shared" ca="1" si="49"/>
        <v>0</v>
      </c>
      <c r="U159" s="224">
        <f t="shared" ca="1" si="50"/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468">
        <f ca="1">L161+L162</f>
        <v>6000</v>
      </c>
      <c r="M160" s="224">
        <f ca="1">M161+M162</f>
        <v>6740</v>
      </c>
      <c r="N160" s="224">
        <f ca="1">N161+N162</f>
        <v>0</v>
      </c>
      <c r="O160" s="224">
        <f t="shared" ca="1" si="47"/>
        <v>0</v>
      </c>
      <c r="P160" s="224">
        <f t="shared" ca="1" si="48"/>
        <v>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t="shared" ca="1" si="49"/>
        <v>0</v>
      </c>
      <c r="U160" s="224">
        <f t="shared" ca="1" si="50"/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469">
        <v>0</v>
      </c>
      <c r="M161" s="83">
        <v>0</v>
      </c>
      <c r="N161" s="83">
        <v>0</v>
      </c>
      <c r="O161" s="83">
        <f t="shared" si="47"/>
        <v>0</v>
      </c>
      <c r="P161" s="83">
        <f t="shared" si="48"/>
        <v>0</v>
      </c>
      <c r="Q161" s="83">
        <v>0</v>
      </c>
      <c r="R161" s="83">
        <v>0</v>
      </c>
      <c r="S161" s="83">
        <v>0</v>
      </c>
      <c r="T161" s="83">
        <f t="shared" si="49"/>
        <v>0</v>
      </c>
      <c r="U161" s="83">
        <f t="shared" si="50"/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468">
        <f ca="1">IFERROR(__xludf.DUMMYFUNCTION("IMPORTRANGE(""https://docs.google.com/spreadsheets/d/1-uDff_7J0KD5mKrp0Vvzr7lt3OU09vwQwhkpOPPYv2Y/edit?usp=sharing"",""งบพรบ!CA23"")"),6000)</f>
        <v>6000</v>
      </c>
      <c r="M162" s="224">
        <f ca="1">IFERROR(__xludf.DUMMYFUNCTION("IMPORTRANGE(""https://docs.google.com/spreadsheets/d/1-uDff_7J0KD5mKrp0Vvzr7lt3OU09vwQwhkpOPPYv2Y/edit?usp=sharing"",""งบพรบ!CF23"")"),6740)</f>
        <v>6740</v>
      </c>
      <c r="N162" s="224">
        <f ca="1">IFERROR(__xludf.DUMMYFUNCTION("IMPORTRANGE(""https://docs.google.com/spreadsheets/d/1-uDff_7J0KD5mKrp0Vvzr7lt3OU09vwQwhkpOPPYv2Y/edit?usp=sharing"",""งบพรบ!CH23"")"),0)</f>
        <v>0</v>
      </c>
      <c r="O162" s="224">
        <f t="shared" ca="1" si="47"/>
        <v>0</v>
      </c>
      <c r="P162" s="224">
        <f t="shared" ca="1" si="48"/>
        <v>0</v>
      </c>
      <c r="Q162" s="224">
        <f ca="1">IFERROR(__xludf.DUMMYFUNCTION("IMPORTRANGE(""https://docs.google.com/spreadsheets/d/1ItG2mGa2ceCfYo0BwxsXqNm01IGEUdYcSSLTEv9YCik/edit?usp=sharing"",""เบิกจ่ายกองทุน!AG23"")"),0)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IFERROR(__xludf.DUMMYFUNCTION("IMPORTRANGE(""https://docs.google.com/spreadsheets/d/1ItG2mGa2ceCfYo0BwxsXqNm01IGEUdYcSSLTEv9YCik/edit?usp=sharing"",""เบิกจ่ายกองทุน!AH23"")"),0)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IFERROR(__xludf.DUMMYFUNCTION("IMPORTRANGE(""https://docs.google.com/spreadsheets/d/1ItG2mGa2ceCfYo0BwxsXqNm01IGEUdYcSSLTEv9YCik/edit?usp=sharing"",""เบิกจ่ายกองทุน!AI23"")"),0)</f>
        <v>0</v>
      </c>
      <c r="T162" s="224">
        <f t="shared" ca="1" si="49"/>
        <v>0</v>
      </c>
      <c r="U162" s="224">
        <f t="shared" ca="1" si="50"/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468">
        <f ca="1">L164+L165</f>
        <v>0</v>
      </c>
      <c r="M163" s="224">
        <f ca="1">M164+M165</f>
        <v>0</v>
      </c>
      <c r="N163" s="224">
        <f ca="1">N164+N165</f>
        <v>0</v>
      </c>
      <c r="O163" s="224">
        <f t="shared" ca="1" si="47"/>
        <v>0</v>
      </c>
      <c r="P163" s="224">
        <f t="shared" ca="1" si="48"/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 t="shared" si="49"/>
        <v>0</v>
      </c>
      <c r="U163" s="224">
        <f t="shared" si="50"/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469">
        <v>0</v>
      </c>
      <c r="M164" s="83">
        <v>0</v>
      </c>
      <c r="N164" s="83">
        <v>0</v>
      </c>
      <c r="O164" s="83">
        <f t="shared" si="47"/>
        <v>0</v>
      </c>
      <c r="P164" s="83">
        <f t="shared" si="48"/>
        <v>0</v>
      </c>
      <c r="Q164" s="83">
        <v>0</v>
      </c>
      <c r="R164" s="83">
        <v>0</v>
      </c>
      <c r="S164" s="83">
        <v>0</v>
      </c>
      <c r="T164" s="83">
        <f t="shared" si="49"/>
        <v>0</v>
      </c>
      <c r="U164" s="83">
        <f t="shared" si="50"/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468">
        <f ca="1">IFERROR(__xludf.DUMMYFUNCTION("IMPORTRANGE(""https://docs.google.com/spreadsheets/d/1-uDff_7J0KD5mKrp0Vvzr7lt3OU09vwQwhkpOPPYv2Y/edit?usp=sharing"",""งบพรบ!CD23"")"),0)</f>
        <v>0</v>
      </c>
      <c r="M165" s="224">
        <f ca="1">IFERROR(__xludf.DUMMYFUNCTION("IMPORTRANGE(""https://docs.google.com/spreadsheets/d/1-uDff_7J0KD5mKrp0Vvzr7lt3OU09vwQwhkpOPPYv2Y/edit?usp=sharing"",""งบพรบ!CG23"")"),0)</f>
        <v>0</v>
      </c>
      <c r="N165" s="224">
        <f ca="1">IFERROR(__xludf.DUMMYFUNCTION("IMPORTRANGE(""https://docs.google.com/spreadsheets/d/1-uDff_7J0KD5mKrp0Vvzr7lt3OU09vwQwhkpOPPYv2Y/edit?usp=sharing"",""งบพรบ!CI23"")"),0)</f>
        <v>0</v>
      </c>
      <c r="O165" s="224">
        <f t="shared" ca="1" si="47"/>
        <v>0</v>
      </c>
      <c r="P165" s="224">
        <f t="shared" ca="1" si="48"/>
        <v>0</v>
      </c>
      <c r="Q165" s="224">
        <v>0</v>
      </c>
      <c r="R165" s="224">
        <v>0</v>
      </c>
      <c r="S165" s="224">
        <v>0</v>
      </c>
      <c r="T165" s="224">
        <f t="shared" si="49"/>
        <v>0</v>
      </c>
      <c r="U165" s="224">
        <f t="shared" si="50"/>
        <v>0</v>
      </c>
    </row>
    <row r="166" spans="1:21" ht="19.5" x14ac:dyDescent="0.3">
      <c r="A166" s="138"/>
      <c r="B166" s="139"/>
      <c r="C166" s="129" t="s">
        <v>18</v>
      </c>
      <c r="D166" s="498" t="s">
        <v>38</v>
      </c>
      <c r="E166" s="141"/>
      <c r="F166" s="141"/>
      <c r="G166" s="142"/>
      <c r="H166" s="178"/>
      <c r="I166" s="44"/>
      <c r="J166" s="44"/>
      <c r="K166" s="45"/>
      <c r="L166" s="465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IFERROR(__xludf.DUMMYFUNCTION("IMPORTRANGE(""https://docs.google.com/spreadsheets/d/1eHaY18a8A9IcSdp1K8H6x8fbOy06t2VsZHhMHf-1x7Y/edit?usp=sharing"",""แผน!Z23"")"),30)</f>
        <v>30</v>
      </c>
      <c r="J167" s="466">
        <v>20</v>
      </c>
      <c r="K167" s="224">
        <f ca="1">IF(I167&gt;0,J167*100/I167,0)</f>
        <v>66.666666666666671</v>
      </c>
      <c r="L167" s="465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375" t="s">
        <v>35</v>
      </c>
      <c r="I168" s="430">
        <f ca="1">I167</f>
        <v>30</v>
      </c>
      <c r="J168" s="525">
        <v>0</v>
      </c>
      <c r="K168" s="83">
        <f ca="1">IF(I168&gt;0,J168*100/I168,0)</f>
        <v>0</v>
      </c>
      <c r="L168" s="465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31" t="s">
        <v>71</v>
      </c>
      <c r="E169" s="1"/>
      <c r="F169" s="1"/>
      <c r="G169" s="52"/>
      <c r="H169" s="663" t="s">
        <v>35</v>
      </c>
      <c r="I169" s="433">
        <f ca="1">I167</f>
        <v>30</v>
      </c>
      <c r="J169" s="522">
        <v>0</v>
      </c>
      <c r="K169" s="521">
        <f ca="1">IF(I169&gt;0,J169*100/I169,0)</f>
        <v>0</v>
      </c>
      <c r="L169" s="46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662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661">
        <f ca="1">I183+I184</f>
        <v>7</v>
      </c>
      <c r="J172" s="661">
        <f>J183+J184</f>
        <v>7</v>
      </c>
      <c r="K172" s="660">
        <f ca="1">IF(I172&gt;0,J172*100/I172,0)</f>
        <v>100</v>
      </c>
      <c r="L172" s="659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472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471">
        <f ca="1">L174+L175</f>
        <v>19590</v>
      </c>
      <c r="M173" s="470">
        <f ca="1">M174+M175</f>
        <v>126640</v>
      </c>
      <c r="N173" s="470">
        <f ca="1">N174+N175</f>
        <v>123450</v>
      </c>
      <c r="O173" s="470">
        <f t="shared" ref="O173:O181" ca="1" si="53">IF(L173&gt;0,N173*100/L173,0)</f>
        <v>630.16845329249622</v>
      </c>
      <c r="P173" s="470">
        <f t="shared" ref="P173:P181" ca="1" si="54">IF(M173&gt;0,N173*100/M173,0)</f>
        <v>97.481048641819328</v>
      </c>
      <c r="Q173" s="470">
        <f ca="1">Q174+Q175</f>
        <v>0</v>
      </c>
      <c r="R173" s="470">
        <f ca="1">R174+R175</f>
        <v>0</v>
      </c>
      <c r="S173" s="470">
        <f ca="1">S174+S175</f>
        <v>0</v>
      </c>
      <c r="T173" s="470">
        <f t="shared" ref="T173:T181" ca="1" si="55">IF(Q173&gt;0,S173*100/Q173,0)</f>
        <v>0</v>
      </c>
      <c r="U173" s="470">
        <f t="shared" ref="U173:U181" ca="1" si="56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469">
        <f t="shared" ref="L174:N175" si="57">L177+L180</f>
        <v>0</v>
      </c>
      <c r="M174" s="83">
        <f t="shared" si="57"/>
        <v>0</v>
      </c>
      <c r="N174" s="83">
        <f t="shared" si="57"/>
        <v>0</v>
      </c>
      <c r="O174" s="83">
        <f t="shared" si="53"/>
        <v>0</v>
      </c>
      <c r="P174" s="83">
        <f t="shared" si="54"/>
        <v>0</v>
      </c>
      <c r="Q174" s="83">
        <f t="shared" ref="Q174:S175" si="58">Q177+Q180</f>
        <v>0</v>
      </c>
      <c r="R174" s="83">
        <f t="shared" si="58"/>
        <v>0</v>
      </c>
      <c r="S174" s="83">
        <f t="shared" si="58"/>
        <v>0</v>
      </c>
      <c r="T174" s="83">
        <f t="shared" si="55"/>
        <v>0</v>
      </c>
      <c r="U174" s="83">
        <f t="shared" si="56"/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468">
        <f t="shared" ca="1" si="57"/>
        <v>19590</v>
      </c>
      <c r="M175" s="224">
        <f t="shared" ca="1" si="57"/>
        <v>126640</v>
      </c>
      <c r="N175" s="224">
        <f t="shared" ca="1" si="57"/>
        <v>123450</v>
      </c>
      <c r="O175" s="224">
        <f t="shared" ca="1" si="53"/>
        <v>630.16845329249622</v>
      </c>
      <c r="P175" s="224">
        <f t="shared" ca="1" si="54"/>
        <v>97.481048641819328</v>
      </c>
      <c r="Q175" s="224">
        <f t="shared" ca="1" si="58"/>
        <v>0</v>
      </c>
      <c r="R175" s="224">
        <f t="shared" ca="1" si="58"/>
        <v>0</v>
      </c>
      <c r="S175" s="224">
        <f t="shared" ca="1" si="58"/>
        <v>0</v>
      </c>
      <c r="T175" s="224">
        <f t="shared" ca="1" si="55"/>
        <v>0</v>
      </c>
      <c r="U175" s="224">
        <f t="shared" ca="1" si="56"/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468">
        <f ca="1">L177+L178</f>
        <v>19590</v>
      </c>
      <c r="M176" s="224">
        <f ca="1">M177+M178</f>
        <v>126640</v>
      </c>
      <c r="N176" s="224">
        <f ca="1">N177+N178</f>
        <v>123450</v>
      </c>
      <c r="O176" s="224">
        <f t="shared" ca="1" si="53"/>
        <v>630.16845329249622</v>
      </c>
      <c r="P176" s="224">
        <f t="shared" ca="1" si="54"/>
        <v>97.481048641819328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t="shared" ca="1" si="55"/>
        <v>0</v>
      </c>
      <c r="U176" s="224">
        <f t="shared" ca="1" si="56"/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469">
        <v>0</v>
      </c>
      <c r="M177" s="83">
        <v>0</v>
      </c>
      <c r="N177" s="83">
        <v>0</v>
      </c>
      <c r="O177" s="83">
        <f t="shared" si="53"/>
        <v>0</v>
      </c>
      <c r="P177" s="83">
        <f t="shared" si="54"/>
        <v>0</v>
      </c>
      <c r="Q177" s="83">
        <v>0</v>
      </c>
      <c r="R177" s="83">
        <v>0</v>
      </c>
      <c r="S177" s="83">
        <v>0</v>
      </c>
      <c r="T177" s="83">
        <f t="shared" si="55"/>
        <v>0</v>
      </c>
      <c r="U177" s="83">
        <f t="shared" si="56"/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468">
        <f ca="1">IFERROR(__xludf.DUMMYFUNCTION("IMPORTRANGE(""https://docs.google.com/spreadsheets/d/1-uDff_7J0KD5mKrp0Vvzr7lt3OU09vwQwhkpOPPYv2Y/edit?usp=sharing"",""งบพรบ!CK23"")"),19590)</f>
        <v>19590</v>
      </c>
      <c r="M178" s="224">
        <f ca="1">IFERROR(__xludf.DUMMYFUNCTION("IMPORTRANGE(""https://docs.google.com/spreadsheets/d/1-uDff_7J0KD5mKrp0Vvzr7lt3OU09vwQwhkpOPPYv2Y/edit?usp=sharing"",""งบพรบ!CP23"")"),126640)</f>
        <v>126640</v>
      </c>
      <c r="N178" s="224">
        <f ca="1">IFERROR(__xludf.DUMMYFUNCTION("IMPORTRANGE(""https://docs.google.com/spreadsheets/d/1-uDff_7J0KD5mKrp0Vvzr7lt3OU09vwQwhkpOPPYv2Y/edit?usp=sharing"",""งบพรบ!CR23"")"),123450)</f>
        <v>123450</v>
      </c>
      <c r="O178" s="224">
        <f t="shared" ca="1" si="53"/>
        <v>630.16845329249622</v>
      </c>
      <c r="P178" s="224">
        <f t="shared" ca="1" si="54"/>
        <v>97.481048641819328</v>
      </c>
      <c r="Q178" s="224">
        <f ca="1">IFERROR(__xludf.DUMMYFUNCTION("IMPORTRANGE(""https://docs.google.com/spreadsheets/d/1ItG2mGa2ceCfYo0BwxsXqNm01IGEUdYcSSLTEv9YCik/edit?usp=sharing"",""เบิกจ่ายกองทุน!BE23"")"),0)</f>
        <v>0</v>
      </c>
      <c r="R178" s="224">
        <f ca="1">IFERROR(__xludf.DUMMYFUNCTION("IMPORTRANGE(""https://docs.google.com/spreadsheets/d/1ItG2mGa2ceCfYo0BwxsXqNm01IGEUdYcSSLTEv9YCik/edit?usp=sharing"",""เบิกจ่ายกองทุน!BF23"")"),0)</f>
        <v>0</v>
      </c>
      <c r="S178" s="224">
        <f ca="1">IFERROR(__xludf.DUMMYFUNCTION("IMPORTRANGE(""https://docs.google.com/spreadsheets/d/1ItG2mGa2ceCfYo0BwxsXqNm01IGEUdYcSSLTEv9YCik/edit?usp=sharing"",""เบิกจ่ายกองทุน!BG23"")"),0)</f>
        <v>0</v>
      </c>
      <c r="T178" s="224">
        <f t="shared" ca="1" si="55"/>
        <v>0</v>
      </c>
      <c r="U178" s="224">
        <f t="shared" ca="1" si="56"/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468">
        <f ca="1">L180+L181</f>
        <v>0</v>
      </c>
      <c r="M179" s="224">
        <f ca="1">M180+M181</f>
        <v>0</v>
      </c>
      <c r="N179" s="224">
        <f ca="1">N180+N181</f>
        <v>0</v>
      </c>
      <c r="O179" s="224">
        <f t="shared" ca="1" si="53"/>
        <v>0</v>
      </c>
      <c r="P179" s="224">
        <f t="shared" ca="1" si="54"/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 t="shared" si="55"/>
        <v>0</v>
      </c>
      <c r="U179" s="224">
        <f t="shared" si="56"/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469">
        <v>0</v>
      </c>
      <c r="M180" s="83">
        <v>0</v>
      </c>
      <c r="N180" s="83">
        <v>0</v>
      </c>
      <c r="O180" s="83">
        <f t="shared" si="53"/>
        <v>0</v>
      </c>
      <c r="P180" s="83">
        <f t="shared" si="54"/>
        <v>0</v>
      </c>
      <c r="Q180" s="83">
        <v>0</v>
      </c>
      <c r="R180" s="83">
        <v>0</v>
      </c>
      <c r="S180" s="83">
        <v>0</v>
      </c>
      <c r="T180" s="83">
        <f t="shared" si="55"/>
        <v>0</v>
      </c>
      <c r="U180" s="83">
        <f t="shared" si="56"/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468">
        <f ca="1">IFERROR(__xludf.DUMMYFUNCTION("IMPORTRANGE(""https://docs.google.com/spreadsheets/d/1-uDff_7J0KD5mKrp0Vvzr7lt3OU09vwQwhkpOPPYv2Y/edit?usp=sharing"",""งบพรบ!CN23"")"),0)</f>
        <v>0</v>
      </c>
      <c r="M181" s="224">
        <f ca="1">IFERROR(__xludf.DUMMYFUNCTION("IMPORTRANGE(""https://docs.google.com/spreadsheets/d/1-uDff_7J0KD5mKrp0Vvzr7lt3OU09vwQwhkpOPPYv2Y/edit?usp=sharing"",""งบพรบ!CQ23"")"),0)</f>
        <v>0</v>
      </c>
      <c r="N181" s="224">
        <f ca="1">IFERROR(__xludf.DUMMYFUNCTION("IMPORTRANGE(""https://docs.google.com/spreadsheets/d/1-uDff_7J0KD5mKrp0Vvzr7lt3OU09vwQwhkpOPPYv2Y/edit?usp=sharing"",""งบพรบ!CS23"")"),0)</f>
        <v>0</v>
      </c>
      <c r="O181" s="224">
        <f t="shared" ca="1" si="53"/>
        <v>0</v>
      </c>
      <c r="P181" s="224">
        <f t="shared" ca="1" si="54"/>
        <v>0</v>
      </c>
      <c r="Q181" s="224">
        <v>0</v>
      </c>
      <c r="R181" s="224">
        <v>0</v>
      </c>
      <c r="S181" s="224">
        <v>0</v>
      </c>
      <c r="T181" s="224">
        <f t="shared" si="55"/>
        <v>0</v>
      </c>
      <c r="U181" s="224">
        <f t="shared" si="56"/>
        <v>0</v>
      </c>
    </row>
    <row r="182" spans="1:21" ht="19.5" x14ac:dyDescent="0.3">
      <c r="A182" s="138"/>
      <c r="B182" s="139"/>
      <c r="C182" s="129" t="s">
        <v>18</v>
      </c>
      <c r="D182" s="498" t="s">
        <v>38</v>
      </c>
      <c r="E182" s="141"/>
      <c r="F182" s="141"/>
      <c r="G182" s="142"/>
      <c r="H182" s="178"/>
      <c r="I182" s="44"/>
      <c r="J182" s="44"/>
      <c r="K182" s="45"/>
      <c r="L182" s="465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IFERROR(__xludf.DUMMYFUNCTION("IMPORTRANGE(""https://docs.google.com/spreadsheets/d/1eHaY18a8A9IcSdp1K8H6x8fbOy06t2VsZHhMHf-1x7Y/edit?usp=sharing"",""แผน!AA23"")"),7)</f>
        <v>7</v>
      </c>
      <c r="J183" s="466">
        <v>7</v>
      </c>
      <c r="K183" s="224">
        <f ca="1">IF(I183&gt;0,J183*100/I183,0)</f>
        <v>100</v>
      </c>
      <c r="L183" s="465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14" t="s">
        <v>76</v>
      </c>
      <c r="E184" s="40"/>
      <c r="F184" s="40"/>
      <c r="G184" s="42"/>
      <c r="H184" s="526" t="s">
        <v>35</v>
      </c>
      <c r="I184" s="430">
        <v>0</v>
      </c>
      <c r="J184" s="430">
        <v>0</v>
      </c>
      <c r="K184" s="83">
        <f>IF(I184&gt;0,J184*100/I184,0)</f>
        <v>0</v>
      </c>
      <c r="L184" s="465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661">
        <f ca="1">I230+I231</f>
        <v>0</v>
      </c>
      <c r="J185" s="661">
        <f>J230+J231</f>
        <v>0</v>
      </c>
      <c r="K185" s="660">
        <f ca="1">IF(I185&gt;0,J185*100/I185,0)</f>
        <v>0</v>
      </c>
      <c r="L185" s="659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472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471">
        <f ca="1">L187+L188</f>
        <v>198500</v>
      </c>
      <c r="M186" s="470">
        <f ca="1">M187+M188</f>
        <v>156200</v>
      </c>
      <c r="N186" s="470">
        <f ca="1">N187+N188</f>
        <v>98399.99</v>
      </c>
      <c r="O186" s="470">
        <f t="shared" ref="O186:O194" ca="1" si="59">IF(L186&gt;0,N186*100/L186,0)</f>
        <v>49.571783375314858</v>
      </c>
      <c r="P186" s="470">
        <f t="shared" ref="P186:P194" ca="1" si="60">IF(M186&gt;0,N186*100/M186,0)</f>
        <v>62.996152368758004</v>
      </c>
      <c r="Q186" s="470">
        <f ca="1">Q187+Q188</f>
        <v>155400</v>
      </c>
      <c r="R186" s="470">
        <f ca="1">R187+R188</f>
        <v>155400</v>
      </c>
      <c r="S186" s="470">
        <f ca="1">S187+S188</f>
        <v>0</v>
      </c>
      <c r="T186" s="470">
        <f t="shared" ref="T186:T194" ca="1" si="61">IF(Q186&gt;0,S186*100/Q186,0)</f>
        <v>0</v>
      </c>
      <c r="U186" s="470">
        <f t="shared" ref="U186:U194" ca="1" si="62">IF(R186&gt;0,S186*100/R186,0)</f>
        <v>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469">
        <f t="shared" ref="L187:N188" si="63">L190+L193</f>
        <v>0</v>
      </c>
      <c r="M187" s="83">
        <f t="shared" si="63"/>
        <v>0</v>
      </c>
      <c r="N187" s="83">
        <f t="shared" si="63"/>
        <v>0</v>
      </c>
      <c r="O187" s="83">
        <f t="shared" si="59"/>
        <v>0</v>
      </c>
      <c r="P187" s="83">
        <f t="shared" si="60"/>
        <v>0</v>
      </c>
      <c r="Q187" s="83">
        <f t="shared" ref="Q187:S188" si="64">Q190+Q193</f>
        <v>0</v>
      </c>
      <c r="R187" s="83">
        <f t="shared" si="64"/>
        <v>0</v>
      </c>
      <c r="S187" s="83">
        <f t="shared" si="64"/>
        <v>0</v>
      </c>
      <c r="T187" s="83">
        <f t="shared" si="61"/>
        <v>0</v>
      </c>
      <c r="U187" s="83">
        <f t="shared" si="62"/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468">
        <f t="shared" ca="1" si="63"/>
        <v>198500</v>
      </c>
      <c r="M188" s="224">
        <f t="shared" ca="1" si="63"/>
        <v>156200</v>
      </c>
      <c r="N188" s="224">
        <f t="shared" ca="1" si="63"/>
        <v>98399.99</v>
      </c>
      <c r="O188" s="224">
        <f t="shared" ca="1" si="59"/>
        <v>49.571783375314858</v>
      </c>
      <c r="P188" s="224">
        <f t="shared" ca="1" si="60"/>
        <v>62.996152368758004</v>
      </c>
      <c r="Q188" s="224">
        <f t="shared" ca="1" si="64"/>
        <v>155400</v>
      </c>
      <c r="R188" s="224">
        <f t="shared" ca="1" si="64"/>
        <v>155400</v>
      </c>
      <c r="S188" s="224">
        <f t="shared" ca="1" si="64"/>
        <v>0</v>
      </c>
      <c r="T188" s="224">
        <f t="shared" ca="1" si="61"/>
        <v>0</v>
      </c>
      <c r="U188" s="224">
        <f t="shared" ca="1" si="62"/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468">
        <f ca="1">L190+L191</f>
        <v>198500</v>
      </c>
      <c r="M189" s="224">
        <f ca="1">M190+M191</f>
        <v>156200</v>
      </c>
      <c r="N189" s="224">
        <f ca="1">N190+N191</f>
        <v>98399.99</v>
      </c>
      <c r="O189" s="224">
        <f t="shared" ca="1" si="59"/>
        <v>49.571783375314858</v>
      </c>
      <c r="P189" s="224">
        <f t="shared" ca="1" si="60"/>
        <v>62.996152368758004</v>
      </c>
      <c r="Q189" s="224">
        <f ca="1">Q190+Q191</f>
        <v>155400</v>
      </c>
      <c r="R189" s="224">
        <f ca="1">R190+R191</f>
        <v>155400</v>
      </c>
      <c r="S189" s="224">
        <f ca="1">S190+S191</f>
        <v>0</v>
      </c>
      <c r="T189" s="224">
        <f t="shared" ca="1" si="61"/>
        <v>0</v>
      </c>
      <c r="U189" s="224">
        <f t="shared" ca="1" si="62"/>
        <v>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469">
        <v>0</v>
      </c>
      <c r="M190" s="83">
        <v>0</v>
      </c>
      <c r="N190" s="83">
        <v>0</v>
      </c>
      <c r="O190" s="83">
        <f t="shared" si="59"/>
        <v>0</v>
      </c>
      <c r="P190" s="83">
        <f t="shared" si="60"/>
        <v>0</v>
      </c>
      <c r="Q190" s="83">
        <v>0</v>
      </c>
      <c r="R190" s="83">
        <v>0</v>
      </c>
      <c r="S190" s="83">
        <v>0</v>
      </c>
      <c r="T190" s="83">
        <f t="shared" si="61"/>
        <v>0</v>
      </c>
      <c r="U190" s="83">
        <f t="shared" si="62"/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468">
        <f ca="1">IFERROR(__xludf.DUMMYFUNCTION("IMPORTRANGE(""https://docs.google.com/spreadsheets/d/1-uDff_7J0KD5mKrp0Vvzr7lt3OU09vwQwhkpOPPYv2Y/edit?usp=sharing"",""งบพรบ!CU23"")"),198500)</f>
        <v>198500</v>
      </c>
      <c r="M191" s="224">
        <f ca="1">IFERROR(__xludf.DUMMYFUNCTION("IMPORTRANGE(""https://docs.google.com/spreadsheets/d/1-uDff_7J0KD5mKrp0Vvzr7lt3OU09vwQwhkpOPPYv2Y/edit?usp=sharing"",""งบพรบ!CZ23"")"),156200)</f>
        <v>156200</v>
      </c>
      <c r="N191" s="224">
        <f ca="1">IFERROR(__xludf.DUMMYFUNCTION("IMPORTRANGE(""https://docs.google.com/spreadsheets/d/1-uDff_7J0KD5mKrp0Vvzr7lt3OU09vwQwhkpOPPYv2Y/edit?usp=sharing"",""งบพรบ!DB23"")"),98399.99)</f>
        <v>98399.99</v>
      </c>
      <c r="O191" s="224">
        <f t="shared" ca="1" si="59"/>
        <v>49.571783375314858</v>
      </c>
      <c r="P191" s="224">
        <f t="shared" ca="1" si="60"/>
        <v>62.996152368758004</v>
      </c>
      <c r="Q191" s="224">
        <f ca="1">IFERROR(__xludf.DUMMYFUNCTION("IMPORTRANGE(""https://docs.google.com/spreadsheets/d/1ItG2mGa2ceCfYo0BwxsXqNm01IGEUdYcSSLTEv9YCik/edit?usp=sharing"",""เบิกจ่ายกองทุน!AV23"")"),155400)</f>
        <v>155400</v>
      </c>
      <c r="R191" s="224">
        <f ca="1">IFERROR(__xludf.DUMMYFUNCTION("IMPORTRANGE(""https://docs.google.com/spreadsheets/d/1ItG2mGa2ceCfYo0BwxsXqNm01IGEUdYcSSLTEv9YCik/edit?usp=sharing"",""เบิกจ่ายกองทุน!AW23"")"),155400)</f>
        <v>155400</v>
      </c>
      <c r="S191" s="224">
        <f ca="1">IFERROR(__xludf.DUMMYFUNCTION("IMPORTRANGE(""https://docs.google.com/spreadsheets/d/1ItG2mGa2ceCfYo0BwxsXqNm01IGEUdYcSSLTEv9YCik/edit?usp=sharing"",""เบิกจ่ายกองทุน!AX23"")"),0)</f>
        <v>0</v>
      </c>
      <c r="T191" s="224">
        <f t="shared" ca="1" si="61"/>
        <v>0</v>
      </c>
      <c r="U191" s="224">
        <f t="shared" ca="1" si="62"/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468">
        <f ca="1">L193+L194</f>
        <v>0</v>
      </c>
      <c r="M192" s="224">
        <f ca="1">M193+M194</f>
        <v>0</v>
      </c>
      <c r="N192" s="224">
        <f ca="1">N193+N194</f>
        <v>0</v>
      </c>
      <c r="O192" s="224">
        <f t="shared" ca="1" si="59"/>
        <v>0</v>
      </c>
      <c r="P192" s="224">
        <f t="shared" ca="1" si="60"/>
        <v>0</v>
      </c>
      <c r="Q192" s="224">
        <f>Q193+Q194</f>
        <v>0</v>
      </c>
      <c r="R192" s="224">
        <f>R193+R194</f>
        <v>0</v>
      </c>
      <c r="S192" s="224">
        <f>S193+S194</f>
        <v>0</v>
      </c>
      <c r="T192" s="224">
        <f t="shared" si="61"/>
        <v>0</v>
      </c>
      <c r="U192" s="224">
        <f t="shared" si="62"/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469">
        <v>0</v>
      </c>
      <c r="M193" s="83">
        <v>0</v>
      </c>
      <c r="N193" s="83">
        <v>0</v>
      </c>
      <c r="O193" s="83">
        <f t="shared" si="59"/>
        <v>0</v>
      </c>
      <c r="P193" s="83">
        <f t="shared" si="60"/>
        <v>0</v>
      </c>
      <c r="Q193" s="83">
        <v>0</v>
      </c>
      <c r="R193" s="83">
        <v>0</v>
      </c>
      <c r="S193" s="83">
        <v>0</v>
      </c>
      <c r="T193" s="83">
        <f t="shared" si="61"/>
        <v>0</v>
      </c>
      <c r="U193" s="83">
        <f t="shared" si="62"/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468">
        <f ca="1">IFERROR(__xludf.DUMMYFUNCTION("IMPORTRANGE(""https://docs.google.com/spreadsheets/d/1-uDff_7J0KD5mKrp0Vvzr7lt3OU09vwQwhkpOPPYv2Y/edit?usp=sharing"",""งบพรบ!CX23"")"),0)</f>
        <v>0</v>
      </c>
      <c r="M194" s="224">
        <f ca="1">IFERROR(__xludf.DUMMYFUNCTION("IMPORTRANGE(""https://docs.google.com/spreadsheets/d/1-uDff_7J0KD5mKrp0Vvzr7lt3OU09vwQwhkpOPPYv2Y/edit?usp=sharing"",""งบพรบ!DA23"")"),0)</f>
        <v>0</v>
      </c>
      <c r="N194" s="224">
        <f ca="1">IFERROR(__xludf.DUMMYFUNCTION("IMPORTRANGE(""https://docs.google.com/spreadsheets/d/1-uDff_7J0KD5mKrp0Vvzr7lt3OU09vwQwhkpOPPYv2Y/edit?usp=sharing"",""งบพรบ!DC23"")"),0)</f>
        <v>0</v>
      </c>
      <c r="O194" s="224">
        <f t="shared" ca="1" si="59"/>
        <v>0</v>
      </c>
      <c r="P194" s="224">
        <f t="shared" ca="1" si="60"/>
        <v>0</v>
      </c>
      <c r="Q194" s="224">
        <v>0</v>
      </c>
      <c r="R194" s="224">
        <v>0</v>
      </c>
      <c r="S194" s="224">
        <v>0</v>
      </c>
      <c r="T194" s="224">
        <f t="shared" si="61"/>
        <v>0</v>
      </c>
      <c r="U194" s="224">
        <f t="shared" si="62"/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ca="1">I198</f>
        <v>4</v>
      </c>
      <c r="J195" s="303">
        <f>J198</f>
        <v>2</v>
      </c>
      <c r="K195" s="304">
        <f ca="1">IF(I195&gt;0,J195*100/I195,0)</f>
        <v>50</v>
      </c>
      <c r="L195" s="557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654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471">
        <f ca="1">IFERROR(__xludf.DUMMYFUNCTION("IMPORTRANGE(""https://docs.google.com/spreadsheets/d/1eHaY18a8A9IcSdp1K8H6x8fbOy06t2VsZHhMHf-1x7Y/edit?usp=sharing"",""แผน!AB23"")"),6000)</f>
        <v>6000</v>
      </c>
      <c r="M196" s="45"/>
      <c r="N196" s="658">
        <v>2260</v>
      </c>
      <c r="O196" s="470">
        <f ca="1">IF(L196&gt;0,N196*100/L196,0)</f>
        <v>37.666666666666664</v>
      </c>
      <c r="P196" s="47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498" t="s">
        <v>38</v>
      </c>
      <c r="E197" s="141"/>
      <c r="F197" s="141"/>
      <c r="G197" s="142"/>
      <c r="H197" s="143"/>
      <c r="I197" s="44"/>
      <c r="J197" s="44"/>
      <c r="K197" s="45"/>
      <c r="L197" s="465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IFERROR(__xludf.DUMMYFUNCTION("IMPORTRANGE(""https://docs.google.com/spreadsheets/d/1eHaY18a8A9IcSdp1K8H6x8fbOy06t2VsZHhMHf-1x7Y/edit?usp=sharing"",""แผน!AE23"")"),4)</f>
        <v>4</v>
      </c>
      <c r="J198" s="466">
        <v>2</v>
      </c>
      <c r="K198" s="224">
        <f ca="1">IF(I198&gt;0,J198*100/I198,0)</f>
        <v>50</v>
      </c>
      <c r="L198" s="465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20</v>
      </c>
      <c r="K199" s="45"/>
      <c r="L199" s="465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466">
        <v>20</v>
      </c>
      <c r="K200" s="45"/>
      <c r="L200" s="465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466">
        <v>0</v>
      </c>
      <c r="K201" s="45"/>
      <c r="L201" s="465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ca="1">I209</f>
        <v>4</v>
      </c>
      <c r="J202" s="303">
        <f>J209</f>
        <v>0</v>
      </c>
      <c r="K202" s="304">
        <f ca="1">IF(I202&gt;0,J202*100/I202,0)</f>
        <v>0</v>
      </c>
      <c r="L202" s="557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654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471">
        <f ca="1">L204+L205+L206+L207</f>
        <v>25000</v>
      </c>
      <c r="M203" s="45"/>
      <c r="N203" s="470">
        <f>N204+N205+N206+N207</f>
        <v>0</v>
      </c>
      <c r="O203" s="470">
        <f ca="1">IF(L203&gt;0,N203*100/L203,0)</f>
        <v>0</v>
      </c>
      <c r="P203" s="470">
        <f>IF(M203&gt;0,N203*100/M203,0)</f>
        <v>0</v>
      </c>
      <c r="Q203" s="657">
        <f ca="1">Q204+Q205+Q206+Q207</f>
        <v>56000</v>
      </c>
      <c r="R203" s="656"/>
      <c r="S203" s="655">
        <f>S204+S205+S206+S207</f>
        <v>0</v>
      </c>
      <c r="T203" s="655">
        <f ca="1">IF(Q203&gt;0,S203*100/Q203,0)</f>
        <v>0</v>
      </c>
      <c r="U203" s="655">
        <f>IF(R203&gt;0,S203*100/R203,0)</f>
        <v>0</v>
      </c>
    </row>
    <row r="204" spans="1:21" ht="18.75" x14ac:dyDescent="0.25">
      <c r="A204" s="128"/>
      <c r="B204" s="158"/>
      <c r="C204" s="40"/>
      <c r="D204" s="653" t="s">
        <v>311</v>
      </c>
      <c r="E204" s="40"/>
      <c r="F204" s="40"/>
      <c r="G204" s="42"/>
      <c r="H204" s="134" t="s">
        <v>14</v>
      </c>
      <c r="I204" s="135"/>
      <c r="J204" s="135"/>
      <c r="K204" s="136"/>
      <c r="L204" s="468">
        <f ca="1">IFERROR(__xludf.DUMMYFUNCTION("IMPORTRANGE(""https://docs.google.com/spreadsheets/d/1eHaY18a8A9IcSdp1K8H6x8fbOy06t2VsZHhMHf-1x7Y/edit?usp=sharing"",""แผน!AG23"")"),4000)</f>
        <v>4000</v>
      </c>
      <c r="M204" s="45"/>
      <c r="N204" s="644">
        <v>0</v>
      </c>
      <c r="O204" s="136"/>
      <c r="P204" s="45"/>
      <c r="Q204" s="468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307</v>
      </c>
      <c r="E205" s="40"/>
      <c r="F205" s="40"/>
      <c r="G205" s="42"/>
      <c r="H205" s="43" t="s">
        <v>14</v>
      </c>
      <c r="I205" s="44"/>
      <c r="J205" s="44"/>
      <c r="K205" s="45"/>
      <c r="L205" s="468">
        <f ca="1">IFERROR(__xludf.DUMMYFUNCTION("IMPORTRANGE(""https://docs.google.com/spreadsheets/d/1eHaY18a8A9IcSdp1K8H6x8fbOy06t2VsZHhMHf-1x7Y/edit?usp=sharing"",""แผน!AH23"")"),0)</f>
        <v>0</v>
      </c>
      <c r="M205" s="45"/>
      <c r="N205" s="644">
        <v>0</v>
      </c>
      <c r="O205" s="136"/>
      <c r="P205" s="45"/>
      <c r="Q205" s="468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468">
        <f ca="1">IFERROR(__xludf.DUMMYFUNCTION("IMPORTRANGE(""https://docs.google.com/spreadsheets/d/1eHaY18a8A9IcSdp1K8H6x8fbOy06t2VsZHhMHf-1x7Y/edit?usp=sharing"",""แผน!AI23"")"),0)</f>
        <v>0</v>
      </c>
      <c r="M206" s="45"/>
      <c r="N206" s="644">
        <v>0</v>
      </c>
      <c r="O206" s="136"/>
      <c r="P206" s="45"/>
      <c r="Q206" s="468">
        <f ca="1">IFERROR(__xludf.DUMMYFUNCTION("IMPORTRANGE(""https://docs.google.com/spreadsheets/d/1eHaY18a8A9IcSdp1K8H6x8fbOy06t2VsZHhMHf-1x7Y/edit?usp=sharing"",""แผน!LV23"")"),56000)</f>
        <v>56000</v>
      </c>
      <c r="R206" s="45"/>
      <c r="S206" s="644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468">
        <f ca="1">IFERROR(__xludf.DUMMYFUNCTION("IMPORTRANGE(""https://docs.google.com/spreadsheets/d/1eHaY18a8A9IcSdp1K8H6x8fbOy06t2VsZHhMHf-1x7Y/edit?usp=sharing"",""แผน!AJ23"")"),21000)</f>
        <v>21000</v>
      </c>
      <c r="M207" s="45"/>
      <c r="N207" s="644">
        <v>0</v>
      </c>
      <c r="O207" s="136"/>
      <c r="P207" s="45"/>
      <c r="Q207" s="468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498" t="s">
        <v>38</v>
      </c>
      <c r="E208" s="141"/>
      <c r="F208" s="141"/>
      <c r="G208" s="142"/>
      <c r="H208" s="143"/>
      <c r="I208" s="135"/>
      <c r="J208" s="135"/>
      <c r="K208" s="136"/>
      <c r="L208" s="492"/>
      <c r="M208" s="136"/>
      <c r="N208" s="136"/>
      <c r="O208" s="136"/>
      <c r="P208" s="136"/>
      <c r="Q208" s="4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IFERROR(__xludf.DUMMYFUNCTION("IMPORTRANGE(""https://docs.google.com/spreadsheets/d/1eHaY18a8A9IcSdp1K8H6x8fbOy06t2VsZHhMHf-1x7Y/edit?usp=sharing"",""แผน!AK23"")"),4)</f>
        <v>4</v>
      </c>
      <c r="J209" s="466">
        <v>0</v>
      </c>
      <c r="K209" s="497">
        <f ca="1">IF(I209&gt;0,J209*100/I209,0)</f>
        <v>0</v>
      </c>
      <c r="L209" s="465"/>
      <c r="M209" s="45"/>
      <c r="N209" s="45"/>
      <c r="O209" s="45"/>
      <c r="P209" s="45"/>
      <c r="Q209" s="465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465"/>
      <c r="M210" s="45"/>
      <c r="N210" s="45"/>
      <c r="O210" s="45"/>
      <c r="P210" s="45"/>
      <c r="Q210" s="46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IFERROR(__xludf.DUMMYFUNCTION("IMPORTRANGE(""https://docs.google.com/spreadsheets/d/1eHaY18a8A9IcSdp1K8H6x8fbOy06t2VsZHhMHf-1x7Y/edit?usp=sharing"",""แผน!JX23"")"),4)</f>
        <v>4</v>
      </c>
      <c r="J211" s="466">
        <v>0</v>
      </c>
      <c r="K211" s="497">
        <f ca="1">IF(I211&gt;0,J211*100/I211,0)</f>
        <v>0</v>
      </c>
      <c r="L211" s="465"/>
      <c r="M211" s="45"/>
      <c r="N211" s="45"/>
      <c r="O211" s="45"/>
      <c r="P211" s="45"/>
      <c r="Q211" s="46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IFERROR(__xludf.DUMMYFUNCTION("IMPORTRANGE(""https://docs.google.com/spreadsheets/d/1eHaY18a8A9IcSdp1K8H6x8fbOy06t2VsZHhMHf-1x7Y/edit?usp=sharing"",""แผน!JY23"")"),1)</f>
        <v>1</v>
      </c>
      <c r="J212" s="466">
        <v>0</v>
      </c>
      <c r="K212" s="497">
        <f ca="1">IF(I212&gt;0,J212*100/I212,0)</f>
        <v>0</v>
      </c>
      <c r="L212" s="465"/>
      <c r="M212" s="45"/>
      <c r="N212" s="45"/>
      <c r="O212" s="45"/>
      <c r="P212" s="45"/>
      <c r="Q212" s="465"/>
      <c r="R212" s="45"/>
      <c r="S212" s="45"/>
      <c r="T212" s="45"/>
      <c r="U212" s="45"/>
    </row>
    <row r="213" spans="1:21" ht="19.5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ca="1">I220</f>
        <v>2</v>
      </c>
      <c r="J213" s="303">
        <f>J220</f>
        <v>0</v>
      </c>
      <c r="K213" s="304">
        <f ca="1">IF(I213&gt;0,J213*100/I213,0)</f>
        <v>0</v>
      </c>
      <c r="L213" s="557"/>
      <c r="M213" s="219"/>
      <c r="N213" s="219"/>
      <c r="O213" s="219"/>
      <c r="P213" s="219"/>
      <c r="Q213" s="557"/>
      <c r="R213" s="219"/>
      <c r="S213" s="219"/>
      <c r="T213" s="219"/>
      <c r="U213" s="219"/>
    </row>
    <row r="214" spans="1:21" ht="19.5" x14ac:dyDescent="0.3">
      <c r="A214" s="128"/>
      <c r="B214" s="40"/>
      <c r="C214" s="129" t="s">
        <v>18</v>
      </c>
      <c r="D214" s="654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471">
        <f ca="1">L215+L216+L217</f>
        <v>12000</v>
      </c>
      <c r="M214" s="45"/>
      <c r="N214" s="470">
        <f>N215+N216+N217</f>
        <v>0</v>
      </c>
      <c r="O214" s="470">
        <f ca="1">IF(L214&gt;0,N214*100/L214,0)</f>
        <v>0</v>
      </c>
      <c r="P214" s="470">
        <f>IF(M214&gt;0,N214*100/M214,0)</f>
        <v>0</v>
      </c>
      <c r="Q214" s="471">
        <f ca="1">Q215+Q216+Q217</f>
        <v>99400</v>
      </c>
      <c r="R214" s="45"/>
      <c r="S214" s="470">
        <f>S215+S216+S217</f>
        <v>0</v>
      </c>
      <c r="T214" s="470">
        <f ca="1">IF(Q214&gt;0,S214*100/Q214,0)</f>
        <v>0</v>
      </c>
      <c r="U214" s="470">
        <f>IF(R214&gt;0,S214*100/R214,0)</f>
        <v>0</v>
      </c>
    </row>
    <row r="215" spans="1:21" ht="18.75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468">
        <f ca="1">IFERROR(__xludf.DUMMYFUNCTION("IMPORTRANGE(""https://docs.google.com/spreadsheets/d/1eHaY18a8A9IcSdp1K8H6x8fbOy06t2VsZHhMHf-1x7Y/edit?usp=sharing"",""แผน!AM23"")"),2000)</f>
        <v>2000</v>
      </c>
      <c r="M215" s="45"/>
      <c r="N215" s="644">
        <v>0</v>
      </c>
      <c r="O215" s="136"/>
      <c r="P215" s="45"/>
      <c r="Q215" s="468">
        <v>0</v>
      </c>
      <c r="R215" s="45"/>
      <c r="S215" s="224">
        <v>0</v>
      </c>
      <c r="T215" s="136"/>
      <c r="U215" s="45"/>
    </row>
    <row r="216" spans="1:21" ht="18.75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468">
        <f ca="1">IFERROR(__xludf.DUMMYFUNCTION("IMPORTRANGE(""https://docs.google.com/spreadsheets/d/1eHaY18a8A9IcSdp1K8H6x8fbOy06t2VsZHhMHf-1x7Y/edit?usp=sharing"",""แผน!AN23"")"),10000)</f>
        <v>10000</v>
      </c>
      <c r="M216" s="45"/>
      <c r="N216" s="644">
        <v>0</v>
      </c>
      <c r="O216" s="136"/>
      <c r="P216" s="45"/>
      <c r="Q216" s="468">
        <v>0</v>
      </c>
      <c r="R216" s="45"/>
      <c r="S216" s="224">
        <v>0</v>
      </c>
      <c r="T216" s="136"/>
      <c r="U216" s="45"/>
    </row>
    <row r="217" spans="1:21" ht="18.75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468">
        <f ca="1">IFERROR(__xludf.DUMMYFUNCTION("IMPORTRANGE(""https://docs.google.com/spreadsheets/d/1eHaY18a8A9IcSdp1K8H6x8fbOy06t2VsZHhMHf-1x7Y/edit?usp=sharing"",""แผน!AO23"")"),0)</f>
        <v>0</v>
      </c>
      <c r="M217" s="45"/>
      <c r="N217" s="644">
        <v>0</v>
      </c>
      <c r="O217" s="136"/>
      <c r="P217" s="45"/>
      <c r="Q217" s="468">
        <f ca="1">IFERROR(__xludf.DUMMYFUNCTION("IMPORTRANGE(""https://docs.google.com/spreadsheets/d/1eHaY18a8A9IcSdp1K8H6x8fbOy06t2VsZHhMHf-1x7Y/edit?usp=sharing"",""แผน!LY23"")"),99400)</f>
        <v>99400</v>
      </c>
      <c r="R217" s="45"/>
      <c r="S217" s="644">
        <v>0</v>
      </c>
      <c r="T217" s="136"/>
      <c r="U217" s="45"/>
    </row>
    <row r="218" spans="1:21" ht="19.5" x14ac:dyDescent="0.3">
      <c r="A218" s="138"/>
      <c r="B218" s="139"/>
      <c r="C218" s="161" t="s">
        <v>18</v>
      </c>
      <c r="D218" s="498" t="s">
        <v>38</v>
      </c>
      <c r="E218" s="141"/>
      <c r="F218" s="141"/>
      <c r="G218" s="142"/>
      <c r="H218" s="143"/>
      <c r="I218" s="135"/>
      <c r="J218" s="44"/>
      <c r="K218" s="45"/>
      <c r="L218" s="465"/>
      <c r="M218" s="45"/>
      <c r="N218" s="45"/>
      <c r="O218" s="136"/>
      <c r="P218" s="136"/>
      <c r="Q218" s="465"/>
      <c r="R218" s="45"/>
      <c r="S218" s="45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IFERROR(__xludf.DUMMYFUNCTION("IMPORTRANGE(""https://docs.google.com/spreadsheets/d/1eHaY18a8A9IcSdp1K8H6x8fbOy06t2VsZHhMHf-1x7Y/edit?usp=sharing"",""แผน!AP23"")"),2)</f>
        <v>2</v>
      </c>
      <c r="J219" s="466">
        <v>0</v>
      </c>
      <c r="K219" s="224">
        <f ca="1">IF(I219&gt;0,J219*100/I219,0)</f>
        <v>0</v>
      </c>
      <c r="L219" s="465"/>
      <c r="M219" s="45"/>
      <c r="N219" s="45"/>
      <c r="O219" s="45"/>
      <c r="P219" s="45"/>
      <c r="Q219" s="465"/>
      <c r="R219" s="45"/>
      <c r="S219" s="45"/>
      <c r="T219" s="45"/>
      <c r="U219" s="45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IFERROR(__xludf.DUMMYFUNCTION("IMPORTRANGE(""https://docs.google.com/spreadsheets/d/1eHaY18a8A9IcSdp1K8H6x8fbOy06t2VsZHhMHf-1x7Y/edit?usp=sharing"",""แผน!AP23"")"),2)</f>
        <v>2</v>
      </c>
      <c r="J220" s="466">
        <v>0</v>
      </c>
      <c r="K220" s="224">
        <f ca="1">IF(I220&gt;0,J220*100/I220,0)</f>
        <v>0</v>
      </c>
      <c r="L220" s="465"/>
      <c r="M220" s="45"/>
      <c r="N220" s="45"/>
      <c r="O220" s="45"/>
      <c r="P220" s="45"/>
      <c r="Q220" s="465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ca="1">I229</f>
        <v>128000</v>
      </c>
      <c r="J221" s="303">
        <f>J229</f>
        <v>0</v>
      </c>
      <c r="K221" s="304">
        <f ca="1">IF(I221&gt;0,J221*100/I221,0)</f>
        <v>0</v>
      </c>
      <c r="L221" s="557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654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471">
        <f ca="1">L223+L224+L225</f>
        <v>16500</v>
      </c>
      <c r="M222" s="45"/>
      <c r="N222" s="470">
        <f>N223+N224+N225</f>
        <v>0</v>
      </c>
      <c r="O222" s="470">
        <f ca="1">IF(L222&gt;0,N222*100/L222,0)</f>
        <v>0</v>
      </c>
      <c r="P222" s="47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653" t="s">
        <v>308</v>
      </c>
      <c r="E223" s="40"/>
      <c r="F223" s="40"/>
      <c r="G223" s="42"/>
      <c r="H223" s="134" t="s">
        <v>14</v>
      </c>
      <c r="I223" s="135"/>
      <c r="J223" s="135"/>
      <c r="K223" s="136"/>
      <c r="L223" s="468">
        <f ca="1">IFERROR(__xludf.DUMMYFUNCTION("IMPORTRANGE(""https://docs.google.com/spreadsheets/d/1eHaY18a8A9IcSdp1K8H6x8fbOy06t2VsZHhMHf-1x7Y/edit?usp=sharing"",""แผน!AR23"")"),2500)</f>
        <v>2500</v>
      </c>
      <c r="M223" s="45"/>
      <c r="N223" s="644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307</v>
      </c>
      <c r="E224" s="40"/>
      <c r="F224" s="40"/>
      <c r="G224" s="42"/>
      <c r="H224" s="134" t="s">
        <v>14</v>
      </c>
      <c r="I224" s="44"/>
      <c r="J224" s="44"/>
      <c r="K224" s="45"/>
      <c r="L224" s="468">
        <f ca="1">IFERROR(__xludf.DUMMYFUNCTION("IMPORTRANGE(""https://docs.google.com/spreadsheets/d/1eHaY18a8A9IcSdp1K8H6x8fbOy06t2VsZHhMHf-1x7Y/edit?usp=sharing"",""แผน!AS23"")"),14000)</f>
        <v>14000</v>
      </c>
      <c r="M224" s="45"/>
      <c r="N224" s="644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468">
        <f ca="1">IFERROR(__xludf.DUMMYFUNCTION("IMPORTRANGE(""https://docs.google.com/spreadsheets/d/1eHaY18a8A9IcSdp1K8H6x8fbOy06t2VsZHhMHf-1x7Y/edit?usp=sharing"",""แผน!AT23"")"),0)</f>
        <v>0</v>
      </c>
      <c r="M225" s="45"/>
      <c r="N225" s="644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498" t="s">
        <v>38</v>
      </c>
      <c r="E226" s="141"/>
      <c r="F226" s="141"/>
      <c r="G226" s="142"/>
      <c r="H226" s="143"/>
      <c r="I226" s="135"/>
      <c r="J226" s="135"/>
      <c r="K226" s="136"/>
      <c r="L226" s="4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4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IFERROR(__xludf.DUMMYFUNCTION("IMPORTRANGE(""https://docs.google.com/spreadsheets/d/1eHaY18a8A9IcSdp1K8H6x8fbOy06t2VsZHhMHf-1x7Y/edit?usp=sharing"",""แผน!AV23"")"),128000)</f>
        <v>128000</v>
      </c>
      <c r="J228" s="466">
        <v>128000</v>
      </c>
      <c r="K228" s="497">
        <f ca="1">IF(I228&gt;0,J228*100/I228,0)</f>
        <v>100</v>
      </c>
      <c r="L228" s="4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IFERROR(__xludf.DUMMYFUNCTION("IMPORTRANGE(""https://docs.google.com/spreadsheets/d/1eHaY18a8A9IcSdp1K8H6x8fbOy06t2VsZHhMHf-1x7Y/edit?usp=sharing"",""แผน!AV23"")"),128000)</f>
        <v>128000</v>
      </c>
      <c r="J229" s="466">
        <v>0</v>
      </c>
      <c r="K229" s="497">
        <f ca="1">IF(I229&gt;0,J229*100/I229,0)</f>
        <v>0</v>
      </c>
      <c r="L229" s="465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IFERROR(__xludf.DUMMYFUNCTION("IMPORTRANGE(""https://docs.google.com/spreadsheets/d/1eHaY18a8A9IcSdp1K8H6x8fbOy06t2VsZHhMHf-1x7Y/edit?usp=sharing"",""แผน!AU23"")"),0)</f>
        <v>0</v>
      </c>
      <c r="J230" s="466">
        <v>0</v>
      </c>
      <c r="K230" s="497">
        <f ca="1">IF(I230&gt;0,J230*100/I230,0)</f>
        <v>0</v>
      </c>
      <c r="L230" s="465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3">
        <f ca="1">I242+I253</f>
        <v>0</v>
      </c>
      <c r="J231" s="303">
        <f>J242+J253</f>
        <v>0</v>
      </c>
      <c r="K231" s="304">
        <f ca="1">IF(I231&gt;0,J231*100/I231,0)</f>
        <v>0</v>
      </c>
      <c r="L231" s="557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472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652">
        <f ca="1">L243+L254</f>
        <v>0</v>
      </c>
      <c r="M232" s="45"/>
      <c r="N232" s="651">
        <f>N243+N254</f>
        <v>0</v>
      </c>
      <c r="O232" s="45"/>
      <c r="P232" s="45"/>
      <c r="Q232" s="45"/>
      <c r="R232" s="45"/>
      <c r="S232" s="45"/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469">
        <f ca="1">L244+L255</f>
        <v>0</v>
      </c>
      <c r="M233" s="45"/>
      <c r="N233" s="83">
        <f>N244+N255</f>
        <v>0</v>
      </c>
      <c r="O233" s="45"/>
      <c r="P233" s="45"/>
      <c r="Q233" s="713">
        <v>0</v>
      </c>
      <c r="R233" s="712">
        <v>0</v>
      </c>
      <c r="S233" s="712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469">
        <f ca="1">L245+L256</f>
        <v>0</v>
      </c>
      <c r="M234" s="45"/>
      <c r="N234" s="83">
        <f>N245+N256</f>
        <v>0</v>
      </c>
      <c r="O234" s="45"/>
      <c r="P234" s="45"/>
      <c r="Q234" s="711">
        <v>0</v>
      </c>
      <c r="R234" s="710">
        <v>0</v>
      </c>
      <c r="S234" s="710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469">
        <f ca="1">L246+L257</f>
        <v>0</v>
      </c>
      <c r="M235" s="45"/>
      <c r="N235" s="83">
        <f>N246+N257</f>
        <v>0</v>
      </c>
      <c r="O235" s="45"/>
      <c r="P235" s="45"/>
      <c r="Q235" s="711">
        <v>0</v>
      </c>
      <c r="R235" s="710">
        <v>0</v>
      </c>
      <c r="S235" s="710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469">
        <f ca="1">L247+L258</f>
        <v>0</v>
      </c>
      <c r="M236" s="45"/>
      <c r="N236" s="83">
        <f>N247+N258</f>
        <v>0</v>
      </c>
      <c r="O236" s="45"/>
      <c r="P236" s="45"/>
      <c r="Q236" s="711">
        <v>0</v>
      </c>
      <c r="R236" s="710">
        <v>0</v>
      </c>
      <c r="S236" s="710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498" t="s">
        <v>38</v>
      </c>
      <c r="E237" s="141"/>
      <c r="F237" s="141"/>
      <c r="G237" s="142"/>
      <c r="H237" s="143"/>
      <c r="I237" s="135"/>
      <c r="J237" s="44"/>
      <c r="K237" s="45"/>
      <c r="L237" s="465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465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465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465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465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649" t="s">
        <v>111</v>
      </c>
      <c r="D242" s="214"/>
      <c r="E242" s="214"/>
      <c r="F242" s="214"/>
      <c r="G242" s="215"/>
      <c r="H242" s="648" t="s">
        <v>35</v>
      </c>
      <c r="I242" s="647">
        <f ca="1">I249</f>
        <v>0</v>
      </c>
      <c r="J242" s="647">
        <f>J249</f>
        <v>0</v>
      </c>
      <c r="K242" s="646">
        <f ca="1">IF(I242&gt;0,J242*100/I242,0)</f>
        <v>0</v>
      </c>
      <c r="L242" s="557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527" t="s">
        <v>18</v>
      </c>
      <c r="D243" s="494" t="s">
        <v>19</v>
      </c>
      <c r="E243" s="40"/>
      <c r="F243" s="40"/>
      <c r="G243" s="42"/>
      <c r="H243" s="372" t="s">
        <v>14</v>
      </c>
      <c r="I243" s="135"/>
      <c r="J243" s="135"/>
      <c r="K243" s="136"/>
      <c r="L243" s="471">
        <f ca="1">L244+L245+L246+L247</f>
        <v>0</v>
      </c>
      <c r="M243" s="45"/>
      <c r="N243" s="470">
        <f>N244+N245+N246+N247</f>
        <v>0</v>
      </c>
      <c r="O243" s="470">
        <f ca="1">IF(L243&gt;0,N243*100/L243,0)</f>
        <v>0</v>
      </c>
      <c r="P243" s="470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468">
        <f ca="1">IFERROR(__xludf.DUMMYFUNCTION("IMPORTRANGE(""https://docs.google.com/spreadsheets/d/1eHaY18a8A9IcSdp1K8H6x8fbOy06t2VsZHhMHf-1x7Y/edit?usp=sharing"",""แผน!AX23"")"),0)</f>
        <v>0</v>
      </c>
      <c r="M244" s="45"/>
      <c r="N244" s="644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468">
        <f ca="1">IFERROR(__xludf.DUMMYFUNCTION("IMPORTRANGE(""https://docs.google.com/spreadsheets/d/1eHaY18a8A9IcSdp1K8H6x8fbOy06t2VsZHhMHf-1x7Y/edit?usp=sharing"",""แผน!AY23"")"),0)</f>
        <v>0</v>
      </c>
      <c r="M245" s="45"/>
      <c r="N245" s="644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468">
        <f ca="1">IFERROR(__xludf.DUMMYFUNCTION("IMPORTRANGE(""https://docs.google.com/spreadsheets/d/1eHaY18a8A9IcSdp1K8H6x8fbOy06t2VsZHhMHf-1x7Y/edit?usp=sharing"",""แผน!AZ23"")"),0)</f>
        <v>0</v>
      </c>
      <c r="M246" s="45"/>
      <c r="N246" s="644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468">
        <f ca="1">IFERROR(__xludf.DUMMYFUNCTION("IMPORTRANGE(""https://docs.google.com/spreadsheets/d/1eHaY18a8A9IcSdp1K8H6x8fbOy06t2VsZHhMHf-1x7Y/edit?usp=sharing"",""แผน!BA23"")"),0)</f>
        <v>0</v>
      </c>
      <c r="M247" s="45"/>
      <c r="N247" s="644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643" t="s">
        <v>18</v>
      </c>
      <c r="D248" s="509" t="s">
        <v>38</v>
      </c>
      <c r="E248" s="141"/>
      <c r="F248" s="141"/>
      <c r="G248" s="142"/>
      <c r="H248" s="143"/>
      <c r="I248" s="135"/>
      <c r="J248" s="44"/>
      <c r="K248" s="45"/>
      <c r="L248" s="465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640" t="s">
        <v>35</v>
      </c>
      <c r="I249" s="430">
        <f ca="1">IFERROR(__xludf.DUMMYFUNCTION("IMPORTRANGE(""https://docs.google.com/spreadsheets/d/1eHaY18a8A9IcSdp1K8H6x8fbOy06t2VsZHhMHf-1x7Y/edit?usp=sharing"",""แผน!BG23"")"),0)</f>
        <v>0</v>
      </c>
      <c r="J249" s="525">
        <v>0</v>
      </c>
      <c r="K249" s="83">
        <f ca="1">IF(I249&gt;0,J249*100/I249,0)</f>
        <v>0</v>
      </c>
      <c r="L249" s="465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642" t="s">
        <v>43</v>
      </c>
      <c r="E250" s="145"/>
      <c r="F250" s="145"/>
      <c r="G250" s="143"/>
      <c r="H250" s="143"/>
      <c r="I250" s="44"/>
      <c r="J250" s="44"/>
      <c r="K250" s="45"/>
      <c r="L250" s="465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1" t="s">
        <v>109</v>
      </c>
      <c r="F251" s="145"/>
      <c r="G251" s="143"/>
      <c r="H251" s="640" t="s">
        <v>35</v>
      </c>
      <c r="I251" s="430">
        <v>0</v>
      </c>
      <c r="J251" s="525">
        <v>0</v>
      </c>
      <c r="K251" s="83">
        <f>IF(I251&gt;0,J251*100/I251,0)</f>
        <v>0</v>
      </c>
      <c r="L251" s="465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641" t="s">
        <v>110</v>
      </c>
      <c r="F252" s="145"/>
      <c r="G252" s="143"/>
      <c r="H252" s="640" t="s">
        <v>61</v>
      </c>
      <c r="I252" s="430">
        <v>0</v>
      </c>
      <c r="J252" s="525">
        <v>0</v>
      </c>
      <c r="K252" s="83">
        <f>IF(I252&gt;0,J252*100/I252,0)</f>
        <v>0</v>
      </c>
      <c r="L252" s="465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649" t="s">
        <v>112</v>
      </c>
      <c r="D253" s="214"/>
      <c r="E253" s="214"/>
      <c r="F253" s="214"/>
      <c r="G253" s="215"/>
      <c r="H253" s="648" t="s">
        <v>35</v>
      </c>
      <c r="I253" s="647">
        <f ca="1">I260</f>
        <v>0</v>
      </c>
      <c r="J253" s="647">
        <f>J260</f>
        <v>0</v>
      </c>
      <c r="K253" s="646">
        <f ca="1">IF(I253&gt;0,J253*100/I253,0)</f>
        <v>0</v>
      </c>
      <c r="L253" s="557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527" t="s">
        <v>18</v>
      </c>
      <c r="D254" s="645" t="s">
        <v>19</v>
      </c>
      <c r="E254" s="40"/>
      <c r="F254" s="40"/>
      <c r="G254" s="42"/>
      <c r="H254" s="372" t="s">
        <v>14</v>
      </c>
      <c r="I254" s="135"/>
      <c r="J254" s="135"/>
      <c r="K254" s="136"/>
      <c r="L254" s="471">
        <f ca="1">L255+L256+L257+L258</f>
        <v>0</v>
      </c>
      <c r="M254" s="45"/>
      <c r="N254" s="470">
        <f>N255+N256+N257+N258</f>
        <v>0</v>
      </c>
      <c r="O254" s="470">
        <f ca="1">IF(L254&gt;0,N254*100/L254,0)</f>
        <v>0</v>
      </c>
      <c r="P254" s="470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468">
        <f ca="1">IFERROR(__xludf.DUMMYFUNCTION("IMPORTRANGE(""https://docs.google.com/spreadsheets/d/1eHaY18a8A9IcSdp1K8H6x8fbOy06t2VsZHhMHf-1x7Y/edit?usp=sharing"",""แผน!BB23"")"),0)</f>
        <v>0</v>
      </c>
      <c r="M255" s="45"/>
      <c r="N255" s="644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468">
        <f ca="1">IFERROR(__xludf.DUMMYFUNCTION("IMPORTRANGE(""https://docs.google.com/spreadsheets/d/1eHaY18a8A9IcSdp1K8H6x8fbOy06t2VsZHhMHf-1x7Y/edit?usp=sharing"",""แผน!BC23"")"),0)</f>
        <v>0</v>
      </c>
      <c r="M256" s="45"/>
      <c r="N256" s="644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468">
        <f ca="1">IFERROR(__xludf.DUMMYFUNCTION("IMPORTRANGE(""https://docs.google.com/spreadsheets/d/1eHaY18a8A9IcSdp1K8H6x8fbOy06t2VsZHhMHf-1x7Y/edit?usp=sharing"",""แผน!BD23"")"),0)</f>
        <v>0</v>
      </c>
      <c r="M257" s="45"/>
      <c r="N257" s="644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468">
        <f ca="1">IFERROR(__xludf.DUMMYFUNCTION("IMPORTRANGE(""https://docs.google.com/spreadsheets/d/1eHaY18a8A9IcSdp1K8H6x8fbOy06t2VsZHhMHf-1x7Y/edit?usp=sharing"",""แผน!BE23"")"),0)</f>
        <v>0</v>
      </c>
      <c r="M258" s="45"/>
      <c r="N258" s="644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643" t="s">
        <v>18</v>
      </c>
      <c r="D259" s="509" t="s">
        <v>38</v>
      </c>
      <c r="E259" s="141"/>
      <c r="F259" s="141"/>
      <c r="G259" s="142"/>
      <c r="H259" s="143"/>
      <c r="I259" s="135"/>
      <c r="J259" s="44"/>
      <c r="K259" s="45"/>
      <c r="L259" s="465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640" t="s">
        <v>35</v>
      </c>
      <c r="I260" s="430">
        <f ca="1">IFERROR(__xludf.DUMMYFUNCTION("IMPORTRANGE(""https://docs.google.com/spreadsheets/d/1eHaY18a8A9IcSdp1K8H6x8fbOy06t2VsZHhMHf-1x7Y/edit?usp=sharing"",""แผน!BH23"")"),0)</f>
        <v>0</v>
      </c>
      <c r="J260" s="525">
        <v>0</v>
      </c>
      <c r="K260" s="83">
        <f ca="1">IF(I260&gt;0,J260*100/I260,0)</f>
        <v>0</v>
      </c>
      <c r="L260" s="465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642" t="s">
        <v>43</v>
      </c>
      <c r="E261" s="145"/>
      <c r="F261" s="145"/>
      <c r="G261" s="143"/>
      <c r="H261" s="143"/>
      <c r="I261" s="44"/>
      <c r="J261" s="44"/>
      <c r="K261" s="45"/>
      <c r="L261" s="465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1" t="s">
        <v>109</v>
      </c>
      <c r="F262" s="145"/>
      <c r="G262" s="143"/>
      <c r="H262" s="640" t="s">
        <v>35</v>
      </c>
      <c r="I262" s="44"/>
      <c r="J262" s="525">
        <v>0</v>
      </c>
      <c r="K262" s="83">
        <f>IF(I262&gt;0,J262*100/I262,0)</f>
        <v>0</v>
      </c>
      <c r="L262" s="465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641" t="s">
        <v>110</v>
      </c>
      <c r="F263" s="145"/>
      <c r="G263" s="143"/>
      <c r="H263" s="640" t="s">
        <v>61</v>
      </c>
      <c r="I263" s="44"/>
      <c r="J263" s="525">
        <v>0</v>
      </c>
      <c r="K263" s="83">
        <f>IF(I263&gt;0,J263*100/I263,0)</f>
        <v>0</v>
      </c>
      <c r="L263" s="465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639" t="s">
        <v>113</v>
      </c>
      <c r="B264" s="638"/>
      <c r="C264" s="638"/>
      <c r="D264" s="637"/>
      <c r="E264" s="637"/>
      <c r="F264" s="637"/>
      <c r="G264" s="636"/>
      <c r="H264" s="636"/>
      <c r="I264" s="635"/>
      <c r="J264" s="635"/>
      <c r="K264" s="633"/>
      <c r="L264" s="662"/>
      <c r="M264" s="200"/>
      <c r="N264" s="200"/>
      <c r="O264" s="200"/>
      <c r="P264" s="200"/>
      <c r="Q264" s="200"/>
      <c r="R264" s="200"/>
      <c r="S264" s="200"/>
      <c r="T264" s="200"/>
      <c r="U264" s="200"/>
    </row>
    <row r="265" spans="1:21" ht="19.5" x14ac:dyDescent="0.3">
      <c r="A265" s="632"/>
      <c r="B265" s="631" t="s">
        <v>114</v>
      </c>
      <c r="C265" s="630"/>
      <c r="D265" s="603"/>
      <c r="E265" s="603"/>
      <c r="F265" s="603"/>
      <c r="G265" s="602"/>
      <c r="H265" s="629" t="s">
        <v>35</v>
      </c>
      <c r="I265" s="628">
        <f ca="1">I276</f>
        <v>22</v>
      </c>
      <c r="J265" s="628">
        <f>J276</f>
        <v>22</v>
      </c>
      <c r="K265" s="627">
        <f ca="1">IF(I265&gt;0,J265*100/I265,0)</f>
        <v>100</v>
      </c>
      <c r="L265" s="659"/>
      <c r="M265" s="207"/>
      <c r="N265" s="207"/>
      <c r="O265" s="207"/>
      <c r="P265" s="207"/>
      <c r="Q265" s="207"/>
      <c r="R265" s="207"/>
      <c r="S265" s="207"/>
      <c r="T265" s="207"/>
      <c r="U265" s="207"/>
    </row>
    <row r="266" spans="1:21" ht="19.5" x14ac:dyDescent="0.3">
      <c r="A266" s="610"/>
      <c r="B266" s="609"/>
      <c r="C266" s="624" t="s">
        <v>18</v>
      </c>
      <c r="D266" s="623" t="s">
        <v>19</v>
      </c>
      <c r="E266" s="609"/>
      <c r="F266" s="609"/>
      <c r="G266" s="608"/>
      <c r="H266" s="622" t="s">
        <v>14</v>
      </c>
      <c r="I266" s="479"/>
      <c r="J266" s="479"/>
      <c r="K266" s="476"/>
      <c r="L266" s="471">
        <f ca="1">L267+L268</f>
        <v>0</v>
      </c>
      <c r="M266" s="470">
        <f ca="1">M267+M268</f>
        <v>5000</v>
      </c>
      <c r="N266" s="470">
        <f ca="1">N267+N268</f>
        <v>0</v>
      </c>
      <c r="O266" s="470">
        <f t="shared" ref="O266:O274" ca="1" si="65">IF(L266&gt;0,N266*100/L266,0)</f>
        <v>0</v>
      </c>
      <c r="P266" s="470">
        <f t="shared" ref="P266:P274" ca="1" si="66">IF(M266&gt;0,N266*100/M266,0)</f>
        <v>0</v>
      </c>
      <c r="Q266" s="470">
        <f ca="1">Q267+Q268</f>
        <v>50660</v>
      </c>
      <c r="R266" s="470">
        <f ca="1">R267+R268</f>
        <v>50660</v>
      </c>
      <c r="S266" s="470">
        <f ca="1">S267+S268</f>
        <v>38093.5</v>
      </c>
      <c r="T266" s="470">
        <f t="shared" ref="T266:T274" ca="1" si="67">IF(Q266&gt;0,S266*100/Q266,0)</f>
        <v>75.194433478089223</v>
      </c>
      <c r="U266" s="470">
        <f t="shared" ref="U266:U274" ca="1" si="68">IF(R266&gt;0,S266*100/R266,0)</f>
        <v>75.194433478089223</v>
      </c>
    </row>
    <row r="267" spans="1:21" ht="18.75" hidden="1" x14ac:dyDescent="0.25">
      <c r="A267" s="128"/>
      <c r="B267" s="40"/>
      <c r="C267" s="40"/>
      <c r="D267" s="40"/>
      <c r="E267" s="156" t="s">
        <v>20</v>
      </c>
      <c r="F267" s="40"/>
      <c r="G267" s="42"/>
      <c r="H267" s="157" t="s">
        <v>14</v>
      </c>
      <c r="I267" s="44"/>
      <c r="J267" s="44"/>
      <c r="K267" s="45"/>
      <c r="L267" s="469">
        <f t="shared" ref="L267:N268" si="69">L270+L273</f>
        <v>0</v>
      </c>
      <c r="M267" s="83">
        <f t="shared" si="69"/>
        <v>0</v>
      </c>
      <c r="N267" s="83">
        <f t="shared" si="69"/>
        <v>0</v>
      </c>
      <c r="O267" s="83">
        <f t="shared" si="65"/>
        <v>0</v>
      </c>
      <c r="P267" s="83">
        <f t="shared" si="66"/>
        <v>0</v>
      </c>
      <c r="Q267" s="83">
        <f t="shared" ref="Q267:S268" si="70">Q270+Q273</f>
        <v>0</v>
      </c>
      <c r="R267" s="83">
        <f t="shared" si="70"/>
        <v>0</v>
      </c>
      <c r="S267" s="83">
        <f t="shared" si="70"/>
        <v>0</v>
      </c>
      <c r="T267" s="83">
        <f t="shared" si="67"/>
        <v>0</v>
      </c>
      <c r="U267" s="83">
        <f t="shared" si="68"/>
        <v>0</v>
      </c>
    </row>
    <row r="268" spans="1:21" ht="18.75" hidden="1" x14ac:dyDescent="0.25">
      <c r="A268" s="610"/>
      <c r="B268" s="609"/>
      <c r="C268" s="609"/>
      <c r="D268" s="609"/>
      <c r="E268" s="605" t="s">
        <v>21</v>
      </c>
      <c r="F268" s="609"/>
      <c r="G268" s="608"/>
      <c r="H268" s="480" t="s">
        <v>14</v>
      </c>
      <c r="I268" s="479"/>
      <c r="J268" s="479"/>
      <c r="K268" s="476"/>
      <c r="L268" s="468">
        <f t="shared" ca="1" si="69"/>
        <v>0</v>
      </c>
      <c r="M268" s="224">
        <f t="shared" ca="1" si="69"/>
        <v>5000</v>
      </c>
      <c r="N268" s="224">
        <f t="shared" ca="1" si="69"/>
        <v>0</v>
      </c>
      <c r="O268" s="224">
        <f t="shared" ca="1" si="65"/>
        <v>0</v>
      </c>
      <c r="P268" s="224">
        <f t="shared" ca="1" si="66"/>
        <v>0</v>
      </c>
      <c r="Q268" s="224">
        <f t="shared" ca="1" si="70"/>
        <v>50660</v>
      </c>
      <c r="R268" s="224">
        <f t="shared" ca="1" si="70"/>
        <v>50660</v>
      </c>
      <c r="S268" s="224">
        <f t="shared" ca="1" si="70"/>
        <v>38093.5</v>
      </c>
      <c r="T268" s="224">
        <f t="shared" ca="1" si="67"/>
        <v>75.194433478089223</v>
      </c>
      <c r="U268" s="224">
        <f t="shared" ca="1" si="68"/>
        <v>75.194433478089223</v>
      </c>
    </row>
    <row r="269" spans="1:21" ht="18.75" x14ac:dyDescent="0.25">
      <c r="A269" s="610"/>
      <c r="B269" s="609"/>
      <c r="C269" s="609"/>
      <c r="D269" s="616" t="s">
        <v>22</v>
      </c>
      <c r="E269" s="609"/>
      <c r="F269" s="609"/>
      <c r="G269" s="608"/>
      <c r="H269" s="617" t="s">
        <v>14</v>
      </c>
      <c r="I269" s="601"/>
      <c r="J269" s="601"/>
      <c r="K269" s="599"/>
      <c r="L269" s="468">
        <f ca="1">L270+L271</f>
        <v>0</v>
      </c>
      <c r="M269" s="224">
        <f ca="1">M270+M271</f>
        <v>5000</v>
      </c>
      <c r="N269" s="224">
        <f ca="1">N270+N271</f>
        <v>0</v>
      </c>
      <c r="O269" s="224">
        <f t="shared" ca="1" si="65"/>
        <v>0</v>
      </c>
      <c r="P269" s="224">
        <f t="shared" ca="1" si="66"/>
        <v>0</v>
      </c>
      <c r="Q269" s="224">
        <f ca="1">Q270+Q271</f>
        <v>50660</v>
      </c>
      <c r="R269" s="224">
        <f ca="1">R270+R271</f>
        <v>50660</v>
      </c>
      <c r="S269" s="224">
        <f ca="1">S270+S271</f>
        <v>38093.5</v>
      </c>
      <c r="T269" s="224">
        <f t="shared" ca="1" si="67"/>
        <v>75.194433478089223</v>
      </c>
      <c r="U269" s="224">
        <f t="shared" ca="1" si="68"/>
        <v>75.194433478089223</v>
      </c>
    </row>
    <row r="270" spans="1:21" ht="18.75" hidden="1" x14ac:dyDescent="0.25">
      <c r="A270" s="128"/>
      <c r="B270" s="40"/>
      <c r="C270" s="40"/>
      <c r="D270" s="40"/>
      <c r="E270" s="156" t="s">
        <v>36</v>
      </c>
      <c r="F270" s="40"/>
      <c r="G270" s="42"/>
      <c r="H270" s="159" t="s">
        <v>14</v>
      </c>
      <c r="I270" s="135"/>
      <c r="J270" s="135"/>
      <c r="K270" s="136"/>
      <c r="L270" s="469">
        <v>0</v>
      </c>
      <c r="M270" s="83">
        <v>0</v>
      </c>
      <c r="N270" s="83">
        <v>0</v>
      </c>
      <c r="O270" s="83">
        <f t="shared" si="65"/>
        <v>0</v>
      </c>
      <c r="P270" s="83">
        <f t="shared" si="66"/>
        <v>0</v>
      </c>
      <c r="Q270" s="83">
        <v>0</v>
      </c>
      <c r="R270" s="83">
        <v>0</v>
      </c>
      <c r="S270" s="83">
        <v>0</v>
      </c>
      <c r="T270" s="83">
        <f t="shared" si="67"/>
        <v>0</v>
      </c>
      <c r="U270" s="83">
        <f t="shared" si="68"/>
        <v>0</v>
      </c>
    </row>
    <row r="271" spans="1:21" ht="18.75" hidden="1" x14ac:dyDescent="0.25">
      <c r="A271" s="610"/>
      <c r="B271" s="609"/>
      <c r="C271" s="609"/>
      <c r="D271" s="609"/>
      <c r="E271" s="605" t="s">
        <v>37</v>
      </c>
      <c r="F271" s="609"/>
      <c r="G271" s="608"/>
      <c r="H271" s="617" t="s">
        <v>14</v>
      </c>
      <c r="I271" s="601"/>
      <c r="J271" s="601"/>
      <c r="K271" s="599"/>
      <c r="L271" s="468">
        <f ca="1">IFERROR(__xludf.DUMMYFUNCTION("IMPORTRANGE(""https://docs.google.com/spreadsheets/d/1-uDff_7J0KD5mKrp0Vvzr7lt3OU09vwQwhkpOPPYv2Y/edit?usp=sharing"",""งบพรบ!DE23"")"),0)</f>
        <v>0</v>
      </c>
      <c r="M271" s="224">
        <f ca="1">IFERROR(__xludf.DUMMYFUNCTION("IMPORTRANGE(""https://docs.google.com/spreadsheets/d/1-uDff_7J0KD5mKrp0Vvzr7lt3OU09vwQwhkpOPPYv2Y/edit?usp=sharing"",""งบพรบ!DJ23"")"),5000)</f>
        <v>5000</v>
      </c>
      <c r="N271" s="224">
        <f ca="1">IFERROR(__xludf.DUMMYFUNCTION("IMPORTRANGE(""https://docs.google.com/spreadsheets/d/1-uDff_7J0KD5mKrp0Vvzr7lt3OU09vwQwhkpOPPYv2Y/edit?usp=sharing"",""งบพรบ!DL23"")"),0)</f>
        <v>0</v>
      </c>
      <c r="O271" s="224">
        <f t="shared" ca="1" si="65"/>
        <v>0</v>
      </c>
      <c r="P271" s="224">
        <f t="shared" ca="1" si="66"/>
        <v>0</v>
      </c>
      <c r="Q271" s="224">
        <f ca="1">IFERROR(__xludf.DUMMYFUNCTION("IMPORTRANGE(""https://docs.google.com/spreadsheets/d/1ItG2mGa2ceCfYo0BwxsXqNm01IGEUdYcSSLTEv9YCik/edit?usp=sharing"",""เบิกจ่ายกองทุน!AJ23"")"),50660)</f>
        <v>50660</v>
      </c>
      <c r="R271" s="224">
        <f ca="1">IFERROR(__xludf.DUMMYFUNCTION("IMPORTRANGE(""https://docs.google.com/spreadsheets/d/1ItG2mGa2ceCfYo0BwxsXqNm01IGEUdYcSSLTEv9YCik/edit?usp=sharing"",""เบิกจ่ายกองทุน!AK23"")"),50660)</f>
        <v>50660</v>
      </c>
      <c r="S271" s="224">
        <f ca="1">IFERROR(__xludf.DUMMYFUNCTION("IMPORTRANGE(""https://docs.google.com/spreadsheets/d/1ItG2mGa2ceCfYo0BwxsXqNm01IGEUdYcSSLTEv9YCik/edit?usp=sharing"",""เบิกจ่ายกองทุน!AL23"")"),38093.5)</f>
        <v>38093.5</v>
      </c>
      <c r="T271" s="224">
        <f t="shared" ca="1" si="67"/>
        <v>75.194433478089223</v>
      </c>
      <c r="U271" s="224">
        <f t="shared" ca="1" si="68"/>
        <v>75.194433478089223</v>
      </c>
    </row>
    <row r="272" spans="1:21" ht="18.75" x14ac:dyDescent="0.25">
      <c r="A272" s="610"/>
      <c r="B272" s="609"/>
      <c r="C272" s="609"/>
      <c r="D272" s="616" t="s">
        <v>23</v>
      </c>
      <c r="E272" s="609"/>
      <c r="F272" s="609"/>
      <c r="G272" s="608"/>
      <c r="H272" s="607" t="s">
        <v>14</v>
      </c>
      <c r="I272" s="601"/>
      <c r="J272" s="601"/>
      <c r="K272" s="599"/>
      <c r="L272" s="468">
        <f ca="1">L273+L274</f>
        <v>0</v>
      </c>
      <c r="M272" s="224">
        <f ca="1">M273+M274</f>
        <v>0</v>
      </c>
      <c r="N272" s="224">
        <f ca="1">N273+N274</f>
        <v>0</v>
      </c>
      <c r="O272" s="224">
        <f t="shared" ca="1" si="65"/>
        <v>0</v>
      </c>
      <c r="P272" s="224">
        <f t="shared" ca="1" si="66"/>
        <v>0</v>
      </c>
      <c r="Q272" s="224">
        <f>Q273+Q274</f>
        <v>0</v>
      </c>
      <c r="R272" s="224">
        <f>R273+R274</f>
        <v>0</v>
      </c>
      <c r="S272" s="224">
        <f>S273+S274</f>
        <v>0</v>
      </c>
      <c r="T272" s="224">
        <f t="shared" si="67"/>
        <v>0</v>
      </c>
      <c r="U272" s="224">
        <f t="shared" si="68"/>
        <v>0</v>
      </c>
    </row>
    <row r="273" spans="1:21" ht="18.75" hidden="1" x14ac:dyDescent="0.25">
      <c r="A273" s="128"/>
      <c r="B273" s="40"/>
      <c r="C273" s="40"/>
      <c r="D273" s="40"/>
      <c r="E273" s="156" t="s">
        <v>20</v>
      </c>
      <c r="F273" s="40"/>
      <c r="G273" s="42"/>
      <c r="H273" s="159" t="s">
        <v>14</v>
      </c>
      <c r="I273" s="135"/>
      <c r="J273" s="135"/>
      <c r="K273" s="136"/>
      <c r="L273" s="469">
        <v>0</v>
      </c>
      <c r="M273" s="83">
        <v>0</v>
      </c>
      <c r="N273" s="83">
        <v>0</v>
      </c>
      <c r="O273" s="83">
        <f t="shared" si="65"/>
        <v>0</v>
      </c>
      <c r="P273" s="83">
        <f t="shared" si="66"/>
        <v>0</v>
      </c>
      <c r="Q273" s="83">
        <v>0</v>
      </c>
      <c r="R273" s="83">
        <v>0</v>
      </c>
      <c r="S273" s="83">
        <v>0</v>
      </c>
      <c r="T273" s="83">
        <f t="shared" si="67"/>
        <v>0</v>
      </c>
      <c r="U273" s="83">
        <f t="shared" si="68"/>
        <v>0</v>
      </c>
    </row>
    <row r="274" spans="1:21" ht="18.75" hidden="1" x14ac:dyDescent="0.25">
      <c r="A274" s="610"/>
      <c r="B274" s="609"/>
      <c r="C274" s="609"/>
      <c r="D274" s="609"/>
      <c r="E274" s="605" t="s">
        <v>21</v>
      </c>
      <c r="F274" s="609"/>
      <c r="G274" s="608"/>
      <c r="H274" s="607" t="s">
        <v>14</v>
      </c>
      <c r="I274" s="601"/>
      <c r="J274" s="601"/>
      <c r="K274" s="599"/>
      <c r="L274" s="468">
        <f ca="1">IFERROR(__xludf.DUMMYFUNCTION("IMPORTRANGE(""https://docs.google.com/spreadsheets/d/1-uDff_7J0KD5mKrp0Vvzr7lt3OU09vwQwhkpOPPYv2Y/edit?usp=sharing"",""งบพรบ!DH23"")"),0)</f>
        <v>0</v>
      </c>
      <c r="M274" s="224">
        <f ca="1">IFERROR(__xludf.DUMMYFUNCTION("IMPORTRANGE(""https://docs.google.com/spreadsheets/d/1-uDff_7J0KD5mKrp0Vvzr7lt3OU09vwQwhkpOPPYv2Y/edit?usp=sharing"",""งบพรบ!DK23"")"),0)</f>
        <v>0</v>
      </c>
      <c r="N274" s="224">
        <f ca="1">IFERROR(__xludf.DUMMYFUNCTION("IMPORTRANGE(""https://docs.google.com/spreadsheets/d/1-uDff_7J0KD5mKrp0Vvzr7lt3OU09vwQwhkpOPPYv2Y/edit?usp=sharing"",""งบพรบ!DM23"")"),0)</f>
        <v>0</v>
      </c>
      <c r="O274" s="224">
        <f t="shared" ca="1" si="65"/>
        <v>0</v>
      </c>
      <c r="P274" s="224">
        <f t="shared" ca="1" si="66"/>
        <v>0</v>
      </c>
      <c r="Q274" s="224">
        <v>0</v>
      </c>
      <c r="R274" s="224">
        <v>0</v>
      </c>
      <c r="S274" s="224">
        <v>0</v>
      </c>
      <c r="T274" s="224">
        <f t="shared" si="67"/>
        <v>0</v>
      </c>
      <c r="U274" s="224">
        <f t="shared" si="68"/>
        <v>0</v>
      </c>
    </row>
    <row r="275" spans="1:21" ht="19.5" x14ac:dyDescent="0.3">
      <c r="A275" s="485"/>
      <c r="B275" s="484"/>
      <c r="C275" s="605" t="s">
        <v>18</v>
      </c>
      <c r="D275" s="604" t="s">
        <v>38</v>
      </c>
      <c r="E275" s="603"/>
      <c r="F275" s="603"/>
      <c r="G275" s="602"/>
      <c r="H275" s="481"/>
      <c r="I275" s="601"/>
      <c r="J275" s="601"/>
      <c r="K275" s="599"/>
      <c r="L275" s="492"/>
      <c r="M275" s="136"/>
      <c r="N275" s="136"/>
      <c r="O275" s="136"/>
      <c r="P275" s="136"/>
      <c r="Q275" s="136"/>
      <c r="R275" s="136"/>
      <c r="S275" s="136"/>
      <c r="T275" s="136"/>
      <c r="U275" s="136"/>
    </row>
    <row r="276" spans="1:21" ht="18.75" x14ac:dyDescent="0.25">
      <c r="A276" s="598"/>
      <c r="B276" s="597"/>
      <c r="C276" s="597"/>
      <c r="D276" s="596" t="s">
        <v>115</v>
      </c>
      <c r="E276" s="595"/>
      <c r="F276" s="595"/>
      <c r="G276" s="594"/>
      <c r="H276" s="593" t="s">
        <v>35</v>
      </c>
      <c r="I276" s="592">
        <f ca="1">IFERROR(__xludf.DUMMYFUNCTION("IMPORTRANGE(""https://docs.google.com/spreadsheets/d/1eHaY18a8A9IcSdp1K8H6x8fbOy06t2VsZHhMHf-1x7Y/edit?usp=sharing"",""แผน!EC23"")"),22)</f>
        <v>22</v>
      </c>
      <c r="J276" s="444">
        <v>22</v>
      </c>
      <c r="K276" s="591">
        <f ca="1">IF(I276&gt;0,J276*100/I276,0)</f>
        <v>100</v>
      </c>
      <c r="L276" s="465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590" t="s">
        <v>116</v>
      </c>
      <c r="E277" s="252"/>
      <c r="F277" s="252"/>
      <c r="G277" s="253"/>
      <c r="H277" s="589" t="s">
        <v>35</v>
      </c>
      <c r="I277" s="433">
        <v>0</v>
      </c>
      <c r="J277" s="433">
        <v>0</v>
      </c>
      <c r="K277" s="588">
        <v>0</v>
      </c>
      <c r="L277" s="587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58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585">
        <f ca="1">I293</f>
        <v>70</v>
      </c>
      <c r="J280" s="585">
        <f>J293</f>
        <v>70</v>
      </c>
      <c r="K280" s="584">
        <f ca="1">IF(I280&gt;0,J280*100/I280,0)</f>
        <v>100</v>
      </c>
      <c r="L280" s="583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585">
        <f ca="1">I292</f>
        <v>700</v>
      </c>
      <c r="J281" s="585">
        <f>J292</f>
        <v>700</v>
      </c>
      <c r="K281" s="584">
        <f ca="1">IF(I281&gt;0,J281*100/I281,0)</f>
        <v>100</v>
      </c>
      <c r="L281" s="583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472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471">
        <f ca="1">L283+L284</f>
        <v>222220</v>
      </c>
      <c r="M282" s="470">
        <f ca="1">M283+M284</f>
        <v>222220</v>
      </c>
      <c r="N282" s="470">
        <f ca="1">N283+N284</f>
        <v>203412.3</v>
      </c>
      <c r="O282" s="470">
        <f t="shared" ref="O282:O290" ca="1" si="71">IF(L282&gt;0,N282*100/L282,0)</f>
        <v>91.536450364503651</v>
      </c>
      <c r="P282" s="470">
        <f t="shared" ref="P282:P290" ca="1" si="72">IF(M282&gt;0,N282*100/M282,0)</f>
        <v>91.536450364503651</v>
      </c>
      <c r="Q282" s="470">
        <f>Q283+Q284</f>
        <v>0</v>
      </c>
      <c r="R282" s="470">
        <f>R283+R284</f>
        <v>0</v>
      </c>
      <c r="S282" s="470">
        <f>S283+S284</f>
        <v>0</v>
      </c>
      <c r="T282" s="470">
        <f t="shared" ref="T282:T290" si="73">IF(Q282&gt;0,S282*100/Q282,0)</f>
        <v>0</v>
      </c>
      <c r="U282" s="470">
        <f t="shared" ref="U282:U290" si="74"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469">
        <f t="shared" ref="L283:N284" si="75">L286+L289</f>
        <v>0</v>
      </c>
      <c r="M283" s="83">
        <f t="shared" si="75"/>
        <v>0</v>
      </c>
      <c r="N283" s="83">
        <f t="shared" si="75"/>
        <v>0</v>
      </c>
      <c r="O283" s="83">
        <f t="shared" si="71"/>
        <v>0</v>
      </c>
      <c r="P283" s="83">
        <f t="shared" si="72"/>
        <v>0</v>
      </c>
      <c r="Q283" s="83">
        <f t="shared" ref="Q283:S284" si="76">Q286+Q289</f>
        <v>0</v>
      </c>
      <c r="R283" s="83">
        <f t="shared" si="76"/>
        <v>0</v>
      </c>
      <c r="S283" s="83">
        <f t="shared" si="76"/>
        <v>0</v>
      </c>
      <c r="T283" s="83">
        <f t="shared" si="73"/>
        <v>0</v>
      </c>
      <c r="U283" s="83">
        <f t="shared" si="74"/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468">
        <f t="shared" ca="1" si="75"/>
        <v>222220</v>
      </c>
      <c r="M284" s="224">
        <f t="shared" ca="1" si="75"/>
        <v>222220</v>
      </c>
      <c r="N284" s="224">
        <f t="shared" ca="1" si="75"/>
        <v>203412.3</v>
      </c>
      <c r="O284" s="224">
        <f t="shared" ca="1" si="71"/>
        <v>91.536450364503651</v>
      </c>
      <c r="P284" s="224">
        <f t="shared" ca="1" si="72"/>
        <v>91.536450364503651</v>
      </c>
      <c r="Q284" s="224">
        <f t="shared" si="76"/>
        <v>0</v>
      </c>
      <c r="R284" s="224">
        <f t="shared" si="76"/>
        <v>0</v>
      </c>
      <c r="S284" s="224">
        <f t="shared" si="76"/>
        <v>0</v>
      </c>
      <c r="T284" s="224">
        <f t="shared" si="73"/>
        <v>0</v>
      </c>
      <c r="U284" s="224">
        <f t="shared" si="74"/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468">
        <f ca="1">L286+L287</f>
        <v>222220</v>
      </c>
      <c r="M285" s="224">
        <f ca="1">M286+M287</f>
        <v>222220</v>
      </c>
      <c r="N285" s="224">
        <f ca="1">N286+N287</f>
        <v>203412.3</v>
      </c>
      <c r="O285" s="224">
        <f t="shared" ca="1" si="71"/>
        <v>91.536450364503651</v>
      </c>
      <c r="P285" s="224">
        <f t="shared" ca="1" si="72"/>
        <v>91.536450364503651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 t="shared" si="73"/>
        <v>0</v>
      </c>
      <c r="U285" s="224">
        <f t="shared" si="74"/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469">
        <v>0</v>
      </c>
      <c r="M286" s="83">
        <v>0</v>
      </c>
      <c r="N286" s="83">
        <v>0</v>
      </c>
      <c r="O286" s="83">
        <f t="shared" si="71"/>
        <v>0</v>
      </c>
      <c r="P286" s="83">
        <f t="shared" si="72"/>
        <v>0</v>
      </c>
      <c r="Q286" s="83">
        <v>0</v>
      </c>
      <c r="R286" s="83">
        <v>0</v>
      </c>
      <c r="S286" s="83">
        <v>0</v>
      </c>
      <c r="T286" s="83">
        <f t="shared" si="73"/>
        <v>0</v>
      </c>
      <c r="U286" s="83">
        <f t="shared" si="74"/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468">
        <f ca="1">IFERROR(__xludf.DUMMYFUNCTION("IMPORTRANGE(""https://docs.google.com/spreadsheets/d/1-uDff_7J0KD5mKrp0Vvzr7lt3OU09vwQwhkpOPPYv2Y/edit?usp=sharing"",""งบพรบ!DO23"")"),222220)</f>
        <v>222220</v>
      </c>
      <c r="M287" s="224">
        <f ca="1">IFERROR(__xludf.DUMMYFUNCTION("IMPORTRANGE(""https://docs.google.com/spreadsheets/d/1-uDff_7J0KD5mKrp0Vvzr7lt3OU09vwQwhkpOPPYv2Y/edit?usp=sharing"",""งบพรบ!DT23"")"),222220)</f>
        <v>222220</v>
      </c>
      <c r="N287" s="224">
        <f ca="1">IFERROR(__xludf.DUMMYFUNCTION("IMPORTRANGE(""https://docs.google.com/spreadsheets/d/1-uDff_7J0KD5mKrp0Vvzr7lt3OU09vwQwhkpOPPYv2Y/edit?usp=sharing"",""งบพรบ!DV23"")"),203412.3)</f>
        <v>203412.3</v>
      </c>
      <c r="O287" s="224">
        <f t="shared" ca="1" si="71"/>
        <v>91.536450364503651</v>
      </c>
      <c r="P287" s="224">
        <f t="shared" ca="1" si="72"/>
        <v>91.536450364503651</v>
      </c>
      <c r="Q287" s="224">
        <v>0</v>
      </c>
      <c r="R287" s="224">
        <v>0</v>
      </c>
      <c r="S287" s="224">
        <v>0</v>
      </c>
      <c r="T287" s="83">
        <f t="shared" si="73"/>
        <v>0</v>
      </c>
      <c r="U287" s="83">
        <f t="shared" si="74"/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468">
        <f ca="1">L289+L290</f>
        <v>0</v>
      </c>
      <c r="M288" s="224">
        <f ca="1">M289+M290</f>
        <v>0</v>
      </c>
      <c r="N288" s="224">
        <f ca="1">N289+N290</f>
        <v>0</v>
      </c>
      <c r="O288" s="224">
        <f t="shared" ca="1" si="71"/>
        <v>0</v>
      </c>
      <c r="P288" s="224">
        <f t="shared" ca="1" si="72"/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 t="shared" si="73"/>
        <v>0</v>
      </c>
      <c r="U288" s="224">
        <f t="shared" si="74"/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469">
        <v>0</v>
      </c>
      <c r="M289" s="83">
        <v>0</v>
      </c>
      <c r="N289" s="83">
        <v>0</v>
      </c>
      <c r="O289" s="83">
        <f t="shared" si="71"/>
        <v>0</v>
      </c>
      <c r="P289" s="83">
        <f t="shared" si="72"/>
        <v>0</v>
      </c>
      <c r="Q289" s="83">
        <v>0</v>
      </c>
      <c r="R289" s="83">
        <v>0</v>
      </c>
      <c r="S289" s="83">
        <v>0</v>
      </c>
      <c r="T289" s="83">
        <f t="shared" si="73"/>
        <v>0</v>
      </c>
      <c r="U289" s="83">
        <f t="shared" si="74"/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468">
        <f ca="1">IFERROR(__xludf.DUMMYFUNCTION("IMPORTRANGE(""https://docs.google.com/spreadsheets/d/1-uDff_7J0KD5mKrp0Vvzr7lt3OU09vwQwhkpOPPYv2Y/edit?usp=sharing"",""งบพรบ!DR23"")"),0)</f>
        <v>0</v>
      </c>
      <c r="M290" s="224">
        <f ca="1">IFERROR(__xludf.DUMMYFUNCTION("IMPORTRANGE(""https://docs.google.com/spreadsheets/d/1-uDff_7J0KD5mKrp0Vvzr7lt3OU09vwQwhkpOPPYv2Y/edit?usp=sharing"",""งบพรบ!DU23"")"),0)</f>
        <v>0</v>
      </c>
      <c r="N290" s="224">
        <f ca="1">IFERROR(__xludf.DUMMYFUNCTION("IMPORTRANGE(""https://docs.google.com/spreadsheets/d/1-uDff_7J0KD5mKrp0Vvzr7lt3OU09vwQwhkpOPPYv2Y/edit?usp=sharing"",""งบพรบ!DW23"")"),0)</f>
        <v>0</v>
      </c>
      <c r="O290" s="224">
        <f t="shared" ca="1" si="71"/>
        <v>0</v>
      </c>
      <c r="P290" s="224">
        <f t="shared" ca="1" si="72"/>
        <v>0</v>
      </c>
      <c r="Q290" s="224">
        <v>0</v>
      </c>
      <c r="R290" s="224">
        <v>0</v>
      </c>
      <c r="S290" s="224">
        <v>0</v>
      </c>
      <c r="T290" s="224">
        <f t="shared" si="73"/>
        <v>0</v>
      </c>
      <c r="U290" s="224">
        <f t="shared" si="74"/>
        <v>0</v>
      </c>
    </row>
    <row r="291" spans="1:21" ht="19.5" x14ac:dyDescent="0.3">
      <c r="A291" s="138"/>
      <c r="B291" s="139"/>
      <c r="C291" s="129" t="s">
        <v>18</v>
      </c>
      <c r="D291" s="498" t="s">
        <v>38</v>
      </c>
      <c r="E291" s="141"/>
      <c r="F291" s="141"/>
      <c r="G291" s="142"/>
      <c r="H291" s="143"/>
      <c r="I291" s="135"/>
      <c r="J291" s="135"/>
      <c r="K291" s="136"/>
      <c r="L291" s="4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IFERROR(__xludf.DUMMYFUNCTION("IMPORTRANGE(""https://docs.google.com/spreadsheets/d/1eHaY18a8A9IcSdp1K8H6x8fbOy06t2VsZHhMHf-1x7Y/edit?usp=sharing"",""แผน!EE23"")"),700)</f>
        <v>700</v>
      </c>
      <c r="J292" s="466">
        <v>700</v>
      </c>
      <c r="K292" s="497">
        <f ca="1">IF(I292&gt;0,J292*100/I292,0)</f>
        <v>100</v>
      </c>
      <c r="L292" s="4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IFERROR(__xludf.DUMMYFUNCTION("IMPORTRANGE(""https://docs.google.com/spreadsheets/d/1eHaY18a8A9IcSdp1K8H6x8fbOy06t2VsZHhMHf-1x7Y/edit?usp=sharing"",""แผน!ED23"")"),70)</f>
        <v>70</v>
      </c>
      <c r="J293" s="328">
        <f>J296</f>
        <v>70</v>
      </c>
      <c r="K293" s="582">
        <f ca="1">IF(I293&gt;0,J293*100/I293,0)</f>
        <v>100</v>
      </c>
      <c r="L293" s="4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4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581">
        <f ca="1">IFERROR(__xludf.DUMMYFUNCTION("IMPORTRANGE(""https://docs.google.com/spreadsheets/d/1eHaY18a8A9IcSdp1K8H6x8fbOy06t2VsZHhMHf-1x7Y/edit?usp=sharing"",""แผน!ED23"")"),70)</f>
        <v>70</v>
      </c>
      <c r="J295" s="466">
        <v>70</v>
      </c>
      <c r="K295" s="497">
        <f ca="1">IF(I295&gt;0,J295*100/I295,0)</f>
        <v>100</v>
      </c>
      <c r="L295" s="4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581">
        <f ca="1">IFERROR(__xludf.DUMMYFUNCTION("IMPORTRANGE(""https://docs.google.com/spreadsheets/d/1eHaY18a8A9IcSdp1K8H6x8fbOy06t2VsZHhMHf-1x7Y/edit?usp=sharing"",""แผน!ED23"")"),70)</f>
        <v>70</v>
      </c>
      <c r="J296" s="466">
        <v>70</v>
      </c>
      <c r="K296" s="497">
        <f ca="1">IF(I296&gt;0,J296*100/I296,0)</f>
        <v>100</v>
      </c>
      <c r="L296" s="4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571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hidden="1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571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580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57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541">
        <f ca="1">I314</f>
        <v>25</v>
      </c>
      <c r="J302" s="541">
        <f>J314</f>
        <v>25</v>
      </c>
      <c r="K302" s="540">
        <f ca="1">IF(I302&gt;0,J302*100/I302,0)</f>
        <v>100</v>
      </c>
      <c r="L302" s="539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472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471">
        <f ca="1">L304+L305</f>
        <v>152100</v>
      </c>
      <c r="M303" s="470">
        <f ca="1">M304+M305</f>
        <v>152100</v>
      </c>
      <c r="N303" s="470">
        <f ca="1">N304+N305</f>
        <v>118790</v>
      </c>
      <c r="O303" s="470">
        <f t="shared" ref="O303:O311" ca="1" si="77">IF(L303&gt;0,N303*100/L303,0)</f>
        <v>78.099934253780404</v>
      </c>
      <c r="P303" s="470">
        <f t="shared" ref="P303:P311" ca="1" si="78">IF(M303&gt;0,N303*100/M303,0)</f>
        <v>78.099934253780404</v>
      </c>
      <c r="Q303" s="470">
        <f ca="1">Q304+Q305</f>
        <v>166057.24</v>
      </c>
      <c r="R303" s="470">
        <f ca="1">R304+R305</f>
        <v>166057</v>
      </c>
      <c r="S303" s="470">
        <f ca="1">S304+S305</f>
        <v>0</v>
      </c>
      <c r="T303" s="470">
        <f t="shared" ref="T303:T311" ca="1" si="79">IF(Q303&gt;0,S303*100/Q303,0)</f>
        <v>0</v>
      </c>
      <c r="U303" s="470">
        <f t="shared" ref="U303:U311" ca="1" si="80">IF(R303&gt;0,S303*100/R303,0)</f>
        <v>0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469">
        <f t="shared" ref="L304:N305" si="81">L307+L310</f>
        <v>0</v>
      </c>
      <c r="M304" s="83">
        <f t="shared" si="81"/>
        <v>0</v>
      </c>
      <c r="N304" s="83">
        <f t="shared" si="81"/>
        <v>0</v>
      </c>
      <c r="O304" s="83">
        <f t="shared" si="77"/>
        <v>0</v>
      </c>
      <c r="P304" s="83">
        <f t="shared" si="78"/>
        <v>0</v>
      </c>
      <c r="Q304" s="83">
        <f t="shared" ref="Q304:S305" si="82">Q307+Q310</f>
        <v>0</v>
      </c>
      <c r="R304" s="83">
        <f t="shared" si="82"/>
        <v>0</v>
      </c>
      <c r="S304" s="83">
        <f t="shared" si="82"/>
        <v>0</v>
      </c>
      <c r="T304" s="83">
        <f t="shared" si="79"/>
        <v>0</v>
      </c>
      <c r="U304" s="83">
        <f t="shared" si="80"/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468">
        <f t="shared" ca="1" si="81"/>
        <v>152100</v>
      </c>
      <c r="M305" s="224">
        <f t="shared" ca="1" si="81"/>
        <v>152100</v>
      </c>
      <c r="N305" s="224">
        <f t="shared" ca="1" si="81"/>
        <v>118790</v>
      </c>
      <c r="O305" s="224">
        <f t="shared" ca="1" si="77"/>
        <v>78.099934253780404</v>
      </c>
      <c r="P305" s="224">
        <f t="shared" ca="1" si="78"/>
        <v>78.099934253780404</v>
      </c>
      <c r="Q305" s="224">
        <f t="shared" ca="1" si="82"/>
        <v>166057.24</v>
      </c>
      <c r="R305" s="224">
        <f t="shared" ca="1" si="82"/>
        <v>166057</v>
      </c>
      <c r="S305" s="224">
        <f t="shared" ca="1" si="82"/>
        <v>0</v>
      </c>
      <c r="T305" s="224">
        <f t="shared" ca="1" si="79"/>
        <v>0</v>
      </c>
      <c r="U305" s="224">
        <f t="shared" ca="1" si="80"/>
        <v>0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468">
        <f ca="1">L307+L308</f>
        <v>152100</v>
      </c>
      <c r="M306" s="224">
        <f ca="1">M307+M308</f>
        <v>152100</v>
      </c>
      <c r="N306" s="224">
        <f ca="1">N307+N308</f>
        <v>118790</v>
      </c>
      <c r="O306" s="224">
        <f t="shared" ca="1" si="77"/>
        <v>78.099934253780404</v>
      </c>
      <c r="P306" s="224">
        <f t="shared" ca="1" si="78"/>
        <v>78.099934253780404</v>
      </c>
      <c r="Q306" s="224">
        <f ca="1">Q307+Q308</f>
        <v>166057.24</v>
      </c>
      <c r="R306" s="224">
        <f ca="1">R307+R308</f>
        <v>166057</v>
      </c>
      <c r="S306" s="224">
        <f ca="1">S307+S308</f>
        <v>0</v>
      </c>
      <c r="T306" s="224">
        <f t="shared" ca="1" si="79"/>
        <v>0</v>
      </c>
      <c r="U306" s="224">
        <f t="shared" ca="1" si="80"/>
        <v>0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469">
        <v>0</v>
      </c>
      <c r="M307" s="83">
        <v>0</v>
      </c>
      <c r="N307" s="83">
        <v>0</v>
      </c>
      <c r="O307" s="83">
        <f t="shared" si="77"/>
        <v>0</v>
      </c>
      <c r="P307" s="83">
        <f t="shared" si="78"/>
        <v>0</v>
      </c>
      <c r="Q307" s="83">
        <v>0</v>
      </c>
      <c r="R307" s="83">
        <v>0</v>
      </c>
      <c r="S307" s="83">
        <v>0</v>
      </c>
      <c r="T307" s="83">
        <f t="shared" si="79"/>
        <v>0</v>
      </c>
      <c r="U307" s="83">
        <f t="shared" si="80"/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468">
        <f ca="1">IFERROR(__xludf.DUMMYFUNCTION("IMPORTRANGE(""https://docs.google.com/spreadsheets/d/1-uDff_7J0KD5mKrp0Vvzr7lt3OU09vwQwhkpOPPYv2Y/edit?usp=sharing"",""งบพรบ!DY23"")"),152100)</f>
        <v>152100</v>
      </c>
      <c r="M308" s="224">
        <f ca="1">IFERROR(__xludf.DUMMYFUNCTION("IMPORTRANGE(""https://docs.google.com/spreadsheets/d/1-uDff_7J0KD5mKrp0Vvzr7lt3OU09vwQwhkpOPPYv2Y/edit?usp=sharing"",""งบพรบ!ED23"")"),152100)</f>
        <v>152100</v>
      </c>
      <c r="N308" s="224">
        <f ca="1">IFERROR(__xludf.DUMMYFUNCTION("IMPORTRANGE(""https://docs.google.com/spreadsheets/d/1-uDff_7J0KD5mKrp0Vvzr7lt3OU09vwQwhkpOPPYv2Y/edit?usp=sharing"",""งบพรบ!EF23"")"),118790)</f>
        <v>118790</v>
      </c>
      <c r="O308" s="224">
        <f t="shared" ca="1" si="77"/>
        <v>78.099934253780404</v>
      </c>
      <c r="P308" s="224">
        <f t="shared" ca="1" si="78"/>
        <v>78.099934253780404</v>
      </c>
      <c r="Q308" s="224">
        <f ca="1">IFERROR(__xludf.DUMMYFUNCTION("IMPORTRANGE(""https://docs.google.com/spreadsheets/d/1ItG2mGa2ceCfYo0BwxsXqNm01IGEUdYcSSLTEv9YCik/edit?usp=sharing"",""เบิกจ่ายกองทุน!AP23"")"),166057.24)</f>
        <v>166057.24</v>
      </c>
      <c r="R308" s="224">
        <f ca="1">IFERROR(__xludf.DUMMYFUNCTION("IMPORTRANGE(""https://docs.google.com/spreadsheets/d/1ItG2mGa2ceCfYo0BwxsXqNm01IGEUdYcSSLTEv9YCik/edit?usp=sharing"",""เบิกจ่ายกองทุน!AQ23"")"),166057)</f>
        <v>166057</v>
      </c>
      <c r="S308" s="224">
        <f ca="1">IFERROR(__xludf.DUMMYFUNCTION("IMPORTRANGE(""https://docs.google.com/spreadsheets/d/1ItG2mGa2ceCfYo0BwxsXqNm01IGEUdYcSSLTEv9YCik/edit?usp=sharing"",""เบิกจ่ายกองทุน!AR23"")"),0)</f>
        <v>0</v>
      </c>
      <c r="T308" s="224">
        <f t="shared" ca="1" si="79"/>
        <v>0</v>
      </c>
      <c r="U308" s="224">
        <f t="shared" ca="1" si="80"/>
        <v>0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468">
        <f ca="1">L310+L311</f>
        <v>0</v>
      </c>
      <c r="M309" s="224">
        <f ca="1">M310+M311</f>
        <v>0</v>
      </c>
      <c r="N309" s="224">
        <f ca="1">N310+N311</f>
        <v>0</v>
      </c>
      <c r="O309" s="224">
        <f t="shared" ca="1" si="77"/>
        <v>0</v>
      </c>
      <c r="P309" s="224">
        <f t="shared" ca="1" si="78"/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 t="shared" si="79"/>
        <v>0</v>
      </c>
      <c r="U309" s="224">
        <f t="shared" si="80"/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469">
        <v>0</v>
      </c>
      <c r="M310" s="83">
        <v>0</v>
      </c>
      <c r="N310" s="83">
        <v>0</v>
      </c>
      <c r="O310" s="83">
        <f t="shared" si="77"/>
        <v>0</v>
      </c>
      <c r="P310" s="83">
        <f t="shared" si="78"/>
        <v>0</v>
      </c>
      <c r="Q310" s="83">
        <v>0</v>
      </c>
      <c r="R310" s="83">
        <v>0</v>
      </c>
      <c r="S310" s="83">
        <v>0</v>
      </c>
      <c r="T310" s="83">
        <f t="shared" si="79"/>
        <v>0</v>
      </c>
      <c r="U310" s="83">
        <f t="shared" si="80"/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468">
        <f ca="1">IFERROR(__xludf.DUMMYFUNCTION("IMPORTRANGE(""https://docs.google.com/spreadsheets/d/1-uDff_7J0KD5mKrp0Vvzr7lt3OU09vwQwhkpOPPYv2Y/edit?usp=sharing"",""งบพรบ!EB23"")"),0)</f>
        <v>0</v>
      </c>
      <c r="M311" s="224">
        <f ca="1">IFERROR(__xludf.DUMMYFUNCTION("IMPORTRANGE(""https://docs.google.com/spreadsheets/d/1-uDff_7J0KD5mKrp0Vvzr7lt3OU09vwQwhkpOPPYv2Y/edit?usp=sharing"",""งบพรบ!EE23"")"),0)</f>
        <v>0</v>
      </c>
      <c r="N311" s="224">
        <f ca="1">IFERROR(__xludf.DUMMYFUNCTION("IMPORTRANGE(""https://docs.google.com/spreadsheets/d/1-uDff_7J0KD5mKrp0Vvzr7lt3OU09vwQwhkpOPPYv2Y/edit?usp=sharing"",""งบพรบ!EG23"")"),0)</f>
        <v>0</v>
      </c>
      <c r="O311" s="224">
        <f t="shared" ca="1" si="77"/>
        <v>0</v>
      </c>
      <c r="P311" s="224">
        <f t="shared" ca="1" si="78"/>
        <v>0</v>
      </c>
      <c r="Q311" s="224">
        <v>0</v>
      </c>
      <c r="R311" s="224">
        <v>0</v>
      </c>
      <c r="S311" s="224">
        <v>0</v>
      </c>
      <c r="T311" s="224">
        <f t="shared" si="79"/>
        <v>0</v>
      </c>
      <c r="U311" s="224">
        <f t="shared" si="80"/>
        <v>0</v>
      </c>
    </row>
    <row r="312" spans="1:21" ht="19.5" x14ac:dyDescent="0.3">
      <c r="A312" s="138"/>
      <c r="B312" s="139"/>
      <c r="C312" s="129" t="s">
        <v>18</v>
      </c>
      <c r="D312" s="498" t="s">
        <v>38</v>
      </c>
      <c r="E312" s="141"/>
      <c r="F312" s="141"/>
      <c r="G312" s="142"/>
      <c r="H312" s="143"/>
      <c r="I312" s="44"/>
      <c r="J312" s="44"/>
      <c r="K312" s="45"/>
      <c r="L312" s="465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579"/>
      <c r="E313" s="18"/>
      <c r="F313" s="18"/>
      <c r="G313" s="19"/>
      <c r="H313" s="19"/>
      <c r="I313" s="20"/>
      <c r="J313" s="577"/>
      <c r="K313" s="21"/>
      <c r="L313" s="571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IFERROR(__xludf.DUMMYFUNCTION("IMPORTRANGE(""https://docs.google.com/spreadsheets/d/1eHaY18a8A9IcSdp1K8H6x8fbOy06t2VsZHhMHf-1x7Y/edit?usp=sharing"",""แผน!EF23"")"),25)</f>
        <v>25</v>
      </c>
      <c r="J314" s="466">
        <v>25</v>
      </c>
      <c r="K314" s="224">
        <f ca="1">IF(I314&gt;0,J314*100/I314,0)</f>
        <v>100</v>
      </c>
      <c r="L314" s="465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579"/>
      <c r="E315" s="18"/>
      <c r="F315" s="18"/>
      <c r="G315" s="19"/>
      <c r="H315" s="578"/>
      <c r="I315" s="577"/>
      <c r="J315" s="577"/>
      <c r="K315" s="576"/>
      <c r="L315" s="571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579"/>
      <c r="E316" s="18"/>
      <c r="F316" s="18"/>
      <c r="G316" s="19"/>
      <c r="H316" s="578"/>
      <c r="I316" s="577"/>
      <c r="J316" s="577"/>
      <c r="K316" s="576"/>
      <c r="L316" s="571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575"/>
      <c r="E317" s="18"/>
      <c r="F317" s="18"/>
      <c r="G317" s="19"/>
      <c r="H317" s="574"/>
      <c r="I317" s="573"/>
      <c r="J317" s="573"/>
      <c r="K317" s="572"/>
      <c r="L317" s="571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57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hidden="1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541">
        <f ca="1">I330</f>
        <v>0</v>
      </c>
      <c r="J319" s="541">
        <f>J330</f>
        <v>0</v>
      </c>
      <c r="K319" s="540">
        <f ca="1">IF(I319&gt;0,J319*100/I319,0)</f>
        <v>0</v>
      </c>
      <c r="L319" s="539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hidden="1" x14ac:dyDescent="0.3">
      <c r="A320" s="128"/>
      <c r="B320" s="40"/>
      <c r="C320" s="129" t="s">
        <v>18</v>
      </c>
      <c r="D320" s="472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471">
        <f ca="1">L321+L322</f>
        <v>0</v>
      </c>
      <c r="M320" s="470">
        <f ca="1">M321+M322</f>
        <v>0</v>
      </c>
      <c r="N320" s="470">
        <f ca="1">N321+N322</f>
        <v>0</v>
      </c>
      <c r="O320" s="470">
        <f t="shared" ref="O320:O328" ca="1" si="83">IF(L320&gt;0,N320*100/L320,0)</f>
        <v>0</v>
      </c>
      <c r="P320" s="470">
        <f t="shared" ref="P320:P328" ca="1" si="84">IF(M320&gt;0,N320*100/M320,0)</f>
        <v>0</v>
      </c>
      <c r="Q320" s="470">
        <f>Q321+Q322</f>
        <v>0</v>
      </c>
      <c r="R320" s="470">
        <f>R321+R322</f>
        <v>0</v>
      </c>
      <c r="S320" s="470">
        <f>S321+S322</f>
        <v>0</v>
      </c>
      <c r="T320" s="470">
        <f t="shared" ref="T320:T328" si="85">IF(Q320&gt;0,S320*100/Q320,0)</f>
        <v>0</v>
      </c>
      <c r="U320" s="470">
        <f t="shared" ref="U320:U328" si="86"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469">
        <f t="shared" ref="L321:N322" si="87">L324+L327</f>
        <v>0</v>
      </c>
      <c r="M321" s="83">
        <f t="shared" si="87"/>
        <v>0</v>
      </c>
      <c r="N321" s="83">
        <f t="shared" si="87"/>
        <v>0</v>
      </c>
      <c r="O321" s="83">
        <f t="shared" si="83"/>
        <v>0</v>
      </c>
      <c r="P321" s="83">
        <f t="shared" si="84"/>
        <v>0</v>
      </c>
      <c r="Q321" s="83">
        <f t="shared" ref="Q321:S322" si="88">Q324+Q327</f>
        <v>0</v>
      </c>
      <c r="R321" s="83">
        <f t="shared" si="88"/>
        <v>0</v>
      </c>
      <c r="S321" s="83">
        <f t="shared" si="88"/>
        <v>0</v>
      </c>
      <c r="T321" s="83">
        <f t="shared" si="85"/>
        <v>0</v>
      </c>
      <c r="U321" s="83">
        <f t="shared" si="86"/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468">
        <f t="shared" ca="1" si="87"/>
        <v>0</v>
      </c>
      <c r="M322" s="224">
        <f t="shared" ca="1" si="87"/>
        <v>0</v>
      </c>
      <c r="N322" s="224">
        <f t="shared" ca="1" si="87"/>
        <v>0</v>
      </c>
      <c r="O322" s="224">
        <f t="shared" ca="1" si="83"/>
        <v>0</v>
      </c>
      <c r="P322" s="224">
        <f t="shared" ca="1" si="84"/>
        <v>0</v>
      </c>
      <c r="Q322" s="224">
        <f t="shared" si="88"/>
        <v>0</v>
      </c>
      <c r="R322" s="224">
        <f t="shared" si="88"/>
        <v>0</v>
      </c>
      <c r="S322" s="224">
        <f t="shared" si="88"/>
        <v>0</v>
      </c>
      <c r="T322" s="224">
        <f t="shared" si="85"/>
        <v>0</v>
      </c>
      <c r="U322" s="224">
        <f t="shared" si="86"/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468">
        <f ca="1">L324+L325</f>
        <v>0</v>
      </c>
      <c r="M323" s="224">
        <f ca="1">M324+M325</f>
        <v>0</v>
      </c>
      <c r="N323" s="224">
        <f ca="1">N324+N325</f>
        <v>0</v>
      </c>
      <c r="O323" s="224">
        <f t="shared" ca="1" si="83"/>
        <v>0</v>
      </c>
      <c r="P323" s="224">
        <f t="shared" ca="1" si="84"/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 t="shared" si="85"/>
        <v>0</v>
      </c>
      <c r="U323" s="224">
        <f t="shared" si="86"/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469">
        <v>0</v>
      </c>
      <c r="M324" s="83">
        <v>0</v>
      </c>
      <c r="N324" s="83">
        <v>0</v>
      </c>
      <c r="O324" s="83">
        <f t="shared" si="83"/>
        <v>0</v>
      </c>
      <c r="P324" s="83">
        <f t="shared" si="84"/>
        <v>0</v>
      </c>
      <c r="Q324" s="83">
        <v>0</v>
      </c>
      <c r="R324" s="83">
        <v>0</v>
      </c>
      <c r="S324" s="83">
        <v>0</v>
      </c>
      <c r="T324" s="83">
        <f t="shared" si="85"/>
        <v>0</v>
      </c>
      <c r="U324" s="83">
        <f t="shared" si="86"/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468">
        <f ca="1">IFERROR(__xludf.DUMMYFUNCTION("IMPORTRANGE(""https://docs.google.com/spreadsheets/d/1-uDff_7J0KD5mKrp0Vvzr7lt3OU09vwQwhkpOPPYv2Y/edit?usp=sharing"",""งบพรบ!EI23"")"),0)</f>
        <v>0</v>
      </c>
      <c r="M325" s="224">
        <f ca="1">IFERROR(__xludf.DUMMYFUNCTION("IMPORTRANGE(""https://docs.google.com/spreadsheets/d/1-uDff_7J0KD5mKrp0Vvzr7lt3OU09vwQwhkpOPPYv2Y/edit?usp=sharing"",""งบพรบ!EN23"")"),0)</f>
        <v>0</v>
      </c>
      <c r="N325" s="224">
        <f ca="1">IFERROR(__xludf.DUMMYFUNCTION("IMPORTRANGE(""https://docs.google.com/spreadsheets/d/1-uDff_7J0KD5mKrp0Vvzr7lt3OU09vwQwhkpOPPYv2Y/edit?usp=sharing"",""งบพรบ!EP23"")"),0)</f>
        <v>0</v>
      </c>
      <c r="O325" s="224">
        <f t="shared" ca="1" si="83"/>
        <v>0</v>
      </c>
      <c r="P325" s="224">
        <f t="shared" ca="1" si="84"/>
        <v>0</v>
      </c>
      <c r="Q325" s="224">
        <v>0</v>
      </c>
      <c r="R325" s="224">
        <v>0</v>
      </c>
      <c r="S325" s="224">
        <v>0</v>
      </c>
      <c r="T325" s="224">
        <f t="shared" si="85"/>
        <v>0</v>
      </c>
      <c r="U325" s="224">
        <f t="shared" si="86"/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468">
        <f ca="1">L327+L328</f>
        <v>0</v>
      </c>
      <c r="M326" s="224">
        <f ca="1">M327+M328</f>
        <v>0</v>
      </c>
      <c r="N326" s="224">
        <f ca="1">N327+N328</f>
        <v>0</v>
      </c>
      <c r="O326" s="224">
        <f t="shared" ca="1" si="83"/>
        <v>0</v>
      </c>
      <c r="P326" s="224">
        <f t="shared" ca="1" si="84"/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 t="shared" si="85"/>
        <v>0</v>
      </c>
      <c r="U326" s="224">
        <f t="shared" si="86"/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469">
        <v>0</v>
      </c>
      <c r="M327" s="83">
        <v>0</v>
      </c>
      <c r="N327" s="83">
        <v>0</v>
      </c>
      <c r="O327" s="83">
        <f t="shared" si="83"/>
        <v>0</v>
      </c>
      <c r="P327" s="83">
        <f t="shared" si="84"/>
        <v>0</v>
      </c>
      <c r="Q327" s="83">
        <v>0</v>
      </c>
      <c r="R327" s="83">
        <v>0</v>
      </c>
      <c r="S327" s="83">
        <v>0</v>
      </c>
      <c r="T327" s="83">
        <f t="shared" si="85"/>
        <v>0</v>
      </c>
      <c r="U327" s="83">
        <f t="shared" si="86"/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468">
        <f ca="1">IFERROR(__xludf.DUMMYFUNCTION("IMPORTRANGE(""https://docs.google.com/spreadsheets/d/1-uDff_7J0KD5mKrp0Vvzr7lt3OU09vwQwhkpOPPYv2Y/edit?usp=sharing"",""งบพรบ!EL23"")"),0)</f>
        <v>0</v>
      </c>
      <c r="M328" s="224">
        <f ca="1">IFERROR(__xludf.DUMMYFUNCTION("IMPORTRANGE(""https://docs.google.com/spreadsheets/d/1-uDff_7J0KD5mKrp0Vvzr7lt3OU09vwQwhkpOPPYv2Y/edit?usp=sharing"",""งบพรบ!EO23"")"),0)</f>
        <v>0</v>
      </c>
      <c r="N328" s="224">
        <f ca="1">IFERROR(__xludf.DUMMYFUNCTION("IMPORTRANGE(""https://docs.google.com/spreadsheets/d/1-uDff_7J0KD5mKrp0Vvzr7lt3OU09vwQwhkpOPPYv2Y/edit?usp=sharing"",""งบพรบ!EQ23"")"),0)</f>
        <v>0</v>
      </c>
      <c r="O328" s="224">
        <f t="shared" ca="1" si="83"/>
        <v>0</v>
      </c>
      <c r="P328" s="224">
        <f t="shared" ca="1" si="84"/>
        <v>0</v>
      </c>
      <c r="Q328" s="224">
        <v>0</v>
      </c>
      <c r="R328" s="224">
        <v>0</v>
      </c>
      <c r="S328" s="224">
        <v>0</v>
      </c>
      <c r="T328" s="224">
        <f t="shared" si="85"/>
        <v>0</v>
      </c>
      <c r="U328" s="224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8" t="s">
        <v>38</v>
      </c>
      <c r="E329" s="141"/>
      <c r="F329" s="141"/>
      <c r="G329" s="142"/>
      <c r="H329" s="143"/>
      <c r="I329" s="135"/>
      <c r="J329" s="44"/>
      <c r="K329" s="45"/>
      <c r="L329" s="465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IFERROR(__xludf.DUMMYFUNCTION("IMPORTRANGE(""https://docs.google.com/spreadsheets/d/1eHaY18a8A9IcSdp1K8H6x8fbOy06t2VsZHhMHf-1x7Y/edit?usp=sharing"",""แผน!EJ23"")"),0)</f>
        <v>0</v>
      </c>
      <c r="J330" s="466">
        <v>0</v>
      </c>
      <c r="K330" s="224">
        <f ca="1">IF(I330&gt;0,J330*100/I330,0)</f>
        <v>0</v>
      </c>
      <c r="L330" s="465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57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569">
        <f ca="1">I344</f>
        <v>5060</v>
      </c>
      <c r="J332" s="568">
        <f ca="1">J344+J347+J348+J349+J353</f>
        <v>16548</v>
      </c>
      <c r="K332" s="567">
        <f ca="1">IF(I332&gt;0,J332*100/I332,0)</f>
        <v>327.03557312252963</v>
      </c>
      <c r="L332" s="539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472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471">
        <f ca="1">L334+L335</f>
        <v>116000</v>
      </c>
      <c r="M333" s="470">
        <f ca="1">M334+M335</f>
        <v>121000</v>
      </c>
      <c r="N333" s="470">
        <f ca="1">N334+N335</f>
        <v>121000</v>
      </c>
      <c r="O333" s="470">
        <f t="shared" ref="O333:O341" ca="1" si="89">IF(L333&gt;0,N333*100/L333,0)</f>
        <v>104.31034482758621</v>
      </c>
      <c r="P333" s="470">
        <f t="shared" ref="P333:P341" ca="1" si="90">IF(M333&gt;0,N333*100/M333,0)</f>
        <v>100</v>
      </c>
      <c r="Q333" s="470">
        <f>Q334+Q335</f>
        <v>0</v>
      </c>
      <c r="R333" s="470">
        <f>R334+R335</f>
        <v>0</v>
      </c>
      <c r="S333" s="470">
        <f>S334+S335</f>
        <v>0</v>
      </c>
      <c r="T333" s="470">
        <f t="shared" ref="T333:T341" si="91">IF(Q333&gt;0,S333*100/Q333,0)</f>
        <v>0</v>
      </c>
      <c r="U333" s="470">
        <f t="shared" ref="U333:U341" si="92"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469">
        <f t="shared" ref="L334:N335" si="93">L337+L340</f>
        <v>0</v>
      </c>
      <c r="M334" s="83">
        <f t="shared" si="93"/>
        <v>0</v>
      </c>
      <c r="N334" s="83">
        <f t="shared" si="93"/>
        <v>0</v>
      </c>
      <c r="O334" s="83">
        <f t="shared" si="89"/>
        <v>0</v>
      </c>
      <c r="P334" s="83">
        <f t="shared" si="90"/>
        <v>0</v>
      </c>
      <c r="Q334" s="83">
        <f t="shared" ref="Q334:S335" si="94">Q337+Q340</f>
        <v>0</v>
      </c>
      <c r="R334" s="83">
        <f t="shared" si="94"/>
        <v>0</v>
      </c>
      <c r="S334" s="83">
        <f t="shared" si="94"/>
        <v>0</v>
      </c>
      <c r="T334" s="83">
        <f t="shared" si="91"/>
        <v>0</v>
      </c>
      <c r="U334" s="83">
        <f t="shared" si="92"/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468">
        <f t="shared" ca="1" si="93"/>
        <v>116000</v>
      </c>
      <c r="M335" s="224">
        <f t="shared" ca="1" si="93"/>
        <v>121000</v>
      </c>
      <c r="N335" s="224">
        <f t="shared" ca="1" si="93"/>
        <v>121000</v>
      </c>
      <c r="O335" s="224">
        <f t="shared" ca="1" si="89"/>
        <v>104.31034482758621</v>
      </c>
      <c r="P335" s="224">
        <f t="shared" ca="1" si="90"/>
        <v>100</v>
      </c>
      <c r="Q335" s="224">
        <f t="shared" si="94"/>
        <v>0</v>
      </c>
      <c r="R335" s="224">
        <f t="shared" si="94"/>
        <v>0</v>
      </c>
      <c r="S335" s="224">
        <f t="shared" si="94"/>
        <v>0</v>
      </c>
      <c r="T335" s="224">
        <f t="shared" si="91"/>
        <v>0</v>
      </c>
      <c r="U335" s="224">
        <f t="shared" si="92"/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468">
        <f ca="1">L337+L338</f>
        <v>116000</v>
      </c>
      <c r="M336" s="224">
        <f ca="1">M337+M338</f>
        <v>121000</v>
      </c>
      <c r="N336" s="224">
        <f ca="1">N337+N338</f>
        <v>121000</v>
      </c>
      <c r="O336" s="224">
        <f t="shared" ca="1" si="89"/>
        <v>104.31034482758621</v>
      </c>
      <c r="P336" s="224">
        <f t="shared" ca="1" si="90"/>
        <v>100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 t="shared" si="91"/>
        <v>0</v>
      </c>
      <c r="U336" s="224">
        <f t="shared" si="92"/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469">
        <v>0</v>
      </c>
      <c r="M337" s="83">
        <v>0</v>
      </c>
      <c r="N337" s="83">
        <v>0</v>
      </c>
      <c r="O337" s="83">
        <f t="shared" si="89"/>
        <v>0</v>
      </c>
      <c r="P337" s="83">
        <f t="shared" si="90"/>
        <v>0</v>
      </c>
      <c r="Q337" s="83">
        <v>0</v>
      </c>
      <c r="R337" s="83">
        <v>0</v>
      </c>
      <c r="S337" s="83">
        <v>0</v>
      </c>
      <c r="T337" s="83">
        <f t="shared" si="91"/>
        <v>0</v>
      </c>
      <c r="U337" s="83">
        <f t="shared" si="92"/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468">
        <f ca="1">IFERROR(__xludf.DUMMYFUNCTION("IMPORTRANGE(""https://docs.google.com/spreadsheets/d/1-uDff_7J0KD5mKrp0Vvzr7lt3OU09vwQwhkpOPPYv2Y/edit?usp=sharing"",""งบพรบ!ES23"")"),116000)</f>
        <v>116000</v>
      </c>
      <c r="M338" s="224">
        <f ca="1">IFERROR(__xludf.DUMMYFUNCTION("IMPORTRANGE(""https://docs.google.com/spreadsheets/d/1-uDff_7J0KD5mKrp0Vvzr7lt3OU09vwQwhkpOPPYv2Y/edit?usp=sharing"",""งบพรบ!EX23"")"),121000)</f>
        <v>121000</v>
      </c>
      <c r="N338" s="224">
        <f ca="1">IFERROR(__xludf.DUMMYFUNCTION("IMPORTRANGE(""https://docs.google.com/spreadsheets/d/1-uDff_7J0KD5mKrp0Vvzr7lt3OU09vwQwhkpOPPYv2Y/edit?usp=sharing"",""งบพรบ!EZ23"")"),121000)</f>
        <v>121000</v>
      </c>
      <c r="O338" s="224">
        <f t="shared" ca="1" si="89"/>
        <v>104.31034482758621</v>
      </c>
      <c r="P338" s="224">
        <f t="shared" ca="1" si="90"/>
        <v>100</v>
      </c>
      <c r="Q338" s="224">
        <v>0</v>
      </c>
      <c r="R338" s="224">
        <v>0</v>
      </c>
      <c r="S338" s="224">
        <v>0</v>
      </c>
      <c r="T338" s="224">
        <f t="shared" si="91"/>
        <v>0</v>
      </c>
      <c r="U338" s="224">
        <f t="shared" si="92"/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468">
        <f ca="1">L340+L341</f>
        <v>0</v>
      </c>
      <c r="M339" s="224">
        <f ca="1">M340+M341</f>
        <v>0</v>
      </c>
      <c r="N339" s="224">
        <f ca="1">N340+N341</f>
        <v>0</v>
      </c>
      <c r="O339" s="224">
        <f t="shared" ca="1" si="89"/>
        <v>0</v>
      </c>
      <c r="P339" s="224">
        <f t="shared" ca="1" si="90"/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 t="shared" si="91"/>
        <v>0</v>
      </c>
      <c r="U339" s="224">
        <f t="shared" si="92"/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469">
        <v>0</v>
      </c>
      <c r="M340" s="83">
        <v>0</v>
      </c>
      <c r="N340" s="83">
        <v>0</v>
      </c>
      <c r="O340" s="83">
        <f t="shared" si="89"/>
        <v>0</v>
      </c>
      <c r="P340" s="83">
        <f t="shared" si="90"/>
        <v>0</v>
      </c>
      <c r="Q340" s="83">
        <v>0</v>
      </c>
      <c r="R340" s="83">
        <v>0</v>
      </c>
      <c r="S340" s="83">
        <v>0</v>
      </c>
      <c r="T340" s="83">
        <f t="shared" si="91"/>
        <v>0</v>
      </c>
      <c r="U340" s="83">
        <f t="shared" si="92"/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468">
        <f ca="1">IFERROR(__xludf.DUMMYFUNCTION("IMPORTRANGE(""https://docs.google.com/spreadsheets/d/1-uDff_7J0KD5mKrp0Vvzr7lt3OU09vwQwhkpOPPYv2Y/edit?usp=sharing"",""งบพรบ!EV23"")"),0)</f>
        <v>0</v>
      </c>
      <c r="M341" s="224">
        <f ca="1">IFERROR(__xludf.DUMMYFUNCTION("IMPORTRANGE(""https://docs.google.com/spreadsheets/d/1-uDff_7J0KD5mKrp0Vvzr7lt3OU09vwQwhkpOPPYv2Y/edit?usp=sharing"",""งบพรบ!EY23"")"),0)</f>
        <v>0</v>
      </c>
      <c r="N341" s="224">
        <f ca="1">IFERROR(__xludf.DUMMYFUNCTION("IMPORTRANGE(""https://docs.google.com/spreadsheets/d/1-uDff_7J0KD5mKrp0Vvzr7lt3OU09vwQwhkpOPPYv2Y/edit?usp=sharing"",""งบพรบ!FA23"")"),0)</f>
        <v>0</v>
      </c>
      <c r="O341" s="224">
        <f t="shared" ca="1" si="89"/>
        <v>0</v>
      </c>
      <c r="P341" s="224">
        <f t="shared" ca="1" si="90"/>
        <v>0</v>
      </c>
      <c r="Q341" s="224">
        <v>0</v>
      </c>
      <c r="R341" s="224">
        <v>0</v>
      </c>
      <c r="S341" s="224">
        <v>0</v>
      </c>
      <c r="T341" s="224">
        <f t="shared" si="91"/>
        <v>0</v>
      </c>
      <c r="U341" s="224">
        <f t="shared" si="92"/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465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566"/>
      <c r="B343" s="563"/>
      <c r="C343" s="565"/>
      <c r="D343" s="563"/>
      <c r="E343" s="564" t="s">
        <v>137</v>
      </c>
      <c r="F343" s="563"/>
      <c r="G343" s="562"/>
      <c r="H343" s="561" t="s">
        <v>35</v>
      </c>
      <c r="I343" s="560">
        <v>0</v>
      </c>
      <c r="J343" s="560">
        <f ca="1">J344+J347+J348+J349</f>
        <v>12359</v>
      </c>
      <c r="K343" s="559">
        <v>0</v>
      </c>
      <c r="L343" s="557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IFERROR(__xludf.DUMMYFUNCTION("IMPORTRANGE(""https://docs.google.com/spreadsheets/d/1eHaY18a8A9IcSdp1K8H6x8fbOy06t2VsZHhMHf-1x7Y/edit?usp=sharing"",""แผน!EK23"")"),5060)</f>
        <v>5060</v>
      </c>
      <c r="J344" s="184">
        <f ca="1">IFERROR(__xludf.DUMMYFUNCTION("IMPORTRANGE(""https://docs.google.com/spreadsheets/d/1awYsYK3VOup2i3Pq_Yjnu8DRu_mYwSBnCR2QPthd0rU/edit?usp=sharing"",""ศูนย์ยกเว้นโฉนด!D23"")"),11776)</f>
        <v>11776</v>
      </c>
      <c r="K344" s="224">
        <f ca="1">IF(I344&gt;0,J344*100/I344,0)</f>
        <v>232.72727272727272</v>
      </c>
      <c r="L344" s="465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465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IFERROR(__xludf.DUMMYFUNCTION("IMPORTRANGE(""https://docs.google.com/spreadsheets/d/1eHaY18a8A9IcSdp1K8H6x8fbOy06t2VsZHhMHf-1x7Y/edit?usp=sharing"",""แผน!EL23"")"),5)</f>
        <v>5</v>
      </c>
      <c r="J346" s="184">
        <f ca="1">IFERROR(__xludf.DUMMYFUNCTION("IMPORTRANGE(""https://docs.google.com/spreadsheets/d/1awYsYK3VOup2i3Pq_Yjnu8DRu_mYwSBnCR2QPthd0rU/edit?usp=sharing"",""ศูนย์รวม!E23"")"),5)</f>
        <v>5</v>
      </c>
      <c r="K346" s="224">
        <f ca="1">IF(I346&gt;0,J346*100/I346,0)</f>
        <v>100</v>
      </c>
      <c r="L346" s="465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IFERROR(__xludf.DUMMYFUNCTION("IMPORTRANGE(""https://docs.google.com/spreadsheets/d/1awYsYK3VOup2i3Pq_Yjnu8DRu_mYwSBnCR2QPthd0rU/edit?usp=sharing"",""ศูนย์ยกเว้นโฉนด!F23"")"),514)</f>
        <v>514</v>
      </c>
      <c r="K347" s="45"/>
      <c r="L347" s="465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IFERROR(__xludf.DUMMYFUNCTION("IMPORTRANGE(""https://docs.google.com/spreadsheets/d/1awYsYK3VOup2i3Pq_Yjnu8DRu_mYwSBnCR2QPthd0rU/edit?usp=sharing"",""ศูนย์ยกเว้นโฉนด!G23"")"),0)</f>
        <v>0</v>
      </c>
      <c r="K348" s="45"/>
      <c r="L348" s="465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IFERROR(__xludf.DUMMYFUNCTION("IMPORTRANGE(""https://docs.google.com/spreadsheets/d/1awYsYK3VOup2i3Pq_Yjnu8DRu_mYwSBnCR2QPthd0rU/edit?usp=sharing"",""ศูนย์ยกเว้นโฉนด!H23"")"),69)</f>
        <v>69</v>
      </c>
      <c r="K349" s="45"/>
      <c r="L349" s="465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0"/>
      <c r="F350" s="40"/>
      <c r="G350" s="42"/>
      <c r="H350" s="180"/>
      <c r="I350" s="44"/>
      <c r="J350" s="44"/>
      <c r="K350" s="45"/>
      <c r="L350" s="465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558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7334</v>
      </c>
      <c r="K351" s="304">
        <v>0</v>
      </c>
      <c r="L351" s="557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IFERROR(__xludf.DUMMYFUNCTION("IMPORTRANGE(""https://docs.google.com/spreadsheets/d/1awYsYK3VOup2i3Pq_Yjnu8DRu_mYwSBnCR2QPthd0rU/edit?usp=sharing"",""โฉนดM3!G23"")"),3145)</f>
        <v>3145</v>
      </c>
      <c r="K352" s="45"/>
      <c r="L352" s="465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IFERROR(__xludf.DUMMYFUNCTION("IMPORTRANGE(""https://docs.google.com/spreadsheets/d/1awYsYK3VOup2i3Pq_Yjnu8DRu_mYwSBnCR2QPthd0rU/edit?usp=sharing"",""โฉนดM3!H23"")"),4189)</f>
        <v>4189</v>
      </c>
      <c r="K353" s="45"/>
      <c r="L353" s="465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0"/>
      <c r="F354" s="40"/>
      <c r="G354" s="42"/>
      <c r="H354" s="180"/>
      <c r="I354" s="44"/>
      <c r="J354" s="44"/>
      <c r="K354" s="45"/>
      <c r="L354" s="465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539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472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471">
        <f ca="1">L357+L358</f>
        <v>1188345</v>
      </c>
      <c r="M356" s="470">
        <f ca="1">M357+M358</f>
        <v>1188345</v>
      </c>
      <c r="N356" s="470">
        <f ca="1">N357+N358</f>
        <v>602236</v>
      </c>
      <c r="O356" s="470">
        <f t="shared" ref="O356:O364" ca="1" si="95">IF(L356&gt;0,N356*100/L356,0)</f>
        <v>50.678548737950678</v>
      </c>
      <c r="P356" s="470">
        <f t="shared" ref="P356:P364" ca="1" si="96">IF(M356&gt;0,N356*100/M356,0)</f>
        <v>50.678548737950678</v>
      </c>
      <c r="Q356" s="470">
        <f>Q357+Q358</f>
        <v>0</v>
      </c>
      <c r="R356" s="470">
        <f>R357+R358</f>
        <v>0</v>
      </c>
      <c r="S356" s="470">
        <f>S357+S358</f>
        <v>0</v>
      </c>
      <c r="T356" s="470">
        <f t="shared" ref="T356:T364" si="97">IF(Q356&gt;0,S356*100/Q356,0)</f>
        <v>0</v>
      </c>
      <c r="U356" s="470">
        <f t="shared" ref="U356:U364" si="98"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469">
        <f t="shared" ref="L357:N358" si="99">L360+L363</f>
        <v>0</v>
      </c>
      <c r="M357" s="83">
        <f t="shared" si="99"/>
        <v>0</v>
      </c>
      <c r="N357" s="83">
        <f t="shared" si="99"/>
        <v>0</v>
      </c>
      <c r="O357" s="83">
        <f t="shared" si="95"/>
        <v>0</v>
      </c>
      <c r="P357" s="83">
        <f t="shared" si="96"/>
        <v>0</v>
      </c>
      <c r="Q357" s="83">
        <f t="shared" ref="Q357:S358" si="100">Q360+Q363</f>
        <v>0</v>
      </c>
      <c r="R357" s="83">
        <f t="shared" si="100"/>
        <v>0</v>
      </c>
      <c r="S357" s="83">
        <f t="shared" si="100"/>
        <v>0</v>
      </c>
      <c r="T357" s="83">
        <f t="shared" si="97"/>
        <v>0</v>
      </c>
      <c r="U357" s="83">
        <f t="shared" si="98"/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468">
        <f t="shared" ca="1" si="99"/>
        <v>1188345</v>
      </c>
      <c r="M358" s="224">
        <f t="shared" ca="1" si="99"/>
        <v>1188345</v>
      </c>
      <c r="N358" s="224">
        <f t="shared" ca="1" si="99"/>
        <v>602236</v>
      </c>
      <c r="O358" s="224">
        <f t="shared" ca="1" si="95"/>
        <v>50.678548737950678</v>
      </c>
      <c r="P358" s="224">
        <f t="shared" ca="1" si="96"/>
        <v>50.678548737950678</v>
      </c>
      <c r="Q358" s="224">
        <f t="shared" si="100"/>
        <v>0</v>
      </c>
      <c r="R358" s="224">
        <f t="shared" si="100"/>
        <v>0</v>
      </c>
      <c r="S358" s="224">
        <f t="shared" si="100"/>
        <v>0</v>
      </c>
      <c r="T358" s="224">
        <f t="shared" si="97"/>
        <v>0</v>
      </c>
      <c r="U358" s="224">
        <f t="shared" si="98"/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468">
        <f ca="1">L360+L361</f>
        <v>1188345</v>
      </c>
      <c r="M359" s="224">
        <f ca="1">M360+M361</f>
        <v>1188345</v>
      </c>
      <c r="N359" s="224">
        <f ca="1">N360+N361</f>
        <v>602236</v>
      </c>
      <c r="O359" s="224">
        <f t="shared" ca="1" si="95"/>
        <v>50.678548737950678</v>
      </c>
      <c r="P359" s="224">
        <f t="shared" ca="1" si="96"/>
        <v>50.678548737950678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 t="shared" si="97"/>
        <v>0</v>
      </c>
      <c r="U359" s="224">
        <f t="shared" si="98"/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469">
        <v>0</v>
      </c>
      <c r="M360" s="83">
        <v>0</v>
      </c>
      <c r="N360" s="83">
        <v>0</v>
      </c>
      <c r="O360" s="83">
        <f t="shared" si="95"/>
        <v>0</v>
      </c>
      <c r="P360" s="83">
        <f t="shared" si="96"/>
        <v>0</v>
      </c>
      <c r="Q360" s="83">
        <v>0</v>
      </c>
      <c r="R360" s="83">
        <v>0</v>
      </c>
      <c r="S360" s="83">
        <v>0</v>
      </c>
      <c r="T360" s="83">
        <f t="shared" si="97"/>
        <v>0</v>
      </c>
      <c r="U360" s="83">
        <f t="shared" si="98"/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468">
        <f ca="1">IFERROR(__xludf.DUMMYFUNCTION("IMPORTRANGE(""https://docs.google.com/spreadsheets/d/1-uDff_7J0KD5mKrp0Vvzr7lt3OU09vwQwhkpOPPYv2Y/edit?usp=sharing"",""งบพรบ!FC23"")"),1188345)</f>
        <v>1188345</v>
      </c>
      <c r="M361" s="224">
        <f ca="1">IFERROR(__xludf.DUMMYFUNCTION("IMPORTRANGE(""https://docs.google.com/spreadsheets/d/1-uDff_7J0KD5mKrp0Vvzr7lt3OU09vwQwhkpOPPYv2Y/edit?usp=sharing"",""งบพรบ!FH23"")"),1188345)</f>
        <v>1188345</v>
      </c>
      <c r="N361" s="224">
        <f ca="1">IFERROR(__xludf.DUMMYFUNCTION("IMPORTRANGE(""https://docs.google.com/spreadsheets/d/1-uDff_7J0KD5mKrp0Vvzr7lt3OU09vwQwhkpOPPYv2Y/edit?usp=sharing"",""งบพรบ!FJ23"")"),602236)</f>
        <v>602236</v>
      </c>
      <c r="O361" s="224">
        <f t="shared" ca="1" si="95"/>
        <v>50.678548737950678</v>
      </c>
      <c r="P361" s="224">
        <f t="shared" ca="1" si="96"/>
        <v>50.678548737950678</v>
      </c>
      <c r="Q361" s="224">
        <v>0</v>
      </c>
      <c r="R361" s="224">
        <v>0</v>
      </c>
      <c r="S361" s="224">
        <v>0</v>
      </c>
      <c r="T361" s="224">
        <f t="shared" si="97"/>
        <v>0</v>
      </c>
      <c r="U361" s="224">
        <f t="shared" si="98"/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468">
        <f ca="1">L363+L364</f>
        <v>0</v>
      </c>
      <c r="M362" s="224">
        <f ca="1">M363+M364</f>
        <v>0</v>
      </c>
      <c r="N362" s="224">
        <f ca="1">N363+N364</f>
        <v>0</v>
      </c>
      <c r="O362" s="224">
        <f t="shared" ca="1" si="95"/>
        <v>0</v>
      </c>
      <c r="P362" s="224">
        <f t="shared" ca="1" si="96"/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 t="shared" si="97"/>
        <v>0</v>
      </c>
      <c r="U362" s="224">
        <f t="shared" si="98"/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469">
        <v>0</v>
      </c>
      <c r="M363" s="83">
        <v>0</v>
      </c>
      <c r="N363" s="83">
        <v>0</v>
      </c>
      <c r="O363" s="83">
        <f t="shared" si="95"/>
        <v>0</v>
      </c>
      <c r="P363" s="83">
        <f t="shared" si="96"/>
        <v>0</v>
      </c>
      <c r="Q363" s="83">
        <v>0</v>
      </c>
      <c r="R363" s="83">
        <v>0</v>
      </c>
      <c r="S363" s="83">
        <v>0</v>
      </c>
      <c r="T363" s="83">
        <f t="shared" si="97"/>
        <v>0</v>
      </c>
      <c r="U363" s="83">
        <f t="shared" si="98"/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468">
        <f ca="1">IFERROR(__xludf.DUMMYFUNCTION("IMPORTRANGE(""https://docs.google.com/spreadsheets/d/1-uDff_7J0KD5mKrp0Vvzr7lt3OU09vwQwhkpOPPYv2Y/edit?usp=sharing"",""งบพรบ!FF23"")"),0)</f>
        <v>0</v>
      </c>
      <c r="M364" s="224">
        <f ca="1">IFERROR(__xludf.DUMMYFUNCTION("IMPORTRANGE(""https://docs.google.com/spreadsheets/d/1-uDff_7J0KD5mKrp0Vvzr7lt3OU09vwQwhkpOPPYv2Y/edit?usp=sharing"",""งบพรบ!FI23"")"),0)</f>
        <v>0</v>
      </c>
      <c r="N364" s="224">
        <f ca="1">IFERROR(__xludf.DUMMYFUNCTION("IMPORTRANGE(""https://docs.google.com/spreadsheets/d/1-uDff_7J0KD5mKrp0Vvzr7lt3OU09vwQwhkpOPPYv2Y/edit?usp=sharing"",""งบพรบ!FK23"")"),0)</f>
        <v>0</v>
      </c>
      <c r="O364" s="224">
        <f t="shared" ca="1" si="95"/>
        <v>0</v>
      </c>
      <c r="P364" s="224">
        <f t="shared" ca="1" si="96"/>
        <v>0</v>
      </c>
      <c r="Q364" s="224">
        <v>0</v>
      </c>
      <c r="R364" s="224">
        <v>0</v>
      </c>
      <c r="S364" s="224">
        <v>0</v>
      </c>
      <c r="T364" s="224">
        <f t="shared" si="97"/>
        <v>0</v>
      </c>
      <c r="U364" s="224">
        <f t="shared" si="98"/>
        <v>0</v>
      </c>
    </row>
    <row r="365" spans="1:21" ht="19.5" x14ac:dyDescent="0.3">
      <c r="A365" s="211"/>
      <c r="B365" s="212"/>
      <c r="C365" s="214"/>
      <c r="D365" s="558" t="s">
        <v>149</v>
      </c>
      <c r="E365" s="214"/>
      <c r="F365" s="214"/>
      <c r="G365" s="215"/>
      <c r="H365" s="223" t="s">
        <v>35</v>
      </c>
      <c r="I365" s="303">
        <f ca="1">I371</f>
        <v>1490</v>
      </c>
      <c r="J365" s="303">
        <f ca="1">J371</f>
        <v>318</v>
      </c>
      <c r="K365" s="304">
        <f ca="1">IF(I365&gt;0,J365*100/I365,0)</f>
        <v>21.34228187919463</v>
      </c>
      <c r="L365" s="557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498" t="s">
        <v>38</v>
      </c>
      <c r="E366" s="141"/>
      <c r="F366" s="141"/>
      <c r="G366" s="142"/>
      <c r="H366" s="143"/>
      <c r="I366" s="44"/>
      <c r="J366" s="44"/>
      <c r="K366" s="45"/>
      <c r="L366" s="4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IFERROR(__xludf.DUMMYFUNCTION("IMPORTRANGE(""https://docs.google.com/spreadsheets/d/1tdoBKaGub7dwA3U6UFTqxio9LNnvDCQjHKmttSEBsFQ/edit?usp=sharing"",""จัดที่ดิน!AB23"")"),207)</f>
        <v>207</v>
      </c>
      <c r="K367" s="224">
        <f t="shared" ref="K367:K372" si="101">IF(I367&gt;0,J367*100/I367,0)</f>
        <v>0</v>
      </c>
      <c r="L367" s="4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IFERROR(__xludf.DUMMYFUNCTION("IMPORTRANGE(""https://docs.google.com/spreadsheets/d/1eHaY18a8A9IcSdp1K8H6x8fbOy06t2VsZHhMHf-1x7Y/edit?usp=sharing"",""แผน!EW23"")"),4500)</f>
        <v>4500</v>
      </c>
      <c r="J368" s="556">
        <f ca="1">IFERROR(__xludf.DUMMYFUNCTION("IMPORTRANGE(""https://docs.google.com/spreadsheets/d/1tdoBKaGub7dwA3U6UFTqxio9LNnvDCQjHKmttSEBsFQ/edit?usp=sharing"",""จัดที่ดิน!AC23"")"),2706.34)</f>
        <v>2706.34</v>
      </c>
      <c r="K368" s="224">
        <f t="shared" ca="1" si="101"/>
        <v>60.140888888888888</v>
      </c>
      <c r="L368" s="4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IFERROR(__xludf.DUMMYFUNCTION("IMPORTRANGE(""https://docs.google.com/spreadsheets/d/1eHaY18a8A9IcSdp1K8H6x8fbOy06t2VsZHhMHf-1x7Y/edit?usp=sharing"",""แผน!EX23"")"),1490)</f>
        <v>1490</v>
      </c>
      <c r="J369" s="184">
        <f ca="1">IFERROR(__xludf.DUMMYFUNCTION("IMPORTRANGE(""https://docs.google.com/spreadsheets/d/1tdoBKaGub7dwA3U6UFTqxio9LNnvDCQjHKmttSEBsFQ/edit?usp=sharing"",""จัดที่ดิน!AD23"")"),470)</f>
        <v>470</v>
      </c>
      <c r="K369" s="224">
        <f t="shared" ca="1" si="101"/>
        <v>31.543624161073826</v>
      </c>
      <c r="L369" s="4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556">
        <f ca="1">IFERROR(__xludf.DUMMYFUNCTION("IMPORTRANGE(""https://docs.google.com/spreadsheets/d/1tdoBKaGub7dwA3U6UFTqxio9LNnvDCQjHKmttSEBsFQ/edit?usp=sharing"",""จัดที่ดิน!AE23"")"),7830.15)</f>
        <v>7830.15</v>
      </c>
      <c r="K370" s="224">
        <f t="shared" si="101"/>
        <v>0</v>
      </c>
      <c r="L370" s="4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IFERROR(__xludf.DUMMYFUNCTION("IMPORTRANGE(""https://docs.google.com/spreadsheets/d/1eHaY18a8A9IcSdp1K8H6x8fbOy06t2VsZHhMHf-1x7Y/edit?usp=sharing"",""แผน!EY23"")"),1490)</f>
        <v>1490</v>
      </c>
      <c r="J371" s="184">
        <f ca="1">IFERROR(__xludf.DUMMYFUNCTION("IMPORTRANGE(""https://docs.google.com/spreadsheets/d/1tdoBKaGub7dwA3U6UFTqxio9LNnvDCQjHKmttSEBsFQ/edit?usp=sharing"",""จัดที่ดิน!AF23"")"),318)</f>
        <v>318</v>
      </c>
      <c r="K371" s="224">
        <f t="shared" ca="1" si="101"/>
        <v>21.34228187919463</v>
      </c>
      <c r="L371" s="4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556">
        <f ca="1">IFERROR(__xludf.DUMMYFUNCTION("IMPORTRANGE(""https://docs.google.com/spreadsheets/d/1tdoBKaGub7dwA3U6UFTqxio9LNnvDCQjHKmttSEBsFQ/edit?usp=sharing"",""จัดที่ดิน!AG23"")"),5740.04999999999)</f>
        <v>5740.0499999999902</v>
      </c>
      <c r="K372" s="224">
        <f t="shared" si="101"/>
        <v>0</v>
      </c>
      <c r="L372" s="4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2"/>
      <c r="H373" s="52"/>
      <c r="I373" s="54"/>
      <c r="J373" s="54"/>
      <c r="K373" s="3"/>
      <c r="L373" s="46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hidden="1" x14ac:dyDescent="0.3">
      <c r="A374" s="555"/>
      <c r="B374" s="554" t="s">
        <v>153</v>
      </c>
      <c r="C374" s="553"/>
      <c r="D374" s="552"/>
      <c r="E374" s="551"/>
      <c r="F374" s="551"/>
      <c r="G374" s="550"/>
      <c r="H374" s="549" t="s">
        <v>46</v>
      </c>
      <c r="I374" s="548">
        <f ca="1">I385</f>
        <v>0</v>
      </c>
      <c r="J374" s="548">
        <f>J385</f>
        <v>0</v>
      </c>
      <c r="K374" s="547">
        <f ca="1">IF(I374&gt;0,J374*100/I374,0)</f>
        <v>0</v>
      </c>
      <c r="L374" s="539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hidden="1" x14ac:dyDescent="0.3">
      <c r="A375" s="128"/>
      <c r="B375" s="158"/>
      <c r="C375" s="161" t="s">
        <v>18</v>
      </c>
      <c r="D375" s="544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471">
        <f>L376+L377</f>
        <v>0</v>
      </c>
      <c r="M375" s="470">
        <f>M376+M377</f>
        <v>0</v>
      </c>
      <c r="N375" s="470">
        <f>N376+N377</f>
        <v>0</v>
      </c>
      <c r="O375" s="470">
        <f t="shared" ref="O375:O383" si="102">IF(L375&gt;0,N375*100/L375,0)</f>
        <v>0</v>
      </c>
      <c r="P375" s="470">
        <f t="shared" ref="P375:P383" si="103">IF(M375&gt;0,N375*100/M375,0)</f>
        <v>0</v>
      </c>
      <c r="Q375" s="470">
        <f ca="1">Q376+Q377</f>
        <v>0</v>
      </c>
      <c r="R375" s="470">
        <f ca="1">R376+R377</f>
        <v>0</v>
      </c>
      <c r="S375" s="470">
        <f ca="1">S376+S377</f>
        <v>0</v>
      </c>
      <c r="T375" s="470">
        <f t="shared" ref="T375:T383" ca="1" si="104">IF(Q375&gt;0,S375*100/Q375,0)</f>
        <v>0</v>
      </c>
      <c r="U375" s="470">
        <f t="shared" ref="U375:U383" ca="1" si="105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469">
        <f t="shared" ref="L376:N377" si="106">L379+L382</f>
        <v>0</v>
      </c>
      <c r="M376" s="83">
        <f t="shared" si="106"/>
        <v>0</v>
      </c>
      <c r="N376" s="83">
        <f t="shared" si="106"/>
        <v>0</v>
      </c>
      <c r="O376" s="83">
        <f t="shared" si="102"/>
        <v>0</v>
      </c>
      <c r="P376" s="83">
        <f t="shared" si="103"/>
        <v>0</v>
      </c>
      <c r="Q376" s="83">
        <f t="shared" ref="Q376:S377" si="107">Q379+Q382</f>
        <v>0</v>
      </c>
      <c r="R376" s="83">
        <f t="shared" si="107"/>
        <v>0</v>
      </c>
      <c r="S376" s="83">
        <f t="shared" si="107"/>
        <v>0</v>
      </c>
      <c r="T376" s="83">
        <f t="shared" si="104"/>
        <v>0</v>
      </c>
      <c r="U376" s="83">
        <f t="shared" si="105"/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468">
        <f t="shared" si="106"/>
        <v>0</v>
      </c>
      <c r="M377" s="224">
        <f t="shared" si="106"/>
        <v>0</v>
      </c>
      <c r="N377" s="224">
        <f t="shared" si="106"/>
        <v>0</v>
      </c>
      <c r="O377" s="224">
        <f t="shared" si="102"/>
        <v>0</v>
      </c>
      <c r="P377" s="224">
        <f t="shared" si="103"/>
        <v>0</v>
      </c>
      <c r="Q377" s="224">
        <f t="shared" ca="1" si="107"/>
        <v>0</v>
      </c>
      <c r="R377" s="224">
        <f t="shared" ca="1" si="107"/>
        <v>0</v>
      </c>
      <c r="S377" s="224">
        <f t="shared" ca="1" si="107"/>
        <v>0</v>
      </c>
      <c r="T377" s="224">
        <f t="shared" ca="1" si="104"/>
        <v>0</v>
      </c>
      <c r="U377" s="224">
        <f t="shared" ca="1" si="105"/>
        <v>0</v>
      </c>
    </row>
    <row r="378" spans="1:21" ht="18.75" hidden="1" x14ac:dyDescent="0.25">
      <c r="A378" s="128"/>
      <c r="B378" s="158"/>
      <c r="C378" s="158"/>
      <c r="D378" s="53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468">
        <f>L379+L380</f>
        <v>0</v>
      </c>
      <c r="M378" s="224">
        <f>M379+M380</f>
        <v>0</v>
      </c>
      <c r="N378" s="224">
        <f>N379+N380</f>
        <v>0</v>
      </c>
      <c r="O378" s="224">
        <f t="shared" si="102"/>
        <v>0</v>
      </c>
      <c r="P378" s="224">
        <f t="shared" si="103"/>
        <v>0</v>
      </c>
      <c r="Q378" s="224">
        <f ca="1">Q379+Q380</f>
        <v>0</v>
      </c>
      <c r="R378" s="224">
        <f ca="1">R379+R380</f>
        <v>0</v>
      </c>
      <c r="S378" s="224">
        <f ca="1">S379+S380</f>
        <v>0</v>
      </c>
      <c r="T378" s="224">
        <f t="shared" ca="1" si="104"/>
        <v>0</v>
      </c>
      <c r="U378" s="224">
        <f t="shared" ca="1" si="105"/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469">
        <v>0</v>
      </c>
      <c r="M379" s="83">
        <v>0</v>
      </c>
      <c r="N379" s="83">
        <v>0</v>
      </c>
      <c r="O379" s="83">
        <f t="shared" si="102"/>
        <v>0</v>
      </c>
      <c r="P379" s="83">
        <f t="shared" si="103"/>
        <v>0</v>
      </c>
      <c r="Q379" s="83">
        <v>0</v>
      </c>
      <c r="R379" s="83">
        <v>0</v>
      </c>
      <c r="S379" s="83">
        <v>0</v>
      </c>
      <c r="T379" s="83">
        <f t="shared" si="104"/>
        <v>0</v>
      </c>
      <c r="U379" s="83">
        <f t="shared" si="105"/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468">
        <v>0</v>
      </c>
      <c r="M380" s="224">
        <v>0</v>
      </c>
      <c r="N380" s="224">
        <v>0</v>
      </c>
      <c r="O380" s="224">
        <f t="shared" si="102"/>
        <v>0</v>
      </c>
      <c r="P380" s="224">
        <f t="shared" si="103"/>
        <v>0</v>
      </c>
      <c r="Q380" s="224">
        <f ca="1">IFERROR(__xludf.DUMMYFUNCTION("IMPORTRANGE(""https://docs.google.com/spreadsheets/d/1ItG2mGa2ceCfYo0BwxsXqNm01IGEUdYcSSLTEv9YCik/edit?usp=sharing"",""เบิกจ่ายกองทุน!AY23"")"),0)</f>
        <v>0</v>
      </c>
      <c r="R380" s="224">
        <f ca="1">IFERROR(__xludf.DUMMYFUNCTION("IMPORTRANGE(""https://docs.google.com/spreadsheets/d/1ItG2mGa2ceCfYo0BwxsXqNm01IGEUdYcSSLTEv9YCik/edit?usp=sharing"",""เบิกจ่ายกองทุน!AZ23"")"),0)</f>
        <v>0</v>
      </c>
      <c r="S380" s="224">
        <f ca="1">IFERROR(__xludf.DUMMYFUNCTION("IMPORTRANGE(""https://docs.google.com/spreadsheets/d/1ItG2mGa2ceCfYo0BwxsXqNm01IGEUdYcSSLTEv9YCik/edit?usp=sharing"",""เบิกจ่ายกองทุน!BA23"")"),0)</f>
        <v>0</v>
      </c>
      <c r="T380" s="224">
        <f t="shared" ca="1" si="104"/>
        <v>0</v>
      </c>
      <c r="U380" s="224">
        <f t="shared" ca="1" si="105"/>
        <v>0</v>
      </c>
    </row>
    <row r="381" spans="1:21" ht="18.75" hidden="1" x14ac:dyDescent="0.25">
      <c r="A381" s="128"/>
      <c r="B381" s="158"/>
      <c r="C381" s="158"/>
      <c r="D381" s="53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468">
        <f>L382+L383</f>
        <v>0</v>
      </c>
      <c r="M381" s="224">
        <f>M382+M383</f>
        <v>0</v>
      </c>
      <c r="N381" s="224">
        <f>N382+N383</f>
        <v>0</v>
      </c>
      <c r="O381" s="224">
        <f t="shared" si="102"/>
        <v>0</v>
      </c>
      <c r="P381" s="224">
        <f t="shared" si="103"/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 t="shared" si="104"/>
        <v>0</v>
      </c>
      <c r="U381" s="224">
        <f t="shared" si="105"/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469">
        <v>0</v>
      </c>
      <c r="M382" s="83">
        <v>0</v>
      </c>
      <c r="N382" s="83">
        <v>0</v>
      </c>
      <c r="O382" s="83">
        <f t="shared" si="102"/>
        <v>0</v>
      </c>
      <c r="P382" s="83">
        <f t="shared" si="103"/>
        <v>0</v>
      </c>
      <c r="Q382" s="83">
        <v>0</v>
      </c>
      <c r="R382" s="83">
        <v>0</v>
      </c>
      <c r="S382" s="83">
        <v>0</v>
      </c>
      <c r="T382" s="83">
        <f t="shared" si="104"/>
        <v>0</v>
      </c>
      <c r="U382" s="83">
        <f t="shared" si="105"/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468">
        <v>0</v>
      </c>
      <c r="M383" s="224">
        <v>0</v>
      </c>
      <c r="N383" s="224">
        <v>0</v>
      </c>
      <c r="O383" s="224">
        <f t="shared" si="102"/>
        <v>0</v>
      </c>
      <c r="P383" s="224">
        <f t="shared" si="103"/>
        <v>0</v>
      </c>
      <c r="Q383" s="224">
        <v>0</v>
      </c>
      <c r="R383" s="224">
        <v>0</v>
      </c>
      <c r="S383" s="224">
        <v>0</v>
      </c>
      <c r="T383" s="224">
        <f t="shared" si="104"/>
        <v>0</v>
      </c>
      <c r="U383" s="224">
        <f t="shared" si="105"/>
        <v>0</v>
      </c>
    </row>
    <row r="384" spans="1:21" ht="19.5" hidden="1" x14ac:dyDescent="0.3">
      <c r="A384" s="138"/>
      <c r="B384" s="139"/>
      <c r="C384" s="161" t="s">
        <v>18</v>
      </c>
      <c r="D384" s="491" t="s">
        <v>38</v>
      </c>
      <c r="E384" s="141"/>
      <c r="F384" s="141"/>
      <c r="G384" s="142"/>
      <c r="H384" s="178"/>
      <c r="I384" s="135"/>
      <c r="J384" s="44"/>
      <c r="K384" s="45"/>
      <c r="L384" s="465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hidden="1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184">
        <f ca="1">IFERROR(__xludf.DUMMYFUNCTION("IMPORTRANGE(""https://docs.google.com/spreadsheets/d/1eHaY18a8A9IcSdp1K8H6x8fbOy06t2VsZHhMHf-1x7Y/edit?usp=sharing"",""แผน!JQ23"")"),0)</f>
        <v>0</v>
      </c>
      <c r="J385" s="184">
        <v>0</v>
      </c>
      <c r="K385" s="224">
        <f ca="1">IF(I385&gt;0,J385*100/I385,0)</f>
        <v>0</v>
      </c>
      <c r="L385" s="465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hidden="1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IFERROR(__xludf.DUMMYFUNCTION("IMPORTRANGE(""https://docs.google.com/spreadsheets/d/1eHaY18a8A9IcSdp1K8H6x8fbOy06t2VsZHhMHf-1x7Y/edit?usp=sharing"",""แผน!JQ23"")"),0)</f>
        <v>0</v>
      </c>
      <c r="J386" s="184">
        <v>0</v>
      </c>
      <c r="K386" s="224">
        <f ca="1">IF(I386&gt;0,J386*100/I386,0)</f>
        <v>0</v>
      </c>
      <c r="L386" s="465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hidden="1" x14ac:dyDescent="0.25">
      <c r="A387" s="158"/>
      <c r="B387" s="158"/>
      <c r="C387" s="158"/>
      <c r="D387" s="158"/>
      <c r="E387" s="314" t="s">
        <v>155</v>
      </c>
      <c r="F387" s="158"/>
      <c r="G387" s="180"/>
      <c r="H387" s="157" t="s">
        <v>34</v>
      </c>
      <c r="I387" s="430">
        <v>0</v>
      </c>
      <c r="J387" s="430">
        <v>0</v>
      </c>
      <c r="K387" s="83">
        <f>IF(I387&gt;0,J387*100/I387,0)</f>
        <v>0</v>
      </c>
      <c r="L387" s="465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hidden="1" x14ac:dyDescent="0.25">
      <c r="A388" s="158"/>
      <c r="B388" s="158"/>
      <c r="C388" s="158"/>
      <c r="D388" s="158"/>
      <c r="E388" s="158"/>
      <c r="F388" s="158"/>
      <c r="G388" s="180"/>
      <c r="H388" s="157" t="s">
        <v>46</v>
      </c>
      <c r="I388" s="430">
        <v>0</v>
      </c>
      <c r="J388" s="430">
        <v>0</v>
      </c>
      <c r="K388" s="83">
        <f>IF(I388&gt;0,J388*100/I388,0)</f>
        <v>0</v>
      </c>
      <c r="L388" s="465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11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16"/>
      <c r="B390" s="316"/>
      <c r="C390" s="316"/>
      <c r="D390" s="316"/>
      <c r="E390" s="316"/>
      <c r="F390" s="316"/>
      <c r="G390" s="317"/>
      <c r="H390" s="317"/>
      <c r="I390" s="318"/>
      <c r="J390" s="318"/>
      <c r="K390" s="319"/>
      <c r="L390" s="496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hidden="1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>I402</f>
        <v>0</v>
      </c>
      <c r="J391" s="307">
        <f>J402</f>
        <v>0</v>
      </c>
      <c r="K391" s="540">
        <f>IF(I391&gt;0,J391*100/I391,0)</f>
        <v>0</v>
      </c>
      <c r="L391" s="539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hidden="1" x14ac:dyDescent="0.3">
      <c r="A392" s="128"/>
      <c r="B392" s="158"/>
      <c r="C392" s="161" t="s">
        <v>18</v>
      </c>
      <c r="D392" s="54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471">
        <f>L393+L394</f>
        <v>0</v>
      </c>
      <c r="M392" s="470">
        <f>M393+M394</f>
        <v>0</v>
      </c>
      <c r="N392" s="470">
        <f>N393+N394</f>
        <v>0</v>
      </c>
      <c r="O392" s="470">
        <f t="shared" ref="O392:O400" si="108">IF(L392&gt;0,N392*100/L392,0)</f>
        <v>0</v>
      </c>
      <c r="P392" s="470">
        <f t="shared" ref="P392:P400" si="109">IF(M392&gt;0,N392*100/M392,0)</f>
        <v>0</v>
      </c>
      <c r="Q392" s="470">
        <f>Q393+Q394</f>
        <v>0</v>
      </c>
      <c r="R392" s="470">
        <f>R393+R394</f>
        <v>0</v>
      </c>
      <c r="S392" s="470">
        <f>S393+S394</f>
        <v>0</v>
      </c>
      <c r="T392" s="470">
        <f t="shared" ref="T392:T400" si="110">IF(Q392&gt;0,S392*100/Q392,0)</f>
        <v>0</v>
      </c>
      <c r="U392" s="470">
        <f t="shared" ref="U392:U400" si="11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469">
        <f t="shared" ref="L393:N394" si="112">L396+L399</f>
        <v>0</v>
      </c>
      <c r="M393" s="83">
        <f t="shared" si="112"/>
        <v>0</v>
      </c>
      <c r="N393" s="83">
        <f t="shared" si="112"/>
        <v>0</v>
      </c>
      <c r="O393" s="83">
        <f t="shared" si="108"/>
        <v>0</v>
      </c>
      <c r="P393" s="83">
        <f t="shared" si="109"/>
        <v>0</v>
      </c>
      <c r="Q393" s="83">
        <f t="shared" ref="Q393:S394" si="113">Q396+Q399</f>
        <v>0</v>
      </c>
      <c r="R393" s="83">
        <f t="shared" si="113"/>
        <v>0</v>
      </c>
      <c r="S393" s="83">
        <f t="shared" si="113"/>
        <v>0</v>
      </c>
      <c r="T393" s="83">
        <f t="shared" si="110"/>
        <v>0</v>
      </c>
      <c r="U393" s="83">
        <f t="shared" si="111"/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468">
        <f t="shared" si="112"/>
        <v>0</v>
      </c>
      <c r="M394" s="224">
        <f t="shared" si="112"/>
        <v>0</v>
      </c>
      <c r="N394" s="224">
        <f t="shared" si="112"/>
        <v>0</v>
      </c>
      <c r="O394" s="224">
        <f t="shared" si="108"/>
        <v>0</v>
      </c>
      <c r="P394" s="224">
        <f t="shared" si="109"/>
        <v>0</v>
      </c>
      <c r="Q394" s="224">
        <f t="shared" si="113"/>
        <v>0</v>
      </c>
      <c r="R394" s="224">
        <f t="shared" si="113"/>
        <v>0</v>
      </c>
      <c r="S394" s="224">
        <f t="shared" si="113"/>
        <v>0</v>
      </c>
      <c r="T394" s="224">
        <f t="shared" si="110"/>
        <v>0</v>
      </c>
      <c r="U394" s="224">
        <f t="shared" si="111"/>
        <v>0</v>
      </c>
    </row>
    <row r="395" spans="1:21" ht="18.75" hidden="1" x14ac:dyDescent="0.25">
      <c r="A395" s="128"/>
      <c r="B395" s="158"/>
      <c r="C395" s="158"/>
      <c r="D395" s="53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468">
        <f>L396+L397</f>
        <v>0</v>
      </c>
      <c r="M395" s="224">
        <f>M396+M397</f>
        <v>0</v>
      </c>
      <c r="N395" s="224">
        <f>N396+N397</f>
        <v>0</v>
      </c>
      <c r="O395" s="224">
        <f t="shared" si="108"/>
        <v>0</v>
      </c>
      <c r="P395" s="224">
        <f t="shared" si="109"/>
        <v>0</v>
      </c>
      <c r="Q395" s="224">
        <f>Q396+Q397</f>
        <v>0</v>
      </c>
      <c r="R395" s="224">
        <f>R396+R397</f>
        <v>0</v>
      </c>
      <c r="S395" s="224">
        <f>S396+S397</f>
        <v>0</v>
      </c>
      <c r="T395" s="224">
        <f t="shared" si="110"/>
        <v>0</v>
      </c>
      <c r="U395" s="224">
        <f t="shared" si="111"/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469">
        <v>0</v>
      </c>
      <c r="M396" s="83">
        <v>0</v>
      </c>
      <c r="N396" s="83">
        <v>0</v>
      </c>
      <c r="O396" s="83">
        <f t="shared" si="108"/>
        <v>0</v>
      </c>
      <c r="P396" s="83">
        <f t="shared" si="109"/>
        <v>0</v>
      </c>
      <c r="Q396" s="83">
        <v>0</v>
      </c>
      <c r="R396" s="83">
        <v>0</v>
      </c>
      <c r="S396" s="83">
        <v>0</v>
      </c>
      <c r="T396" s="83">
        <f t="shared" si="110"/>
        <v>0</v>
      </c>
      <c r="U396" s="83">
        <f t="shared" si="111"/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468">
        <v>0</v>
      </c>
      <c r="M397" s="224">
        <v>0</v>
      </c>
      <c r="N397" s="224">
        <v>0</v>
      </c>
      <c r="O397" s="224">
        <f t="shared" si="108"/>
        <v>0</v>
      </c>
      <c r="P397" s="224">
        <f t="shared" si="109"/>
        <v>0</v>
      </c>
      <c r="Q397" s="224">
        <v>0</v>
      </c>
      <c r="R397" s="224">
        <v>0</v>
      </c>
      <c r="S397" s="224">
        <v>0</v>
      </c>
      <c r="T397" s="224">
        <f t="shared" si="110"/>
        <v>0</v>
      </c>
      <c r="U397" s="224">
        <f t="shared" si="111"/>
        <v>0</v>
      </c>
    </row>
    <row r="398" spans="1:21" ht="18.75" hidden="1" x14ac:dyDescent="0.25">
      <c r="A398" s="128"/>
      <c r="B398" s="158"/>
      <c r="C398" s="158"/>
      <c r="D398" s="53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468">
        <f>L399+L400</f>
        <v>0</v>
      </c>
      <c r="M398" s="224">
        <f>M399+M400</f>
        <v>0</v>
      </c>
      <c r="N398" s="224">
        <f>N399+N400</f>
        <v>0</v>
      </c>
      <c r="O398" s="224">
        <f t="shared" si="108"/>
        <v>0</v>
      </c>
      <c r="P398" s="224">
        <f t="shared" si="109"/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 t="shared" si="110"/>
        <v>0</v>
      </c>
      <c r="U398" s="224">
        <f t="shared" si="111"/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469">
        <v>0</v>
      </c>
      <c r="M399" s="83">
        <v>0</v>
      </c>
      <c r="N399" s="83">
        <v>0</v>
      </c>
      <c r="O399" s="83">
        <f t="shared" si="108"/>
        <v>0</v>
      </c>
      <c r="P399" s="83">
        <f t="shared" si="109"/>
        <v>0</v>
      </c>
      <c r="Q399" s="83">
        <v>0</v>
      </c>
      <c r="R399" s="83">
        <v>0</v>
      </c>
      <c r="S399" s="83">
        <v>0</v>
      </c>
      <c r="T399" s="83">
        <f t="shared" si="110"/>
        <v>0</v>
      </c>
      <c r="U399" s="83">
        <f t="shared" si="111"/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468">
        <v>0</v>
      </c>
      <c r="M400" s="224">
        <v>0</v>
      </c>
      <c r="N400" s="224">
        <v>0</v>
      </c>
      <c r="O400" s="224">
        <f t="shared" si="108"/>
        <v>0</v>
      </c>
      <c r="P400" s="224">
        <f t="shared" si="109"/>
        <v>0</v>
      </c>
      <c r="Q400" s="224">
        <v>0</v>
      </c>
      <c r="R400" s="224">
        <v>0</v>
      </c>
      <c r="S400" s="224">
        <v>0</v>
      </c>
      <c r="T400" s="224">
        <f t="shared" si="110"/>
        <v>0</v>
      </c>
      <c r="U400" s="224">
        <f t="shared" si="111"/>
        <v>0</v>
      </c>
    </row>
    <row r="401" spans="1:21" ht="19.5" hidden="1" x14ac:dyDescent="0.3">
      <c r="A401" s="138"/>
      <c r="B401" s="139"/>
      <c r="C401" s="161" t="s">
        <v>18</v>
      </c>
      <c r="D401" s="491" t="s">
        <v>38</v>
      </c>
      <c r="E401" s="141"/>
      <c r="F401" s="141"/>
      <c r="G401" s="142"/>
      <c r="H401" s="178"/>
      <c r="I401" s="135"/>
      <c r="J401" s="44"/>
      <c r="K401" s="45"/>
      <c r="L401" s="465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11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11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11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11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11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11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11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11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11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496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hidden="1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541">
        <f ca="1">I423</f>
        <v>0</v>
      </c>
      <c r="J412" s="541">
        <f>J423</f>
        <v>0</v>
      </c>
      <c r="K412" s="540">
        <f ca="1">IF(I412&gt;0,J412*100/I412,0)</f>
        <v>0</v>
      </c>
      <c r="L412" s="539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hidden="1" x14ac:dyDescent="0.3">
      <c r="A413" s="128"/>
      <c r="B413" s="158"/>
      <c r="C413" s="322" t="s">
        <v>18</v>
      </c>
      <c r="D413" s="819" t="s">
        <v>19</v>
      </c>
      <c r="E413" s="800"/>
      <c r="F413" s="800"/>
      <c r="G413" s="801"/>
      <c r="H413" s="323" t="s">
        <v>14</v>
      </c>
      <c r="I413" s="44"/>
      <c r="J413" s="44"/>
      <c r="K413" s="45"/>
      <c r="L413" s="471">
        <f>L414+L415</f>
        <v>0</v>
      </c>
      <c r="M413" s="470">
        <f>M414+M415</f>
        <v>0</v>
      </c>
      <c r="N413" s="470">
        <f>N414+N415</f>
        <v>0</v>
      </c>
      <c r="O413" s="470">
        <f t="shared" ref="O413:O421" si="114">IF(L413&gt;0,N413*100/L413,0)</f>
        <v>0</v>
      </c>
      <c r="P413" s="470">
        <f t="shared" ref="P413:P421" si="115">IF(M413&gt;0,N413*100/M413,0)</f>
        <v>0</v>
      </c>
      <c r="Q413" s="470">
        <f ca="1">Q414+Q415</f>
        <v>0</v>
      </c>
      <c r="R413" s="470">
        <f ca="1">R414+R415</f>
        <v>0</v>
      </c>
      <c r="S413" s="470">
        <f ca="1">S414+S415</f>
        <v>0</v>
      </c>
      <c r="T413" s="470">
        <f t="shared" ref="T413:T421" ca="1" si="116">IF(Q413&gt;0,S413*100/Q413,0)</f>
        <v>0</v>
      </c>
      <c r="U413" s="470">
        <f t="shared" ref="U413:U421" ca="1" si="117">IF(R413&gt;0,S413*100/R413,0)</f>
        <v>0</v>
      </c>
    </row>
    <row r="414" spans="1:21" ht="18.75" hidden="1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469">
        <f t="shared" ref="L414:N415" si="118">L417+L420</f>
        <v>0</v>
      </c>
      <c r="M414" s="83">
        <f t="shared" si="118"/>
        <v>0</v>
      </c>
      <c r="N414" s="83">
        <f t="shared" si="118"/>
        <v>0</v>
      </c>
      <c r="O414" s="83">
        <f t="shared" si="114"/>
        <v>0</v>
      </c>
      <c r="P414" s="83">
        <f t="shared" si="115"/>
        <v>0</v>
      </c>
      <c r="Q414" s="83">
        <f t="shared" ref="Q414:S415" si="119">Q417+Q420</f>
        <v>0</v>
      </c>
      <c r="R414" s="83">
        <f t="shared" si="119"/>
        <v>0</v>
      </c>
      <c r="S414" s="83">
        <f t="shared" si="119"/>
        <v>0</v>
      </c>
      <c r="T414" s="83">
        <f t="shared" si="116"/>
        <v>0</v>
      </c>
      <c r="U414" s="83">
        <f t="shared" si="117"/>
        <v>0</v>
      </c>
    </row>
    <row r="415" spans="1:21" ht="18.75" hidden="1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468">
        <f t="shared" si="118"/>
        <v>0</v>
      </c>
      <c r="M415" s="224">
        <f t="shared" si="118"/>
        <v>0</v>
      </c>
      <c r="N415" s="224">
        <f t="shared" si="118"/>
        <v>0</v>
      </c>
      <c r="O415" s="224">
        <f t="shared" si="114"/>
        <v>0</v>
      </c>
      <c r="P415" s="224">
        <f t="shared" si="115"/>
        <v>0</v>
      </c>
      <c r="Q415" s="224">
        <f t="shared" ca="1" si="119"/>
        <v>0</v>
      </c>
      <c r="R415" s="224">
        <f t="shared" ca="1" si="119"/>
        <v>0</v>
      </c>
      <c r="S415" s="224">
        <f t="shared" ca="1" si="119"/>
        <v>0</v>
      </c>
      <c r="T415" s="224">
        <f t="shared" ca="1" si="116"/>
        <v>0</v>
      </c>
      <c r="U415" s="224">
        <f t="shared" ca="1" si="117"/>
        <v>0</v>
      </c>
    </row>
    <row r="416" spans="1:21" ht="19.5" hidden="1" x14ac:dyDescent="0.3">
      <c r="A416" s="128"/>
      <c r="B416" s="158"/>
      <c r="C416" s="158"/>
      <c r="D416" s="54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468">
        <f>L417+L418</f>
        <v>0</v>
      </c>
      <c r="M416" s="224">
        <f>M417+M418</f>
        <v>0</v>
      </c>
      <c r="N416" s="224">
        <f>N417+N418</f>
        <v>0</v>
      </c>
      <c r="O416" s="224">
        <f t="shared" si="114"/>
        <v>0</v>
      </c>
      <c r="P416" s="224">
        <f t="shared" si="115"/>
        <v>0</v>
      </c>
      <c r="Q416" s="224">
        <f ca="1">Q417+Q418</f>
        <v>0</v>
      </c>
      <c r="R416" s="224">
        <f ca="1">R417+R418</f>
        <v>0</v>
      </c>
      <c r="S416" s="224">
        <f ca="1">S417+S418</f>
        <v>0</v>
      </c>
      <c r="T416" s="224">
        <f t="shared" ca="1" si="116"/>
        <v>0</v>
      </c>
      <c r="U416" s="224">
        <f t="shared" ca="1" si="117"/>
        <v>0</v>
      </c>
    </row>
    <row r="417" spans="1:21" ht="18.75" hidden="1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469">
        <v>0</v>
      </c>
      <c r="M417" s="83">
        <v>0</v>
      </c>
      <c r="N417" s="83">
        <v>0</v>
      </c>
      <c r="O417" s="83">
        <f t="shared" si="114"/>
        <v>0</v>
      </c>
      <c r="P417" s="83">
        <f t="shared" si="115"/>
        <v>0</v>
      </c>
      <c r="Q417" s="83">
        <v>0</v>
      </c>
      <c r="R417" s="83">
        <v>0</v>
      </c>
      <c r="S417" s="83">
        <v>0</v>
      </c>
      <c r="T417" s="83">
        <f t="shared" si="116"/>
        <v>0</v>
      </c>
      <c r="U417" s="83">
        <f t="shared" si="117"/>
        <v>0</v>
      </c>
    </row>
    <row r="418" spans="1:21" ht="18.75" hidden="1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468">
        <v>0</v>
      </c>
      <c r="M418" s="224">
        <v>0</v>
      </c>
      <c r="N418" s="224">
        <v>0</v>
      </c>
      <c r="O418" s="224">
        <f t="shared" si="114"/>
        <v>0</v>
      </c>
      <c r="P418" s="224">
        <f t="shared" si="115"/>
        <v>0</v>
      </c>
      <c r="Q418" s="224">
        <f ca="1">IFERROR(__xludf.DUMMYFUNCTION("IMPORTRANGE(""https://docs.google.com/spreadsheets/d/1ItG2mGa2ceCfYo0BwxsXqNm01IGEUdYcSSLTEv9YCik/edit?usp=sharing"",""เบิกจ่ายกองทุน!BH23"")"),0)</f>
        <v>0</v>
      </c>
      <c r="R418" s="224">
        <f ca="1">IFERROR(__xludf.DUMMYFUNCTION("IMPORTRANGE(""https://docs.google.com/spreadsheets/d/1ItG2mGa2ceCfYo0BwxsXqNm01IGEUdYcSSLTEv9YCik/edit?usp=sharing"",""เบิกจ่ายกองทุน!BI23"")"),0)</f>
        <v>0</v>
      </c>
      <c r="S418" s="224">
        <f ca="1">IFERROR(__xludf.DUMMYFUNCTION("IMPORTRANGE(""https://docs.google.com/spreadsheets/d/1ItG2mGa2ceCfYo0BwxsXqNm01IGEUdYcSSLTEv9YCik/edit?usp=sharing"",""เบิกจ่ายกองทุน!BJ23"")"),0)</f>
        <v>0</v>
      </c>
      <c r="T418" s="224">
        <f t="shared" ca="1" si="116"/>
        <v>0</v>
      </c>
      <c r="U418" s="224">
        <f t="shared" ca="1" si="117"/>
        <v>0</v>
      </c>
    </row>
    <row r="419" spans="1:21" ht="19.5" hidden="1" x14ac:dyDescent="0.3">
      <c r="A419" s="128"/>
      <c r="B419" s="158"/>
      <c r="C419" s="158"/>
      <c r="D419" s="54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468">
        <f>L420+L421</f>
        <v>0</v>
      </c>
      <c r="M419" s="224">
        <f>M420+M421</f>
        <v>0</v>
      </c>
      <c r="N419" s="224">
        <f>N420+N421</f>
        <v>0</v>
      </c>
      <c r="O419" s="224">
        <f t="shared" si="114"/>
        <v>0</v>
      </c>
      <c r="P419" s="224">
        <f t="shared" si="115"/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 t="shared" si="116"/>
        <v>0</v>
      </c>
      <c r="U419" s="224">
        <f t="shared" si="117"/>
        <v>0</v>
      </c>
    </row>
    <row r="420" spans="1:21" ht="18.75" hidden="1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469">
        <v>0</v>
      </c>
      <c r="M420" s="83">
        <v>0</v>
      </c>
      <c r="N420" s="83">
        <v>0</v>
      </c>
      <c r="O420" s="83">
        <f t="shared" si="114"/>
        <v>0</v>
      </c>
      <c r="P420" s="83">
        <f t="shared" si="115"/>
        <v>0</v>
      </c>
      <c r="Q420" s="83">
        <v>0</v>
      </c>
      <c r="R420" s="83">
        <v>0</v>
      </c>
      <c r="S420" s="83">
        <v>0</v>
      </c>
      <c r="T420" s="83">
        <f t="shared" si="116"/>
        <v>0</v>
      </c>
      <c r="U420" s="83">
        <f t="shared" si="117"/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468">
        <v>0</v>
      </c>
      <c r="M421" s="224">
        <v>0</v>
      </c>
      <c r="N421" s="224">
        <v>0</v>
      </c>
      <c r="O421" s="224">
        <f t="shared" si="114"/>
        <v>0</v>
      </c>
      <c r="P421" s="224">
        <f t="shared" si="115"/>
        <v>0</v>
      </c>
      <c r="Q421" s="224">
        <v>0</v>
      </c>
      <c r="R421" s="224">
        <v>0</v>
      </c>
      <c r="S421" s="224">
        <v>0</v>
      </c>
      <c r="T421" s="224">
        <f t="shared" si="116"/>
        <v>0</v>
      </c>
      <c r="U421" s="224">
        <f t="shared" si="117"/>
        <v>0</v>
      </c>
    </row>
    <row r="422" spans="1:21" ht="19.5" hidden="1" x14ac:dyDescent="0.3">
      <c r="A422" s="208"/>
      <c r="B422" s="158"/>
      <c r="C422" s="322" t="s">
        <v>18</v>
      </c>
      <c r="D422" s="543" t="s">
        <v>38</v>
      </c>
      <c r="E422" s="158"/>
      <c r="F422" s="158"/>
      <c r="G422" s="180"/>
      <c r="H422" s="180"/>
      <c r="I422" s="44"/>
      <c r="J422" s="44"/>
      <c r="K422" s="45"/>
      <c r="L422" s="465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ca="1">I440</f>
        <v>0</v>
      </c>
      <c r="J423" s="328">
        <f>J440</f>
        <v>0</v>
      </c>
      <c r="K423" s="470">
        <f ca="1">IF(I423&gt;0,J423*100/I423,0)</f>
        <v>0</v>
      </c>
      <c r="L423" s="465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IFERROR(__xludf.DUMMYFUNCTION("IMPORTRANGE(""https://docs.google.com/spreadsheets/d/1eHaY18a8A9IcSdp1K8H6x8fbOy06t2VsZHhMHf-1x7Y/edit?usp=sharing"",""แผน!HJ23"")"),0)</f>
        <v>0</v>
      </c>
      <c r="J424" s="328">
        <f>J426+J428+J430</f>
        <v>0</v>
      </c>
      <c r="K424" s="470">
        <f ca="1">IF(I424&gt;0,J424*100/I424,0)</f>
        <v>0</v>
      </c>
      <c r="L424" s="465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IFERROR(__xludf.DUMMYFUNCTION("IMPORTRANGE(""https://docs.google.com/spreadsheets/d/1eHaY18a8A9IcSdp1K8H6x8fbOy06t2VsZHhMHf-1x7Y/edit?usp=sharing"",""แผน!HK23"")"),0)</f>
        <v>0</v>
      </c>
      <c r="J425" s="328">
        <f>J427+J429+J431</f>
        <v>0</v>
      </c>
      <c r="K425" s="470">
        <f ca="1">IF(I425&gt;0,J425*100/I425,0)</f>
        <v>0</v>
      </c>
      <c r="L425" s="465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465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465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465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465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465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465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IFERROR(__xludf.DUMMYFUNCTION("IMPORTRANGE(""https://docs.google.com/spreadsheets/d/1eHaY18a8A9IcSdp1K8H6x8fbOy06t2VsZHhMHf-1x7Y/edit?usp=sharing"",""แผน!HJ23"")"),0)</f>
        <v>0</v>
      </c>
      <c r="J432" s="328">
        <f>J434+J436+J438</f>
        <v>0</v>
      </c>
      <c r="K432" s="470">
        <f ca="1">IF(I432&gt;0,J432*100/I432,0)</f>
        <v>0</v>
      </c>
      <c r="L432" s="465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IFERROR(__xludf.DUMMYFUNCTION("IMPORTRANGE(""https://docs.google.com/spreadsheets/d/1eHaY18a8A9IcSdp1K8H6x8fbOy06t2VsZHhMHf-1x7Y/edit?usp=sharing"",""แผน!HK23"")"),0)</f>
        <v>0</v>
      </c>
      <c r="J433" s="328">
        <f>J435+J437+J439</f>
        <v>0</v>
      </c>
      <c r="K433" s="470">
        <f ca="1">IF(I433&gt;0,J433*100/I433,0)</f>
        <v>0</v>
      </c>
      <c r="L433" s="465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465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465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465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465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465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465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IFERROR(__xludf.DUMMYFUNCTION("IMPORTRANGE(""https://docs.google.com/spreadsheets/d/1eHaY18a8A9IcSdp1K8H6x8fbOy06t2VsZHhMHf-1x7Y/edit?usp=sharing"",""แผน!HJ23"")"),0)</f>
        <v>0</v>
      </c>
      <c r="J440" s="328">
        <f>J442+J444+J446+J452+J454</f>
        <v>0</v>
      </c>
      <c r="K440" s="470">
        <f ca="1">IF(I440&gt;0,J440*100/I440,0)</f>
        <v>0</v>
      </c>
      <c r="L440" s="465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IFERROR(__xludf.DUMMYFUNCTION("IMPORTRANGE(""https://docs.google.com/spreadsheets/d/1eHaY18a8A9IcSdp1K8H6x8fbOy06t2VsZHhMHf-1x7Y/edit?usp=sharing"",""แผน!HK23"")"),0)</f>
        <v>0</v>
      </c>
      <c r="J441" s="328">
        <f>J443+J445+J447+J453+J455</f>
        <v>0</v>
      </c>
      <c r="K441" s="470">
        <f ca="1">IF(I441&gt;0,J441*100/I441,0)</f>
        <v>0</v>
      </c>
      <c r="L441" s="465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465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465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465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465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>J448+J450</f>
        <v>0</v>
      </c>
      <c r="K446" s="45"/>
      <c r="L446" s="465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>J449+J451</f>
        <v>0</v>
      </c>
      <c r="K447" s="45"/>
      <c r="L447" s="465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465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465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465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465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465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465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542"/>
      <c r="K454" s="45"/>
      <c r="L454" s="465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465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hidden="1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ca="1">I457</f>
        <v>0</v>
      </c>
      <c r="J456" s="328">
        <f>J457</f>
        <v>0</v>
      </c>
      <c r="K456" s="470">
        <f ca="1">IF(I456&gt;0,J456*100/I456,0)</f>
        <v>0</v>
      </c>
      <c r="L456" s="465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IFERROR(__xludf.DUMMYFUNCTION("IMPORTRANGE(""https://docs.google.com/spreadsheets/d/1eHaY18a8A9IcSdp1K8H6x8fbOy06t2VsZHhMHf-1x7Y/edit?usp=sharing"",""แผน!HL23"")"),0)</f>
        <v>0</v>
      </c>
      <c r="J457" s="328">
        <f>J459+J467+J473</f>
        <v>0</v>
      </c>
      <c r="K457" s="470">
        <f ca="1">IF(I457&gt;0,J457*100/I457,0)</f>
        <v>0</v>
      </c>
      <c r="L457" s="465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IFERROR(__xludf.DUMMYFUNCTION("IMPORTRANGE(""https://docs.google.com/spreadsheets/d/1eHaY18a8A9IcSdp1K8H6x8fbOy06t2VsZHhMHf-1x7Y/edit?usp=sharing"",""แผน!HM23"")"),0)</f>
        <v>0</v>
      </c>
      <c r="J458" s="328">
        <f>J460+J468+J474</f>
        <v>0</v>
      </c>
      <c r="K458" s="470">
        <f ca="1">IF(I458&gt;0,J458*100/I458,0)</f>
        <v>0</v>
      </c>
      <c r="L458" s="465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hidden="1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>J461+J463</f>
        <v>0</v>
      </c>
      <c r="K459" s="45"/>
      <c r="L459" s="465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>J462+J464</f>
        <v>0</v>
      </c>
      <c r="K460" s="45"/>
      <c r="L460" s="465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465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465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465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465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465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465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>J469+J471</f>
        <v>0</v>
      </c>
      <c r="K467" s="45"/>
      <c r="L467" s="465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>J470+J472</f>
        <v>0</v>
      </c>
      <c r="K468" s="45"/>
      <c r="L468" s="465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465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465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465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465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465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465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470">
        <f>IF(I475&gt;0,J475*100/I475,0)</f>
        <v>0</v>
      </c>
      <c r="L475" s="465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>J478+J480</f>
        <v>0</v>
      </c>
      <c r="K476" s="470">
        <f>IF(I476&gt;0,J476*100/I476,0)</f>
        <v>0</v>
      </c>
      <c r="L476" s="465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>J479+J481</f>
        <v>0</v>
      </c>
      <c r="K477" s="470">
        <f>IF(I477&gt;0,J477*100/I477,0)</f>
        <v>0</v>
      </c>
      <c r="L477" s="465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hidden="1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465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465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465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465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IFERROR(__xludf.DUMMYFUNCTION("IMPORTRANGE(""https://docs.google.com/spreadsheets/d/1eHaY18a8A9IcSdp1K8H6x8fbOy06t2VsZHhMHf-1x7Y/edit?usp=sharing"",""แผน!HN23"")"),0)</f>
        <v>0</v>
      </c>
      <c r="K482" s="45"/>
      <c r="L482" s="465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IFERROR(__xludf.DUMMYFUNCTION("IMPORTRANGE(""https://docs.google.com/spreadsheets/d/1eHaY18a8A9IcSdp1K8H6x8fbOy06t2VsZHhMHf-1x7Y/edit?usp=sharing"",""แผน!HO23"")"),0)</f>
        <v>0</v>
      </c>
      <c r="K483" s="45"/>
      <c r="L483" s="465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>J480</f>
        <v>0</v>
      </c>
      <c r="J484" s="328">
        <f>J486+J488+J490</f>
        <v>0</v>
      </c>
      <c r="K484" s="470">
        <f>IF(I484&gt;0,J484*100/I484,0)</f>
        <v>0</v>
      </c>
      <c r="L484" s="465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>J481</f>
        <v>0</v>
      </c>
      <c r="J485" s="328">
        <f>J487+J489+J491</f>
        <v>0</v>
      </c>
      <c r="K485" s="470">
        <f>IF(I485&gt;0,J485*100/I485,0)</f>
        <v>0</v>
      </c>
      <c r="L485" s="465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hidden="1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465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465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465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465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465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46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541">
        <f ca="1">I503</f>
        <v>0</v>
      </c>
      <c r="J492" s="541">
        <f ca="1">J503</f>
        <v>0</v>
      </c>
      <c r="K492" s="540">
        <f ca="1">IF(I492&gt;0,J492*100/I492,0)</f>
        <v>0</v>
      </c>
      <c r="L492" s="539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hidden="1" x14ac:dyDescent="0.3">
      <c r="A493" s="128"/>
      <c r="B493" s="158"/>
      <c r="C493" s="177" t="s">
        <v>18</v>
      </c>
      <c r="D493" s="819" t="s">
        <v>19</v>
      </c>
      <c r="E493" s="800"/>
      <c r="F493" s="800"/>
      <c r="G493" s="42"/>
      <c r="H493" s="221" t="s">
        <v>14</v>
      </c>
      <c r="I493" s="44"/>
      <c r="J493" s="44"/>
      <c r="K493" s="45"/>
      <c r="L493" s="471">
        <f>L494+L495</f>
        <v>0</v>
      </c>
      <c r="M493" s="470">
        <f>M494+M495</f>
        <v>0</v>
      </c>
      <c r="N493" s="470">
        <f>N494+N495</f>
        <v>0</v>
      </c>
      <c r="O493" s="470">
        <f t="shared" ref="O493:O501" si="120">IF(L493&gt;0,N493*100/L493,0)</f>
        <v>0</v>
      </c>
      <c r="P493" s="470">
        <f t="shared" ref="P493:P501" si="121">IF(M493&gt;0,N493*100/M493,0)</f>
        <v>0</v>
      </c>
      <c r="Q493" s="470">
        <f ca="1">Q494+Q495</f>
        <v>0</v>
      </c>
      <c r="R493" s="470">
        <f ca="1">R494+R495</f>
        <v>0</v>
      </c>
      <c r="S493" s="470">
        <f ca="1">S494+S495</f>
        <v>0</v>
      </c>
      <c r="T493" s="470">
        <f t="shared" ref="T493:T501" ca="1" si="122">IF(Q493&gt;0,S493*100/Q493,0)</f>
        <v>0</v>
      </c>
      <c r="U493" s="470">
        <f t="shared" ref="U493:U501" ca="1" si="123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469">
        <f t="shared" ref="L494:N495" si="124">L497+L500</f>
        <v>0</v>
      </c>
      <c r="M494" s="83">
        <f t="shared" si="124"/>
        <v>0</v>
      </c>
      <c r="N494" s="83">
        <f t="shared" si="124"/>
        <v>0</v>
      </c>
      <c r="O494" s="83">
        <f t="shared" si="120"/>
        <v>0</v>
      </c>
      <c r="P494" s="83">
        <f t="shared" si="121"/>
        <v>0</v>
      </c>
      <c r="Q494" s="83">
        <f t="shared" ref="Q494:S495" si="125">Q497+Q500</f>
        <v>0</v>
      </c>
      <c r="R494" s="83">
        <f t="shared" si="125"/>
        <v>0</v>
      </c>
      <c r="S494" s="83">
        <f t="shared" si="125"/>
        <v>0</v>
      </c>
      <c r="T494" s="83">
        <f t="shared" si="122"/>
        <v>0</v>
      </c>
      <c r="U494" s="83">
        <f t="shared" si="123"/>
        <v>0</v>
      </c>
    </row>
    <row r="495" spans="1:21" ht="18.75" hidden="1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468">
        <f t="shared" si="124"/>
        <v>0</v>
      </c>
      <c r="M495" s="224">
        <f t="shared" si="124"/>
        <v>0</v>
      </c>
      <c r="N495" s="224">
        <f t="shared" si="124"/>
        <v>0</v>
      </c>
      <c r="O495" s="224">
        <f t="shared" si="120"/>
        <v>0</v>
      </c>
      <c r="P495" s="224">
        <f t="shared" si="121"/>
        <v>0</v>
      </c>
      <c r="Q495" s="224">
        <f t="shared" ca="1" si="125"/>
        <v>0</v>
      </c>
      <c r="R495" s="224">
        <f t="shared" ca="1" si="125"/>
        <v>0</v>
      </c>
      <c r="S495" s="224">
        <f t="shared" ca="1" si="125"/>
        <v>0</v>
      </c>
      <c r="T495" s="224">
        <f t="shared" ca="1" si="122"/>
        <v>0</v>
      </c>
      <c r="U495" s="224">
        <f t="shared" ca="1" si="123"/>
        <v>0</v>
      </c>
    </row>
    <row r="496" spans="1:21" ht="18.75" hidden="1" x14ac:dyDescent="0.25">
      <c r="A496" s="128"/>
      <c r="B496" s="158"/>
      <c r="C496" s="158"/>
      <c r="D496" s="53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468">
        <f>L497+L498</f>
        <v>0</v>
      </c>
      <c r="M496" s="224">
        <f>M497+M498</f>
        <v>0</v>
      </c>
      <c r="N496" s="224">
        <f>N497+N498</f>
        <v>0</v>
      </c>
      <c r="O496" s="224">
        <f t="shared" si="120"/>
        <v>0</v>
      </c>
      <c r="P496" s="224">
        <f t="shared" si="121"/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t="shared" ca="1" si="122"/>
        <v>0</v>
      </c>
      <c r="U496" s="224">
        <f t="shared" ca="1" si="123"/>
        <v>0</v>
      </c>
    </row>
    <row r="497" spans="1:21" ht="18.75" hidden="1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469">
        <v>0</v>
      </c>
      <c r="M497" s="83">
        <v>0</v>
      </c>
      <c r="N497" s="83">
        <v>0</v>
      </c>
      <c r="O497" s="83">
        <f t="shared" si="120"/>
        <v>0</v>
      </c>
      <c r="P497" s="83">
        <f t="shared" si="121"/>
        <v>0</v>
      </c>
      <c r="Q497" s="83">
        <v>0</v>
      </c>
      <c r="R497" s="83">
        <v>0</v>
      </c>
      <c r="S497" s="83">
        <v>0</v>
      </c>
      <c r="T497" s="83">
        <f t="shared" si="122"/>
        <v>0</v>
      </c>
      <c r="U497" s="83">
        <f t="shared" si="123"/>
        <v>0</v>
      </c>
    </row>
    <row r="498" spans="1:21" ht="18.75" hidden="1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468">
        <v>0</v>
      </c>
      <c r="M498" s="224">
        <v>0</v>
      </c>
      <c r="N498" s="224">
        <v>0</v>
      </c>
      <c r="O498" s="224">
        <f t="shared" si="120"/>
        <v>0</v>
      </c>
      <c r="P498" s="224">
        <f t="shared" si="121"/>
        <v>0</v>
      </c>
      <c r="Q498" s="224">
        <f ca="1">IFERROR(__xludf.DUMMYFUNCTION("IMPORTRANGE(""https://docs.google.com/spreadsheets/d/1ItG2mGa2ceCfYo0BwxsXqNm01IGEUdYcSSLTEv9YCik/edit?usp=sharing"",""เบิกจ่ายกองทุน!X23"")"),0)</f>
        <v>0</v>
      </c>
      <c r="R498" s="224">
        <f ca="1">IFERROR(__xludf.DUMMYFUNCTION("IMPORTRANGE(""https://docs.google.com/spreadsheets/d/1ItG2mGa2ceCfYo0BwxsXqNm01IGEUdYcSSLTEv9YCik/edit?usp=sharing"",""เบิกจ่ายกองทุน!Y23"")"),0)</f>
        <v>0</v>
      </c>
      <c r="S498" s="224">
        <f ca="1">IFERROR(__xludf.DUMMYFUNCTION("IMPORTRANGE(""https://docs.google.com/spreadsheets/d/1ItG2mGa2ceCfYo0BwxsXqNm01IGEUdYcSSLTEv9YCik/edit?usp=sharing"",""เบิกจ่ายกองทุน!Z23"")"),0)</f>
        <v>0</v>
      </c>
      <c r="T498" s="224">
        <f t="shared" ca="1" si="122"/>
        <v>0</v>
      </c>
      <c r="U498" s="224">
        <f t="shared" ca="1" si="123"/>
        <v>0</v>
      </c>
    </row>
    <row r="499" spans="1:21" ht="18.75" hidden="1" x14ac:dyDescent="0.25">
      <c r="A499" s="128"/>
      <c r="B499" s="158"/>
      <c r="C499" s="158"/>
      <c r="D499" s="53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468">
        <f>L500+L501</f>
        <v>0</v>
      </c>
      <c r="M499" s="224">
        <f>M500+M501</f>
        <v>0</v>
      </c>
      <c r="N499" s="224">
        <f>N500+N501</f>
        <v>0</v>
      </c>
      <c r="O499" s="224">
        <f t="shared" si="120"/>
        <v>0</v>
      </c>
      <c r="P499" s="224">
        <f t="shared" si="121"/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 t="shared" si="122"/>
        <v>0</v>
      </c>
      <c r="U499" s="224">
        <f t="shared" si="123"/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469">
        <v>0</v>
      </c>
      <c r="M500" s="83">
        <v>0</v>
      </c>
      <c r="N500" s="83">
        <v>0</v>
      </c>
      <c r="O500" s="83">
        <f t="shared" si="120"/>
        <v>0</v>
      </c>
      <c r="P500" s="83">
        <f t="shared" si="121"/>
        <v>0</v>
      </c>
      <c r="Q500" s="83">
        <v>0</v>
      </c>
      <c r="R500" s="83">
        <v>0</v>
      </c>
      <c r="S500" s="83">
        <v>0</v>
      </c>
      <c r="T500" s="83">
        <f t="shared" si="122"/>
        <v>0</v>
      </c>
      <c r="U500" s="83">
        <f t="shared" si="123"/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468">
        <v>0</v>
      </c>
      <c r="M501" s="224">
        <v>0</v>
      </c>
      <c r="N501" s="224">
        <v>0</v>
      </c>
      <c r="O501" s="224">
        <f t="shared" si="120"/>
        <v>0</v>
      </c>
      <c r="P501" s="224">
        <f t="shared" si="121"/>
        <v>0</v>
      </c>
      <c r="Q501" s="224">
        <v>0</v>
      </c>
      <c r="R501" s="224">
        <v>0</v>
      </c>
      <c r="S501" s="224">
        <v>0</v>
      </c>
      <c r="T501" s="224">
        <f t="shared" si="122"/>
        <v>0</v>
      </c>
      <c r="U501" s="224">
        <f t="shared" si="123"/>
        <v>0</v>
      </c>
    </row>
    <row r="502" spans="1:21" ht="19.5" hidden="1" x14ac:dyDescent="0.3">
      <c r="A502" s="138"/>
      <c r="B502" s="139"/>
      <c r="C502" s="177" t="s">
        <v>18</v>
      </c>
      <c r="D502" s="491" t="s">
        <v>38</v>
      </c>
      <c r="E502" s="141"/>
      <c r="F502" s="141"/>
      <c r="G502" s="142"/>
      <c r="H502" s="178"/>
      <c r="I502" s="135"/>
      <c r="J502" s="135"/>
      <c r="K502" s="136"/>
      <c r="L502" s="4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IFERROR(__xludf.DUMMYFUNCTION("IMPORTRANGE(""https://docs.google.com/spreadsheets/d/1eHaY18a8A9IcSdp1K8H6x8fbOy06t2VsZHhMHf-1x7Y/edit?usp=sharing"",""แผน!GX23"")"),0)</f>
        <v>0</v>
      </c>
      <c r="J503" s="328">
        <f ca="1">IF(AND(J504=I504,J505=I505,J506=I506,J507=I507),I503,0)</f>
        <v>0</v>
      </c>
      <c r="K503" s="470">
        <f t="shared" ref="K503:K509" ca="1" si="126">IF(I503&gt;0,J503*100/I503,0)</f>
        <v>0</v>
      </c>
      <c r="L503" s="465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IFERROR(__xludf.DUMMYFUNCTION("IMPORTRANGE(""https://docs.google.com/spreadsheets/d/1eHaY18a8A9IcSdp1K8H6x8fbOy06t2VsZHhMHf-1x7Y/edit?usp=sharing"",""แผน!GY23"")"),0)</f>
        <v>0</v>
      </c>
      <c r="J504" s="466">
        <v>0</v>
      </c>
      <c r="K504" s="224">
        <f t="shared" ca="1" si="126"/>
        <v>0</v>
      </c>
      <c r="L504" s="465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IFERROR(__xludf.DUMMYFUNCTION("IMPORTRANGE(""https://docs.google.com/spreadsheets/d/1eHaY18a8A9IcSdp1K8H6x8fbOy06t2VsZHhMHf-1x7Y/edit?usp=sharing"",""แผน!GZ23"")"),0)</f>
        <v>0</v>
      </c>
      <c r="J505" s="466">
        <v>0</v>
      </c>
      <c r="K505" s="224">
        <f t="shared" ca="1" si="126"/>
        <v>0</v>
      </c>
      <c r="L505" s="465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IFERROR(__xludf.DUMMYFUNCTION("IMPORTRANGE(""https://docs.google.com/spreadsheets/d/1eHaY18a8A9IcSdp1K8H6x8fbOy06t2VsZHhMHf-1x7Y/edit?usp=sharing"",""แผน!HA23"")"),0)</f>
        <v>0</v>
      </c>
      <c r="J506" s="466">
        <v>0</v>
      </c>
      <c r="K506" s="224">
        <f t="shared" ca="1" si="126"/>
        <v>0</v>
      </c>
      <c r="L506" s="465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IFERROR(__xludf.DUMMYFUNCTION("IMPORTRANGE(""https://docs.google.com/spreadsheets/d/1eHaY18a8A9IcSdp1K8H6x8fbOy06t2VsZHhMHf-1x7Y/edit?usp=sharing"",""แผน!HB23"")"),0)</f>
        <v>0</v>
      </c>
      <c r="J507" s="466">
        <v>0</v>
      </c>
      <c r="K507" s="224">
        <f t="shared" ca="1" si="126"/>
        <v>0</v>
      </c>
      <c r="L507" s="465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 t="shared" si="126"/>
        <v>0</v>
      </c>
      <c r="L508" s="465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IFERROR(__xludf.DUMMYFUNCTION("IMPORTRANGE(""https://docs.google.com/spreadsheets/d/1eHaY18a8A9IcSdp1K8H6x8fbOy06t2VsZHhMHf-1x7Y/edit?usp=sharing"",""แผน!HC23"")"),0)</f>
        <v>0</v>
      </c>
      <c r="J509" s="464">
        <v>0</v>
      </c>
      <c r="K509" s="455">
        <f t="shared" ca="1" si="126"/>
        <v>0</v>
      </c>
      <c r="L509" s="46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537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536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hidden="1" x14ac:dyDescent="0.3">
      <c r="A511" s="535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534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hidden="1" x14ac:dyDescent="0.3">
      <c r="A512" s="349"/>
      <c r="B512" s="533" t="s">
        <v>207</v>
      </c>
      <c r="C512" s="351"/>
      <c r="D512" s="352"/>
      <c r="E512" s="352"/>
      <c r="F512" s="352"/>
      <c r="G512" s="353"/>
      <c r="H512" s="532" t="s">
        <v>61</v>
      </c>
      <c r="I512" s="531">
        <f>I524</f>
        <v>0</v>
      </c>
      <c r="J512" s="531">
        <f>J524</f>
        <v>0</v>
      </c>
      <c r="K512" s="530">
        <f>IF(I512&gt;0,J512*100/I512,0)</f>
        <v>0</v>
      </c>
      <c r="L512" s="512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hidden="1" x14ac:dyDescent="0.3">
      <c r="A513" s="128"/>
      <c r="B513" s="40"/>
      <c r="C513" s="527" t="s">
        <v>18</v>
      </c>
      <c r="D513" s="494" t="s">
        <v>19</v>
      </c>
      <c r="E513" s="40"/>
      <c r="F513" s="40"/>
      <c r="G513" s="42"/>
      <c r="H513" s="529" t="s">
        <v>14</v>
      </c>
      <c r="I513" s="44"/>
      <c r="J513" s="44"/>
      <c r="K513" s="45"/>
      <c r="L513" s="471">
        <f ca="1">L514+L515</f>
        <v>0</v>
      </c>
      <c r="M513" s="470">
        <f ca="1">M514+M515</f>
        <v>0</v>
      </c>
      <c r="N513" s="470">
        <f ca="1">N514+N515</f>
        <v>0</v>
      </c>
      <c r="O513" s="470">
        <f t="shared" ref="O513:O521" ca="1" si="127">IF(L513&gt;0,N513*100/L513,0)</f>
        <v>0</v>
      </c>
      <c r="P513" s="470">
        <f t="shared" ref="P513:P521" ca="1" si="128">IF(M513&gt;0,N513*100/M513,0)</f>
        <v>0</v>
      </c>
      <c r="Q513" s="470">
        <f>Q514+Q515</f>
        <v>0</v>
      </c>
      <c r="R513" s="470">
        <f>R514+R515</f>
        <v>0</v>
      </c>
      <c r="S513" s="470">
        <f>S514+S515</f>
        <v>0</v>
      </c>
      <c r="T513" s="470">
        <f t="shared" ref="T513:T521" si="129">IF(Q513&gt;0,S513*100/Q513,0)</f>
        <v>0</v>
      </c>
      <c r="U513" s="470">
        <f t="shared" ref="U513:U521" si="130"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469">
        <f t="shared" ref="L514:N515" si="131">L517+L520</f>
        <v>0</v>
      </c>
      <c r="M514" s="83">
        <f t="shared" si="131"/>
        <v>0</v>
      </c>
      <c r="N514" s="83">
        <f t="shared" si="131"/>
        <v>0</v>
      </c>
      <c r="O514" s="83">
        <f t="shared" si="127"/>
        <v>0</v>
      </c>
      <c r="P514" s="83">
        <f t="shared" si="128"/>
        <v>0</v>
      </c>
      <c r="Q514" s="83">
        <f t="shared" ref="Q514:S515" si="132">Q517+Q520</f>
        <v>0</v>
      </c>
      <c r="R514" s="83">
        <f t="shared" si="132"/>
        <v>0</v>
      </c>
      <c r="S514" s="83">
        <f t="shared" si="132"/>
        <v>0</v>
      </c>
      <c r="T514" s="83">
        <f t="shared" si="129"/>
        <v>0</v>
      </c>
      <c r="U514" s="83">
        <f t="shared" si="130"/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468">
        <f t="shared" ca="1" si="131"/>
        <v>0</v>
      </c>
      <c r="M515" s="224">
        <f t="shared" ca="1" si="131"/>
        <v>0</v>
      </c>
      <c r="N515" s="224">
        <f t="shared" ca="1" si="131"/>
        <v>0</v>
      </c>
      <c r="O515" s="224">
        <f t="shared" ca="1" si="127"/>
        <v>0</v>
      </c>
      <c r="P515" s="224">
        <f t="shared" ca="1" si="128"/>
        <v>0</v>
      </c>
      <c r="Q515" s="224">
        <f t="shared" si="132"/>
        <v>0</v>
      </c>
      <c r="R515" s="224">
        <f t="shared" si="132"/>
        <v>0</v>
      </c>
      <c r="S515" s="224">
        <f t="shared" si="132"/>
        <v>0</v>
      </c>
      <c r="T515" s="224">
        <f t="shared" si="129"/>
        <v>0</v>
      </c>
      <c r="U515" s="224">
        <f t="shared" si="130"/>
        <v>0</v>
      </c>
    </row>
    <row r="516" spans="1:21" ht="18.75" hidden="1" x14ac:dyDescent="0.25">
      <c r="A516" s="128"/>
      <c r="B516" s="40"/>
      <c r="C516" s="40"/>
      <c r="D516" s="52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468">
        <f ca="1">L517+L518</f>
        <v>0</v>
      </c>
      <c r="M516" s="224">
        <f ca="1">M517+M518</f>
        <v>0</v>
      </c>
      <c r="N516" s="224">
        <f ca="1">N517+N518</f>
        <v>0</v>
      </c>
      <c r="O516" s="224">
        <f t="shared" ca="1" si="127"/>
        <v>0</v>
      </c>
      <c r="P516" s="224">
        <f t="shared" ca="1" si="128"/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 t="shared" si="129"/>
        <v>0</v>
      </c>
      <c r="U516" s="224">
        <f t="shared" si="130"/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469">
        <v>0</v>
      </c>
      <c r="M517" s="83">
        <v>0</v>
      </c>
      <c r="N517" s="83">
        <v>0</v>
      </c>
      <c r="O517" s="83">
        <f t="shared" si="127"/>
        <v>0</v>
      </c>
      <c r="P517" s="83">
        <f t="shared" si="128"/>
        <v>0</v>
      </c>
      <c r="Q517" s="83">
        <v>0</v>
      </c>
      <c r="R517" s="83">
        <v>0</v>
      </c>
      <c r="S517" s="83">
        <v>0</v>
      </c>
      <c r="T517" s="83">
        <f t="shared" si="129"/>
        <v>0</v>
      </c>
      <c r="U517" s="83">
        <f t="shared" si="130"/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468">
        <f ca="1">IFERROR(__xludf.DUMMYFUNCTION("IMPORTRANGE(""https://docs.google.com/spreadsheets/d/1-uDff_7J0KD5mKrp0Vvzr7lt3OU09vwQwhkpOPPYv2Y/edit?usp=sharing"",""งบพรบ!FM23"")"),0)</f>
        <v>0</v>
      </c>
      <c r="M518" s="224">
        <f ca="1">IFERROR(__xludf.DUMMYFUNCTION("IMPORTRANGE(""https://docs.google.com/spreadsheets/d/1-uDff_7J0KD5mKrp0Vvzr7lt3OU09vwQwhkpOPPYv2Y/edit?usp=sharing"",""งบพรบ!FR23"")"),0)</f>
        <v>0</v>
      </c>
      <c r="N518" s="224">
        <f ca="1">IFERROR(__xludf.DUMMYFUNCTION("IMPORTRANGE(""https://docs.google.com/spreadsheets/d/1-uDff_7J0KD5mKrp0Vvzr7lt3OU09vwQwhkpOPPYv2Y/edit?usp=sharing"",""งบพรบ!FT23"")"),0)</f>
        <v>0</v>
      </c>
      <c r="O518" s="224">
        <f t="shared" ca="1" si="127"/>
        <v>0</v>
      </c>
      <c r="P518" s="224">
        <f t="shared" ca="1" si="128"/>
        <v>0</v>
      </c>
      <c r="Q518" s="224">
        <v>0</v>
      </c>
      <c r="R518" s="224">
        <v>0</v>
      </c>
      <c r="S518" s="224">
        <v>0</v>
      </c>
      <c r="T518" s="224">
        <f t="shared" si="129"/>
        <v>0</v>
      </c>
      <c r="U518" s="224">
        <f t="shared" si="130"/>
        <v>0</v>
      </c>
    </row>
    <row r="519" spans="1:21" ht="18.75" hidden="1" x14ac:dyDescent="0.25">
      <c r="A519" s="128"/>
      <c r="B519" s="40"/>
      <c r="C519" s="40"/>
      <c r="D519" s="528" t="s">
        <v>23</v>
      </c>
      <c r="E519" s="40"/>
      <c r="F519" s="40"/>
      <c r="G519" s="42"/>
      <c r="H519" s="375" t="s">
        <v>14</v>
      </c>
      <c r="I519" s="135"/>
      <c r="J519" s="135"/>
      <c r="K519" s="136"/>
      <c r="L519" s="468">
        <f ca="1">L520+L521</f>
        <v>0</v>
      </c>
      <c r="M519" s="224">
        <f ca="1">M520+M521</f>
        <v>0</v>
      </c>
      <c r="N519" s="224">
        <f ca="1">N520+N521</f>
        <v>0</v>
      </c>
      <c r="O519" s="224">
        <f t="shared" ca="1" si="127"/>
        <v>0</v>
      </c>
      <c r="P519" s="224">
        <f t="shared" ca="1" si="128"/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 t="shared" si="129"/>
        <v>0</v>
      </c>
      <c r="U519" s="224">
        <f t="shared" si="130"/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469">
        <v>0</v>
      </c>
      <c r="M520" s="83">
        <v>0</v>
      </c>
      <c r="N520" s="83">
        <v>0</v>
      </c>
      <c r="O520" s="83">
        <f t="shared" si="127"/>
        <v>0</v>
      </c>
      <c r="P520" s="83">
        <f t="shared" si="128"/>
        <v>0</v>
      </c>
      <c r="Q520" s="83">
        <v>0</v>
      </c>
      <c r="R520" s="83">
        <v>0</v>
      </c>
      <c r="S520" s="83">
        <v>0</v>
      </c>
      <c r="T520" s="83">
        <f t="shared" si="129"/>
        <v>0</v>
      </c>
      <c r="U520" s="83">
        <f t="shared" si="130"/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375" t="s">
        <v>14</v>
      </c>
      <c r="I521" s="135"/>
      <c r="J521" s="135"/>
      <c r="K521" s="136"/>
      <c r="L521" s="468">
        <f ca="1">IFERROR(__xludf.DUMMYFUNCTION("IMPORTRANGE(""https://docs.google.com/spreadsheets/d/1-uDff_7J0KD5mKrp0Vvzr7lt3OU09vwQwhkpOPPYv2Y/edit?usp=sharing"",""งบพรบ!FP23"")"),0)</f>
        <v>0</v>
      </c>
      <c r="M521" s="224">
        <f ca="1">IFERROR(__xludf.DUMMYFUNCTION("IMPORTRANGE(""https://docs.google.com/spreadsheets/d/1-uDff_7J0KD5mKrp0Vvzr7lt3OU09vwQwhkpOPPYv2Y/edit?usp=sharing"",""งบพรบ!FS23"")"),0)</f>
        <v>0</v>
      </c>
      <c r="N521" s="224">
        <f ca="1">IFERROR(__xludf.DUMMYFUNCTION("IMPORTRANGE(""https://docs.google.com/spreadsheets/d/1-uDff_7J0KD5mKrp0Vvzr7lt3OU09vwQwhkpOPPYv2Y/edit?usp=sharing"",""งบพรบ!FU23"")"),0)</f>
        <v>0</v>
      </c>
      <c r="O521" s="224">
        <f t="shared" ca="1" si="127"/>
        <v>0</v>
      </c>
      <c r="P521" s="224">
        <f t="shared" ca="1" si="128"/>
        <v>0</v>
      </c>
      <c r="Q521" s="224">
        <v>0</v>
      </c>
      <c r="R521" s="224">
        <v>0</v>
      </c>
      <c r="S521" s="224">
        <v>0</v>
      </c>
      <c r="T521" s="224">
        <f t="shared" si="129"/>
        <v>0</v>
      </c>
      <c r="U521" s="224">
        <f t="shared" si="130"/>
        <v>0</v>
      </c>
    </row>
    <row r="522" spans="1:21" ht="19.5" hidden="1" x14ac:dyDescent="0.3">
      <c r="A522" s="138"/>
      <c r="B522" s="139"/>
      <c r="C522" s="527" t="s">
        <v>18</v>
      </c>
      <c r="D522" s="509" t="s">
        <v>38</v>
      </c>
      <c r="E522" s="141"/>
      <c r="F522" s="141"/>
      <c r="G522" s="142"/>
      <c r="H522" s="143"/>
      <c r="I522" s="135"/>
      <c r="J522" s="44"/>
      <c r="K522" s="45"/>
      <c r="L522" s="465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208</v>
      </c>
      <c r="E523" s="139"/>
      <c r="F523" s="40"/>
      <c r="G523" s="42"/>
      <c r="H523" s="526" t="s">
        <v>11</v>
      </c>
      <c r="I523" s="430">
        <v>0</v>
      </c>
      <c r="J523" s="525">
        <v>0</v>
      </c>
      <c r="K523" s="83">
        <f>IF(I523&gt;0,J523*100/I523,0)</f>
        <v>0</v>
      </c>
      <c r="L523" s="465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29"/>
      <c r="B524" s="1"/>
      <c r="C524" s="2"/>
      <c r="D524" s="524" t="s">
        <v>209</v>
      </c>
      <c r="E524" s="250"/>
      <c r="F524" s="1"/>
      <c r="G524" s="52"/>
      <c r="H524" s="523" t="s">
        <v>61</v>
      </c>
      <c r="I524" s="433">
        <v>0</v>
      </c>
      <c r="J524" s="522">
        <v>0</v>
      </c>
      <c r="K524" s="521">
        <f>IF(I524&gt;0,J524*100/I524,0)</f>
        <v>0</v>
      </c>
      <c r="L524" s="465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520"/>
      <c r="B525" s="519"/>
      <c r="C525" s="519"/>
      <c r="D525" s="518"/>
      <c r="E525" s="518"/>
      <c r="F525" s="518"/>
      <c r="G525" s="517"/>
      <c r="H525" s="516"/>
      <c r="I525" s="515"/>
      <c r="J525" s="515"/>
      <c r="K525" s="514"/>
      <c r="L525" s="511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11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11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11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11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11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11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496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hidden="1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64">
        <f>I545</f>
        <v>0</v>
      </c>
      <c r="J533" s="364">
        <f>J545</f>
        <v>0</v>
      </c>
      <c r="K533" s="513">
        <f>IF(I533&gt;0,J533*100/I533,0)</f>
        <v>0</v>
      </c>
      <c r="L533" s="512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hidden="1" x14ac:dyDescent="0.3">
      <c r="A534" s="128"/>
      <c r="B534" s="40"/>
      <c r="C534" s="129" t="s">
        <v>18</v>
      </c>
      <c r="D534" s="472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471">
        <f>L535+L536</f>
        <v>0</v>
      </c>
      <c r="M534" s="470">
        <f>M535+M536</f>
        <v>0</v>
      </c>
      <c r="N534" s="470">
        <f>N535+N536</f>
        <v>0</v>
      </c>
      <c r="O534" s="470">
        <f t="shared" ref="O534:O542" si="133">IF(L534&gt;0,N534*100/L534,0)</f>
        <v>0</v>
      </c>
      <c r="P534" s="470">
        <f t="shared" ref="P534:P542" si="134">IF(M534&gt;0,N534*100/M534,0)</f>
        <v>0</v>
      </c>
      <c r="Q534" s="470">
        <f>Q535+Q536</f>
        <v>0</v>
      </c>
      <c r="R534" s="470">
        <f>R535+R536</f>
        <v>0</v>
      </c>
      <c r="S534" s="470">
        <f>S535+S536</f>
        <v>0</v>
      </c>
      <c r="T534" s="470">
        <f t="shared" ref="T534:T542" si="135">IF(Q534&gt;0,S534*100/Q534,0)</f>
        <v>0</v>
      </c>
      <c r="U534" s="470">
        <f t="shared" ref="U534:U542" si="136"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469">
        <f t="shared" ref="L535:N536" si="137">L538+L541</f>
        <v>0</v>
      </c>
      <c r="M535" s="83">
        <f t="shared" si="137"/>
        <v>0</v>
      </c>
      <c r="N535" s="83">
        <f t="shared" si="137"/>
        <v>0</v>
      </c>
      <c r="O535" s="83">
        <f t="shared" si="133"/>
        <v>0</v>
      </c>
      <c r="P535" s="83">
        <f t="shared" si="134"/>
        <v>0</v>
      </c>
      <c r="Q535" s="83">
        <f t="shared" ref="Q535:S536" si="138">Q538+Q541</f>
        <v>0</v>
      </c>
      <c r="R535" s="83">
        <f t="shared" si="138"/>
        <v>0</v>
      </c>
      <c r="S535" s="83">
        <f t="shared" si="138"/>
        <v>0</v>
      </c>
      <c r="T535" s="83">
        <f t="shared" si="135"/>
        <v>0</v>
      </c>
      <c r="U535" s="83">
        <f t="shared" si="136"/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468">
        <f t="shared" si="137"/>
        <v>0</v>
      </c>
      <c r="M536" s="224">
        <f t="shared" si="137"/>
        <v>0</v>
      </c>
      <c r="N536" s="224">
        <f t="shared" si="137"/>
        <v>0</v>
      </c>
      <c r="O536" s="224">
        <f t="shared" si="133"/>
        <v>0</v>
      </c>
      <c r="P536" s="224">
        <f t="shared" si="134"/>
        <v>0</v>
      </c>
      <c r="Q536" s="224">
        <f t="shared" si="138"/>
        <v>0</v>
      </c>
      <c r="R536" s="224">
        <f t="shared" si="138"/>
        <v>0</v>
      </c>
      <c r="S536" s="224">
        <f t="shared" si="138"/>
        <v>0</v>
      </c>
      <c r="T536" s="224">
        <f t="shared" si="135"/>
        <v>0</v>
      </c>
      <c r="U536" s="224">
        <f t="shared" si="136"/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468">
        <f>L538+L539</f>
        <v>0</v>
      </c>
      <c r="M537" s="224">
        <f>M538+M539</f>
        <v>0</v>
      </c>
      <c r="N537" s="224">
        <f>N538+N539</f>
        <v>0</v>
      </c>
      <c r="O537" s="224">
        <f t="shared" si="133"/>
        <v>0</v>
      </c>
      <c r="P537" s="224">
        <f t="shared" si="134"/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 t="shared" si="135"/>
        <v>0</v>
      </c>
      <c r="U537" s="224">
        <f t="shared" si="136"/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469">
        <v>0</v>
      </c>
      <c r="M538" s="83">
        <v>0</v>
      </c>
      <c r="N538" s="83">
        <v>0</v>
      </c>
      <c r="O538" s="83">
        <f t="shared" si="133"/>
        <v>0</v>
      </c>
      <c r="P538" s="83">
        <f t="shared" si="134"/>
        <v>0</v>
      </c>
      <c r="Q538" s="83">
        <v>0</v>
      </c>
      <c r="R538" s="83">
        <v>0</v>
      </c>
      <c r="S538" s="83">
        <v>0</v>
      </c>
      <c r="T538" s="83">
        <f t="shared" si="135"/>
        <v>0</v>
      </c>
      <c r="U538" s="83">
        <f t="shared" si="136"/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468">
        <v>0</v>
      </c>
      <c r="M539" s="224">
        <v>0</v>
      </c>
      <c r="N539" s="224">
        <v>0</v>
      </c>
      <c r="O539" s="224">
        <f t="shared" si="133"/>
        <v>0</v>
      </c>
      <c r="P539" s="224">
        <f t="shared" si="134"/>
        <v>0</v>
      </c>
      <c r="Q539" s="224">
        <v>0</v>
      </c>
      <c r="R539" s="224">
        <v>0</v>
      </c>
      <c r="S539" s="224">
        <v>0</v>
      </c>
      <c r="T539" s="224">
        <f t="shared" si="135"/>
        <v>0</v>
      </c>
      <c r="U539" s="224">
        <f t="shared" si="136"/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468">
        <f>L541+L542</f>
        <v>0</v>
      </c>
      <c r="M540" s="224">
        <f>M541+M542</f>
        <v>0</v>
      </c>
      <c r="N540" s="224">
        <f>N541+N542</f>
        <v>0</v>
      </c>
      <c r="O540" s="224">
        <f t="shared" si="133"/>
        <v>0</v>
      </c>
      <c r="P540" s="224">
        <f t="shared" si="134"/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 t="shared" si="135"/>
        <v>0</v>
      </c>
      <c r="U540" s="224">
        <f t="shared" si="136"/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469">
        <v>0</v>
      </c>
      <c r="M541" s="83">
        <v>0</v>
      </c>
      <c r="N541" s="83">
        <v>0</v>
      </c>
      <c r="O541" s="83">
        <f t="shared" si="133"/>
        <v>0</v>
      </c>
      <c r="P541" s="83">
        <f t="shared" si="134"/>
        <v>0</v>
      </c>
      <c r="Q541" s="83">
        <v>0</v>
      </c>
      <c r="R541" s="83">
        <v>0</v>
      </c>
      <c r="S541" s="83">
        <v>0</v>
      </c>
      <c r="T541" s="83">
        <f t="shared" si="135"/>
        <v>0</v>
      </c>
      <c r="U541" s="83">
        <f t="shared" si="136"/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468">
        <v>0</v>
      </c>
      <c r="M542" s="224">
        <v>0</v>
      </c>
      <c r="N542" s="224">
        <v>0</v>
      </c>
      <c r="O542" s="224">
        <f t="shared" si="133"/>
        <v>0</v>
      </c>
      <c r="P542" s="224">
        <f t="shared" si="134"/>
        <v>0</v>
      </c>
      <c r="Q542" s="224">
        <v>0</v>
      </c>
      <c r="R542" s="224">
        <v>0</v>
      </c>
      <c r="S542" s="224">
        <v>0</v>
      </c>
      <c r="T542" s="224">
        <f t="shared" si="135"/>
        <v>0</v>
      </c>
      <c r="U542" s="224">
        <f t="shared" si="136"/>
        <v>0</v>
      </c>
    </row>
    <row r="543" spans="1:21" ht="19.5" hidden="1" x14ac:dyDescent="0.3">
      <c r="A543" s="138"/>
      <c r="B543" s="139"/>
      <c r="C543" s="365" t="s">
        <v>18</v>
      </c>
      <c r="D543" s="498" t="s">
        <v>38</v>
      </c>
      <c r="E543" s="141"/>
      <c r="F543" s="141"/>
      <c r="G543" s="142"/>
      <c r="H543" s="143"/>
      <c r="I543" s="135"/>
      <c r="J543" s="44"/>
      <c r="K543" s="45"/>
      <c r="L543" s="465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11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11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11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11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11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11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11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11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11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496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hidden="1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64">
        <f>I566</f>
        <v>0</v>
      </c>
      <c r="J554" s="364">
        <f>J566</f>
        <v>0</v>
      </c>
      <c r="K554" s="513">
        <f>IF(I554&gt;0,J554*100/I554,0)</f>
        <v>0</v>
      </c>
      <c r="L554" s="512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hidden="1" x14ac:dyDescent="0.3">
      <c r="A555" s="128"/>
      <c r="B555" s="40"/>
      <c r="C555" s="129" t="s">
        <v>18</v>
      </c>
      <c r="D555" s="472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471">
        <f>L556+L557</f>
        <v>0</v>
      </c>
      <c r="M555" s="470">
        <f>M556+M557</f>
        <v>0</v>
      </c>
      <c r="N555" s="470">
        <f>N556+N557</f>
        <v>0</v>
      </c>
      <c r="O555" s="470">
        <f t="shared" ref="O555:O563" si="139">IF(L555&gt;0,N555*100/L555,0)</f>
        <v>0</v>
      </c>
      <c r="P555" s="470">
        <f t="shared" ref="P555:P563" si="140">IF(M555&gt;0,N555*100/M555,0)</f>
        <v>0</v>
      </c>
      <c r="Q555" s="470">
        <f>Q556+Q557</f>
        <v>0</v>
      </c>
      <c r="R555" s="470">
        <f>R556+R557</f>
        <v>0</v>
      </c>
      <c r="S555" s="470">
        <f>S556+S557</f>
        <v>0</v>
      </c>
      <c r="T555" s="470">
        <f t="shared" ref="T555:T563" si="141">IF(Q555&gt;0,S555*100/Q555,0)</f>
        <v>0</v>
      </c>
      <c r="U555" s="470">
        <f t="shared" ref="U555:U563" si="142"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469">
        <f t="shared" ref="L556:N557" si="143">L559+L562</f>
        <v>0</v>
      </c>
      <c r="M556" s="83">
        <f t="shared" si="143"/>
        <v>0</v>
      </c>
      <c r="N556" s="83">
        <f t="shared" si="143"/>
        <v>0</v>
      </c>
      <c r="O556" s="83">
        <f t="shared" si="139"/>
        <v>0</v>
      </c>
      <c r="P556" s="83">
        <f t="shared" si="140"/>
        <v>0</v>
      </c>
      <c r="Q556" s="83">
        <f t="shared" ref="Q556:S557" si="144">Q559+Q562</f>
        <v>0</v>
      </c>
      <c r="R556" s="83">
        <f t="shared" si="144"/>
        <v>0</v>
      </c>
      <c r="S556" s="83">
        <f t="shared" si="144"/>
        <v>0</v>
      </c>
      <c r="T556" s="83">
        <f t="shared" si="141"/>
        <v>0</v>
      </c>
      <c r="U556" s="83">
        <f t="shared" si="142"/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468">
        <f t="shared" si="143"/>
        <v>0</v>
      </c>
      <c r="M557" s="224">
        <f t="shared" si="143"/>
        <v>0</v>
      </c>
      <c r="N557" s="224">
        <f t="shared" si="143"/>
        <v>0</v>
      </c>
      <c r="O557" s="224">
        <f t="shared" si="139"/>
        <v>0</v>
      </c>
      <c r="P557" s="224">
        <f t="shared" si="140"/>
        <v>0</v>
      </c>
      <c r="Q557" s="224">
        <f t="shared" si="144"/>
        <v>0</v>
      </c>
      <c r="R557" s="224">
        <f t="shared" si="144"/>
        <v>0</v>
      </c>
      <c r="S557" s="224">
        <f t="shared" si="144"/>
        <v>0</v>
      </c>
      <c r="T557" s="224">
        <f t="shared" si="141"/>
        <v>0</v>
      </c>
      <c r="U557" s="224">
        <f t="shared" si="142"/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468">
        <f>L559+L560</f>
        <v>0</v>
      </c>
      <c r="M558" s="224">
        <f>M559+M560</f>
        <v>0</v>
      </c>
      <c r="N558" s="224">
        <f>N559+N560</f>
        <v>0</v>
      </c>
      <c r="O558" s="224">
        <f t="shared" si="139"/>
        <v>0</v>
      </c>
      <c r="P558" s="224">
        <f t="shared" si="140"/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 t="shared" si="141"/>
        <v>0</v>
      </c>
      <c r="U558" s="224">
        <f t="shared" si="142"/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469">
        <v>0</v>
      </c>
      <c r="M559" s="83">
        <v>0</v>
      </c>
      <c r="N559" s="83">
        <v>0</v>
      </c>
      <c r="O559" s="83">
        <f t="shared" si="139"/>
        <v>0</v>
      </c>
      <c r="P559" s="83">
        <f t="shared" si="140"/>
        <v>0</v>
      </c>
      <c r="Q559" s="83">
        <v>0</v>
      </c>
      <c r="R559" s="83">
        <v>0</v>
      </c>
      <c r="S559" s="83">
        <v>0</v>
      </c>
      <c r="T559" s="83">
        <f t="shared" si="141"/>
        <v>0</v>
      </c>
      <c r="U559" s="83">
        <f t="shared" si="142"/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468">
        <v>0</v>
      </c>
      <c r="M560" s="224">
        <v>0</v>
      </c>
      <c r="N560" s="224">
        <v>0</v>
      </c>
      <c r="O560" s="224">
        <f t="shared" si="139"/>
        <v>0</v>
      </c>
      <c r="P560" s="224">
        <f t="shared" si="140"/>
        <v>0</v>
      </c>
      <c r="Q560" s="224">
        <v>0</v>
      </c>
      <c r="R560" s="224">
        <v>0</v>
      </c>
      <c r="S560" s="224">
        <v>0</v>
      </c>
      <c r="T560" s="224">
        <f t="shared" si="141"/>
        <v>0</v>
      </c>
      <c r="U560" s="224">
        <f t="shared" si="142"/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468">
        <f>L562+L563</f>
        <v>0</v>
      </c>
      <c r="M561" s="224">
        <f>M562+M563</f>
        <v>0</v>
      </c>
      <c r="N561" s="224">
        <f>N562+N563</f>
        <v>0</v>
      </c>
      <c r="O561" s="224">
        <f t="shared" si="139"/>
        <v>0</v>
      </c>
      <c r="P561" s="224">
        <f t="shared" si="140"/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 t="shared" si="141"/>
        <v>0</v>
      </c>
      <c r="U561" s="224">
        <f t="shared" si="142"/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469">
        <v>0</v>
      </c>
      <c r="M562" s="83">
        <v>0</v>
      </c>
      <c r="N562" s="83">
        <v>0</v>
      </c>
      <c r="O562" s="83">
        <f t="shared" si="139"/>
        <v>0</v>
      </c>
      <c r="P562" s="83">
        <f t="shared" si="140"/>
        <v>0</v>
      </c>
      <c r="Q562" s="83">
        <v>0</v>
      </c>
      <c r="R562" s="83">
        <v>0</v>
      </c>
      <c r="S562" s="83">
        <v>0</v>
      </c>
      <c r="T562" s="83">
        <f t="shared" si="141"/>
        <v>0</v>
      </c>
      <c r="U562" s="83">
        <f t="shared" si="142"/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468">
        <v>0</v>
      </c>
      <c r="M563" s="224">
        <v>0</v>
      </c>
      <c r="N563" s="224">
        <v>0</v>
      </c>
      <c r="O563" s="224">
        <f t="shared" si="139"/>
        <v>0</v>
      </c>
      <c r="P563" s="224">
        <f t="shared" si="140"/>
        <v>0</v>
      </c>
      <c r="Q563" s="224">
        <v>0</v>
      </c>
      <c r="R563" s="224">
        <v>0</v>
      </c>
      <c r="S563" s="224">
        <v>0</v>
      </c>
      <c r="T563" s="224">
        <f t="shared" si="141"/>
        <v>0</v>
      </c>
      <c r="U563" s="224">
        <f t="shared" si="142"/>
        <v>0</v>
      </c>
    </row>
    <row r="564" spans="1:21" ht="19.5" hidden="1" x14ac:dyDescent="0.3">
      <c r="A564" s="138"/>
      <c r="B564" s="139"/>
      <c r="C564" s="365" t="s">
        <v>18</v>
      </c>
      <c r="D564" s="498" t="s">
        <v>38</v>
      </c>
      <c r="E564" s="141"/>
      <c r="F564" s="141"/>
      <c r="G564" s="142"/>
      <c r="H564" s="143"/>
      <c r="I564" s="135"/>
      <c r="J564" s="44"/>
      <c r="K564" s="45"/>
      <c r="L564" s="465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11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11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11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11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11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11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11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11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11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496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hidden="1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64">
        <f>I587</f>
        <v>0</v>
      </c>
      <c r="J575" s="364">
        <f>J587</f>
        <v>0</v>
      </c>
      <c r="K575" s="513">
        <f>IF(I575&gt;0,J575*100/I575,0)</f>
        <v>0</v>
      </c>
      <c r="L575" s="512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hidden="1" x14ac:dyDescent="0.3">
      <c r="A576" s="128"/>
      <c r="B576" s="40"/>
      <c r="C576" s="129" t="s">
        <v>18</v>
      </c>
      <c r="D576" s="472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471">
        <f>L577+L578</f>
        <v>0</v>
      </c>
      <c r="M576" s="470">
        <f>M577+M578</f>
        <v>0</v>
      </c>
      <c r="N576" s="470">
        <f>N577+N578</f>
        <v>0</v>
      </c>
      <c r="O576" s="470">
        <f t="shared" ref="O576:O584" si="145">IF(L576&gt;0,N576*100/L576,0)</f>
        <v>0</v>
      </c>
      <c r="P576" s="470">
        <f t="shared" ref="P576:P584" si="146">IF(M576&gt;0,N576*100/M576,0)</f>
        <v>0</v>
      </c>
      <c r="Q576" s="470">
        <f>Q577+Q578</f>
        <v>0</v>
      </c>
      <c r="R576" s="470">
        <f>R577+R578</f>
        <v>0</v>
      </c>
      <c r="S576" s="470">
        <f>S577+S578</f>
        <v>0</v>
      </c>
      <c r="T576" s="470">
        <f t="shared" ref="T576:T584" si="147">IF(Q576&gt;0,S576*100/Q576,0)</f>
        <v>0</v>
      </c>
      <c r="U576" s="470">
        <f t="shared" ref="U576:U584" si="148"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469">
        <f t="shared" ref="L577:N578" si="149">L580+L583</f>
        <v>0</v>
      </c>
      <c r="M577" s="83">
        <f t="shared" si="149"/>
        <v>0</v>
      </c>
      <c r="N577" s="83">
        <f t="shared" si="149"/>
        <v>0</v>
      </c>
      <c r="O577" s="83">
        <f t="shared" si="145"/>
        <v>0</v>
      </c>
      <c r="P577" s="83">
        <f t="shared" si="146"/>
        <v>0</v>
      </c>
      <c r="Q577" s="83">
        <f t="shared" ref="Q577:S578" si="150">Q580+Q583</f>
        <v>0</v>
      </c>
      <c r="R577" s="83">
        <f t="shared" si="150"/>
        <v>0</v>
      </c>
      <c r="S577" s="83">
        <f t="shared" si="150"/>
        <v>0</v>
      </c>
      <c r="T577" s="83">
        <f t="shared" si="147"/>
        <v>0</v>
      </c>
      <c r="U577" s="83">
        <f t="shared" si="148"/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468">
        <f t="shared" si="149"/>
        <v>0</v>
      </c>
      <c r="M578" s="224">
        <f t="shared" si="149"/>
        <v>0</v>
      </c>
      <c r="N578" s="224">
        <f t="shared" si="149"/>
        <v>0</v>
      </c>
      <c r="O578" s="224">
        <f t="shared" si="145"/>
        <v>0</v>
      </c>
      <c r="P578" s="224">
        <f t="shared" si="146"/>
        <v>0</v>
      </c>
      <c r="Q578" s="224">
        <f t="shared" si="150"/>
        <v>0</v>
      </c>
      <c r="R578" s="224">
        <f t="shared" si="150"/>
        <v>0</v>
      </c>
      <c r="S578" s="224">
        <f t="shared" si="150"/>
        <v>0</v>
      </c>
      <c r="T578" s="224">
        <f t="shared" si="147"/>
        <v>0</v>
      </c>
      <c r="U578" s="224">
        <f t="shared" si="148"/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468">
        <f>L580+L581</f>
        <v>0</v>
      </c>
      <c r="M579" s="224">
        <f>M580+M581</f>
        <v>0</v>
      </c>
      <c r="N579" s="224">
        <f>N580+N581</f>
        <v>0</v>
      </c>
      <c r="O579" s="224">
        <f t="shared" si="145"/>
        <v>0</v>
      </c>
      <c r="P579" s="224">
        <f t="shared" si="146"/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 t="shared" si="147"/>
        <v>0</v>
      </c>
      <c r="U579" s="224">
        <f t="shared" si="148"/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469">
        <v>0</v>
      </c>
      <c r="M580" s="83">
        <v>0</v>
      </c>
      <c r="N580" s="83">
        <v>0</v>
      </c>
      <c r="O580" s="83">
        <f t="shared" si="145"/>
        <v>0</v>
      </c>
      <c r="P580" s="83">
        <f t="shared" si="146"/>
        <v>0</v>
      </c>
      <c r="Q580" s="83">
        <v>0</v>
      </c>
      <c r="R580" s="83">
        <v>0</v>
      </c>
      <c r="S580" s="83">
        <v>0</v>
      </c>
      <c r="T580" s="83">
        <f t="shared" si="147"/>
        <v>0</v>
      </c>
      <c r="U580" s="83">
        <f t="shared" si="148"/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468">
        <v>0</v>
      </c>
      <c r="M581" s="224">
        <v>0</v>
      </c>
      <c r="N581" s="224">
        <v>0</v>
      </c>
      <c r="O581" s="224">
        <f t="shared" si="145"/>
        <v>0</v>
      </c>
      <c r="P581" s="224">
        <f t="shared" si="146"/>
        <v>0</v>
      </c>
      <c r="Q581" s="224">
        <v>0</v>
      </c>
      <c r="R581" s="224">
        <v>0</v>
      </c>
      <c r="S581" s="224">
        <v>0</v>
      </c>
      <c r="T581" s="224">
        <f t="shared" si="147"/>
        <v>0</v>
      </c>
      <c r="U581" s="224">
        <f t="shared" si="148"/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468">
        <f>L583+L584</f>
        <v>0</v>
      </c>
      <c r="M582" s="224">
        <f>M583+M584</f>
        <v>0</v>
      </c>
      <c r="N582" s="224">
        <f>N583+N584</f>
        <v>0</v>
      </c>
      <c r="O582" s="224">
        <f t="shared" si="145"/>
        <v>0</v>
      </c>
      <c r="P582" s="224">
        <f t="shared" si="146"/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 t="shared" si="147"/>
        <v>0</v>
      </c>
      <c r="U582" s="224">
        <f t="shared" si="148"/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469">
        <v>0</v>
      </c>
      <c r="M583" s="83">
        <v>0</v>
      </c>
      <c r="N583" s="83">
        <v>0</v>
      </c>
      <c r="O583" s="83">
        <f t="shared" si="145"/>
        <v>0</v>
      </c>
      <c r="P583" s="83">
        <f t="shared" si="146"/>
        <v>0</v>
      </c>
      <c r="Q583" s="83">
        <v>0</v>
      </c>
      <c r="R583" s="83">
        <v>0</v>
      </c>
      <c r="S583" s="83">
        <v>0</v>
      </c>
      <c r="T583" s="83">
        <f t="shared" si="147"/>
        <v>0</v>
      </c>
      <c r="U583" s="83">
        <f t="shared" si="148"/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468">
        <v>0</v>
      </c>
      <c r="M584" s="224">
        <v>0</v>
      </c>
      <c r="N584" s="224">
        <v>0</v>
      </c>
      <c r="O584" s="224">
        <f t="shared" si="145"/>
        <v>0</v>
      </c>
      <c r="P584" s="224">
        <f t="shared" si="146"/>
        <v>0</v>
      </c>
      <c r="Q584" s="224">
        <v>0</v>
      </c>
      <c r="R584" s="224">
        <v>0</v>
      </c>
      <c r="S584" s="224">
        <v>0</v>
      </c>
      <c r="T584" s="224">
        <f t="shared" si="147"/>
        <v>0</v>
      </c>
      <c r="U584" s="224">
        <f t="shared" si="148"/>
        <v>0</v>
      </c>
    </row>
    <row r="585" spans="1:21" ht="19.5" hidden="1" x14ac:dyDescent="0.3">
      <c r="A585" s="138"/>
      <c r="B585" s="139"/>
      <c r="C585" s="365" t="s">
        <v>18</v>
      </c>
      <c r="D585" s="498" t="s">
        <v>38</v>
      </c>
      <c r="E585" s="141"/>
      <c r="F585" s="141"/>
      <c r="G585" s="142"/>
      <c r="H585" s="143"/>
      <c r="I585" s="135"/>
      <c r="J585" s="44"/>
      <c r="K585" s="45"/>
      <c r="L585" s="465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11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11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11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11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11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11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11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11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11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496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hidden="1" x14ac:dyDescent="0.3">
      <c r="A596" s="366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67" t="s">
        <v>214</v>
      </c>
      <c r="C597" s="172"/>
      <c r="D597" s="125"/>
      <c r="E597" s="27"/>
      <c r="F597" s="27"/>
      <c r="G597" s="27"/>
      <c r="H597" s="368" t="s">
        <v>99</v>
      </c>
      <c r="I597" s="182"/>
      <c r="J597" s="32"/>
      <c r="K597" s="33"/>
      <c r="L597" s="510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369"/>
      <c r="B598" s="370" t="s">
        <v>215</v>
      </c>
      <c r="C598" s="125"/>
      <c r="D598" s="27"/>
      <c r="E598" s="27"/>
      <c r="F598" s="27"/>
      <c r="G598" s="30"/>
      <c r="H598" s="371" t="s">
        <v>35</v>
      </c>
      <c r="I598" s="32"/>
      <c r="J598" s="32"/>
      <c r="K598" s="33"/>
      <c r="L598" s="510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820" t="s">
        <v>19</v>
      </c>
      <c r="E599" s="793"/>
      <c r="F599" s="793"/>
      <c r="G599" s="794"/>
      <c r="H599" s="372" t="s">
        <v>14</v>
      </c>
      <c r="I599" s="44"/>
      <c r="J599" s="44"/>
      <c r="K599" s="45"/>
      <c r="L599" s="471">
        <f>L600+L601</f>
        <v>0</v>
      </c>
      <c r="M599" s="470">
        <f>M600+M601</f>
        <v>0</v>
      </c>
      <c r="N599" s="470">
        <f>N600+N601</f>
        <v>0</v>
      </c>
      <c r="O599" s="470">
        <f t="shared" ref="O599:O607" si="151">IF(L599&gt;0,N599*100/L599,0)</f>
        <v>0</v>
      </c>
      <c r="P599" s="470">
        <f t="shared" ref="P599:P607" si="152">IF(M599&gt;0,N599*100/M599,0)</f>
        <v>0</v>
      </c>
      <c r="Q599" s="470">
        <f>Q600+Q601</f>
        <v>0</v>
      </c>
      <c r="R599" s="470">
        <f>R600+R601</f>
        <v>0</v>
      </c>
      <c r="S599" s="470">
        <f>S600+S601</f>
        <v>0</v>
      </c>
      <c r="T599" s="470">
        <f t="shared" ref="T599:T607" si="153">IF(Q599&gt;0,S599*100/Q599,0)</f>
        <v>0</v>
      </c>
      <c r="U599" s="470">
        <f t="shared" ref="U599:U607" si="154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469">
        <f t="shared" ref="L600:N601" si="155">L603+L606</f>
        <v>0</v>
      </c>
      <c r="M600" s="83">
        <f t="shared" si="155"/>
        <v>0</v>
      </c>
      <c r="N600" s="83">
        <f t="shared" si="155"/>
        <v>0</v>
      </c>
      <c r="O600" s="83">
        <f t="shared" si="151"/>
        <v>0</v>
      </c>
      <c r="P600" s="83">
        <f t="shared" si="152"/>
        <v>0</v>
      </c>
      <c r="Q600" s="83">
        <f t="shared" ref="Q600:S601" si="156">Q603+Q606</f>
        <v>0</v>
      </c>
      <c r="R600" s="83">
        <f t="shared" si="156"/>
        <v>0</v>
      </c>
      <c r="S600" s="83">
        <f t="shared" si="156"/>
        <v>0</v>
      </c>
      <c r="T600" s="83">
        <f t="shared" si="153"/>
        <v>0</v>
      </c>
      <c r="U600" s="83">
        <f t="shared" si="154"/>
        <v>0</v>
      </c>
    </row>
    <row r="601" spans="1:21" ht="18.75" hidden="1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468">
        <f t="shared" si="155"/>
        <v>0</v>
      </c>
      <c r="M601" s="224">
        <f t="shared" si="155"/>
        <v>0</v>
      </c>
      <c r="N601" s="224">
        <f t="shared" si="155"/>
        <v>0</v>
      </c>
      <c r="O601" s="224">
        <f t="shared" si="151"/>
        <v>0</v>
      </c>
      <c r="P601" s="224">
        <f t="shared" si="152"/>
        <v>0</v>
      </c>
      <c r="Q601" s="224">
        <f t="shared" si="156"/>
        <v>0</v>
      </c>
      <c r="R601" s="224">
        <f t="shared" si="156"/>
        <v>0</v>
      </c>
      <c r="S601" s="224">
        <f t="shared" si="156"/>
        <v>0</v>
      </c>
      <c r="T601" s="224">
        <f t="shared" si="153"/>
        <v>0</v>
      </c>
      <c r="U601" s="224">
        <f t="shared" si="154"/>
        <v>0</v>
      </c>
    </row>
    <row r="602" spans="1:21" ht="19.5" hidden="1" x14ac:dyDescent="0.3">
      <c r="A602" s="128"/>
      <c r="B602" s="158"/>
      <c r="C602" s="158"/>
      <c r="D602" s="494" t="s">
        <v>22</v>
      </c>
      <c r="E602" s="40"/>
      <c r="F602" s="40"/>
      <c r="G602" s="42"/>
      <c r="H602" s="372" t="s">
        <v>14</v>
      </c>
      <c r="I602" s="135"/>
      <c r="J602" s="135"/>
      <c r="K602" s="136"/>
      <c r="L602" s="468">
        <f>L603+L604</f>
        <v>0</v>
      </c>
      <c r="M602" s="224">
        <f>M603+M604</f>
        <v>0</v>
      </c>
      <c r="N602" s="224">
        <f>N603+N604</f>
        <v>0</v>
      </c>
      <c r="O602" s="224">
        <f t="shared" si="151"/>
        <v>0</v>
      </c>
      <c r="P602" s="224">
        <f t="shared" si="152"/>
        <v>0</v>
      </c>
      <c r="Q602" s="224">
        <f>Q603+Q604</f>
        <v>0</v>
      </c>
      <c r="R602" s="224">
        <f>R603+R604</f>
        <v>0</v>
      </c>
      <c r="S602" s="224">
        <f>S603+S604</f>
        <v>0</v>
      </c>
      <c r="T602" s="224">
        <f t="shared" si="153"/>
        <v>0</v>
      </c>
      <c r="U602" s="224">
        <f t="shared" si="154"/>
        <v>0</v>
      </c>
    </row>
    <row r="603" spans="1:21" ht="18.75" hidden="1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469">
        <v>0</v>
      </c>
      <c r="M603" s="83">
        <v>0</v>
      </c>
      <c r="N603" s="83">
        <v>0</v>
      </c>
      <c r="O603" s="83">
        <f t="shared" si="151"/>
        <v>0</v>
      </c>
      <c r="P603" s="83">
        <f t="shared" si="152"/>
        <v>0</v>
      </c>
      <c r="Q603" s="83">
        <v>0</v>
      </c>
      <c r="R603" s="83">
        <v>0</v>
      </c>
      <c r="S603" s="83">
        <v>0</v>
      </c>
      <c r="T603" s="83">
        <f t="shared" si="153"/>
        <v>0</v>
      </c>
      <c r="U603" s="83">
        <f t="shared" si="154"/>
        <v>0</v>
      </c>
    </row>
    <row r="604" spans="1:21" ht="18.75" hidden="1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468">
        <v>0</v>
      </c>
      <c r="M604" s="224">
        <v>0</v>
      </c>
      <c r="N604" s="224">
        <v>0</v>
      </c>
      <c r="O604" s="224">
        <f t="shared" si="151"/>
        <v>0</v>
      </c>
      <c r="P604" s="224">
        <f t="shared" si="152"/>
        <v>0</v>
      </c>
      <c r="Q604" s="224">
        <v>0</v>
      </c>
      <c r="R604" s="224">
        <v>0</v>
      </c>
      <c r="S604" s="224">
        <v>0</v>
      </c>
      <c r="T604" s="224">
        <f t="shared" si="153"/>
        <v>0</v>
      </c>
      <c r="U604" s="224">
        <f t="shared" si="154"/>
        <v>0</v>
      </c>
    </row>
    <row r="605" spans="1:21" ht="19.5" hidden="1" x14ac:dyDescent="0.3">
      <c r="A605" s="128"/>
      <c r="B605" s="158"/>
      <c r="C605" s="158"/>
      <c r="D605" s="494" t="s">
        <v>23</v>
      </c>
      <c r="E605" s="158"/>
      <c r="F605" s="40"/>
      <c r="G605" s="42"/>
      <c r="H605" s="374" t="s">
        <v>14</v>
      </c>
      <c r="I605" s="135"/>
      <c r="J605" s="135"/>
      <c r="K605" s="136"/>
      <c r="L605" s="468">
        <f>L606+L607</f>
        <v>0</v>
      </c>
      <c r="M605" s="224">
        <f>M606+M607</f>
        <v>0</v>
      </c>
      <c r="N605" s="224">
        <f>N606+N607</f>
        <v>0</v>
      </c>
      <c r="O605" s="224">
        <f t="shared" si="151"/>
        <v>0</v>
      </c>
      <c r="P605" s="224">
        <f t="shared" si="152"/>
        <v>0</v>
      </c>
      <c r="Q605" s="224">
        <f>Q606+Q607</f>
        <v>0</v>
      </c>
      <c r="R605" s="224">
        <f>R606+R607</f>
        <v>0</v>
      </c>
      <c r="S605" s="224">
        <f>S606+S607</f>
        <v>0</v>
      </c>
      <c r="T605" s="224">
        <f t="shared" si="153"/>
        <v>0</v>
      </c>
      <c r="U605" s="224">
        <f t="shared" si="154"/>
        <v>0</v>
      </c>
    </row>
    <row r="606" spans="1:21" ht="18.75" hidden="1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469">
        <v>0</v>
      </c>
      <c r="M606" s="83">
        <v>0</v>
      </c>
      <c r="N606" s="83">
        <v>0</v>
      </c>
      <c r="O606" s="83">
        <f t="shared" si="151"/>
        <v>0</v>
      </c>
      <c r="P606" s="83">
        <f t="shared" si="152"/>
        <v>0</v>
      </c>
      <c r="Q606" s="83">
        <v>0</v>
      </c>
      <c r="R606" s="83">
        <v>0</v>
      </c>
      <c r="S606" s="83">
        <v>0</v>
      </c>
      <c r="T606" s="83">
        <f t="shared" si="153"/>
        <v>0</v>
      </c>
      <c r="U606" s="83">
        <f t="shared" si="154"/>
        <v>0</v>
      </c>
    </row>
    <row r="607" spans="1:21" ht="18.75" hidden="1" x14ac:dyDescent="0.25">
      <c r="A607" s="128"/>
      <c r="B607" s="158"/>
      <c r="C607" s="158"/>
      <c r="D607" s="40"/>
      <c r="E607" s="314" t="s">
        <v>21</v>
      </c>
      <c r="F607" s="40"/>
      <c r="G607" s="42"/>
      <c r="H607" s="375" t="s">
        <v>14</v>
      </c>
      <c r="I607" s="135"/>
      <c r="J607" s="135"/>
      <c r="K607" s="136"/>
      <c r="L607" s="468">
        <v>0</v>
      </c>
      <c r="M607" s="224">
        <v>0</v>
      </c>
      <c r="N607" s="224">
        <v>0</v>
      </c>
      <c r="O607" s="224">
        <f t="shared" si="151"/>
        <v>0</v>
      </c>
      <c r="P607" s="224">
        <f t="shared" si="152"/>
        <v>0</v>
      </c>
      <c r="Q607" s="224">
        <v>0</v>
      </c>
      <c r="R607" s="224">
        <v>0</v>
      </c>
      <c r="S607" s="224">
        <v>0</v>
      </c>
      <c r="T607" s="224">
        <f t="shared" si="153"/>
        <v>0</v>
      </c>
      <c r="U607" s="224">
        <f t="shared" si="154"/>
        <v>0</v>
      </c>
    </row>
    <row r="608" spans="1:21" ht="19.5" hidden="1" x14ac:dyDescent="0.3">
      <c r="A608" s="138"/>
      <c r="B608" s="139"/>
      <c r="C608" s="177" t="s">
        <v>18</v>
      </c>
      <c r="D608" s="509" t="s">
        <v>38</v>
      </c>
      <c r="E608" s="141"/>
      <c r="F608" s="141"/>
      <c r="G608" s="142"/>
      <c r="H608" s="178"/>
      <c r="I608" s="135"/>
      <c r="J608" s="135"/>
      <c r="K608" s="136"/>
      <c r="L608" s="465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377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465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377" t="s">
        <v>217</v>
      </c>
      <c r="E610" s="145"/>
      <c r="F610" s="145"/>
      <c r="G610" s="143"/>
      <c r="H610" s="372" t="s">
        <v>35</v>
      </c>
      <c r="I610" s="44"/>
      <c r="J610" s="44"/>
      <c r="K610" s="136"/>
      <c r="L610" s="465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377" t="s">
        <v>218</v>
      </c>
      <c r="F611" s="145"/>
      <c r="G611" s="143"/>
      <c r="H611" s="375" t="s">
        <v>35</v>
      </c>
      <c r="I611" s="44"/>
      <c r="J611" s="44"/>
      <c r="K611" s="136"/>
      <c r="L611" s="465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378"/>
      <c r="B612" s="379"/>
      <c r="C612" s="379"/>
      <c r="D612" s="379"/>
      <c r="E612" s="380" t="s">
        <v>219</v>
      </c>
      <c r="F612" s="381"/>
      <c r="G612" s="382"/>
      <c r="H612" s="383" t="s">
        <v>35</v>
      </c>
      <c r="I612" s="384"/>
      <c r="J612" s="384"/>
      <c r="K612" s="385"/>
      <c r="L612" s="508"/>
      <c r="M612" s="386"/>
      <c r="N612" s="386"/>
      <c r="O612" s="386"/>
      <c r="P612" s="386"/>
      <c r="Q612" s="386"/>
      <c r="R612" s="386"/>
      <c r="S612" s="386"/>
      <c r="T612" s="386"/>
      <c r="U612" s="386"/>
    </row>
    <row r="613" spans="1:21" ht="19.5" hidden="1" x14ac:dyDescent="0.3">
      <c r="A613" s="387" t="s">
        <v>220</v>
      </c>
      <c r="B613" s="388"/>
      <c r="C613" s="388"/>
      <c r="D613" s="389"/>
      <c r="E613" s="389"/>
      <c r="F613" s="389"/>
      <c r="G613" s="390"/>
      <c r="H613" s="391"/>
      <c r="I613" s="392"/>
      <c r="J613" s="392"/>
      <c r="K613" s="393"/>
      <c r="L613" s="507"/>
      <c r="M613" s="393"/>
      <c r="N613" s="393"/>
      <c r="O613" s="393"/>
      <c r="P613" s="393"/>
      <c r="Q613" s="393"/>
      <c r="R613" s="393"/>
      <c r="S613" s="393"/>
      <c r="T613" s="393"/>
      <c r="U613" s="393"/>
    </row>
    <row r="614" spans="1:21" ht="19.5" x14ac:dyDescent="0.3">
      <c r="A614" s="394"/>
      <c r="B614" s="395" t="s">
        <v>221</v>
      </c>
      <c r="C614" s="394"/>
      <c r="D614" s="396"/>
      <c r="E614" s="396"/>
      <c r="F614" s="396"/>
      <c r="G614" s="397"/>
      <c r="H614" s="398"/>
      <c r="I614" s="399"/>
      <c r="J614" s="399"/>
      <c r="K614" s="400"/>
      <c r="L614" s="473"/>
      <c r="M614" s="400"/>
      <c r="N614" s="400"/>
      <c r="O614" s="400"/>
      <c r="P614" s="400"/>
      <c r="Q614" s="400"/>
      <c r="R614" s="400"/>
      <c r="S614" s="400"/>
      <c r="T614" s="400"/>
      <c r="U614" s="400"/>
    </row>
    <row r="615" spans="1:21" ht="19.5" x14ac:dyDescent="0.3">
      <c r="A615" s="401"/>
      <c r="B615" s="402" t="s">
        <v>222</v>
      </c>
      <c r="C615" s="401"/>
      <c r="D615" s="403"/>
      <c r="E615" s="403"/>
      <c r="F615" s="403"/>
      <c r="G615" s="404"/>
      <c r="H615" s="405" t="s">
        <v>46</v>
      </c>
      <c r="I615" s="506">
        <f ca="1">I626</f>
        <v>0</v>
      </c>
      <c r="J615" s="506">
        <f>J626</f>
        <v>0</v>
      </c>
      <c r="K615" s="505">
        <f ca="1">IF(I615&gt;0,J615*100/I615,0)</f>
        <v>0</v>
      </c>
      <c r="L615" s="504"/>
      <c r="M615" s="408"/>
      <c r="N615" s="408"/>
      <c r="O615" s="408"/>
      <c r="P615" s="408"/>
      <c r="Q615" s="408"/>
      <c r="R615" s="408"/>
      <c r="S615" s="408"/>
      <c r="T615" s="408"/>
      <c r="U615" s="408"/>
    </row>
    <row r="616" spans="1:21" ht="19.5" x14ac:dyDescent="0.3">
      <c r="A616" s="128"/>
      <c r="B616" s="158"/>
      <c r="C616" s="177" t="s">
        <v>18</v>
      </c>
      <c r="D616" s="821" t="s">
        <v>19</v>
      </c>
      <c r="E616" s="793"/>
      <c r="F616" s="793"/>
      <c r="G616" s="794"/>
      <c r="H616" s="221" t="s">
        <v>14</v>
      </c>
      <c r="I616" s="44"/>
      <c r="J616" s="44"/>
      <c r="K616" s="45"/>
      <c r="L616" s="471">
        <f>L617+L618</f>
        <v>0</v>
      </c>
      <c r="M616" s="470">
        <f>M617+M618</f>
        <v>0</v>
      </c>
      <c r="N616" s="470">
        <f>N617+N618</f>
        <v>0</v>
      </c>
      <c r="O616" s="470">
        <f t="shared" ref="O616:O624" si="157">IF(L616&gt;0,N616*100/L616,0)</f>
        <v>0</v>
      </c>
      <c r="P616" s="470">
        <f t="shared" ref="P616:P624" si="158">IF(M616&gt;0,N616*100/M616,0)</f>
        <v>0</v>
      </c>
      <c r="Q616" s="470">
        <f ca="1">Q617+Q618</f>
        <v>1875</v>
      </c>
      <c r="R616" s="470">
        <f ca="1">R617+R618</f>
        <v>1875</v>
      </c>
      <c r="S616" s="470">
        <f ca="1">S617+S618</f>
        <v>0</v>
      </c>
      <c r="T616" s="470">
        <f t="shared" ref="T616:T624" ca="1" si="159">IF(Q616&gt;0,S616*100/Q616,0)</f>
        <v>0</v>
      </c>
      <c r="U616" s="470">
        <f t="shared" ref="U616:U624" ca="1" si="160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469">
        <f t="shared" ref="L617:N618" si="161">L620+L623</f>
        <v>0</v>
      </c>
      <c r="M617" s="83">
        <f t="shared" si="161"/>
        <v>0</v>
      </c>
      <c r="N617" s="83">
        <f t="shared" si="161"/>
        <v>0</v>
      </c>
      <c r="O617" s="83">
        <f t="shared" si="157"/>
        <v>0</v>
      </c>
      <c r="P617" s="83">
        <f t="shared" si="158"/>
        <v>0</v>
      </c>
      <c r="Q617" s="83">
        <f t="shared" ref="Q617:S618" si="162">Q620+Q623</f>
        <v>0</v>
      </c>
      <c r="R617" s="83">
        <f t="shared" si="162"/>
        <v>0</v>
      </c>
      <c r="S617" s="83">
        <f t="shared" si="162"/>
        <v>0</v>
      </c>
      <c r="T617" s="83">
        <f t="shared" si="159"/>
        <v>0</v>
      </c>
      <c r="U617" s="83">
        <f t="shared" si="160"/>
        <v>0</v>
      </c>
    </row>
    <row r="618" spans="1:21" ht="18.75" hidden="1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468">
        <f t="shared" si="161"/>
        <v>0</v>
      </c>
      <c r="M618" s="224">
        <f t="shared" si="161"/>
        <v>0</v>
      </c>
      <c r="N618" s="224">
        <f t="shared" si="161"/>
        <v>0</v>
      </c>
      <c r="O618" s="224">
        <f t="shared" si="157"/>
        <v>0</v>
      </c>
      <c r="P618" s="224">
        <f t="shared" si="158"/>
        <v>0</v>
      </c>
      <c r="Q618" s="224">
        <f t="shared" ca="1" si="162"/>
        <v>1875</v>
      </c>
      <c r="R618" s="224">
        <f t="shared" ca="1" si="162"/>
        <v>1875</v>
      </c>
      <c r="S618" s="224">
        <f t="shared" ca="1" si="162"/>
        <v>0</v>
      </c>
      <c r="T618" s="224">
        <f t="shared" ca="1" si="159"/>
        <v>0</v>
      </c>
      <c r="U618" s="224">
        <f t="shared" ca="1" si="160"/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468">
        <f>L620+L621</f>
        <v>0</v>
      </c>
      <c r="M619" s="224">
        <f>M620+M621</f>
        <v>0</v>
      </c>
      <c r="N619" s="224">
        <f>N620+N621</f>
        <v>0</v>
      </c>
      <c r="O619" s="224">
        <f t="shared" si="157"/>
        <v>0</v>
      </c>
      <c r="P619" s="224">
        <f t="shared" si="158"/>
        <v>0</v>
      </c>
      <c r="Q619" s="224">
        <f ca="1">Q620+Q621</f>
        <v>1875</v>
      </c>
      <c r="R619" s="224">
        <f ca="1">R620+R621</f>
        <v>1875</v>
      </c>
      <c r="S619" s="224">
        <f ca="1">S620+S621</f>
        <v>0</v>
      </c>
      <c r="T619" s="224">
        <f t="shared" ca="1" si="159"/>
        <v>0</v>
      </c>
      <c r="U619" s="224">
        <f t="shared" ca="1" si="160"/>
        <v>0</v>
      </c>
    </row>
    <row r="620" spans="1:21" ht="18.75" hidden="1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469">
        <v>0</v>
      </c>
      <c r="M620" s="83">
        <v>0</v>
      </c>
      <c r="N620" s="83">
        <v>0</v>
      </c>
      <c r="O620" s="83">
        <f t="shared" si="157"/>
        <v>0</v>
      </c>
      <c r="P620" s="83">
        <f t="shared" si="158"/>
        <v>0</v>
      </c>
      <c r="Q620" s="83">
        <v>0</v>
      </c>
      <c r="R620" s="83">
        <v>0</v>
      </c>
      <c r="S620" s="83">
        <v>0</v>
      </c>
      <c r="T620" s="83">
        <f t="shared" si="159"/>
        <v>0</v>
      </c>
      <c r="U620" s="83">
        <f t="shared" si="160"/>
        <v>0</v>
      </c>
    </row>
    <row r="621" spans="1:21" ht="18.75" hidden="1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468">
        <v>0</v>
      </c>
      <c r="M621" s="224">
        <v>0</v>
      </c>
      <c r="N621" s="224">
        <v>0</v>
      </c>
      <c r="O621" s="224">
        <f t="shared" si="157"/>
        <v>0</v>
      </c>
      <c r="P621" s="224">
        <f t="shared" si="158"/>
        <v>0</v>
      </c>
      <c r="Q621" s="224">
        <f ca="1">IFERROR(__xludf.DUMMYFUNCTION("IMPORTRANGE(""https://docs.google.com/spreadsheets/d/1ItG2mGa2ceCfYo0BwxsXqNm01IGEUdYcSSLTEv9YCik/edit?usp=sharing"",""เบิกจ่ายกองทุน!F23"")"),1875)</f>
        <v>1875</v>
      </c>
      <c r="R621" s="224">
        <f ca="1">IFERROR(__xludf.DUMMYFUNCTION("IMPORTRANGE(""https://docs.google.com/spreadsheets/d/1ItG2mGa2ceCfYo0BwxsXqNm01IGEUdYcSSLTEv9YCik/edit?usp=sharing"",""เบิกจ่ายกองทุน!G23"")"),1875)</f>
        <v>1875</v>
      </c>
      <c r="S621" s="224">
        <f ca="1">IFERROR(__xludf.DUMMYFUNCTION("IMPORTRANGE(""https://docs.google.com/spreadsheets/d/1ItG2mGa2ceCfYo0BwxsXqNm01IGEUdYcSSLTEv9YCik/edit?usp=sharing"",""เบิกจ่ายกองทุน!H23"")"),0)</f>
        <v>0</v>
      </c>
      <c r="T621" s="224">
        <f t="shared" ca="1" si="159"/>
        <v>0</v>
      </c>
      <c r="U621" s="224">
        <f t="shared" ca="1" si="160"/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468">
        <f>L623+L624</f>
        <v>0</v>
      </c>
      <c r="M622" s="224">
        <f>M623+M624</f>
        <v>0</v>
      </c>
      <c r="N622" s="224">
        <f>N623+N624</f>
        <v>0</v>
      </c>
      <c r="O622" s="224">
        <f t="shared" si="157"/>
        <v>0</v>
      </c>
      <c r="P622" s="224">
        <f t="shared" si="158"/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 t="shared" si="159"/>
        <v>0</v>
      </c>
      <c r="U622" s="224">
        <f t="shared" si="160"/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469">
        <v>0</v>
      </c>
      <c r="M623" s="83">
        <v>0</v>
      </c>
      <c r="N623" s="83">
        <v>0</v>
      </c>
      <c r="O623" s="83">
        <f t="shared" si="157"/>
        <v>0</v>
      </c>
      <c r="P623" s="83">
        <f t="shared" si="158"/>
        <v>0</v>
      </c>
      <c r="Q623" s="83">
        <v>0</v>
      </c>
      <c r="R623" s="83">
        <v>0</v>
      </c>
      <c r="S623" s="83">
        <v>0</v>
      </c>
      <c r="T623" s="83">
        <f t="shared" si="159"/>
        <v>0</v>
      </c>
      <c r="U623" s="83">
        <f t="shared" si="160"/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468">
        <v>0</v>
      </c>
      <c r="M624" s="224">
        <v>0</v>
      </c>
      <c r="N624" s="224">
        <v>0</v>
      </c>
      <c r="O624" s="224">
        <f t="shared" si="157"/>
        <v>0</v>
      </c>
      <c r="P624" s="224">
        <f t="shared" si="158"/>
        <v>0</v>
      </c>
      <c r="Q624" s="224">
        <v>0</v>
      </c>
      <c r="R624" s="224">
        <v>0</v>
      </c>
      <c r="S624" s="224">
        <v>0</v>
      </c>
      <c r="T624" s="224">
        <f t="shared" si="159"/>
        <v>0</v>
      </c>
      <c r="U624" s="224">
        <f t="shared" si="160"/>
        <v>0</v>
      </c>
    </row>
    <row r="625" spans="1:21" ht="19.5" x14ac:dyDescent="0.3">
      <c r="A625" s="138"/>
      <c r="B625" s="139"/>
      <c r="C625" s="177" t="s">
        <v>18</v>
      </c>
      <c r="D625" s="467" t="s">
        <v>38</v>
      </c>
      <c r="E625" s="141"/>
      <c r="F625" s="141"/>
      <c r="G625" s="142"/>
      <c r="H625" s="178"/>
      <c r="I625" s="135"/>
      <c r="J625" s="135"/>
      <c r="K625" s="136"/>
      <c r="L625" s="4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10" t="s">
        <v>223</v>
      </c>
      <c r="E626" s="145"/>
      <c r="F626" s="145"/>
      <c r="G626" s="143"/>
      <c r="H626" s="411" t="s">
        <v>46</v>
      </c>
      <c r="I626" s="328">
        <f ca="1">IFERROR(__xludf.DUMMYFUNCTION("IMPORTRANGE(""https://docs.google.com/spreadsheets/d/1eHaY18a8A9IcSdp1K8H6x8fbOy06t2VsZHhMHf-1x7Y/edit?usp=sharing"",""แผน!ID23"")"),0)</f>
        <v>0</v>
      </c>
      <c r="J626" s="328">
        <f>J632</f>
        <v>0</v>
      </c>
      <c r="K626" s="470">
        <f ca="1">IF(I626&gt;0,J626*100/I626,0)</f>
        <v>0</v>
      </c>
      <c r="L626" s="4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IFERROR(__xludf.DUMMYFUNCTION("IMPORTRANGE(""https://docs.google.com/spreadsheets/d/1eHaY18a8A9IcSdp1K8H6x8fbOy06t2VsZHhMHf-1x7Y/edit?usp=sharing"",""แผน!IC23"")"),1)</f>
        <v>1</v>
      </c>
      <c r="J627" s="466">
        <v>0</v>
      </c>
      <c r="K627" s="224">
        <f ca="1">IF(I627&gt;0,(J627*100)/I627,0)</f>
        <v>0</v>
      </c>
      <c r="L627" s="4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IFERROR(__xludf.DUMMYFUNCTION("IMPORTRANGE(""https://docs.google.com/spreadsheets/d/1eHaY18a8A9IcSdp1K8H6x8fbOy06t2VsZHhMHf-1x7Y/edit?usp=sharing"",""แผน!IC23"")"),1)</f>
        <v>1</v>
      </c>
      <c r="J628" s="466">
        <v>0</v>
      </c>
      <c r="K628" s="224">
        <f ca="1">IF(I628&gt;0,(J628*100)/I628,0)</f>
        <v>0</v>
      </c>
      <c r="L628" s="4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466">
        <v>0</v>
      </c>
      <c r="K629" s="224">
        <f ca="1">IF(I$626&gt;0,J629*100/I$626,0)</f>
        <v>0</v>
      </c>
      <c r="L629" s="4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466">
        <v>0</v>
      </c>
      <c r="K630" s="224">
        <f ca="1">IF(I$626&gt;0,J630*100/I$626,0)</f>
        <v>0</v>
      </c>
      <c r="L630" s="4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466">
        <v>0</v>
      </c>
      <c r="K631" s="224">
        <f ca="1">IF(I$626&gt;0,J631*100/I$626,0)</f>
        <v>0</v>
      </c>
      <c r="L631" s="4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470">
        <f ca="1">IF(I626&gt;0,J632*100/I626,0)</f>
        <v>0</v>
      </c>
      <c r="L632" s="4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466">
        <v>0</v>
      </c>
      <c r="K633" s="45"/>
      <c r="L633" s="4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466">
        <v>0</v>
      </c>
      <c r="K634" s="45"/>
      <c r="L634" s="4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10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IFERROR(__xludf.DUMMYFUNCTION("IMPORTRANGE(""https://docs.google.com/spreadsheets/d/1eHaY18a8A9IcSdp1K8H6x8fbOy06t2VsZHhMHf-1x7Y/edit?usp=sharing"",""แผน!IE23"")"),0)</f>
        <v>0</v>
      </c>
      <c r="J635" s="328">
        <f>J636</f>
        <v>0</v>
      </c>
      <c r="K635" s="470">
        <f ca="1">IF(I635&gt;0,J635*100/I635,0)</f>
        <v>0</v>
      </c>
      <c r="L635" s="4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4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466">
        <v>0</v>
      </c>
      <c r="K637" s="45"/>
      <c r="L637" s="4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466">
        <v>0</v>
      </c>
      <c r="K638" s="45"/>
      <c r="L638" s="4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466">
        <v>0</v>
      </c>
      <c r="K639" s="45"/>
      <c r="L639" s="4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466">
        <v>0</v>
      </c>
      <c r="K640" s="45"/>
      <c r="L640" s="4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01"/>
      <c r="B641" s="402" t="s">
        <v>236</v>
      </c>
      <c r="C641" s="401"/>
      <c r="D641" s="403"/>
      <c r="E641" s="403"/>
      <c r="F641" s="403"/>
      <c r="G641" s="404"/>
      <c r="H641" s="412"/>
      <c r="I641" s="413"/>
      <c r="J641" s="413"/>
      <c r="K641" s="408"/>
      <c r="L641" s="504"/>
      <c r="M641" s="408"/>
      <c r="N641" s="408"/>
      <c r="O641" s="408"/>
      <c r="P641" s="408"/>
      <c r="Q641" s="408"/>
      <c r="R641" s="408"/>
      <c r="S641" s="408"/>
      <c r="T641" s="408"/>
      <c r="U641" s="408"/>
    </row>
    <row r="642" spans="1:21" ht="19.5" x14ac:dyDescent="0.3">
      <c r="A642" s="128"/>
      <c r="B642" s="158"/>
      <c r="C642" s="209" t="s">
        <v>18</v>
      </c>
      <c r="D642" s="821" t="s">
        <v>19</v>
      </c>
      <c r="E642" s="793"/>
      <c r="F642" s="793"/>
      <c r="G642" s="794"/>
      <c r="H642" s="221" t="s">
        <v>14</v>
      </c>
      <c r="I642" s="44"/>
      <c r="J642" s="44"/>
      <c r="K642" s="45"/>
      <c r="L642" s="471">
        <f>L643+L644</f>
        <v>0</v>
      </c>
      <c r="M642" s="470">
        <f>M643+M644</f>
        <v>0</v>
      </c>
      <c r="N642" s="470">
        <f>N643+N644</f>
        <v>0</v>
      </c>
      <c r="O642" s="470">
        <f t="shared" ref="O642:O650" si="163">IF(L642&gt;0,N642*100/L642,0)</f>
        <v>0</v>
      </c>
      <c r="P642" s="470">
        <f t="shared" ref="P642:P650" si="164">IF(M642&gt;0,N642*100/M642,0)</f>
        <v>0</v>
      </c>
      <c r="Q642" s="470">
        <f ca="1">Q643+Q644</f>
        <v>22120</v>
      </c>
      <c r="R642" s="470">
        <f ca="1">R643+R644</f>
        <v>22120</v>
      </c>
      <c r="S642" s="470">
        <f ca="1">S643+S644</f>
        <v>0</v>
      </c>
      <c r="T642" s="470">
        <f t="shared" ref="T642:T650" ca="1" si="165">IF(Q642&gt;0,S642*100/Q642,0)</f>
        <v>0</v>
      </c>
      <c r="U642" s="470">
        <f t="shared" ref="U642:U650" ca="1" si="166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469">
        <f t="shared" ref="L643:N644" si="167">L646+L649</f>
        <v>0</v>
      </c>
      <c r="M643" s="83">
        <f t="shared" si="167"/>
        <v>0</v>
      </c>
      <c r="N643" s="83">
        <f t="shared" si="167"/>
        <v>0</v>
      </c>
      <c r="O643" s="83">
        <f t="shared" si="163"/>
        <v>0</v>
      </c>
      <c r="P643" s="83">
        <f t="shared" si="164"/>
        <v>0</v>
      </c>
      <c r="Q643" s="83">
        <f t="shared" ref="Q643:S644" si="168">Q646+Q649</f>
        <v>0</v>
      </c>
      <c r="R643" s="83">
        <f t="shared" si="168"/>
        <v>0</v>
      </c>
      <c r="S643" s="83">
        <f t="shared" si="168"/>
        <v>0</v>
      </c>
      <c r="T643" s="83">
        <f t="shared" si="165"/>
        <v>0</v>
      </c>
      <c r="U643" s="83">
        <f t="shared" si="166"/>
        <v>0</v>
      </c>
    </row>
    <row r="644" spans="1:21" ht="18.75" hidden="1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468">
        <f t="shared" si="167"/>
        <v>0</v>
      </c>
      <c r="M644" s="224">
        <f t="shared" si="167"/>
        <v>0</v>
      </c>
      <c r="N644" s="224">
        <f t="shared" si="167"/>
        <v>0</v>
      </c>
      <c r="O644" s="224">
        <f t="shared" si="163"/>
        <v>0</v>
      </c>
      <c r="P644" s="224">
        <f t="shared" si="164"/>
        <v>0</v>
      </c>
      <c r="Q644" s="224">
        <f t="shared" ca="1" si="168"/>
        <v>22120</v>
      </c>
      <c r="R644" s="224">
        <f t="shared" ca="1" si="168"/>
        <v>22120</v>
      </c>
      <c r="S644" s="224">
        <f t="shared" ca="1" si="168"/>
        <v>0</v>
      </c>
      <c r="T644" s="224">
        <f t="shared" ca="1" si="165"/>
        <v>0</v>
      </c>
      <c r="U644" s="224">
        <f t="shared" ca="1" si="166"/>
        <v>0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468">
        <f>L646+L647</f>
        <v>0</v>
      </c>
      <c r="M645" s="224">
        <f>M646+M647</f>
        <v>0</v>
      </c>
      <c r="N645" s="224">
        <f>N646+N647</f>
        <v>0</v>
      </c>
      <c r="O645" s="224">
        <f t="shared" si="163"/>
        <v>0</v>
      </c>
      <c r="P645" s="224">
        <f t="shared" si="164"/>
        <v>0</v>
      </c>
      <c r="Q645" s="224">
        <f ca="1">Q646+Q647</f>
        <v>22120</v>
      </c>
      <c r="R645" s="224">
        <f ca="1">R646+R647</f>
        <v>22120</v>
      </c>
      <c r="S645" s="224">
        <f ca="1">S646+S647</f>
        <v>0</v>
      </c>
      <c r="T645" s="224">
        <f t="shared" ca="1" si="165"/>
        <v>0</v>
      </c>
      <c r="U645" s="224">
        <f t="shared" ca="1" si="166"/>
        <v>0</v>
      </c>
    </row>
    <row r="646" spans="1:21" ht="18.75" hidden="1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469">
        <v>0</v>
      </c>
      <c r="M646" s="83">
        <v>0</v>
      </c>
      <c r="N646" s="83">
        <v>0</v>
      </c>
      <c r="O646" s="83">
        <f t="shared" si="163"/>
        <v>0</v>
      </c>
      <c r="P646" s="83">
        <f t="shared" si="164"/>
        <v>0</v>
      </c>
      <c r="Q646" s="83">
        <v>0</v>
      </c>
      <c r="R646" s="83">
        <v>0</v>
      </c>
      <c r="S646" s="83">
        <v>0</v>
      </c>
      <c r="T646" s="83">
        <f t="shared" si="165"/>
        <v>0</v>
      </c>
      <c r="U646" s="83">
        <f t="shared" si="166"/>
        <v>0</v>
      </c>
    </row>
    <row r="647" spans="1:21" ht="18.75" hidden="1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468">
        <v>0</v>
      </c>
      <c r="M647" s="224">
        <v>0</v>
      </c>
      <c r="N647" s="224">
        <v>0</v>
      </c>
      <c r="O647" s="224">
        <f t="shared" si="163"/>
        <v>0</v>
      </c>
      <c r="P647" s="224">
        <f t="shared" si="164"/>
        <v>0</v>
      </c>
      <c r="Q647" s="224">
        <f ca="1">IFERROR(__xludf.DUMMYFUNCTION("IMPORTRANGE(""https://docs.google.com/spreadsheets/d/1ItG2mGa2ceCfYo0BwxsXqNm01IGEUdYcSSLTEv9YCik/edit?usp=sharing"",""เบิกจ่ายกองทุน!I23"")"),22120)</f>
        <v>22120</v>
      </c>
      <c r="R647" s="224">
        <f ca="1">IFERROR(__xludf.DUMMYFUNCTION("IMPORTRANGE(""https://docs.google.com/spreadsheets/d/1ItG2mGa2ceCfYo0BwxsXqNm01IGEUdYcSSLTEv9YCik/edit?usp=sharing"",""เบิกจ่ายกองทุน!J23"")"),22120)</f>
        <v>22120</v>
      </c>
      <c r="S647" s="224">
        <f ca="1">IFERROR(__xludf.DUMMYFUNCTION("IMPORTRANGE(""https://docs.google.com/spreadsheets/d/1ItG2mGa2ceCfYo0BwxsXqNm01IGEUdYcSSLTEv9YCik/edit?usp=sharing"",""เบิกจ่ายกองทุน!K23"")"),0)</f>
        <v>0</v>
      </c>
      <c r="T647" s="224">
        <f t="shared" ca="1" si="165"/>
        <v>0</v>
      </c>
      <c r="U647" s="224">
        <f t="shared" ca="1" si="166"/>
        <v>0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468">
        <f>L649+L650</f>
        <v>0</v>
      </c>
      <c r="M648" s="224">
        <f>M649+M650</f>
        <v>0</v>
      </c>
      <c r="N648" s="224">
        <f>N649+N650</f>
        <v>0</v>
      </c>
      <c r="O648" s="224">
        <f t="shared" si="163"/>
        <v>0</v>
      </c>
      <c r="P648" s="224">
        <f t="shared" si="164"/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 t="shared" si="165"/>
        <v>0</v>
      </c>
      <c r="U648" s="224">
        <f t="shared" si="166"/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469">
        <v>0</v>
      </c>
      <c r="M649" s="83">
        <v>0</v>
      </c>
      <c r="N649" s="83">
        <v>0</v>
      </c>
      <c r="O649" s="83">
        <f t="shared" si="163"/>
        <v>0</v>
      </c>
      <c r="P649" s="83">
        <f t="shared" si="164"/>
        <v>0</v>
      </c>
      <c r="Q649" s="83">
        <v>0</v>
      </c>
      <c r="R649" s="83">
        <v>0</v>
      </c>
      <c r="S649" s="83">
        <v>0</v>
      </c>
      <c r="T649" s="83">
        <f t="shared" si="165"/>
        <v>0</v>
      </c>
      <c r="U649" s="83">
        <f t="shared" si="166"/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468">
        <v>0</v>
      </c>
      <c r="M650" s="224">
        <v>0</v>
      </c>
      <c r="N650" s="224">
        <v>0</v>
      </c>
      <c r="O650" s="224">
        <f t="shared" si="163"/>
        <v>0</v>
      </c>
      <c r="P650" s="224">
        <f t="shared" si="164"/>
        <v>0</v>
      </c>
      <c r="Q650" s="224">
        <v>0</v>
      </c>
      <c r="R650" s="224">
        <v>0</v>
      </c>
      <c r="S650" s="224">
        <v>0</v>
      </c>
      <c r="T650" s="224">
        <f t="shared" si="165"/>
        <v>0</v>
      </c>
      <c r="U650" s="224">
        <f t="shared" si="166"/>
        <v>0</v>
      </c>
    </row>
    <row r="651" spans="1:21" ht="19.5" x14ac:dyDescent="0.3">
      <c r="A651" s="138"/>
      <c r="B651" s="139"/>
      <c r="C651" s="209" t="s">
        <v>18</v>
      </c>
      <c r="D651" s="503" t="s">
        <v>38</v>
      </c>
      <c r="E651" s="141"/>
      <c r="F651" s="141"/>
      <c r="G651" s="142"/>
      <c r="H651" s="178"/>
      <c r="I651" s="135"/>
      <c r="J651" s="135"/>
      <c r="K651" s="136"/>
      <c r="L651" s="4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502">
        <f ca="1">IFERROR(__xludf.DUMMYFUNCTION("IMPORTRANGE(""https://docs.google.com/spreadsheets/d/1eHaY18a8A9IcSdp1K8H6x8fbOy06t2VsZHhMHf-1x7Y/edit?usp=sharing"",""แผน!IF23"")"),0)</f>
        <v>0</v>
      </c>
      <c r="J652" s="184">
        <f ca="1">IFERROR(__xludf.DUMMYFUNCTION("IMPORTRANGE(""https://docs.google.com/spreadsheets/d/1tdoBKaGub7dwA3U6UFTqxio9LNnvDCQjHKmttSEBsFQ/edit?usp=sharing"",""จัดที่ดิน!AU23"")"),0)</f>
        <v>0</v>
      </c>
      <c r="K652" s="224">
        <f ca="1">IF(I652&gt;0,J652*100/I652,0)</f>
        <v>0</v>
      </c>
      <c r="L652" s="465"/>
      <c r="M652" s="45"/>
      <c r="N652" s="416"/>
      <c r="O652" s="45"/>
      <c r="P652" s="45"/>
      <c r="Q652" s="45"/>
      <c r="R652" s="45"/>
      <c r="S652" s="416"/>
      <c r="T652" s="45"/>
      <c r="U652" s="45"/>
    </row>
    <row r="653" spans="1:21" ht="18.75" hidden="1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502">
        <f ca="1">IFERROR(__xludf.DUMMYFUNCTION("IMPORTRANGE(""https://docs.google.com/spreadsheets/d/1eHaY18a8A9IcSdp1K8H6x8fbOy06t2VsZHhMHf-1x7Y/edit?usp=sharing"",""แผน!IG23"")"),0)</f>
        <v>0</v>
      </c>
      <c r="J653" s="184">
        <f ca="1">IFERROR(__xludf.DUMMYFUNCTION("IMPORTRANGE(""https://docs.google.com/spreadsheets/d/1tdoBKaGub7dwA3U6UFTqxio9LNnvDCQjHKmttSEBsFQ/edit?usp=sharing"",""จัดที่ดิน!AW23"")"),0)</f>
        <v>0</v>
      </c>
      <c r="K653" s="224">
        <f ca="1">IF(I653&gt;0,J653*100/I653,0)</f>
        <v>0</v>
      </c>
      <c r="L653" s="465"/>
      <c r="M653" s="45"/>
      <c r="N653" s="416"/>
      <c r="O653" s="45"/>
      <c r="P653" s="45"/>
      <c r="Q653" s="45"/>
      <c r="R653" s="45"/>
      <c r="S653" s="416"/>
      <c r="T653" s="45"/>
      <c r="U653" s="45"/>
    </row>
    <row r="654" spans="1:21" ht="19.5" hidden="1" x14ac:dyDescent="0.3">
      <c r="A654" s="208"/>
      <c r="B654" s="158"/>
      <c r="C654" s="158"/>
      <c r="D654" s="47" t="s">
        <v>239</v>
      </c>
      <c r="E654" s="40"/>
      <c r="F654" s="40"/>
      <c r="G654" s="42"/>
      <c r="H654" s="411" t="s">
        <v>46</v>
      </c>
      <c r="I654" s="501">
        <f ca="1">IFERROR(__xludf.DUMMYFUNCTION("IMPORTRANGE(""https://docs.google.com/spreadsheets/d/1eHaY18a8A9IcSdp1K8H6x8fbOy06t2VsZHhMHf-1x7Y/edit?usp=sharing"",""แผน!IH23"")"),0)</f>
        <v>0</v>
      </c>
      <c r="J654" s="328">
        <f>J657+J660</f>
        <v>0</v>
      </c>
      <c r="K654" s="470">
        <f ca="1">IF(I654&gt;0,J654*100/I654,0)</f>
        <v>0</v>
      </c>
      <c r="L654" s="465"/>
      <c r="M654" s="45"/>
      <c r="N654" s="416"/>
      <c r="O654" s="45"/>
      <c r="P654" s="45"/>
      <c r="Q654" s="45"/>
      <c r="R654" s="45"/>
      <c r="S654" s="416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466">
        <v>0</v>
      </c>
      <c r="K655" s="45"/>
      <c r="L655" s="465"/>
      <c r="M655" s="45"/>
      <c r="N655" s="416"/>
      <c r="O655" s="45"/>
      <c r="P655" s="45"/>
      <c r="Q655" s="45"/>
      <c r="R655" s="45"/>
      <c r="S655" s="416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466">
        <v>0</v>
      </c>
      <c r="K656" s="45"/>
      <c r="L656" s="465"/>
      <c r="M656" s="45"/>
      <c r="N656" s="416"/>
      <c r="O656" s="45"/>
      <c r="P656" s="45"/>
      <c r="Q656" s="45"/>
      <c r="R656" s="45"/>
      <c r="S656" s="416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02">
        <f ca="1">IFERROR(__xludf.DUMMYFUNCTION("IMPORTRANGE(""https://docs.google.com/spreadsheets/d/1eHaY18a8A9IcSdp1K8H6x8fbOy06t2VsZHhMHf-1x7Y/edit?usp=sharing"",""แผน!II23"")"),0)</f>
        <v>0</v>
      </c>
      <c r="J657" s="466">
        <v>0</v>
      </c>
      <c r="K657" s="45"/>
      <c r="L657" s="465"/>
      <c r="M657" s="45"/>
      <c r="N657" s="416"/>
      <c r="O657" s="45"/>
      <c r="P657" s="45"/>
      <c r="Q657" s="45"/>
      <c r="R657" s="45"/>
      <c r="S657" s="416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466">
        <v>0</v>
      </c>
      <c r="K658" s="45"/>
      <c r="L658" s="465"/>
      <c r="M658" s="45"/>
      <c r="N658" s="416"/>
      <c r="O658" s="45"/>
      <c r="P658" s="45"/>
      <c r="Q658" s="45"/>
      <c r="R658" s="45"/>
      <c r="S658" s="416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466">
        <v>0</v>
      </c>
      <c r="K659" s="45"/>
      <c r="L659" s="465"/>
      <c r="M659" s="45"/>
      <c r="N659" s="416"/>
      <c r="O659" s="45"/>
      <c r="P659" s="45"/>
      <c r="Q659" s="45"/>
      <c r="R659" s="45"/>
      <c r="S659" s="416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02">
        <f ca="1">IFERROR(__xludf.DUMMYFUNCTION("IMPORTRANGE(""https://docs.google.com/spreadsheets/d/1eHaY18a8A9IcSdp1K8H6x8fbOy06t2VsZHhMHf-1x7Y/edit?usp=sharing"",""แผน!IJ23"")"),0)</f>
        <v>0</v>
      </c>
      <c r="J660" s="466">
        <v>0</v>
      </c>
      <c r="K660" s="45"/>
      <c r="L660" s="465"/>
      <c r="M660" s="45"/>
      <c r="N660" s="416"/>
      <c r="O660" s="45"/>
      <c r="P660" s="45"/>
      <c r="Q660" s="45"/>
      <c r="R660" s="45"/>
      <c r="S660" s="416"/>
      <c r="T660" s="45"/>
      <c r="U660" s="45"/>
    </row>
    <row r="661" spans="1:21" ht="19.5" x14ac:dyDescent="0.3">
      <c r="A661" s="208"/>
      <c r="B661" s="158"/>
      <c r="C661" s="158"/>
      <c r="D661" s="332" t="s">
        <v>242</v>
      </c>
      <c r="E661" s="40"/>
      <c r="F661" s="40"/>
      <c r="G661" s="42"/>
      <c r="H661" s="411" t="s">
        <v>46</v>
      </c>
      <c r="I661" s="501">
        <f ca="1">IFERROR(__xludf.DUMMYFUNCTION("IMPORTRANGE(""https://docs.google.com/spreadsheets/d/1eHaY18a8A9IcSdp1K8H6x8fbOy06t2VsZHhMHf-1x7Y/edit?usp=sharing"",""แผน!IK23"")"),522)</f>
        <v>522</v>
      </c>
      <c r="J661" s="328">
        <f>J667+J670</f>
        <v>522</v>
      </c>
      <c r="K661" s="470">
        <f ca="1">IF(I661&gt;0,J661*100/I661,0)</f>
        <v>100</v>
      </c>
      <c r="L661" s="465"/>
      <c r="M661" s="45"/>
      <c r="N661" s="416"/>
      <c r="O661" s="45"/>
      <c r="P661" s="45"/>
      <c r="Q661" s="45"/>
      <c r="R661" s="45"/>
      <c r="S661" s="416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466">
        <v>0</v>
      </c>
      <c r="K662" s="45"/>
      <c r="L662" s="500"/>
      <c r="M662" s="45"/>
      <c r="N662" s="416"/>
      <c r="O662" s="45"/>
      <c r="P662" s="45"/>
      <c r="Q662" s="416"/>
      <c r="R662" s="45"/>
      <c r="S662" s="416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466">
        <v>0</v>
      </c>
      <c r="K663" s="45"/>
      <c r="L663" s="500"/>
      <c r="M663" s="45"/>
      <c r="N663" s="416"/>
      <c r="O663" s="45"/>
      <c r="P663" s="45"/>
      <c r="Q663" s="416"/>
      <c r="R663" s="45"/>
      <c r="S663" s="416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500"/>
      <c r="M664" s="45"/>
      <c r="N664" s="416"/>
      <c r="O664" s="45"/>
      <c r="P664" s="45"/>
      <c r="Q664" s="416"/>
      <c r="R664" s="45"/>
      <c r="S664" s="416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466">
        <v>57</v>
      </c>
      <c r="K665" s="45"/>
      <c r="L665" s="500"/>
      <c r="M665" s="45"/>
      <c r="N665" s="416"/>
      <c r="O665" s="45"/>
      <c r="P665" s="45"/>
      <c r="Q665" s="416"/>
      <c r="R665" s="45"/>
      <c r="S665" s="416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466">
        <v>57</v>
      </c>
      <c r="K666" s="45"/>
      <c r="L666" s="500"/>
      <c r="M666" s="45"/>
      <c r="N666" s="416"/>
      <c r="O666" s="45"/>
      <c r="P666" s="45"/>
      <c r="Q666" s="416"/>
      <c r="R666" s="45"/>
      <c r="S666" s="416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466">
        <v>522</v>
      </c>
      <c r="K667" s="45"/>
      <c r="L667" s="500"/>
      <c r="M667" s="45"/>
      <c r="N667" s="416"/>
      <c r="O667" s="45"/>
      <c r="P667" s="45"/>
      <c r="Q667" s="416"/>
      <c r="R667" s="45"/>
      <c r="S667" s="416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466">
        <v>0</v>
      </c>
      <c r="K668" s="45"/>
      <c r="L668" s="500"/>
      <c r="M668" s="45"/>
      <c r="N668" s="416"/>
      <c r="O668" s="45"/>
      <c r="P668" s="45"/>
      <c r="Q668" s="416"/>
      <c r="R668" s="45"/>
      <c r="S668" s="416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466">
        <v>0</v>
      </c>
      <c r="K669" s="45"/>
      <c r="L669" s="500"/>
      <c r="M669" s="45"/>
      <c r="N669" s="416"/>
      <c r="O669" s="45"/>
      <c r="P669" s="45"/>
      <c r="Q669" s="416"/>
      <c r="R669" s="45"/>
      <c r="S669" s="416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466">
        <v>0</v>
      </c>
      <c r="K670" s="45"/>
      <c r="L670" s="500"/>
      <c r="M670" s="45"/>
      <c r="N670" s="416"/>
      <c r="O670" s="45"/>
      <c r="P670" s="45"/>
      <c r="Q670" s="416"/>
      <c r="R670" s="45"/>
      <c r="S670" s="416"/>
      <c r="T670" s="45"/>
      <c r="U670" s="45"/>
    </row>
    <row r="671" spans="1:21" ht="18.75" hidden="1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IFERROR(__xludf.DUMMYFUNCTION("IMPORTRANGE(""https://docs.google.com/spreadsheets/d/1tdoBKaGub7dwA3U6UFTqxio9LNnvDCQjHKmttSEBsFQ/edit?usp=sharing"",""จัดที่ดิน!AY23"")"),0)</f>
        <v>0</v>
      </c>
      <c r="K671" s="45"/>
      <c r="L671" s="465"/>
      <c r="M671" s="45"/>
      <c r="N671" s="416"/>
      <c r="O671" s="45"/>
      <c r="P671" s="45"/>
      <c r="Q671" s="45"/>
      <c r="R671" s="45"/>
      <c r="S671" s="416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IFERROR(__xludf.DUMMYFUNCTION("IMPORTRANGE(""https://docs.google.com/spreadsheets/d/1tdoBKaGub7dwA3U6UFTqxio9LNnvDCQjHKmttSEBsFQ/edit?usp=sharing"",""จัดที่ดิน!AZ23"")"),0)</f>
        <v>0</v>
      </c>
      <c r="K672" s="45"/>
      <c r="L672" s="500"/>
      <c r="M672" s="45"/>
      <c r="N672" s="416"/>
      <c r="O672" s="45"/>
      <c r="P672" s="45"/>
      <c r="Q672" s="416"/>
      <c r="R672" s="45"/>
      <c r="S672" s="416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02">
        <f ca="1">IFERROR(__xludf.DUMMYFUNCTION("IMPORTRANGE(""https://docs.google.com/spreadsheets/d/1eHaY18a8A9IcSdp1K8H6x8fbOy06t2VsZHhMHf-1x7Y/edit?usp=sharing"",""แผน!IL23"")"),0)</f>
        <v>0</v>
      </c>
      <c r="J673" s="184">
        <f ca="1">IFERROR(__xludf.DUMMYFUNCTION("IMPORTRANGE(""https://docs.google.com/spreadsheets/d/1tdoBKaGub7dwA3U6UFTqxio9LNnvDCQjHKmttSEBsFQ/edit?usp=sharing"",""จัดที่ดิน!BA23"")"),0)</f>
        <v>0</v>
      </c>
      <c r="K673" s="224">
        <f ca="1">IF(I673&gt;0,J673*100/I673,0)</f>
        <v>0</v>
      </c>
      <c r="L673" s="500"/>
      <c r="M673" s="45"/>
      <c r="N673" s="416"/>
      <c r="O673" s="45"/>
      <c r="P673" s="45"/>
      <c r="Q673" s="416"/>
      <c r="R673" s="45"/>
      <c r="S673" s="416"/>
      <c r="T673" s="45"/>
      <c r="U673" s="45"/>
    </row>
    <row r="674" spans="1:21" ht="19.5" x14ac:dyDescent="0.3">
      <c r="A674" s="208"/>
      <c r="B674" s="158"/>
      <c r="C674" s="158"/>
      <c r="D674" s="47" t="s">
        <v>248</v>
      </c>
      <c r="E674" s="40"/>
      <c r="F674" s="40"/>
      <c r="G674" s="42"/>
      <c r="H674" s="411" t="s">
        <v>35</v>
      </c>
      <c r="I674" s="501">
        <f ca="1">IFERROR(__xludf.DUMMYFUNCTION("IMPORTRANGE(""https://docs.google.com/spreadsheets/d/1eHaY18a8A9IcSdp1K8H6x8fbOy06t2VsZHhMHf-1x7Y/edit?usp=sharing"",""แผน!IM23"")"),2)</f>
        <v>2</v>
      </c>
      <c r="J674" s="328">
        <f ca="1">J676+J679</f>
        <v>0</v>
      </c>
      <c r="K674" s="470">
        <f ca="1">IF(I674&gt;0,J674*100/I674,0)</f>
        <v>0</v>
      </c>
      <c r="L674" s="500"/>
      <c r="M674" s="45"/>
      <c r="N674" s="416"/>
      <c r="O674" s="45"/>
      <c r="P674" s="45"/>
      <c r="Q674" s="416"/>
      <c r="R674" s="45"/>
      <c r="S674" s="416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11" t="s">
        <v>46</v>
      </c>
      <c r="I675" s="501">
        <f ca="1">IFERROR(__xludf.DUMMYFUNCTION("IMPORTRANGE(""https://docs.google.com/spreadsheets/d/1eHaY18a8A9IcSdp1K8H6x8fbOy06t2VsZHhMHf-1x7Y/edit?usp=sharing"",""แผน!IN23"")"),18)</f>
        <v>18</v>
      </c>
      <c r="J675" s="328">
        <f ca="1">J678+J681</f>
        <v>0</v>
      </c>
      <c r="K675" s="470">
        <f ca="1">IF(I675&gt;0,J675*100/I675,0)</f>
        <v>0</v>
      </c>
      <c r="L675" s="465"/>
      <c r="M675" s="45"/>
      <c r="N675" s="416"/>
      <c r="O675" s="45"/>
      <c r="P675" s="45"/>
      <c r="Q675" s="45"/>
      <c r="R675" s="45"/>
      <c r="S675" s="416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502">
        <f ca="1">IFERROR(__xludf.DUMMYFUNCTION("IMPORTRANGE(""https://docs.google.com/spreadsheets/d/1eHaY18a8A9IcSdp1K8H6x8fbOy06t2VsZHhMHf-1x7Y/edit?usp=sharing"",""แผน!IO23"")"),2)</f>
        <v>2</v>
      </c>
      <c r="J676" s="184">
        <f ca="1">IFERROR(__xludf.DUMMYFUNCTION("IMPORTRANGE(""https://docs.google.com/spreadsheets/d/1tdoBKaGub7dwA3U6UFTqxio9LNnvDCQjHKmttSEBsFQ/edit?usp=sharing"",""จัดที่ดิน!BF23"")"),0)</f>
        <v>0</v>
      </c>
      <c r="K676" s="224">
        <f ca="1">IF(I676&gt;0,J676*100/I676,0)</f>
        <v>0</v>
      </c>
      <c r="L676" s="465"/>
      <c r="M676" s="45"/>
      <c r="N676" s="416"/>
      <c r="O676" s="45"/>
      <c r="P676" s="45"/>
      <c r="Q676" s="45"/>
      <c r="R676" s="45"/>
      <c r="S676" s="416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IFERROR(__xludf.DUMMYFUNCTION("IMPORTRANGE(""https://docs.google.com/spreadsheets/d/1tdoBKaGub7dwA3U6UFTqxio9LNnvDCQjHKmttSEBsFQ/edit?usp=sharing"",""จัดที่ดิน!BG23"")"),0)</f>
        <v>0</v>
      </c>
      <c r="K677" s="45"/>
      <c r="L677" s="500"/>
      <c r="M677" s="45"/>
      <c r="N677" s="416"/>
      <c r="O677" s="45"/>
      <c r="P677" s="45"/>
      <c r="Q677" s="416"/>
      <c r="R677" s="45"/>
      <c r="S677" s="416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02">
        <f ca="1">IFERROR(__xludf.DUMMYFUNCTION("IMPORTRANGE(""https://docs.google.com/spreadsheets/d/1eHaY18a8A9IcSdp1K8H6x8fbOy06t2VsZHhMHf-1x7Y/edit?usp=sharing"",""แผน!IP23"")"),18)</f>
        <v>18</v>
      </c>
      <c r="J678" s="184">
        <f ca="1">IFERROR(__xludf.DUMMYFUNCTION("IMPORTRANGE(""https://docs.google.com/spreadsheets/d/1tdoBKaGub7dwA3U6UFTqxio9LNnvDCQjHKmttSEBsFQ/edit?usp=sharing"",""จัดที่ดิน!BH23"")"),0)</f>
        <v>0</v>
      </c>
      <c r="K678" s="224">
        <f ca="1">IF(I678&gt;0,J678*100/I678,0)</f>
        <v>0</v>
      </c>
      <c r="L678" s="500"/>
      <c r="M678" s="45"/>
      <c r="N678" s="416"/>
      <c r="O678" s="45"/>
      <c r="P678" s="45"/>
      <c r="Q678" s="416"/>
      <c r="R678" s="45"/>
      <c r="S678" s="416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502">
        <f ca="1">IFERROR(__xludf.DUMMYFUNCTION("IMPORTRANGE(""https://docs.google.com/spreadsheets/d/1eHaY18a8A9IcSdp1K8H6x8fbOy06t2VsZHhMHf-1x7Y/edit?usp=sharing"",""แผน!IQ23"")"),0)</f>
        <v>0</v>
      </c>
      <c r="J679" s="184">
        <f ca="1">IFERROR(__xludf.DUMMYFUNCTION("IMPORTRANGE(""https://docs.google.com/spreadsheets/d/1tdoBKaGub7dwA3U6UFTqxio9LNnvDCQjHKmttSEBsFQ/edit?usp=sharing"",""จัดที่ดิน!BK23"")"),0)</f>
        <v>0</v>
      </c>
      <c r="K679" s="224">
        <f ca="1">IF(I679&gt;0,J679*100/I679,0)</f>
        <v>0</v>
      </c>
      <c r="L679" s="465"/>
      <c r="M679" s="45"/>
      <c r="N679" s="416"/>
      <c r="O679" s="45"/>
      <c r="P679" s="45"/>
      <c r="Q679" s="45"/>
      <c r="R679" s="45"/>
      <c r="S679" s="416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IFERROR(__xludf.DUMMYFUNCTION("IMPORTRANGE(""https://docs.google.com/spreadsheets/d/1tdoBKaGub7dwA3U6UFTqxio9LNnvDCQjHKmttSEBsFQ/edit?usp=sharing"",""จัดที่ดิน!BL23"")"),0)</f>
        <v>0</v>
      </c>
      <c r="K680" s="45"/>
      <c r="L680" s="500"/>
      <c r="M680" s="45"/>
      <c r="N680" s="416"/>
      <c r="O680" s="45"/>
      <c r="P680" s="45"/>
      <c r="Q680" s="416"/>
      <c r="R680" s="45"/>
      <c r="S680" s="416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02">
        <f ca="1">IFERROR(__xludf.DUMMYFUNCTION("IMPORTRANGE(""https://docs.google.com/spreadsheets/d/1eHaY18a8A9IcSdp1K8H6x8fbOy06t2VsZHhMHf-1x7Y/edit?usp=sharing"",""แผน!IR23"")"),0)</f>
        <v>0</v>
      </c>
      <c r="J681" s="184">
        <f ca="1">IFERROR(__xludf.DUMMYFUNCTION("IMPORTRANGE(""https://docs.google.com/spreadsheets/d/1tdoBKaGub7dwA3U6UFTqxio9LNnvDCQjHKmttSEBsFQ/edit?usp=sharing"",""จัดที่ดิน!BM23"")"),0)</f>
        <v>0</v>
      </c>
      <c r="K681" s="224">
        <f ca="1">IF(I681&gt;0,J681*100/I681,0)</f>
        <v>0</v>
      </c>
      <c r="L681" s="500"/>
      <c r="M681" s="45"/>
      <c r="N681" s="416"/>
      <c r="O681" s="45"/>
      <c r="P681" s="45"/>
      <c r="Q681" s="416"/>
      <c r="R681" s="45"/>
      <c r="S681" s="416"/>
      <c r="T681" s="45"/>
      <c r="U681" s="45"/>
    </row>
    <row r="682" spans="1:21" ht="19.5" hidden="1" x14ac:dyDescent="0.3">
      <c r="A682" s="208"/>
      <c r="B682" s="158"/>
      <c r="C682" s="158"/>
      <c r="D682" s="47" t="s">
        <v>251</v>
      </c>
      <c r="E682" s="40"/>
      <c r="F682" s="40"/>
      <c r="G682" s="42"/>
      <c r="H682" s="411" t="s">
        <v>46</v>
      </c>
      <c r="I682" s="501">
        <f ca="1">IFERROR(__xludf.DUMMYFUNCTION("IMPORTRANGE(""https://docs.google.com/spreadsheets/d/1eHaY18a8A9IcSdp1K8H6x8fbOy06t2VsZHhMHf-1x7Y/edit?usp=sharing"",""แผน!IS23"")"),0)</f>
        <v>0</v>
      </c>
      <c r="J682" s="328">
        <f>J685+J688</f>
        <v>0</v>
      </c>
      <c r="K682" s="470">
        <f ca="1">IF(I682&gt;0,J682*100/I682,0)</f>
        <v>0</v>
      </c>
      <c r="L682" s="465"/>
      <c r="M682" s="45"/>
      <c r="N682" s="416"/>
      <c r="O682" s="45"/>
      <c r="P682" s="45"/>
      <c r="Q682" s="45"/>
      <c r="R682" s="45"/>
      <c r="S682" s="416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466">
        <v>0</v>
      </c>
      <c r="K683" s="45"/>
      <c r="L683" s="500"/>
      <c r="M683" s="45"/>
      <c r="N683" s="416"/>
      <c r="O683" s="45"/>
      <c r="P683" s="45"/>
      <c r="Q683" s="416"/>
      <c r="R683" s="45"/>
      <c r="S683" s="416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466">
        <v>0</v>
      </c>
      <c r="K684" s="45"/>
      <c r="L684" s="500"/>
      <c r="M684" s="45"/>
      <c r="N684" s="416"/>
      <c r="O684" s="45"/>
      <c r="P684" s="45"/>
      <c r="Q684" s="416"/>
      <c r="R684" s="45"/>
      <c r="S684" s="416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466">
        <v>0</v>
      </c>
      <c r="K685" s="45"/>
      <c r="L685" s="500"/>
      <c r="M685" s="45"/>
      <c r="N685" s="416"/>
      <c r="O685" s="45"/>
      <c r="P685" s="45"/>
      <c r="Q685" s="416"/>
      <c r="R685" s="45"/>
      <c r="S685" s="416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466">
        <v>0</v>
      </c>
      <c r="K686" s="45"/>
      <c r="L686" s="500"/>
      <c r="M686" s="45"/>
      <c r="N686" s="416"/>
      <c r="O686" s="45"/>
      <c r="P686" s="45"/>
      <c r="Q686" s="416"/>
      <c r="R686" s="45"/>
      <c r="S686" s="416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466">
        <v>0</v>
      </c>
      <c r="K687" s="45"/>
      <c r="L687" s="500"/>
      <c r="M687" s="45"/>
      <c r="N687" s="416"/>
      <c r="O687" s="45"/>
      <c r="P687" s="45"/>
      <c r="Q687" s="416"/>
      <c r="R687" s="45"/>
      <c r="S687" s="416"/>
      <c r="T687" s="45"/>
      <c r="U687" s="45"/>
    </row>
    <row r="688" spans="1:21" ht="19.5" hidden="1" x14ac:dyDescent="0.3">
      <c r="A688" s="249"/>
      <c r="B688" s="419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464">
        <v>0</v>
      </c>
      <c r="K688" s="3"/>
      <c r="L688" s="499"/>
      <c r="M688" s="3"/>
      <c r="N688" s="420"/>
      <c r="O688" s="3"/>
      <c r="P688" s="3"/>
      <c r="Q688" s="420"/>
      <c r="R688" s="3"/>
      <c r="S688" s="420"/>
      <c r="T688" s="3"/>
      <c r="U688" s="3"/>
    </row>
    <row r="689" spans="1:21" ht="19.5" x14ac:dyDescent="0.3">
      <c r="A689" s="394"/>
      <c r="B689" s="395" t="s">
        <v>255</v>
      </c>
      <c r="C689" s="394"/>
      <c r="D689" s="396"/>
      <c r="E689" s="396"/>
      <c r="F689" s="396"/>
      <c r="G689" s="397"/>
      <c r="H689" s="434" t="s">
        <v>35</v>
      </c>
      <c r="I689" s="475">
        <f ca="1">I707</f>
        <v>200</v>
      </c>
      <c r="J689" s="475">
        <f ca="1">J707</f>
        <v>0</v>
      </c>
      <c r="K689" s="474">
        <f ca="1">IF(I689&gt;0,J689*100/I689,0)</f>
        <v>0</v>
      </c>
      <c r="L689" s="473"/>
      <c r="M689" s="400"/>
      <c r="N689" s="400"/>
      <c r="O689" s="400"/>
      <c r="P689" s="400"/>
      <c r="Q689" s="400"/>
      <c r="R689" s="400"/>
      <c r="S689" s="400"/>
      <c r="T689" s="400"/>
      <c r="U689" s="400"/>
    </row>
    <row r="690" spans="1:21" ht="19.5" x14ac:dyDescent="0.3">
      <c r="A690" s="128"/>
      <c r="B690" s="158"/>
      <c r="C690" s="177" t="s">
        <v>18</v>
      </c>
      <c r="D690" s="821" t="s">
        <v>19</v>
      </c>
      <c r="E690" s="793"/>
      <c r="F690" s="793"/>
      <c r="G690" s="794"/>
      <c r="H690" s="221" t="s">
        <v>14</v>
      </c>
      <c r="I690" s="44"/>
      <c r="J690" s="44"/>
      <c r="K690" s="45"/>
      <c r="L690" s="471">
        <f>L691+L692</f>
        <v>0</v>
      </c>
      <c r="M690" s="470">
        <f>M691+M692</f>
        <v>0</v>
      </c>
      <c r="N690" s="470">
        <f>N691+N692</f>
        <v>0</v>
      </c>
      <c r="O690" s="470">
        <f t="shared" ref="O690:O698" si="169">IF(L690&gt;0,N690*100/L690,0)</f>
        <v>0</v>
      </c>
      <c r="P690" s="470">
        <f t="shared" ref="P690:P698" si="170">IF(M690&gt;0,N690*100/M690,0)</f>
        <v>0</v>
      </c>
      <c r="Q690" s="470">
        <f ca="1">Q691+Q692</f>
        <v>324340</v>
      </c>
      <c r="R690" s="470">
        <f ca="1">R691+R692</f>
        <v>324340</v>
      </c>
      <c r="S690" s="470">
        <f ca="1">S691+S692</f>
        <v>140730</v>
      </c>
      <c r="T690" s="470">
        <f t="shared" ref="T690:T698" ca="1" si="171">IF(Q690&gt;0,S690*100/Q690,0)</f>
        <v>43.389652833446384</v>
      </c>
      <c r="U690" s="470">
        <f t="shared" ref="U690:U698" ca="1" si="172">IF(R690&gt;0,S690*100/R690,0)</f>
        <v>43.389652833446384</v>
      </c>
    </row>
    <row r="691" spans="1:21" ht="18.75" hidden="1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469">
        <f t="shared" ref="L691:N692" si="173">L694+L697</f>
        <v>0</v>
      </c>
      <c r="M691" s="83">
        <f t="shared" si="173"/>
        <v>0</v>
      </c>
      <c r="N691" s="83">
        <f t="shared" si="173"/>
        <v>0</v>
      </c>
      <c r="O691" s="83">
        <f t="shared" si="169"/>
        <v>0</v>
      </c>
      <c r="P691" s="83">
        <f t="shared" si="170"/>
        <v>0</v>
      </c>
      <c r="Q691" s="83">
        <f t="shared" ref="Q691:S692" si="174">Q694+Q697</f>
        <v>0</v>
      </c>
      <c r="R691" s="83">
        <f t="shared" si="174"/>
        <v>0</v>
      </c>
      <c r="S691" s="83">
        <f t="shared" si="174"/>
        <v>0</v>
      </c>
      <c r="T691" s="83">
        <f t="shared" si="171"/>
        <v>0</v>
      </c>
      <c r="U691" s="83">
        <f t="shared" si="172"/>
        <v>0</v>
      </c>
    </row>
    <row r="692" spans="1:21" ht="18.75" hidden="1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468">
        <f t="shared" si="173"/>
        <v>0</v>
      </c>
      <c r="M692" s="224">
        <f t="shared" si="173"/>
        <v>0</v>
      </c>
      <c r="N692" s="224">
        <f t="shared" si="173"/>
        <v>0</v>
      </c>
      <c r="O692" s="224">
        <f t="shared" si="169"/>
        <v>0</v>
      </c>
      <c r="P692" s="224">
        <f t="shared" si="170"/>
        <v>0</v>
      </c>
      <c r="Q692" s="224">
        <f t="shared" ca="1" si="174"/>
        <v>324340</v>
      </c>
      <c r="R692" s="224">
        <f t="shared" ca="1" si="174"/>
        <v>324340</v>
      </c>
      <c r="S692" s="224">
        <f t="shared" ca="1" si="174"/>
        <v>140730</v>
      </c>
      <c r="T692" s="224">
        <f t="shared" ca="1" si="171"/>
        <v>43.389652833446384</v>
      </c>
      <c r="U692" s="224">
        <f t="shared" ca="1" si="172"/>
        <v>43.389652833446384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468">
        <f>L694+L695</f>
        <v>0</v>
      </c>
      <c r="M693" s="224">
        <f>M694+M695</f>
        <v>0</v>
      </c>
      <c r="N693" s="224">
        <f>N694+N695</f>
        <v>0</v>
      </c>
      <c r="O693" s="224">
        <f t="shared" si="169"/>
        <v>0</v>
      </c>
      <c r="P693" s="224">
        <f t="shared" si="170"/>
        <v>0</v>
      </c>
      <c r="Q693" s="224">
        <f ca="1">Q694+Q695</f>
        <v>324340</v>
      </c>
      <c r="R693" s="224">
        <f ca="1">R694+R695</f>
        <v>324340</v>
      </c>
      <c r="S693" s="224">
        <f ca="1">S694+S695</f>
        <v>140730</v>
      </c>
      <c r="T693" s="224">
        <f t="shared" ca="1" si="171"/>
        <v>43.389652833446384</v>
      </c>
      <c r="U693" s="224">
        <f t="shared" ca="1" si="172"/>
        <v>43.389652833446384</v>
      </c>
    </row>
    <row r="694" spans="1:21" ht="18.75" hidden="1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469">
        <v>0</v>
      </c>
      <c r="M694" s="83">
        <v>0</v>
      </c>
      <c r="N694" s="83">
        <v>0</v>
      </c>
      <c r="O694" s="83">
        <f t="shared" si="169"/>
        <v>0</v>
      </c>
      <c r="P694" s="83">
        <f t="shared" si="170"/>
        <v>0</v>
      </c>
      <c r="Q694" s="83">
        <v>0</v>
      </c>
      <c r="R694" s="83">
        <v>0</v>
      </c>
      <c r="S694" s="83">
        <v>0</v>
      </c>
      <c r="T694" s="83">
        <f t="shared" si="171"/>
        <v>0</v>
      </c>
      <c r="U694" s="83">
        <f t="shared" si="172"/>
        <v>0</v>
      </c>
    </row>
    <row r="695" spans="1:21" ht="18.75" hidden="1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468">
        <v>0</v>
      </c>
      <c r="M695" s="224">
        <v>0</v>
      </c>
      <c r="N695" s="224">
        <v>0</v>
      </c>
      <c r="O695" s="224">
        <f t="shared" si="169"/>
        <v>0</v>
      </c>
      <c r="P695" s="224">
        <f t="shared" si="170"/>
        <v>0</v>
      </c>
      <c r="Q695" s="224">
        <f ca="1">IFERROR(__xludf.DUMMYFUNCTION("IMPORTRANGE(""https://docs.google.com/spreadsheets/d/1ItG2mGa2ceCfYo0BwxsXqNm01IGEUdYcSSLTEv9YCik/edit?usp=sharing"",""เบิกจ่ายกองทุน!L23"")"),324340)</f>
        <v>324340</v>
      </c>
      <c r="R695" s="224">
        <f ca="1">IFERROR(__xludf.DUMMYFUNCTION("IMPORTRANGE(""https://docs.google.com/spreadsheets/d/1ItG2mGa2ceCfYo0BwxsXqNm01IGEUdYcSSLTEv9YCik/edit?usp=sharing"",""เบิกจ่ายกองทุน!M23"")"),324340)</f>
        <v>324340</v>
      </c>
      <c r="S695" s="224">
        <f ca="1">IFERROR(__xludf.DUMMYFUNCTION("IMPORTRANGE(""https://docs.google.com/spreadsheets/d/1ItG2mGa2ceCfYo0BwxsXqNm01IGEUdYcSSLTEv9YCik/edit?usp=sharing"",""เบิกจ่ายกองทุน!N23"")"),140730)</f>
        <v>140730</v>
      </c>
      <c r="T695" s="224">
        <f t="shared" ca="1" si="171"/>
        <v>43.389652833446384</v>
      </c>
      <c r="U695" s="224">
        <f t="shared" ca="1" si="172"/>
        <v>43.389652833446384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468">
        <f>L697+L698</f>
        <v>0</v>
      </c>
      <c r="M696" s="224">
        <f>M697+M698</f>
        <v>0</v>
      </c>
      <c r="N696" s="224">
        <f>N697+N698</f>
        <v>0</v>
      </c>
      <c r="O696" s="224">
        <f t="shared" si="169"/>
        <v>0</v>
      </c>
      <c r="P696" s="224">
        <f t="shared" si="170"/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 t="shared" si="171"/>
        <v>0</v>
      </c>
      <c r="U696" s="224">
        <f t="shared" si="172"/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469">
        <v>0</v>
      </c>
      <c r="M697" s="83">
        <v>0</v>
      </c>
      <c r="N697" s="83">
        <v>0</v>
      </c>
      <c r="O697" s="83">
        <f t="shared" si="169"/>
        <v>0</v>
      </c>
      <c r="P697" s="83">
        <f t="shared" si="170"/>
        <v>0</v>
      </c>
      <c r="Q697" s="83">
        <v>0</v>
      </c>
      <c r="R697" s="83">
        <v>0</v>
      </c>
      <c r="S697" s="83">
        <v>0</v>
      </c>
      <c r="T697" s="83">
        <f t="shared" si="171"/>
        <v>0</v>
      </c>
      <c r="U697" s="83">
        <f t="shared" si="172"/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468">
        <v>0</v>
      </c>
      <c r="M698" s="224">
        <v>0</v>
      </c>
      <c r="N698" s="224">
        <v>0</v>
      </c>
      <c r="O698" s="224">
        <f t="shared" si="169"/>
        <v>0</v>
      </c>
      <c r="P698" s="224">
        <f t="shared" si="170"/>
        <v>0</v>
      </c>
      <c r="Q698" s="224">
        <v>0</v>
      </c>
      <c r="R698" s="224">
        <v>0</v>
      </c>
      <c r="S698" s="224">
        <v>0</v>
      </c>
      <c r="T698" s="224">
        <f t="shared" si="171"/>
        <v>0</v>
      </c>
      <c r="U698" s="224">
        <f t="shared" si="172"/>
        <v>0</v>
      </c>
    </row>
    <row r="699" spans="1:21" ht="19.5" x14ac:dyDescent="0.3">
      <c r="A699" s="138"/>
      <c r="B699" s="139"/>
      <c r="C699" s="177" t="s">
        <v>18</v>
      </c>
      <c r="D699" s="498" t="s">
        <v>38</v>
      </c>
      <c r="E699" s="141"/>
      <c r="F699" s="141"/>
      <c r="G699" s="141"/>
      <c r="H699" s="178"/>
      <c r="I699" s="135"/>
      <c r="J699" s="135"/>
      <c r="K699" s="136"/>
      <c r="L699" s="465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IFERROR(__xludf.DUMMYFUNCTION("IMPORTRANGE(""https://docs.google.com/spreadsheets/d/1eHaY18a8A9IcSdp1K8H6x8fbOy06t2VsZHhMHf-1x7Y/edit?usp=sharing"",""แผน!LC23"")"),0)</f>
        <v>0</v>
      </c>
      <c r="J700" s="466">
        <v>0</v>
      </c>
      <c r="K700" s="497">
        <f t="shared" ref="K700:K710" ca="1" si="175">IF(I700&gt;0,J700*100/I700,0)</f>
        <v>0</v>
      </c>
      <c r="L700" s="4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24" t="s">
        <v>258</v>
      </c>
      <c r="F701" s="145"/>
      <c r="G701" s="143"/>
      <c r="H701" s="131" t="s">
        <v>35</v>
      </c>
      <c r="I701" s="328">
        <f ca="1">I703+I705</f>
        <v>204</v>
      </c>
      <c r="J701" s="328">
        <f ca="1">J703+J705</f>
        <v>0</v>
      </c>
      <c r="K701" s="470">
        <f t="shared" ca="1" si="175"/>
        <v>0</v>
      </c>
      <c r="L701" s="4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0</v>
      </c>
      <c r="K702" s="470">
        <f t="shared" si="175"/>
        <v>0</v>
      </c>
      <c r="L702" s="4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IFERROR(__xludf.DUMMYFUNCTION("IMPORTRANGE(""https://docs.google.com/spreadsheets/d/1eHaY18a8A9IcSdp1K8H6x8fbOy06t2VsZHhMHf-1x7Y/edit?usp=sharing"",""แผน!LJ23"")"),200)</f>
        <v>200</v>
      </c>
      <c r="J703" s="184">
        <f ca="1">IFERROR(__xludf.DUMMYFUNCTION("IMPORTRANGE(""https://docs.google.com/spreadsheets/d/1tdoBKaGub7dwA3U6UFTqxio9LNnvDCQjHKmttSEBsFQ/edit?usp=sharing"",""จัดที่ดิน!AP23"")"),0)</f>
        <v>0</v>
      </c>
      <c r="K703" s="224">
        <f t="shared" ca="1" si="175"/>
        <v>0</v>
      </c>
      <c r="L703" s="4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IFERROR(__xludf.DUMMYFUNCTION("IMPORTRANGE(""https://docs.google.com/spreadsheets/d/1tdoBKaGub7dwA3U6UFTqxio9LNnvDCQjHKmttSEBsFQ/edit?usp=sharing"",""จัดที่ดิน!AQ23"")"),0)</f>
        <v>0</v>
      </c>
      <c r="K704" s="224">
        <f t="shared" si="175"/>
        <v>0</v>
      </c>
      <c r="L704" s="4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IFERROR(__xludf.DUMMYFUNCTION("IMPORTRANGE(""https://docs.google.com/spreadsheets/d/1eHaY18a8A9IcSdp1K8H6x8fbOy06t2VsZHhMHf-1x7Y/edit?usp=sharing"",""แผน!LK23"")"),4)</f>
        <v>4</v>
      </c>
      <c r="J705" s="184">
        <f ca="1">IFERROR(__xludf.DUMMYFUNCTION("IMPORTRANGE(""https://docs.google.com/spreadsheets/d/1tdoBKaGub7dwA3U6UFTqxio9LNnvDCQjHKmttSEBsFQ/edit?usp=sharing"",""จัดที่ดิน!AR23"")"),0)</f>
        <v>0</v>
      </c>
      <c r="K705" s="497">
        <f t="shared" ca="1" si="175"/>
        <v>0</v>
      </c>
      <c r="L705" s="4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IFERROR(__xludf.DUMMYFUNCTION("IMPORTRANGE(""https://docs.google.com/spreadsheets/d/1tdoBKaGub7dwA3U6UFTqxio9LNnvDCQjHKmttSEBsFQ/edit?usp=sharing"",""จัดที่ดิน!AS23"")"),0)</f>
        <v>0</v>
      </c>
      <c r="K706" s="224">
        <f t="shared" si="175"/>
        <v>0</v>
      </c>
      <c r="L706" s="4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IFERROR(__xludf.DUMMYFUNCTION("IMPORTRANGE(""https://docs.google.com/spreadsheets/d/1eHaY18a8A9IcSdp1K8H6x8fbOy06t2VsZHhMHf-1x7Y/edit?usp=sharing"",""แผน!LJ23"")"),200)</f>
        <v>200</v>
      </c>
      <c r="J707" s="184">
        <f ca="1">IFERROR(__xludf.DUMMYFUNCTION("IMPORTRANGE(""https://docs.google.com/spreadsheets/d/1tdoBKaGub7dwA3U6UFTqxio9LNnvDCQjHKmttSEBsFQ/edit?usp=sharing"",""จัดที่ดิน!BN23"")"),0)</f>
        <v>0</v>
      </c>
      <c r="K707" s="224">
        <f t="shared" ca="1" si="175"/>
        <v>0</v>
      </c>
      <c r="L707" s="4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25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IFERROR(__xludf.DUMMYFUNCTION("IMPORTRANGE(""https://docs.google.com/spreadsheets/d/1tdoBKaGub7dwA3U6UFTqxio9LNnvDCQjHKmttSEBsFQ/edit?usp=sharing"",""จัดที่ดิน!BO23"")"),0)</f>
        <v>0</v>
      </c>
      <c r="K708" s="224">
        <f t="shared" si="175"/>
        <v>0</v>
      </c>
      <c r="L708" s="4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IFERROR(__xludf.DUMMYFUNCTION("IMPORTRANGE(""https://docs.google.com/spreadsheets/d/1eHaY18a8A9IcSdp1K8H6x8fbOy06t2VsZHhMHf-1x7Y/edit?usp=sharing"",""แผน!LK23"")"),4)</f>
        <v>4</v>
      </c>
      <c r="J709" s="184">
        <f ca="1">IFERROR(__xludf.DUMMYFUNCTION("IMPORTRANGE(""https://docs.google.com/spreadsheets/d/1tdoBKaGub7dwA3U6UFTqxio9LNnvDCQjHKmttSEBsFQ/edit?usp=sharing"",""จัดที่ดิน!BP23"")"),6)</f>
        <v>6</v>
      </c>
      <c r="K709" s="224">
        <f t="shared" ca="1" si="175"/>
        <v>150</v>
      </c>
      <c r="L709" s="465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25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IFERROR(__xludf.DUMMYFUNCTION("IMPORTRANGE(""https://docs.google.com/spreadsheets/d/1tdoBKaGub7dwA3U6UFTqxio9LNnvDCQjHKmttSEBsFQ/edit?usp=sharing"",""จัดที่ดิน!BQ23"")"),0)</f>
        <v>0</v>
      </c>
      <c r="K710" s="224">
        <f t="shared" si="175"/>
        <v>0</v>
      </c>
      <c r="L710" s="465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496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hidden="1" x14ac:dyDescent="0.3">
      <c r="A712" s="394"/>
      <c r="B712" s="426" t="s">
        <v>265</v>
      </c>
      <c r="C712" s="394"/>
      <c r="D712" s="396"/>
      <c r="E712" s="396"/>
      <c r="F712" s="396"/>
      <c r="G712" s="397"/>
      <c r="H712" s="427" t="s">
        <v>46</v>
      </c>
      <c r="I712" s="399"/>
      <c r="J712" s="399">
        <f>J724</f>
        <v>0</v>
      </c>
      <c r="K712" s="495">
        <f>IF(I712&gt;0,J712*100/I712,0)</f>
        <v>0</v>
      </c>
      <c r="L712" s="473"/>
      <c r="M712" s="400"/>
      <c r="N712" s="400"/>
      <c r="O712" s="400"/>
      <c r="P712" s="400"/>
      <c r="Q712" s="400"/>
      <c r="R712" s="400"/>
      <c r="S712" s="400"/>
      <c r="T712" s="400"/>
      <c r="U712" s="400"/>
    </row>
    <row r="713" spans="1:21" ht="19.5" hidden="1" x14ac:dyDescent="0.3">
      <c r="A713" s="394"/>
      <c r="B713" s="426" t="s">
        <v>266</v>
      </c>
      <c r="C713" s="394"/>
      <c r="D713" s="396"/>
      <c r="E713" s="396"/>
      <c r="F713" s="396"/>
      <c r="G713" s="397"/>
      <c r="H713" s="398"/>
      <c r="I713" s="399"/>
      <c r="J713" s="399"/>
      <c r="K713" s="400"/>
      <c r="L713" s="47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128"/>
      <c r="B714" s="158"/>
      <c r="C714" s="314" t="s">
        <v>18</v>
      </c>
      <c r="D714" s="820" t="s">
        <v>19</v>
      </c>
      <c r="E714" s="793"/>
      <c r="F714" s="793"/>
      <c r="G714" s="794"/>
      <c r="H714" s="372" t="s">
        <v>14</v>
      </c>
      <c r="I714" s="44"/>
      <c r="J714" s="44"/>
      <c r="K714" s="45"/>
      <c r="L714" s="471">
        <f>L715+L716</f>
        <v>0</v>
      </c>
      <c r="M714" s="470">
        <f>M715+M716</f>
        <v>0</v>
      </c>
      <c r="N714" s="470">
        <f>N715+N716</f>
        <v>0</v>
      </c>
      <c r="O714" s="470">
        <f t="shared" ref="O714:O722" si="176">IF(L714&gt;0,N714*100/L714,0)</f>
        <v>0</v>
      </c>
      <c r="P714" s="470">
        <f t="shared" ref="P714:P722" si="177">IF(M714&gt;0,N714*100/M714,0)</f>
        <v>0</v>
      </c>
      <c r="Q714" s="470">
        <f>Q715+Q716</f>
        <v>0</v>
      </c>
      <c r="R714" s="470">
        <f>R715+R716</f>
        <v>0</v>
      </c>
      <c r="S714" s="470">
        <f>S715+S716</f>
        <v>0</v>
      </c>
      <c r="T714" s="470">
        <f t="shared" ref="T714:T722" si="178">IF(Q714&gt;0,S714*100/Q714,0)</f>
        <v>0</v>
      </c>
      <c r="U714" s="470">
        <f t="shared" ref="U714:U722" si="179"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469">
        <f t="shared" ref="L715:N716" si="180">L718+L721</f>
        <v>0</v>
      </c>
      <c r="M715" s="83">
        <f t="shared" si="180"/>
        <v>0</v>
      </c>
      <c r="N715" s="83">
        <f t="shared" si="180"/>
        <v>0</v>
      </c>
      <c r="O715" s="83">
        <f t="shared" si="176"/>
        <v>0</v>
      </c>
      <c r="P715" s="83">
        <f t="shared" si="177"/>
        <v>0</v>
      </c>
      <c r="Q715" s="83">
        <f t="shared" ref="Q715:S716" si="181">Q718+Q721</f>
        <v>0</v>
      </c>
      <c r="R715" s="83">
        <f t="shared" si="181"/>
        <v>0</v>
      </c>
      <c r="S715" s="83">
        <f t="shared" si="181"/>
        <v>0</v>
      </c>
      <c r="T715" s="83">
        <f t="shared" si="178"/>
        <v>0</v>
      </c>
      <c r="U715" s="83">
        <f t="shared" si="179"/>
        <v>0</v>
      </c>
    </row>
    <row r="716" spans="1:21" ht="18.75" hidden="1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468">
        <f t="shared" si="180"/>
        <v>0</v>
      </c>
      <c r="M716" s="224">
        <f t="shared" si="180"/>
        <v>0</v>
      </c>
      <c r="N716" s="224">
        <f t="shared" si="180"/>
        <v>0</v>
      </c>
      <c r="O716" s="224">
        <f t="shared" si="176"/>
        <v>0</v>
      </c>
      <c r="P716" s="224">
        <f t="shared" si="177"/>
        <v>0</v>
      </c>
      <c r="Q716" s="224">
        <f t="shared" si="181"/>
        <v>0</v>
      </c>
      <c r="R716" s="224">
        <f t="shared" si="181"/>
        <v>0</v>
      </c>
      <c r="S716" s="224">
        <f t="shared" si="181"/>
        <v>0</v>
      </c>
      <c r="T716" s="224">
        <f t="shared" si="178"/>
        <v>0</v>
      </c>
      <c r="U716" s="224">
        <f t="shared" si="179"/>
        <v>0</v>
      </c>
    </row>
    <row r="717" spans="1:21" ht="19.5" hidden="1" x14ac:dyDescent="0.3">
      <c r="A717" s="128"/>
      <c r="B717" s="158"/>
      <c r="C717" s="158"/>
      <c r="D717" s="494" t="s">
        <v>22</v>
      </c>
      <c r="E717" s="40"/>
      <c r="F717" s="40"/>
      <c r="G717" s="42"/>
      <c r="H717" s="372" t="s">
        <v>14</v>
      </c>
      <c r="I717" s="135"/>
      <c r="J717" s="135"/>
      <c r="K717" s="136"/>
      <c r="L717" s="468">
        <f>L718+L719</f>
        <v>0</v>
      </c>
      <c r="M717" s="224">
        <f>M718+M719</f>
        <v>0</v>
      </c>
      <c r="N717" s="224">
        <f>N718+N719</f>
        <v>0</v>
      </c>
      <c r="O717" s="224">
        <f t="shared" si="176"/>
        <v>0</v>
      </c>
      <c r="P717" s="224">
        <f t="shared" si="177"/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 t="shared" si="178"/>
        <v>0</v>
      </c>
      <c r="U717" s="224">
        <f t="shared" si="179"/>
        <v>0</v>
      </c>
    </row>
    <row r="718" spans="1:21" ht="18.75" hidden="1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469">
        <v>0</v>
      </c>
      <c r="M718" s="83">
        <v>0</v>
      </c>
      <c r="N718" s="83">
        <v>0</v>
      </c>
      <c r="O718" s="83">
        <f t="shared" si="176"/>
        <v>0</v>
      </c>
      <c r="P718" s="83">
        <f t="shared" si="177"/>
        <v>0</v>
      </c>
      <c r="Q718" s="83">
        <v>0</v>
      </c>
      <c r="R718" s="83">
        <v>0</v>
      </c>
      <c r="S718" s="83">
        <v>0</v>
      </c>
      <c r="T718" s="83">
        <f t="shared" si="178"/>
        <v>0</v>
      </c>
      <c r="U718" s="83">
        <f t="shared" si="179"/>
        <v>0</v>
      </c>
    </row>
    <row r="719" spans="1:21" ht="18.75" hidden="1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468">
        <v>0</v>
      </c>
      <c r="M719" s="224">
        <v>0</v>
      </c>
      <c r="N719" s="224">
        <v>0</v>
      </c>
      <c r="O719" s="224">
        <f t="shared" si="176"/>
        <v>0</v>
      </c>
      <c r="P719" s="224">
        <f t="shared" si="177"/>
        <v>0</v>
      </c>
      <c r="Q719" s="224">
        <v>0</v>
      </c>
      <c r="R719" s="224">
        <v>0</v>
      </c>
      <c r="S719" s="224">
        <v>0</v>
      </c>
      <c r="T719" s="224">
        <f t="shared" si="178"/>
        <v>0</v>
      </c>
      <c r="U719" s="224">
        <f t="shared" si="179"/>
        <v>0</v>
      </c>
    </row>
    <row r="720" spans="1:21" ht="19.5" hidden="1" x14ac:dyDescent="0.3">
      <c r="A720" s="128"/>
      <c r="B720" s="158"/>
      <c r="C720" s="158"/>
      <c r="D720" s="494" t="s">
        <v>23</v>
      </c>
      <c r="E720" s="40"/>
      <c r="F720" s="40"/>
      <c r="G720" s="42"/>
      <c r="H720" s="374" t="s">
        <v>14</v>
      </c>
      <c r="I720" s="135"/>
      <c r="J720" s="135"/>
      <c r="K720" s="136"/>
      <c r="L720" s="468">
        <f>L721+L722</f>
        <v>0</v>
      </c>
      <c r="M720" s="224">
        <f>M721+M722</f>
        <v>0</v>
      </c>
      <c r="N720" s="224">
        <f>N721+N722</f>
        <v>0</v>
      </c>
      <c r="O720" s="224">
        <f t="shared" si="176"/>
        <v>0</v>
      </c>
      <c r="P720" s="224">
        <f t="shared" si="177"/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 t="shared" si="178"/>
        <v>0</v>
      </c>
      <c r="U720" s="224">
        <f t="shared" si="179"/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469">
        <v>0</v>
      </c>
      <c r="M721" s="83">
        <v>0</v>
      </c>
      <c r="N721" s="83">
        <v>0</v>
      </c>
      <c r="O721" s="83">
        <f t="shared" si="176"/>
        <v>0</v>
      </c>
      <c r="P721" s="83">
        <f t="shared" si="177"/>
        <v>0</v>
      </c>
      <c r="Q721" s="83">
        <v>0</v>
      </c>
      <c r="R721" s="83">
        <v>0</v>
      </c>
      <c r="S721" s="83">
        <v>0</v>
      </c>
      <c r="T721" s="83">
        <f t="shared" si="178"/>
        <v>0</v>
      </c>
      <c r="U721" s="83">
        <f t="shared" si="179"/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375" t="s">
        <v>14</v>
      </c>
      <c r="I722" s="135"/>
      <c r="J722" s="135"/>
      <c r="K722" s="136"/>
      <c r="L722" s="468">
        <v>0</v>
      </c>
      <c r="M722" s="224">
        <v>0</v>
      </c>
      <c r="N722" s="224">
        <v>0</v>
      </c>
      <c r="O722" s="224">
        <f t="shared" si="176"/>
        <v>0</v>
      </c>
      <c r="P722" s="224">
        <f t="shared" si="177"/>
        <v>0</v>
      </c>
      <c r="Q722" s="224">
        <v>0</v>
      </c>
      <c r="R722" s="224">
        <v>0</v>
      </c>
      <c r="S722" s="224">
        <v>0</v>
      </c>
      <c r="T722" s="224">
        <f t="shared" si="178"/>
        <v>0</v>
      </c>
      <c r="U722" s="224">
        <f t="shared" si="179"/>
        <v>0</v>
      </c>
    </row>
    <row r="723" spans="1:21" ht="19.5" hidden="1" x14ac:dyDescent="0.3">
      <c r="A723" s="138"/>
      <c r="B723" s="139"/>
      <c r="C723" s="314" t="s">
        <v>18</v>
      </c>
      <c r="D723" s="493" t="s">
        <v>38</v>
      </c>
      <c r="E723" s="141"/>
      <c r="F723" s="141"/>
      <c r="G723" s="142"/>
      <c r="H723" s="178"/>
      <c r="I723" s="135"/>
      <c r="J723" s="135"/>
      <c r="K723" s="136"/>
      <c r="L723" s="4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30">
        <v>0</v>
      </c>
      <c r="J724" s="44"/>
      <c r="K724" s="45"/>
      <c r="L724" s="465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29"/>
      <c r="B725" s="2"/>
      <c r="C725" s="2"/>
      <c r="D725" s="1"/>
      <c r="E725" s="431" t="s">
        <v>268</v>
      </c>
      <c r="F725" s="1"/>
      <c r="G725" s="52"/>
      <c r="H725" s="432" t="s">
        <v>46</v>
      </c>
      <c r="I725" s="433">
        <v>0</v>
      </c>
      <c r="J725" s="54"/>
      <c r="K725" s="3"/>
      <c r="L725" s="46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94"/>
      <c r="B726" s="395" t="s">
        <v>269</v>
      </c>
      <c r="C726" s="394"/>
      <c r="D726" s="396"/>
      <c r="E726" s="396"/>
      <c r="F726" s="396"/>
      <c r="G726" s="397"/>
      <c r="H726" s="434" t="s">
        <v>35</v>
      </c>
      <c r="I726" s="475">
        <f ca="1">IFERROR(__xludf.DUMMYFUNCTION("IMPORTRANGE(""https://docs.google.com/spreadsheets/d/1eHaY18a8A9IcSdp1K8H6x8fbOy06t2VsZHhMHf-1x7Y/edit?usp=sharing"",""แผน!GA23"")"),51)</f>
        <v>51</v>
      </c>
      <c r="J726" s="475">
        <f>J742+J746+J749</f>
        <v>11</v>
      </c>
      <c r="K726" s="474">
        <f ca="1">IF(I726&gt;0,J726*100/I726,0)</f>
        <v>21.568627450980394</v>
      </c>
      <c r="L726" s="473"/>
      <c r="M726" s="400"/>
      <c r="N726" s="400"/>
      <c r="O726" s="400"/>
      <c r="P726" s="400"/>
      <c r="Q726" s="400"/>
      <c r="R726" s="400"/>
      <c r="S726" s="400"/>
      <c r="T726" s="400"/>
      <c r="U726" s="400"/>
    </row>
    <row r="727" spans="1:21" ht="19.5" x14ac:dyDescent="0.3">
      <c r="A727" s="436"/>
      <c r="B727" s="394"/>
      <c r="C727" s="394"/>
      <c r="D727" s="396"/>
      <c r="E727" s="396"/>
      <c r="F727" s="396"/>
      <c r="G727" s="397"/>
      <c r="H727" s="434" t="s">
        <v>46</v>
      </c>
      <c r="I727" s="475">
        <f ca="1">IFERROR(__xludf.DUMMYFUNCTION("IMPORTRANGE(""https://docs.google.com/spreadsheets/d/1eHaY18a8A9IcSdp1K8H6x8fbOy06t2VsZHhMHf-1x7Y/edit?usp=sharing"",""แผน!FZ23"")"),500)</f>
        <v>500</v>
      </c>
      <c r="J727" s="475">
        <f>J752+J755</f>
        <v>0</v>
      </c>
      <c r="K727" s="474">
        <f ca="1">IF(I727&gt;0,J727*100/I727,0)</f>
        <v>0</v>
      </c>
      <c r="L727" s="47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128"/>
      <c r="B728" s="158"/>
      <c r="C728" s="177" t="s">
        <v>18</v>
      </c>
      <c r="D728" s="821" t="s">
        <v>19</v>
      </c>
      <c r="E728" s="793"/>
      <c r="F728" s="793"/>
      <c r="G728" s="794"/>
      <c r="H728" s="221" t="s">
        <v>14</v>
      </c>
      <c r="I728" s="44"/>
      <c r="J728" s="44"/>
      <c r="K728" s="45"/>
      <c r="L728" s="471">
        <f>L729+L730</f>
        <v>0</v>
      </c>
      <c r="M728" s="470">
        <f>M729+M730</f>
        <v>0</v>
      </c>
      <c r="N728" s="470">
        <f>N729+N730</f>
        <v>0</v>
      </c>
      <c r="O728" s="470">
        <f t="shared" ref="O728:O736" si="182">IF(L728&gt;0,N728*100/L728,0)</f>
        <v>0</v>
      </c>
      <c r="P728" s="470">
        <f t="shared" ref="P728:P736" si="183">IF(M728&gt;0,N728*100/M728,0)</f>
        <v>0</v>
      </c>
      <c r="Q728" s="470">
        <f ca="1">Q729+Q730</f>
        <v>379090</v>
      </c>
      <c r="R728" s="470">
        <f ca="1">R729+R730</f>
        <v>379090</v>
      </c>
      <c r="S728" s="470">
        <f ca="1">S729+S730</f>
        <v>51020</v>
      </c>
      <c r="T728" s="470">
        <f t="shared" ref="T728:T736" ca="1" si="184">IF(Q728&gt;0,S728*100/Q728,0)</f>
        <v>13.458545464137803</v>
      </c>
      <c r="U728" s="470">
        <f t="shared" ref="U728:U736" ca="1" si="185">IF(R728&gt;0,S728*100/R728,0)</f>
        <v>13.458545464137803</v>
      </c>
    </row>
    <row r="729" spans="1:21" ht="18.75" hidden="1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469">
        <f t="shared" ref="L729:N730" si="186">L732+L735</f>
        <v>0</v>
      </c>
      <c r="M729" s="83">
        <f t="shared" si="186"/>
        <v>0</v>
      </c>
      <c r="N729" s="83">
        <f t="shared" si="186"/>
        <v>0</v>
      </c>
      <c r="O729" s="83">
        <f t="shared" si="182"/>
        <v>0</v>
      </c>
      <c r="P729" s="83">
        <f t="shared" si="183"/>
        <v>0</v>
      </c>
      <c r="Q729" s="83">
        <f t="shared" ref="Q729:S730" si="187">Q732+Q735</f>
        <v>0</v>
      </c>
      <c r="R729" s="83">
        <f t="shared" si="187"/>
        <v>0</v>
      </c>
      <c r="S729" s="83">
        <f t="shared" si="187"/>
        <v>0</v>
      </c>
      <c r="T729" s="83">
        <f t="shared" si="184"/>
        <v>0</v>
      </c>
      <c r="U729" s="83">
        <f t="shared" si="185"/>
        <v>0</v>
      </c>
    </row>
    <row r="730" spans="1:21" ht="18.75" hidden="1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468">
        <f t="shared" si="186"/>
        <v>0</v>
      </c>
      <c r="M730" s="224">
        <f t="shared" si="186"/>
        <v>0</v>
      </c>
      <c r="N730" s="224">
        <f t="shared" si="186"/>
        <v>0</v>
      </c>
      <c r="O730" s="224">
        <f t="shared" si="182"/>
        <v>0</v>
      </c>
      <c r="P730" s="224">
        <f t="shared" si="183"/>
        <v>0</v>
      </c>
      <c r="Q730" s="224">
        <f t="shared" ca="1" si="187"/>
        <v>379090</v>
      </c>
      <c r="R730" s="224">
        <f t="shared" ca="1" si="187"/>
        <v>379090</v>
      </c>
      <c r="S730" s="224">
        <f t="shared" ca="1" si="187"/>
        <v>51020</v>
      </c>
      <c r="T730" s="224">
        <f t="shared" ca="1" si="184"/>
        <v>13.458545464137803</v>
      </c>
      <c r="U730" s="224">
        <f t="shared" ca="1" si="185"/>
        <v>13.458545464137803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468">
        <f>L732+L733</f>
        <v>0</v>
      </c>
      <c r="M731" s="224">
        <f>M732+M733</f>
        <v>0</v>
      </c>
      <c r="N731" s="224">
        <f>N732+N733</f>
        <v>0</v>
      </c>
      <c r="O731" s="224">
        <f t="shared" si="182"/>
        <v>0</v>
      </c>
      <c r="P731" s="224">
        <f t="shared" si="183"/>
        <v>0</v>
      </c>
      <c r="Q731" s="224">
        <f ca="1">Q732+Q733</f>
        <v>379090</v>
      </c>
      <c r="R731" s="224">
        <f ca="1">R732+R733</f>
        <v>379090</v>
      </c>
      <c r="S731" s="224">
        <f ca="1">S732+S733</f>
        <v>51020</v>
      </c>
      <c r="T731" s="224">
        <f t="shared" ca="1" si="184"/>
        <v>13.458545464137803</v>
      </c>
      <c r="U731" s="224">
        <f t="shared" ca="1" si="185"/>
        <v>13.458545464137803</v>
      </c>
    </row>
    <row r="732" spans="1:21" ht="18.75" hidden="1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469">
        <v>0</v>
      </c>
      <c r="M732" s="83">
        <v>0</v>
      </c>
      <c r="N732" s="83">
        <v>0</v>
      </c>
      <c r="O732" s="83">
        <f t="shared" si="182"/>
        <v>0</v>
      </c>
      <c r="P732" s="83">
        <f t="shared" si="183"/>
        <v>0</v>
      </c>
      <c r="Q732" s="83">
        <v>0</v>
      </c>
      <c r="R732" s="83">
        <v>0</v>
      </c>
      <c r="S732" s="83">
        <v>0</v>
      </c>
      <c r="T732" s="83">
        <f t="shared" si="184"/>
        <v>0</v>
      </c>
      <c r="U732" s="83">
        <f t="shared" si="185"/>
        <v>0</v>
      </c>
    </row>
    <row r="733" spans="1:21" ht="18.75" hidden="1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468">
        <v>0</v>
      </c>
      <c r="M733" s="224">
        <v>0</v>
      </c>
      <c r="N733" s="224">
        <v>0</v>
      </c>
      <c r="O733" s="224">
        <f t="shared" si="182"/>
        <v>0</v>
      </c>
      <c r="P733" s="224">
        <f t="shared" si="183"/>
        <v>0</v>
      </c>
      <c r="Q733" s="224">
        <f ca="1">IFERROR(__xludf.DUMMYFUNCTION("IMPORTRANGE(""https://docs.google.com/spreadsheets/d/1ItG2mGa2ceCfYo0BwxsXqNm01IGEUdYcSSLTEv9YCik/edit?usp=sharing"",""เบิกจ่ายกองทุน!O23"")"),379090)</f>
        <v>379090</v>
      </c>
      <c r="R733" s="224">
        <f ca="1">IFERROR(__xludf.DUMMYFUNCTION("IMPORTRANGE(""https://docs.google.com/spreadsheets/d/1ItG2mGa2ceCfYo0BwxsXqNm01IGEUdYcSSLTEv9YCik/edit?usp=sharing"",""เบิกจ่ายกองทุน!P23"")"),379090)</f>
        <v>379090</v>
      </c>
      <c r="S733" s="224">
        <f ca="1">IFERROR(__xludf.DUMMYFUNCTION("IMPORTRANGE(""https://docs.google.com/spreadsheets/d/1ItG2mGa2ceCfYo0BwxsXqNm01IGEUdYcSSLTEv9YCik/edit?usp=sharing"",""เบิกจ่ายกองทุน!Q23"")"),51020)</f>
        <v>51020</v>
      </c>
      <c r="T733" s="224">
        <f t="shared" ca="1" si="184"/>
        <v>13.458545464137803</v>
      </c>
      <c r="U733" s="224">
        <f t="shared" ca="1" si="185"/>
        <v>13.458545464137803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468">
        <f>L735+L736</f>
        <v>0</v>
      </c>
      <c r="M734" s="224">
        <f>M735+M736</f>
        <v>0</v>
      </c>
      <c r="N734" s="224">
        <f>N735+N736</f>
        <v>0</v>
      </c>
      <c r="O734" s="224">
        <f t="shared" si="182"/>
        <v>0</v>
      </c>
      <c r="P734" s="224">
        <f t="shared" si="183"/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 t="shared" si="184"/>
        <v>0</v>
      </c>
      <c r="U734" s="224">
        <f t="shared" si="185"/>
        <v>0</v>
      </c>
    </row>
    <row r="735" spans="1:21" ht="18.75" hidden="1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469">
        <v>0</v>
      </c>
      <c r="M735" s="83">
        <v>0</v>
      </c>
      <c r="N735" s="83">
        <v>0</v>
      </c>
      <c r="O735" s="83">
        <f t="shared" si="182"/>
        <v>0</v>
      </c>
      <c r="P735" s="83">
        <f t="shared" si="183"/>
        <v>0</v>
      </c>
      <c r="Q735" s="83">
        <v>0</v>
      </c>
      <c r="R735" s="83">
        <v>0</v>
      </c>
      <c r="S735" s="83">
        <v>0</v>
      </c>
      <c r="T735" s="83">
        <f t="shared" si="184"/>
        <v>0</v>
      </c>
      <c r="U735" s="83">
        <f t="shared" si="185"/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468">
        <v>0</v>
      </c>
      <c r="M736" s="224">
        <v>0</v>
      </c>
      <c r="N736" s="224">
        <v>0</v>
      </c>
      <c r="O736" s="224">
        <f t="shared" si="182"/>
        <v>0</v>
      </c>
      <c r="P736" s="224">
        <f t="shared" si="183"/>
        <v>0</v>
      </c>
      <c r="Q736" s="224">
        <v>0</v>
      </c>
      <c r="R736" s="224">
        <v>0</v>
      </c>
      <c r="S736" s="224">
        <v>0</v>
      </c>
      <c r="T736" s="224">
        <f t="shared" si="184"/>
        <v>0</v>
      </c>
      <c r="U736" s="224">
        <f t="shared" si="185"/>
        <v>0</v>
      </c>
    </row>
    <row r="737" spans="1:21" ht="19.5" x14ac:dyDescent="0.3">
      <c r="A737" s="138"/>
      <c r="B737" s="139"/>
      <c r="C737" s="177" t="s">
        <v>18</v>
      </c>
      <c r="D737" s="491" t="s">
        <v>38</v>
      </c>
      <c r="E737" s="203"/>
      <c r="F737" s="141"/>
      <c r="G737" s="142"/>
      <c r="H737" s="178"/>
      <c r="I737" s="44"/>
      <c r="J737" s="44"/>
      <c r="K737" s="45"/>
      <c r="L737" s="465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7" t="s">
        <v>121</v>
      </c>
      <c r="E738" s="139"/>
      <c r="F738" s="139"/>
      <c r="G738" s="143"/>
      <c r="H738" s="180"/>
      <c r="I738" s="44"/>
      <c r="J738" s="44"/>
      <c r="K738" s="45"/>
      <c r="L738" s="465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10" t="s">
        <v>270</v>
      </c>
      <c r="F739" s="139"/>
      <c r="G739" s="143"/>
      <c r="H739" s="180"/>
      <c r="I739" s="44"/>
      <c r="J739" s="44"/>
      <c r="K739" s="45"/>
      <c r="L739" s="465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10" t="s">
        <v>271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IFERROR(__xludf.DUMMYFUNCTION("IMPORTRANGE(""https://docs.google.com/spreadsheets/d/1eHaY18a8A9IcSdp1K8H6x8fbOy06t2VsZHhMHf-1x7Y/edit?usp=sharing"",""แผน!GB23"")"),400)</f>
        <v>400</v>
      </c>
      <c r="J740" s="466">
        <v>0</v>
      </c>
      <c r="K740" s="224">
        <f ca="1">IF(I740&gt;0,J740*100/I740,0)</f>
        <v>0</v>
      </c>
      <c r="L740" s="465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485"/>
      <c r="B741" s="484"/>
      <c r="C741" s="484"/>
      <c r="D741" s="484"/>
      <c r="E741" s="484"/>
      <c r="F741" s="489" t="s">
        <v>306</v>
      </c>
      <c r="G741" s="481"/>
      <c r="H741" s="480" t="s">
        <v>35</v>
      </c>
      <c r="I741" s="479"/>
      <c r="J741" s="478">
        <v>0</v>
      </c>
      <c r="K741" s="476"/>
      <c r="L741" s="477"/>
      <c r="M741" s="476"/>
      <c r="N741" s="476"/>
      <c r="O741" s="476"/>
      <c r="P741" s="476"/>
      <c r="Q741" s="476"/>
      <c r="R741" s="476"/>
      <c r="S741" s="476"/>
      <c r="T741" s="476"/>
      <c r="U741" s="476"/>
    </row>
    <row r="742" spans="1:21" ht="18.75" x14ac:dyDescent="0.25">
      <c r="A742" s="485"/>
      <c r="B742" s="484"/>
      <c r="C742" s="484"/>
      <c r="D742" s="484"/>
      <c r="E742" s="484"/>
      <c r="F742" s="489" t="s">
        <v>305</v>
      </c>
      <c r="G742" s="481"/>
      <c r="H742" s="480" t="s">
        <v>35</v>
      </c>
      <c r="I742" s="487">
        <f ca="1">IFERROR(__xludf.DUMMYFUNCTION("IMPORTRANGE(""https://docs.google.com/spreadsheets/d/1eHaY18a8A9IcSdp1K8H6x8fbOy06t2VsZHhMHf-1x7Y/edit?usp=sharing"",""แผน!GC23"")"),40)</f>
        <v>40</v>
      </c>
      <c r="J742" s="478">
        <v>0</v>
      </c>
      <c r="K742" s="486">
        <f ca="1">IF(I742&gt;0,J742*100/I742,0)</f>
        <v>0</v>
      </c>
      <c r="L742" s="477"/>
      <c r="M742" s="476"/>
      <c r="N742" s="476"/>
      <c r="O742" s="476"/>
      <c r="P742" s="476"/>
      <c r="Q742" s="476"/>
      <c r="R742" s="476"/>
      <c r="S742" s="476"/>
      <c r="T742" s="476"/>
      <c r="U742" s="476"/>
    </row>
    <row r="743" spans="1:21" ht="18.75" x14ac:dyDescent="0.25">
      <c r="A743" s="485"/>
      <c r="B743" s="484"/>
      <c r="C743" s="484"/>
      <c r="D743" s="484"/>
      <c r="E743" s="489" t="s">
        <v>274</v>
      </c>
      <c r="F743" s="484"/>
      <c r="G743" s="481"/>
      <c r="H743" s="488"/>
      <c r="I743" s="479"/>
      <c r="J743" s="479"/>
      <c r="K743" s="476"/>
      <c r="L743" s="477"/>
      <c r="M743" s="476"/>
      <c r="N743" s="476"/>
      <c r="O743" s="476"/>
      <c r="P743" s="476"/>
      <c r="Q743" s="476"/>
      <c r="R743" s="476"/>
      <c r="S743" s="476"/>
      <c r="T743" s="476"/>
      <c r="U743" s="476"/>
    </row>
    <row r="744" spans="1:21" ht="18.75" x14ac:dyDescent="0.25">
      <c r="A744" s="485"/>
      <c r="B744" s="484"/>
      <c r="C744" s="484"/>
      <c r="D744" s="484"/>
      <c r="E744" s="484"/>
      <c r="F744" s="489" t="s">
        <v>271</v>
      </c>
      <c r="G744" s="481"/>
      <c r="H744" s="480" t="s">
        <v>46</v>
      </c>
      <c r="I744" s="487">
        <f ca="1">IFERROR(__xludf.DUMMYFUNCTION("IMPORTRANGE(""https://docs.google.com/spreadsheets/d/1eHaY18a8A9IcSdp1K8H6x8fbOy06t2VsZHhMHf-1x7Y/edit?usp=sharing"",""แผน!GD23"")"),100)</f>
        <v>100</v>
      </c>
      <c r="J744" s="478">
        <v>100</v>
      </c>
      <c r="K744" s="486">
        <f ca="1">IF(I744&gt;0,J744*100/I744,0)</f>
        <v>100</v>
      </c>
      <c r="L744" s="477"/>
      <c r="M744" s="476"/>
      <c r="N744" s="476"/>
      <c r="O744" s="476"/>
      <c r="P744" s="476"/>
      <c r="Q744" s="476"/>
      <c r="R744" s="476"/>
      <c r="S744" s="476"/>
      <c r="T744" s="476"/>
      <c r="U744" s="476"/>
    </row>
    <row r="745" spans="1:21" ht="18.75" x14ac:dyDescent="0.25">
      <c r="A745" s="485"/>
      <c r="B745" s="484"/>
      <c r="C745" s="484"/>
      <c r="D745" s="484"/>
      <c r="E745" s="484"/>
      <c r="F745" s="489" t="s">
        <v>304</v>
      </c>
      <c r="G745" s="481"/>
      <c r="H745" s="480" t="s">
        <v>35</v>
      </c>
      <c r="I745" s="479"/>
      <c r="J745" s="478">
        <v>0</v>
      </c>
      <c r="K745" s="476"/>
      <c r="L745" s="477"/>
      <c r="M745" s="476"/>
      <c r="N745" s="476"/>
      <c r="O745" s="476"/>
      <c r="P745" s="476"/>
      <c r="Q745" s="476"/>
      <c r="R745" s="476"/>
      <c r="S745" s="476"/>
      <c r="T745" s="476"/>
      <c r="U745" s="476"/>
    </row>
    <row r="746" spans="1:21" ht="18.75" x14ac:dyDescent="0.25">
      <c r="A746" s="485"/>
      <c r="B746" s="484"/>
      <c r="C746" s="484"/>
      <c r="D746" s="484"/>
      <c r="E746" s="484"/>
      <c r="F746" s="489" t="s">
        <v>303</v>
      </c>
      <c r="G746" s="481"/>
      <c r="H746" s="480" t="s">
        <v>35</v>
      </c>
      <c r="I746" s="487">
        <f ca="1">IFERROR(__xludf.DUMMYFUNCTION("IMPORTRANGE(""https://docs.google.com/spreadsheets/d/1eHaY18a8A9IcSdp1K8H6x8fbOy06t2VsZHhMHf-1x7Y/edit?usp=sharing"",""แผน!GE23"")"),10)</f>
        <v>10</v>
      </c>
      <c r="J746" s="478">
        <v>10</v>
      </c>
      <c r="K746" s="486">
        <f ca="1">IF(I746&gt;0,J746*100/I746,0)</f>
        <v>100</v>
      </c>
      <c r="L746" s="477"/>
      <c r="M746" s="476"/>
      <c r="N746" s="476"/>
      <c r="O746" s="476"/>
      <c r="P746" s="476"/>
      <c r="Q746" s="476"/>
      <c r="R746" s="476"/>
      <c r="S746" s="476"/>
      <c r="T746" s="476"/>
      <c r="U746" s="476"/>
    </row>
    <row r="747" spans="1:21" ht="18.75" x14ac:dyDescent="0.25">
      <c r="A747" s="485"/>
      <c r="B747" s="484"/>
      <c r="C747" s="484"/>
      <c r="D747" s="484"/>
      <c r="E747" s="489" t="s">
        <v>277</v>
      </c>
      <c r="F747" s="483"/>
      <c r="G747" s="481"/>
      <c r="H747" s="488"/>
      <c r="I747" s="479"/>
      <c r="J747" s="479"/>
      <c r="K747" s="476"/>
      <c r="L747" s="477"/>
      <c r="M747" s="476"/>
      <c r="N747" s="476"/>
      <c r="O747" s="476"/>
      <c r="P747" s="476"/>
      <c r="Q747" s="476"/>
      <c r="R747" s="476"/>
      <c r="S747" s="476"/>
      <c r="T747" s="476"/>
      <c r="U747" s="476"/>
    </row>
    <row r="748" spans="1:21" ht="18.75" x14ac:dyDescent="0.25">
      <c r="A748" s="485"/>
      <c r="B748" s="484"/>
      <c r="C748" s="484"/>
      <c r="D748" s="484"/>
      <c r="E748" s="484"/>
      <c r="F748" s="489" t="s">
        <v>302</v>
      </c>
      <c r="G748" s="481"/>
      <c r="H748" s="480" t="s">
        <v>35</v>
      </c>
      <c r="I748" s="479"/>
      <c r="J748" s="478">
        <v>0</v>
      </c>
      <c r="K748" s="476"/>
      <c r="L748" s="477"/>
      <c r="M748" s="476"/>
      <c r="N748" s="476"/>
      <c r="O748" s="476"/>
      <c r="P748" s="476"/>
      <c r="Q748" s="476"/>
      <c r="R748" s="476"/>
      <c r="S748" s="476"/>
      <c r="T748" s="476"/>
      <c r="U748" s="476"/>
    </row>
    <row r="749" spans="1:21" ht="18.75" x14ac:dyDescent="0.25">
      <c r="A749" s="485"/>
      <c r="B749" s="484"/>
      <c r="C749" s="484"/>
      <c r="D749" s="484"/>
      <c r="E749" s="484"/>
      <c r="F749" s="489" t="s">
        <v>301</v>
      </c>
      <c r="G749" s="481"/>
      <c r="H749" s="480" t="s">
        <v>35</v>
      </c>
      <c r="I749" s="487">
        <f ca="1">IFERROR(__xludf.DUMMYFUNCTION("IMPORTRANGE(""https://docs.google.com/spreadsheets/d/1eHaY18a8A9IcSdp1K8H6x8fbOy06t2VsZHhMHf-1x7Y/edit?usp=sharing"",""แผน!GF23"")"),1)</f>
        <v>1</v>
      </c>
      <c r="J749" s="478">
        <v>1</v>
      </c>
      <c r="K749" s="486">
        <f ca="1">IF(I749&gt;0,J749*100/I749,0)</f>
        <v>100</v>
      </c>
      <c r="L749" s="477"/>
      <c r="M749" s="476"/>
      <c r="N749" s="476"/>
      <c r="O749" s="476"/>
      <c r="P749" s="476"/>
      <c r="Q749" s="476"/>
      <c r="R749" s="476"/>
      <c r="S749" s="476"/>
      <c r="T749" s="476"/>
      <c r="U749" s="476"/>
    </row>
    <row r="750" spans="1:21" ht="19.5" x14ac:dyDescent="0.3">
      <c r="A750" s="485"/>
      <c r="B750" s="484"/>
      <c r="C750" s="484"/>
      <c r="D750" s="490" t="s">
        <v>50</v>
      </c>
      <c r="E750" s="484"/>
      <c r="F750" s="483"/>
      <c r="G750" s="481"/>
      <c r="H750" s="488"/>
      <c r="I750" s="479"/>
      <c r="J750" s="479"/>
      <c r="K750" s="476"/>
      <c r="L750" s="477"/>
      <c r="M750" s="476"/>
      <c r="N750" s="476"/>
      <c r="O750" s="476"/>
      <c r="P750" s="476"/>
      <c r="Q750" s="476"/>
      <c r="R750" s="476"/>
      <c r="S750" s="476"/>
      <c r="T750" s="476"/>
      <c r="U750" s="476"/>
    </row>
    <row r="751" spans="1:21" ht="18.75" x14ac:dyDescent="0.25">
      <c r="A751" s="485"/>
      <c r="B751" s="484"/>
      <c r="C751" s="484"/>
      <c r="D751" s="484"/>
      <c r="E751" s="489" t="s">
        <v>270</v>
      </c>
      <c r="F751" s="483"/>
      <c r="G751" s="481"/>
      <c r="H751" s="488"/>
      <c r="I751" s="479"/>
      <c r="J751" s="479"/>
      <c r="K751" s="476"/>
      <c r="L751" s="477"/>
      <c r="M751" s="476"/>
      <c r="N751" s="476"/>
      <c r="O751" s="476"/>
      <c r="P751" s="476"/>
      <c r="Q751" s="476"/>
      <c r="R751" s="476"/>
      <c r="S751" s="476"/>
      <c r="T751" s="476"/>
      <c r="U751" s="476"/>
    </row>
    <row r="752" spans="1:21" ht="18.75" x14ac:dyDescent="0.25">
      <c r="A752" s="485"/>
      <c r="B752" s="484"/>
      <c r="C752" s="484"/>
      <c r="D752" s="484"/>
      <c r="E752" s="484"/>
      <c r="F752" s="482" t="s">
        <v>300</v>
      </c>
      <c r="G752" s="481"/>
      <c r="H752" s="480" t="s">
        <v>46</v>
      </c>
      <c r="I752" s="487">
        <f ca="1">IFERROR(__xludf.DUMMYFUNCTION("IMPORTRANGE(""https://docs.google.com/spreadsheets/d/1eHaY18a8A9IcSdp1K8H6x8fbOy06t2VsZHhMHf-1x7Y/edit?usp=sharing"",""แผน!GB23"")"),400)</f>
        <v>400</v>
      </c>
      <c r="J752" s="478">
        <v>0</v>
      </c>
      <c r="K752" s="486">
        <f ca="1">IF(I752&gt;0,J752*100/I752,0)</f>
        <v>0</v>
      </c>
      <c r="L752" s="477"/>
      <c r="M752" s="476"/>
      <c r="N752" s="476"/>
      <c r="O752" s="476"/>
      <c r="P752" s="476"/>
      <c r="Q752" s="476"/>
      <c r="R752" s="476"/>
      <c r="S752" s="476"/>
      <c r="T752" s="476"/>
      <c r="U752" s="476"/>
    </row>
    <row r="753" spans="1:21" ht="18.75" x14ac:dyDescent="0.25">
      <c r="A753" s="485"/>
      <c r="B753" s="484"/>
      <c r="C753" s="484"/>
      <c r="D753" s="484"/>
      <c r="E753" s="484"/>
      <c r="F753" s="482" t="s">
        <v>299</v>
      </c>
      <c r="G753" s="481"/>
      <c r="H753" s="480" t="s">
        <v>46</v>
      </c>
      <c r="I753" s="479"/>
      <c r="J753" s="478">
        <v>0</v>
      </c>
      <c r="K753" s="476"/>
      <c r="L753" s="477"/>
      <c r="M753" s="476"/>
      <c r="N753" s="476"/>
      <c r="O753" s="476"/>
      <c r="P753" s="476"/>
      <c r="Q753" s="476"/>
      <c r="R753" s="476"/>
      <c r="S753" s="476"/>
      <c r="T753" s="476"/>
      <c r="U753" s="476"/>
    </row>
    <row r="754" spans="1:21" ht="18.75" x14ac:dyDescent="0.25">
      <c r="A754" s="485"/>
      <c r="B754" s="484"/>
      <c r="C754" s="484"/>
      <c r="D754" s="484"/>
      <c r="E754" s="489" t="s">
        <v>274</v>
      </c>
      <c r="F754" s="483"/>
      <c r="G754" s="481"/>
      <c r="H754" s="488"/>
      <c r="I754" s="479"/>
      <c r="J754" s="479"/>
      <c r="K754" s="476"/>
      <c r="L754" s="477"/>
      <c r="M754" s="476"/>
      <c r="N754" s="476"/>
      <c r="O754" s="476"/>
      <c r="P754" s="476"/>
      <c r="Q754" s="476"/>
      <c r="R754" s="476"/>
      <c r="S754" s="476"/>
      <c r="T754" s="476"/>
      <c r="U754" s="476"/>
    </row>
    <row r="755" spans="1:21" ht="18.75" x14ac:dyDescent="0.25">
      <c r="A755" s="485"/>
      <c r="B755" s="484"/>
      <c r="C755" s="484"/>
      <c r="D755" s="484"/>
      <c r="E755" s="483"/>
      <c r="F755" s="482" t="s">
        <v>298</v>
      </c>
      <c r="G755" s="481"/>
      <c r="H755" s="480" t="s">
        <v>46</v>
      </c>
      <c r="I755" s="487">
        <f ca="1">IFERROR(__xludf.DUMMYFUNCTION("IMPORTRANGE(""https://docs.google.com/spreadsheets/d/1eHaY18a8A9IcSdp1K8H6x8fbOy06t2VsZHhMHf-1x7Y/edit?usp=sharing"",""แผน!GD23"")"),100)</f>
        <v>100</v>
      </c>
      <c r="J755" s="478">
        <v>0</v>
      </c>
      <c r="K755" s="486">
        <f ca="1">IF(I755&gt;0,J755*100/I755,0)</f>
        <v>0</v>
      </c>
      <c r="L755" s="477"/>
      <c r="M755" s="476"/>
      <c r="N755" s="476"/>
      <c r="O755" s="476"/>
      <c r="P755" s="476"/>
      <c r="Q755" s="476"/>
      <c r="R755" s="476"/>
      <c r="S755" s="476"/>
      <c r="T755" s="476"/>
      <c r="U755" s="476"/>
    </row>
    <row r="756" spans="1:21" ht="18.75" x14ac:dyDescent="0.25">
      <c r="A756" s="485"/>
      <c r="B756" s="484"/>
      <c r="C756" s="484"/>
      <c r="D756" s="484"/>
      <c r="E756" s="483"/>
      <c r="F756" s="482" t="s">
        <v>297</v>
      </c>
      <c r="G756" s="481"/>
      <c r="H756" s="480" t="s">
        <v>46</v>
      </c>
      <c r="I756" s="479"/>
      <c r="J756" s="478">
        <v>0</v>
      </c>
      <c r="K756" s="476"/>
      <c r="L756" s="477"/>
      <c r="M756" s="476"/>
      <c r="N756" s="476"/>
      <c r="O756" s="476"/>
      <c r="P756" s="476"/>
      <c r="Q756" s="476"/>
      <c r="R756" s="476"/>
      <c r="S756" s="476"/>
      <c r="T756" s="476"/>
      <c r="U756" s="476"/>
    </row>
    <row r="757" spans="1:21" ht="18.75" x14ac:dyDescent="0.25">
      <c r="A757" s="438"/>
      <c r="B757" s="438"/>
      <c r="C757" s="438"/>
      <c r="D757" s="438"/>
      <c r="E757" s="439" t="s">
        <v>284</v>
      </c>
      <c r="F757" s="440"/>
      <c r="G757" s="441"/>
      <c r="H757" s="442" t="s">
        <v>35</v>
      </c>
      <c r="I757" s="443"/>
      <c r="J757" s="444">
        <v>0</v>
      </c>
      <c r="K757" s="445"/>
      <c r="L757" s="445"/>
      <c r="M757" s="445"/>
      <c r="N757" s="445"/>
      <c r="O757" s="445"/>
      <c r="P757" s="445"/>
      <c r="Q757" s="445"/>
      <c r="R757" s="445"/>
      <c r="S757" s="445"/>
      <c r="T757" s="445"/>
      <c r="U757" s="445"/>
    </row>
    <row r="758" spans="1:21" ht="19.5" x14ac:dyDescent="0.3">
      <c r="A758" s="394"/>
      <c r="B758" s="395" t="s">
        <v>285</v>
      </c>
      <c r="C758" s="394"/>
      <c r="D758" s="396"/>
      <c r="E758" s="396"/>
      <c r="F758" s="396"/>
      <c r="G758" s="397"/>
      <c r="H758" s="434" t="s">
        <v>35</v>
      </c>
      <c r="I758" s="475">
        <f ca="1">I772</f>
        <v>79</v>
      </c>
      <c r="J758" s="475">
        <f>J772</f>
        <v>0</v>
      </c>
      <c r="K758" s="474">
        <f ca="1">IF(I758&gt;0,J758*100/I758,0)</f>
        <v>0</v>
      </c>
      <c r="L758" s="47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6"/>
      <c r="B759" s="394"/>
      <c r="C759" s="394"/>
      <c r="D759" s="396"/>
      <c r="E759" s="396"/>
      <c r="F759" s="396"/>
      <c r="G759" s="397"/>
      <c r="H759" s="434" t="s">
        <v>46</v>
      </c>
      <c r="I759" s="475">
        <f ca="1">I774</f>
        <v>406</v>
      </c>
      <c r="J759" s="475">
        <f>J774</f>
        <v>95</v>
      </c>
      <c r="K759" s="474">
        <f ca="1">IF(I759&gt;0,J759*100/I759,0)</f>
        <v>23.399014778325125</v>
      </c>
      <c r="L759" s="47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8"/>
      <c r="C760" s="177" t="s">
        <v>18</v>
      </c>
      <c r="D760" s="821" t="s">
        <v>19</v>
      </c>
      <c r="E760" s="793"/>
      <c r="F760" s="793"/>
      <c r="G760" s="794"/>
      <c r="H760" s="221" t="s">
        <v>14</v>
      </c>
      <c r="I760" s="44"/>
      <c r="J760" s="44"/>
      <c r="K760" s="45"/>
      <c r="L760" s="471">
        <f>L761+L762</f>
        <v>0</v>
      </c>
      <c r="M760" s="470">
        <f>M761+M762</f>
        <v>0</v>
      </c>
      <c r="N760" s="470">
        <f>N761+N762</f>
        <v>0</v>
      </c>
      <c r="O760" s="470">
        <f t="shared" ref="O760:O768" si="188">IF(L760&gt;0,N760*100/L760,0)</f>
        <v>0</v>
      </c>
      <c r="P760" s="470">
        <f t="shared" ref="P760:P768" si="189">IF(M760&gt;0,N760*100/M760,0)</f>
        <v>0</v>
      </c>
      <c r="Q760" s="470">
        <f ca="1">Q761+Q762</f>
        <v>790870</v>
      </c>
      <c r="R760" s="470">
        <f ca="1">R761+R762</f>
        <v>790870</v>
      </c>
      <c r="S760" s="470">
        <f ca="1">S761+S762</f>
        <v>121465</v>
      </c>
      <c r="T760" s="470">
        <f t="shared" ref="T760:T768" ca="1" si="190">IF(Q760&gt;0,S760*100/Q760,0)</f>
        <v>15.358402771631242</v>
      </c>
      <c r="U760" s="470">
        <f t="shared" ref="U760:U768" ca="1" si="191">IF(R760&gt;0,S760*100/R760,0)</f>
        <v>15.358402771631242</v>
      </c>
    </row>
    <row r="761" spans="1:21" ht="18.75" hidden="1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469">
        <f t="shared" ref="L761:N762" si="192">L764+L767</f>
        <v>0</v>
      </c>
      <c r="M761" s="83">
        <f t="shared" si="192"/>
        <v>0</v>
      </c>
      <c r="N761" s="83">
        <f t="shared" si="192"/>
        <v>0</v>
      </c>
      <c r="O761" s="83">
        <f t="shared" si="188"/>
        <v>0</v>
      </c>
      <c r="P761" s="83">
        <f t="shared" si="189"/>
        <v>0</v>
      </c>
      <c r="Q761" s="83">
        <f t="shared" ref="Q761:S762" si="193">Q764+Q767</f>
        <v>0</v>
      </c>
      <c r="R761" s="83">
        <f t="shared" si="193"/>
        <v>0</v>
      </c>
      <c r="S761" s="83">
        <f t="shared" si="193"/>
        <v>0</v>
      </c>
      <c r="T761" s="83">
        <f t="shared" si="190"/>
        <v>0</v>
      </c>
      <c r="U761" s="83">
        <f t="shared" si="191"/>
        <v>0</v>
      </c>
    </row>
    <row r="762" spans="1:21" ht="18.75" hidden="1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468">
        <f t="shared" si="192"/>
        <v>0</v>
      </c>
      <c r="M762" s="224">
        <f t="shared" si="192"/>
        <v>0</v>
      </c>
      <c r="N762" s="224">
        <f t="shared" si="192"/>
        <v>0</v>
      </c>
      <c r="O762" s="224">
        <f t="shared" si="188"/>
        <v>0</v>
      </c>
      <c r="P762" s="224">
        <f t="shared" si="189"/>
        <v>0</v>
      </c>
      <c r="Q762" s="224">
        <f t="shared" ca="1" si="193"/>
        <v>790870</v>
      </c>
      <c r="R762" s="224">
        <f t="shared" ca="1" si="193"/>
        <v>790870</v>
      </c>
      <c r="S762" s="224">
        <f t="shared" ca="1" si="193"/>
        <v>121465</v>
      </c>
      <c r="T762" s="224">
        <f t="shared" ca="1" si="190"/>
        <v>15.358402771631242</v>
      </c>
      <c r="U762" s="224">
        <f t="shared" ca="1" si="191"/>
        <v>15.358402771631242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468">
        <f>L764+L765</f>
        <v>0</v>
      </c>
      <c r="M763" s="224">
        <f>M764+M765</f>
        <v>0</v>
      </c>
      <c r="N763" s="224">
        <f>N764+N765</f>
        <v>0</v>
      </c>
      <c r="O763" s="224">
        <f t="shared" si="188"/>
        <v>0</v>
      </c>
      <c r="P763" s="224">
        <f t="shared" si="189"/>
        <v>0</v>
      </c>
      <c r="Q763" s="224">
        <f ca="1">Q764+Q765</f>
        <v>790870</v>
      </c>
      <c r="R763" s="224">
        <f ca="1">R764+R765</f>
        <v>790870</v>
      </c>
      <c r="S763" s="224">
        <f ca="1">S764+S765</f>
        <v>121465</v>
      </c>
      <c r="T763" s="224">
        <f t="shared" ca="1" si="190"/>
        <v>15.358402771631242</v>
      </c>
      <c r="U763" s="224">
        <f t="shared" ca="1" si="191"/>
        <v>15.358402771631242</v>
      </c>
    </row>
    <row r="764" spans="1:21" ht="18.75" hidden="1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469">
        <v>0</v>
      </c>
      <c r="M764" s="83">
        <v>0</v>
      </c>
      <c r="N764" s="83">
        <v>0</v>
      </c>
      <c r="O764" s="83">
        <f t="shared" si="188"/>
        <v>0</v>
      </c>
      <c r="P764" s="83">
        <f t="shared" si="189"/>
        <v>0</v>
      </c>
      <c r="Q764" s="83">
        <v>0</v>
      </c>
      <c r="R764" s="83">
        <v>0</v>
      </c>
      <c r="S764" s="83">
        <v>0</v>
      </c>
      <c r="T764" s="83">
        <f t="shared" si="190"/>
        <v>0</v>
      </c>
      <c r="U764" s="83">
        <f t="shared" si="191"/>
        <v>0</v>
      </c>
    </row>
    <row r="765" spans="1:21" ht="18.75" hidden="1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468">
        <v>0</v>
      </c>
      <c r="M765" s="224">
        <v>0</v>
      </c>
      <c r="N765" s="224">
        <v>0</v>
      </c>
      <c r="O765" s="224">
        <f t="shared" si="188"/>
        <v>0</v>
      </c>
      <c r="P765" s="224">
        <f t="shared" si="189"/>
        <v>0</v>
      </c>
      <c r="Q765" s="224">
        <f ca="1">IFERROR(__xludf.DUMMYFUNCTION("IMPORTRANGE(""https://docs.google.com/spreadsheets/d/1ItG2mGa2ceCfYo0BwxsXqNm01IGEUdYcSSLTEv9YCik/edit?usp=sharing"",""เบิกจ่ายกองทุน!U23"")"),790870)</f>
        <v>790870</v>
      </c>
      <c r="R765" s="224">
        <f ca="1">IFERROR(__xludf.DUMMYFUNCTION("IMPORTRANGE(""https://docs.google.com/spreadsheets/d/1ItG2mGa2ceCfYo0BwxsXqNm01IGEUdYcSSLTEv9YCik/edit?usp=sharing"",""เบิกจ่ายกองทุน!V23"")"),790870)</f>
        <v>790870</v>
      </c>
      <c r="S765" s="224">
        <f ca="1">IFERROR(__xludf.DUMMYFUNCTION("IMPORTRANGE(""https://docs.google.com/spreadsheets/d/1ItG2mGa2ceCfYo0BwxsXqNm01IGEUdYcSSLTEv9YCik/edit?usp=sharing"",""เบิกจ่ายกองทุน!W23"")"),121465)</f>
        <v>121465</v>
      </c>
      <c r="T765" s="224">
        <f t="shared" ca="1" si="190"/>
        <v>15.358402771631242</v>
      </c>
      <c r="U765" s="224">
        <f t="shared" ca="1" si="191"/>
        <v>15.358402771631242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468">
        <f>L767+L768</f>
        <v>0</v>
      </c>
      <c r="M766" s="224">
        <f>M767+M768</f>
        <v>0</v>
      </c>
      <c r="N766" s="224">
        <f>N767+N768</f>
        <v>0</v>
      </c>
      <c r="O766" s="224">
        <f t="shared" si="188"/>
        <v>0</v>
      </c>
      <c r="P766" s="224">
        <f t="shared" si="189"/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 t="shared" si="190"/>
        <v>0</v>
      </c>
      <c r="U766" s="224">
        <f t="shared" si="191"/>
        <v>0</v>
      </c>
    </row>
    <row r="767" spans="1:21" ht="18.75" hidden="1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469">
        <v>0</v>
      </c>
      <c r="M767" s="83">
        <v>0</v>
      </c>
      <c r="N767" s="83">
        <v>0</v>
      </c>
      <c r="O767" s="83">
        <f t="shared" si="188"/>
        <v>0</v>
      </c>
      <c r="P767" s="83">
        <f t="shared" si="189"/>
        <v>0</v>
      </c>
      <c r="Q767" s="83">
        <v>0</v>
      </c>
      <c r="R767" s="83">
        <v>0</v>
      </c>
      <c r="S767" s="83">
        <v>0</v>
      </c>
      <c r="T767" s="83">
        <f t="shared" si="190"/>
        <v>0</v>
      </c>
      <c r="U767" s="83">
        <f t="shared" si="191"/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468">
        <v>0</v>
      </c>
      <c r="M768" s="224">
        <v>0</v>
      </c>
      <c r="N768" s="224">
        <v>0</v>
      </c>
      <c r="O768" s="224">
        <f t="shared" si="188"/>
        <v>0</v>
      </c>
      <c r="P768" s="224">
        <f t="shared" si="189"/>
        <v>0</v>
      </c>
      <c r="Q768" s="224">
        <v>0</v>
      </c>
      <c r="R768" s="224">
        <v>0</v>
      </c>
      <c r="S768" s="224">
        <v>0</v>
      </c>
      <c r="T768" s="224">
        <f t="shared" si="190"/>
        <v>0</v>
      </c>
      <c r="U768" s="224">
        <f t="shared" si="191"/>
        <v>0</v>
      </c>
    </row>
    <row r="769" spans="1:21" ht="19.5" x14ac:dyDescent="0.3">
      <c r="A769" s="138"/>
      <c r="B769" s="139"/>
      <c r="C769" s="446" t="s">
        <v>18</v>
      </c>
      <c r="D769" s="467" t="s">
        <v>38</v>
      </c>
      <c r="E769" s="203"/>
      <c r="F769" s="141"/>
      <c r="G769" s="142"/>
      <c r="H769" s="178"/>
      <c r="I769" s="44"/>
      <c r="J769" s="44"/>
      <c r="K769" s="45"/>
      <c r="L769" s="465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377" t="s">
        <v>286</v>
      </c>
      <c r="E770" s="139"/>
      <c r="F770" s="145"/>
      <c r="G770" s="143"/>
      <c r="H770" s="375" t="s">
        <v>35</v>
      </c>
      <c r="I770" s="430">
        <f ca="1">IFERROR(__xludf.DUMMYFUNCTION("IMPORTRANGE(""https://docs.google.com/spreadsheets/d/1eHaY18a8A9IcSdp1K8H6x8fbOy06t2VsZHhMHf-1x7Y/edit?usp=sharing"",""แผน!FI23"")"),0)</f>
        <v>0</v>
      </c>
      <c r="J770" s="430">
        <v>0</v>
      </c>
      <c r="K770" s="83">
        <f ca="1">IF(I770&gt;0,J770*100/I770,0)</f>
        <v>0</v>
      </c>
      <c r="L770" s="465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377" t="s">
        <v>287</v>
      </c>
      <c r="E771" s="139"/>
      <c r="F771" s="145"/>
      <c r="G771" s="143"/>
      <c r="H771" s="178"/>
      <c r="I771" s="44"/>
      <c r="J771" s="44"/>
      <c r="K771" s="45"/>
      <c r="L771" s="465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10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IFERROR(__xludf.DUMMYFUNCTION("IMPORTRANGE(""https://docs.google.com/spreadsheets/d/1eHaY18a8A9IcSdp1K8H6x8fbOy06t2VsZHhMHf-1x7Y/edit?usp=sharing"",""แผน!FQ23"")"),79)</f>
        <v>79</v>
      </c>
      <c r="J772" s="466">
        <v>0</v>
      </c>
      <c r="K772" s="224">
        <f ca="1">IF(I772&gt;0,J772*100/I772,0)</f>
        <v>0</v>
      </c>
      <c r="L772" s="465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10" t="s">
        <v>289</v>
      </c>
      <c r="E773" s="139"/>
      <c r="F773" s="145"/>
      <c r="G773" s="143"/>
      <c r="H773" s="178"/>
      <c r="I773" s="44"/>
      <c r="J773" s="44"/>
      <c r="K773" s="45"/>
      <c r="L773" s="465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10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IFERROR(__xludf.DUMMYFUNCTION("IMPORTRANGE(""https://docs.google.com/spreadsheets/d/1eHaY18a8A9IcSdp1K8H6x8fbOy06t2VsZHhMHf-1x7Y/edit?usp=sharing"",""แผน!FR23"")"),406)</f>
        <v>406</v>
      </c>
      <c r="J774" s="466">
        <v>95</v>
      </c>
      <c r="K774" s="224">
        <f ca="1">IF(I774&gt;0,J774*100/I774,0)</f>
        <v>23.399014778325125</v>
      </c>
      <c r="L774" s="465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10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IFERROR(__xludf.DUMMYFUNCTION("IMPORTRANGE(""https://docs.google.com/spreadsheets/d/1eHaY18a8A9IcSdp1K8H6x8fbOy06t2VsZHhMHf-1x7Y/edit?usp=sharing"",""แผน!FS23"")"),406)</f>
        <v>406</v>
      </c>
      <c r="J775" s="466">
        <v>0</v>
      </c>
      <c r="K775" s="45"/>
      <c r="L775" s="465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IFERROR(__xludf.DUMMYFUNCTION("IMPORTRANGE(""https://docs.google.com/spreadsheets/d/1eHaY18a8A9IcSdp1K8H6x8fbOy06t2VsZHhMHf-1x7Y/edit?usp=sharing"",""แผน!FT23"")"),79)</f>
        <v>79</v>
      </c>
      <c r="J776" s="464">
        <v>0</v>
      </c>
      <c r="K776" s="3"/>
      <c r="L776" s="46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462" t="s">
        <v>291</v>
      </c>
      <c r="B777" s="449"/>
      <c r="C777" s="449"/>
      <c r="D777" s="448"/>
      <c r="E777" s="449"/>
      <c r="F777" s="449"/>
      <c r="G777" s="450"/>
      <c r="H777" s="461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2"/>
      <c r="J777" s="453"/>
      <c r="K777" s="454"/>
      <c r="L777" s="454"/>
      <c r="M777" s="454"/>
      <c r="N777" s="454"/>
      <c r="O777" s="454"/>
      <c r="P777" s="454"/>
      <c r="Q777" s="454"/>
      <c r="R777" s="454"/>
      <c r="S777" s="454"/>
      <c r="T777" s="454"/>
      <c r="U777" s="454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IFERROR(__xludf.DUMMYFUNCTION("IMPORTRANGE(""https://docs.google.com/spreadsheets/d/10OvvATaaLtwErnr3qtWFcTmtbfpFEt5Bsqel9sXx0uE/edit?usp=sharing"",""งานกองทุน!D23"")"),13397134.05)</f>
        <v>13397134.050000001</v>
      </c>
      <c r="J778" s="184">
        <f ca="1">IFERROR(__xludf.DUMMYFUNCTION("IMPORTRANGE(""https://docs.google.com/spreadsheets/d/10OvvATaaLtwErnr3qtWFcTmtbfpFEt5Bsqel9sXx0uE/edit?usp=sharing"",""งานกองทุน!F23"")"),846624.29)</f>
        <v>846624.29</v>
      </c>
      <c r="K778" s="224">
        <f t="shared" ref="K778:K785" ca="1" si="194">IF(I778&gt;0,J778*100/I778,0)</f>
        <v>6.3194432991435203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IFERROR(__xludf.DUMMYFUNCTION("IMPORTRANGE(""https://docs.google.com/spreadsheets/d/10OvvATaaLtwErnr3qtWFcTmtbfpFEt5Bsqel9sXx0uE/edit?usp=sharing"",""งานกองทุน!C23"")"),431)</f>
        <v>431</v>
      </c>
      <c r="J779" s="184">
        <f ca="1">IFERROR(__xludf.DUMMYFUNCTION("IMPORTRANGE(""https://docs.google.com/spreadsheets/d/10OvvATaaLtwErnr3qtWFcTmtbfpFEt5Bsqel9sXx0uE/edit?usp=sharing"",""งานกองทุน!E23"")"),396)</f>
        <v>396</v>
      </c>
      <c r="K779" s="224">
        <f t="shared" ca="1" si="194"/>
        <v>91.879350348027842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IFERROR(__xludf.DUMMYFUNCTION("IMPORTRANGE(""https://docs.google.com/spreadsheets/d/10OvvATaaLtwErnr3qtWFcTmtbfpFEt5Bsqel9sXx0uE/edit?usp=sharing"",""งานกองทุน!I23"")"),30247369.76)</f>
        <v>30247369.760000002</v>
      </c>
      <c r="J780" s="184">
        <f ca="1">IFERROR(__xludf.DUMMYFUNCTION("IMPORTRANGE(""https://docs.google.com/spreadsheets/d/10OvvATaaLtwErnr3qtWFcTmtbfpFEt5Bsqel9sXx0uE/edit?usp=sharing"",""งานกองทุน!K23"")"),1726434.85)</f>
        <v>1726434.85</v>
      </c>
      <c r="K780" s="224">
        <f t="shared" ca="1" si="194"/>
        <v>5.7077189312608843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IFERROR(__xludf.DUMMYFUNCTION("IMPORTRANGE(""https://docs.google.com/spreadsheets/d/10OvvATaaLtwErnr3qtWFcTmtbfpFEt5Bsqel9sXx0uE/edit?usp=sharing"",""งานกองทุน!H23"")"),1110)</f>
        <v>1110</v>
      </c>
      <c r="J781" s="184">
        <f ca="1">IFERROR(__xludf.DUMMYFUNCTION("IMPORTRANGE(""https://docs.google.com/spreadsheets/d/10OvvATaaLtwErnr3qtWFcTmtbfpFEt5Bsqel9sXx0uE/edit?usp=sharing"",""งานกองทุน!J23"")"),298)</f>
        <v>298</v>
      </c>
      <c r="K781" s="224">
        <f t="shared" ca="1" si="194"/>
        <v>26.846846846846848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IFERROR(__xludf.DUMMYFUNCTION("IMPORTRANGE(""https://docs.google.com/spreadsheets/d/10OvvATaaLtwErnr3qtWFcTmtbfpFEt5Bsqel9sXx0uE/edit?usp=sharing"",""งานกองทุน!N23"")"),2666288.5)</f>
        <v>2666288.5</v>
      </c>
      <c r="J782" s="184">
        <f ca="1">IFERROR(__xludf.DUMMYFUNCTION("IMPORTRANGE(""https://docs.google.com/spreadsheets/d/10OvvATaaLtwErnr3qtWFcTmtbfpFEt5Bsqel9sXx0uE/edit?usp=sharing"",""งานกองทุน!P23"")"),161561.83)</f>
        <v>161561.82999999999</v>
      </c>
      <c r="K782" s="224">
        <f t="shared" ca="1" si="194"/>
        <v>6.059427927622985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IFERROR(__xludf.DUMMYFUNCTION("IMPORTRANGE(""https://docs.google.com/spreadsheets/d/10OvvATaaLtwErnr3qtWFcTmtbfpFEt5Bsqel9sXx0uE/edit?usp=sharing"",""งานกองทุน!M23"")"),131)</f>
        <v>131</v>
      </c>
      <c r="J783" s="184">
        <f ca="1">IFERROR(__xludf.DUMMYFUNCTION("IMPORTRANGE(""https://docs.google.com/spreadsheets/d/10OvvATaaLtwErnr3qtWFcTmtbfpFEt5Bsqel9sXx0uE/edit?usp=sharing"",""งานกองทุน!O23"")"),60)</f>
        <v>60</v>
      </c>
      <c r="K783" s="224">
        <f t="shared" ca="1" si="194"/>
        <v>45.801526717557252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IFERROR(__xludf.DUMMYFUNCTION("IMPORTRANGE(""https://docs.google.com/spreadsheets/d/10OvvATaaLtwErnr3qtWFcTmtbfpFEt5Bsqel9sXx0uE/edit?usp=sharing"",""งานกองทุน!S23"")"),14504000)</f>
        <v>14504000</v>
      </c>
      <c r="J784" s="184">
        <f ca="1">IFERROR(__xludf.DUMMYFUNCTION("IMPORTRANGE(""https://docs.google.com/spreadsheets/d/10OvvATaaLtwErnr3qtWFcTmtbfpFEt5Bsqel9sXx0uE/edit?usp=sharing"",""งานกองทุน!U23"")"),2576000)</f>
        <v>2576000</v>
      </c>
      <c r="K784" s="224">
        <f t="shared" ca="1" si="194"/>
        <v>17.760617760617759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IFERROR(__xludf.DUMMYFUNCTION("IMPORTRANGE(""https://docs.google.com/spreadsheets/d/10OvvATaaLtwErnr3qtWFcTmtbfpFEt5Bsqel9sXx0uE/edit?usp=sharing"",""งานกองทุน!R23"")"),518)</f>
        <v>518</v>
      </c>
      <c r="J785" s="188">
        <f ca="1">IFERROR(__xludf.DUMMYFUNCTION("IMPORTRANGE(""https://docs.google.com/spreadsheets/d/10OvvATaaLtwErnr3qtWFcTmtbfpFEt5Bsqel9sXx0uE/edit?usp=sharing"",""งานกองทุน!T23"")"),94)</f>
        <v>94</v>
      </c>
      <c r="K785" s="455">
        <f t="shared" ca="1" si="194"/>
        <v>18.146718146718147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460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4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4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horizontalDpi="4294967293" verticalDpi="4294967293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33C5D-B88C-4D73-B1C1-285908499259}">
  <sheetPr>
    <outlinePr summaryBelow="0" summaryRight="0"/>
  </sheetPr>
  <dimension ref="A1:U789"/>
  <sheetViews>
    <sheetView view="pageBreakPreview" zoomScale="60" zoomScaleNormal="70" workbookViewId="0">
      <pane xSplit="8" ySplit="6" topLeftCell="I7" activePane="bottomRight" state="frozen"/>
      <selection activeCell="N28" sqref="N28"/>
      <selection pane="topRight" activeCell="N28" sqref="N28"/>
      <selection pane="bottomLeft" activeCell="N28" sqref="N28"/>
      <selection pane="bottomRight" activeCell="N28" sqref="N2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7109375" bestFit="1" customWidth="1"/>
    <col min="11" max="11" width="12.42578125" bestFit="1" customWidth="1"/>
    <col min="12" max="14" width="21" bestFit="1" customWidth="1"/>
    <col min="15" max="15" width="20.140625" bestFit="1" customWidth="1"/>
    <col min="16" max="16" width="22" bestFit="1" customWidth="1"/>
    <col min="17" max="18" width="21" bestFit="1" customWidth="1"/>
    <col min="19" max="19" width="18.57031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815" t="s">
        <v>0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5"/>
      <c r="T1" s="815"/>
      <c r="U1" s="815"/>
    </row>
    <row r="2" spans="1:21" ht="19.5" x14ac:dyDescent="0.3">
      <c r="A2" s="815" t="s">
        <v>327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</row>
    <row r="3" spans="1:21" ht="19.5" x14ac:dyDescent="0.3">
      <c r="A3" s="815" t="s">
        <v>335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709"/>
      <c r="L4" s="816" t="s">
        <v>2</v>
      </c>
      <c r="M4" s="800"/>
      <c r="N4" s="800"/>
      <c r="O4" s="800"/>
      <c r="P4" s="801"/>
      <c r="Q4" s="817" t="s">
        <v>3</v>
      </c>
      <c r="R4" s="800"/>
      <c r="S4" s="800"/>
      <c r="T4" s="800"/>
      <c r="U4" s="801"/>
    </row>
    <row r="5" spans="1:21" ht="19.5" x14ac:dyDescent="0.3">
      <c r="A5" s="822" t="s">
        <v>4</v>
      </c>
      <c r="B5" s="797"/>
      <c r="C5" s="797"/>
      <c r="D5" s="797"/>
      <c r="E5" s="797"/>
      <c r="F5" s="797"/>
      <c r="G5" s="798"/>
      <c r="H5" s="789" t="s">
        <v>5</v>
      </c>
      <c r="I5" s="814" t="s">
        <v>6</v>
      </c>
      <c r="J5" s="800"/>
      <c r="K5" s="801"/>
      <c r="L5" s="818" t="s">
        <v>7</v>
      </c>
      <c r="M5" s="801"/>
      <c r="N5" s="807" t="s">
        <v>8</v>
      </c>
      <c r="O5" s="800"/>
      <c r="P5" s="801"/>
      <c r="Q5" s="808" t="s">
        <v>7</v>
      </c>
      <c r="R5" s="801"/>
      <c r="S5" s="807" t="s">
        <v>8</v>
      </c>
      <c r="T5" s="800"/>
      <c r="U5" s="801"/>
    </row>
    <row r="6" spans="1:21" ht="19.5" x14ac:dyDescent="0.3">
      <c r="A6" s="799"/>
      <c r="B6" s="800"/>
      <c r="C6" s="800"/>
      <c r="D6" s="800"/>
      <c r="E6" s="800"/>
      <c r="F6" s="800"/>
      <c r="G6" s="801"/>
      <c r="H6" s="788"/>
      <c r="I6" s="6" t="s">
        <v>9</v>
      </c>
      <c r="J6" s="7" t="s">
        <v>10</v>
      </c>
      <c r="K6" s="6" t="s">
        <v>11</v>
      </c>
      <c r="L6" s="706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823"/>
      <c r="B7" s="800"/>
      <c r="C7" s="800"/>
      <c r="D7" s="800"/>
      <c r="E7" s="800"/>
      <c r="F7" s="800"/>
      <c r="G7" s="801"/>
      <c r="H7" s="14"/>
      <c r="I7" s="15"/>
      <c r="J7" s="15"/>
      <c r="K7" s="16"/>
      <c r="L7" s="580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571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71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71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71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71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71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71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71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580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803" t="s">
        <v>309</v>
      </c>
      <c r="B17" s="800"/>
      <c r="C17" s="800"/>
      <c r="D17" s="800"/>
      <c r="E17" s="800"/>
      <c r="F17" s="800"/>
      <c r="G17" s="801"/>
      <c r="H17" s="23"/>
      <c r="I17" s="24"/>
      <c r="J17" s="24"/>
      <c r="K17" s="25"/>
      <c r="L17" s="705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704">
        <f ca="1">L19+L20</f>
        <v>1843895</v>
      </c>
      <c r="M18" s="664">
        <f ca="1">M19+M20</f>
        <v>1942405</v>
      </c>
      <c r="N18" s="664">
        <f ca="1">N19+N20</f>
        <v>1489118.69</v>
      </c>
      <c r="O18" s="664">
        <f t="shared" ref="O18:O26" ca="1" si="0">IF(L18&gt;0,N18*100/L18,0)</f>
        <v>80.759408209252697</v>
      </c>
      <c r="P18" s="664">
        <f t="shared" ref="P18:P26" ca="1" si="1">IF(M18&gt;0,N18*100/M18,0)</f>
        <v>76.663656137623207</v>
      </c>
      <c r="Q18" s="664">
        <f ca="1">Q19+Q20</f>
        <v>2712768.39</v>
      </c>
      <c r="R18" s="664">
        <f ca="1">R19+R20</f>
        <v>2650268</v>
      </c>
      <c r="S18" s="664">
        <f ca="1">S19+S20</f>
        <v>430105</v>
      </c>
      <c r="T18" s="664">
        <f t="shared" ref="T18:T26" ca="1" si="2">IF(Q18&gt;0,S18*100/Q18,0)</f>
        <v>15.854836763266766</v>
      </c>
      <c r="U18" s="664">
        <f t="shared" ref="U18:U26" ca="1" si="3">IF(R18&gt;0,S18*100/R18,0)</f>
        <v>16.228736112725205</v>
      </c>
    </row>
    <row r="19" spans="1:21" ht="18.75" hidden="1" x14ac:dyDescent="0.25">
      <c r="A19" s="26"/>
      <c r="B19" s="27"/>
      <c r="C19" s="27"/>
      <c r="D19" s="27"/>
      <c r="E19" s="703" t="s">
        <v>20</v>
      </c>
      <c r="F19" s="27"/>
      <c r="G19" s="30"/>
      <c r="H19" s="702" t="s">
        <v>14</v>
      </c>
      <c r="I19" s="32"/>
      <c r="J19" s="32"/>
      <c r="K19" s="33"/>
      <c r="L19" s="701">
        <f t="shared" ref="L19:N20" si="4">L22+L25</f>
        <v>0</v>
      </c>
      <c r="M19" s="700">
        <f t="shared" si="4"/>
        <v>0</v>
      </c>
      <c r="N19" s="700">
        <f t="shared" si="4"/>
        <v>0</v>
      </c>
      <c r="O19" s="700">
        <f t="shared" si="0"/>
        <v>0</v>
      </c>
      <c r="P19" s="700">
        <f t="shared" si="1"/>
        <v>0</v>
      </c>
      <c r="Q19" s="700">
        <f t="shared" ref="Q19:S20" si="5">Q22+Q25</f>
        <v>0</v>
      </c>
      <c r="R19" s="700">
        <f t="shared" si="5"/>
        <v>0</v>
      </c>
      <c r="S19" s="700">
        <f t="shared" si="5"/>
        <v>0</v>
      </c>
      <c r="T19" s="700">
        <f t="shared" si="2"/>
        <v>0</v>
      </c>
      <c r="U19" s="700">
        <f t="shared" si="3"/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699">
        <f t="shared" ca="1" si="4"/>
        <v>1843895</v>
      </c>
      <c r="M20" s="698">
        <f t="shared" ca="1" si="4"/>
        <v>1942405</v>
      </c>
      <c r="N20" s="698">
        <f t="shared" ca="1" si="4"/>
        <v>1489118.69</v>
      </c>
      <c r="O20" s="698">
        <f t="shared" ca="1" si="0"/>
        <v>80.759408209252697</v>
      </c>
      <c r="P20" s="698">
        <f t="shared" ca="1" si="1"/>
        <v>76.663656137623207</v>
      </c>
      <c r="Q20" s="698">
        <f t="shared" ca="1" si="5"/>
        <v>2712768.39</v>
      </c>
      <c r="R20" s="698">
        <f t="shared" ca="1" si="5"/>
        <v>2650268</v>
      </c>
      <c r="S20" s="698">
        <f t="shared" ca="1" si="5"/>
        <v>430105</v>
      </c>
      <c r="T20" s="698">
        <f t="shared" ca="1" si="2"/>
        <v>15.854836763266766</v>
      </c>
      <c r="U20" s="698">
        <f t="shared" ca="1" si="3"/>
        <v>16.228736112725205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468">
        <f ca="1">L22+L23</f>
        <v>1843895</v>
      </c>
      <c r="M21" s="224">
        <f ca="1">M22+M23</f>
        <v>1942405</v>
      </c>
      <c r="N21" s="224">
        <f ca="1">N22+N23</f>
        <v>1489118.69</v>
      </c>
      <c r="O21" s="224">
        <f t="shared" ca="1" si="0"/>
        <v>80.759408209252697</v>
      </c>
      <c r="P21" s="224">
        <f t="shared" ca="1" si="1"/>
        <v>76.663656137623207</v>
      </c>
      <c r="Q21" s="224">
        <f ca="1">Q22+Q23</f>
        <v>2712768.39</v>
      </c>
      <c r="R21" s="224">
        <f ca="1">R22+R23</f>
        <v>2650268</v>
      </c>
      <c r="S21" s="224">
        <f ca="1">S22+S23</f>
        <v>430105</v>
      </c>
      <c r="T21" s="224">
        <f t="shared" ca="1" si="2"/>
        <v>15.854836763266766</v>
      </c>
      <c r="U21" s="224">
        <f t="shared" ca="1" si="3"/>
        <v>16.228736112725205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674" t="s">
        <v>14</v>
      </c>
      <c r="I22" s="44"/>
      <c r="J22" s="44"/>
      <c r="K22" s="45"/>
      <c r="L22" s="469">
        <f t="shared" ref="L22:N23" si="6">L48+L63+L76+L98+L129+L143+L161+L190+L177+L270+L286+L307+L324+L337+L360+L517</f>
        <v>0</v>
      </c>
      <c r="M22" s="83">
        <f t="shared" si="6"/>
        <v>0</v>
      </c>
      <c r="N22" s="83">
        <f t="shared" si="6"/>
        <v>0</v>
      </c>
      <c r="O22" s="83">
        <f t="shared" si="0"/>
        <v>0</v>
      </c>
      <c r="P22" s="83">
        <f t="shared" si="1"/>
        <v>0</v>
      </c>
      <c r="Q22" s="83">
        <f t="shared" ref="Q22:S23" si="7">Q76+Q98+Q121+Q143+Q161+Q177+Q190+Q270+Q286+Q307+Q337+Q379+Q396+Q417+Q497+Q603+Q620+Q646+Q694+Q718+Q732+Q764</f>
        <v>0</v>
      </c>
      <c r="R22" s="83">
        <f t="shared" si="7"/>
        <v>0</v>
      </c>
      <c r="S22" s="83">
        <f t="shared" si="7"/>
        <v>0</v>
      </c>
      <c r="T22" s="83">
        <f t="shared" si="2"/>
        <v>0</v>
      </c>
      <c r="U22" s="83">
        <f t="shared" si="3"/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468">
        <f t="shared" ca="1" si="6"/>
        <v>1843895</v>
      </c>
      <c r="M23" s="224">
        <f t="shared" ca="1" si="6"/>
        <v>1942405</v>
      </c>
      <c r="N23" s="224">
        <f t="shared" ca="1" si="6"/>
        <v>1489118.69</v>
      </c>
      <c r="O23" s="224">
        <f t="shared" ca="1" si="0"/>
        <v>80.759408209252697</v>
      </c>
      <c r="P23" s="224">
        <f t="shared" ca="1" si="1"/>
        <v>76.663656137623207</v>
      </c>
      <c r="Q23" s="224">
        <f t="shared" ca="1" si="7"/>
        <v>2712768.39</v>
      </c>
      <c r="R23" s="224">
        <f t="shared" ca="1" si="7"/>
        <v>2650268</v>
      </c>
      <c r="S23" s="224">
        <f t="shared" ca="1" si="7"/>
        <v>430105</v>
      </c>
      <c r="T23" s="224">
        <f t="shared" ca="1" si="2"/>
        <v>15.854836763266766</v>
      </c>
      <c r="U23" s="224">
        <f t="shared" ca="1" si="3"/>
        <v>16.228736112725205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468">
        <f ca="1">L25+L26</f>
        <v>0</v>
      </c>
      <c r="M24" s="224">
        <f ca="1">M25+M26</f>
        <v>0</v>
      </c>
      <c r="N24" s="224">
        <f ca="1">N25+N26</f>
        <v>0</v>
      </c>
      <c r="O24" s="224">
        <f t="shared" ca="1" si="0"/>
        <v>0</v>
      </c>
      <c r="P24" s="224">
        <f t="shared" ca="1" si="1"/>
        <v>0</v>
      </c>
      <c r="Q24" s="224">
        <f>Q25+Q26</f>
        <v>0</v>
      </c>
      <c r="R24" s="224">
        <f>R25+R26</f>
        <v>0</v>
      </c>
      <c r="S24" s="224">
        <f>S25+S26</f>
        <v>0</v>
      </c>
      <c r="T24" s="224">
        <f t="shared" si="2"/>
        <v>0</v>
      </c>
      <c r="U24" s="224">
        <f t="shared" si="3"/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674" t="s">
        <v>14</v>
      </c>
      <c r="I25" s="44"/>
      <c r="J25" s="44"/>
      <c r="K25" s="45"/>
      <c r="L25" s="469">
        <f t="shared" ref="L25:N26" si="8">L51+L66+L79+L101+L132+L146+L164+L193+L180+L273+L289+L310+L327+L340+L363+L520</f>
        <v>0</v>
      </c>
      <c r="M25" s="83">
        <f t="shared" si="8"/>
        <v>0</v>
      </c>
      <c r="N25" s="83">
        <f t="shared" si="8"/>
        <v>0</v>
      </c>
      <c r="O25" s="83">
        <f t="shared" si="0"/>
        <v>0</v>
      </c>
      <c r="P25" s="83">
        <f t="shared" si="1"/>
        <v>0</v>
      </c>
      <c r="Q25" s="83">
        <f t="shared" ref="Q25:S26" si="9">Q79+Q101+Q124+Q146+Q164+Q180+Q193+Q273+Q289+Q310+Q340+Q382+Q399+Q420+Q500+Q606+Q623+Q649+Q697+Q721+Q735+Q767</f>
        <v>0</v>
      </c>
      <c r="R25" s="83">
        <f t="shared" si="9"/>
        <v>0</v>
      </c>
      <c r="S25" s="83">
        <f t="shared" si="9"/>
        <v>0</v>
      </c>
      <c r="T25" s="83">
        <f t="shared" si="2"/>
        <v>0</v>
      </c>
      <c r="U25" s="83">
        <f t="shared" si="3"/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468">
        <f t="shared" ca="1" si="8"/>
        <v>0</v>
      </c>
      <c r="M26" s="224">
        <f t="shared" ca="1" si="8"/>
        <v>0</v>
      </c>
      <c r="N26" s="224">
        <f t="shared" ca="1" si="8"/>
        <v>0</v>
      </c>
      <c r="O26" s="224">
        <f t="shared" ca="1" si="0"/>
        <v>0</v>
      </c>
      <c r="P26" s="224">
        <f t="shared" ca="1" si="1"/>
        <v>0</v>
      </c>
      <c r="Q26" s="83">
        <f t="shared" si="9"/>
        <v>0</v>
      </c>
      <c r="R26" s="83">
        <f t="shared" si="9"/>
        <v>0</v>
      </c>
      <c r="S26" s="83">
        <f t="shared" si="9"/>
        <v>0</v>
      </c>
      <c r="T26" s="224">
        <f t="shared" si="2"/>
        <v>0</v>
      </c>
      <c r="U26" s="224">
        <f t="shared" si="3"/>
        <v>0</v>
      </c>
    </row>
    <row r="27" spans="1:21" ht="18.75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465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674" t="s">
        <v>14</v>
      </c>
      <c r="I28" s="44"/>
      <c r="J28" s="44"/>
      <c r="K28" s="45"/>
      <c r="L28" s="465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463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823"/>
      <c r="B30" s="800"/>
      <c r="C30" s="800"/>
      <c r="D30" s="800"/>
      <c r="E30" s="800"/>
      <c r="F30" s="800"/>
      <c r="G30" s="801"/>
      <c r="H30" s="14"/>
      <c r="I30" s="15"/>
      <c r="J30" s="15"/>
      <c r="K30" s="16"/>
      <c r="L30" s="580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571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7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71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7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7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7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7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71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580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697">
        <f ca="1">L44+L59+L72+L94+L125+L139+L157+L173+L186+L266+L282+L303+L320+L333+L356</f>
        <v>1843895</v>
      </c>
      <c r="M40" s="696">
        <f ca="1">M44+M59+M72+M94+M125+M139+M157+M173+M186+M266+M282+M303+M320+M333+M356</f>
        <v>1942405</v>
      </c>
      <c r="N40" s="696">
        <f ca="1">N44+N59+N72+N94+N125+N139+N157+N173+N186+N266+N282+N303+N320+N333+N356</f>
        <v>1489118.69</v>
      </c>
      <c r="O40" s="696">
        <f ca="1">IF(L40&gt;0,N40*100/L40,0)</f>
        <v>80.759408209252697</v>
      </c>
      <c r="P40" s="696">
        <f ca="1">IF(M40&gt;0,N40*100/M40,0)</f>
        <v>76.663656137623207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695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571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694" t="s">
        <v>19</v>
      </c>
      <c r="E44" s="71"/>
      <c r="F44" s="71"/>
      <c r="G44" s="74"/>
      <c r="H44" s="75" t="s">
        <v>14</v>
      </c>
      <c r="I44" s="76"/>
      <c r="J44" s="76"/>
      <c r="K44" s="77"/>
      <c r="L44" s="693">
        <f ca="1">L45+L46</f>
        <v>424800</v>
      </c>
      <c r="M44" s="692">
        <f ca="1">M45+M46</f>
        <v>424800</v>
      </c>
      <c r="N44" s="692">
        <f ca="1">N45+N46</f>
        <v>378230</v>
      </c>
      <c r="O44" s="692">
        <f t="shared" ref="O44:O52" ca="1" si="10">IF(L44&gt;0,N44*100/L44,0)</f>
        <v>89.037193973634658</v>
      </c>
      <c r="P44" s="692">
        <f t="shared" ref="P44:P52" ca="1" si="11">IF(M44&gt;0,N44*100/M44,0)</f>
        <v>89.037193973634658</v>
      </c>
      <c r="Q44" s="692">
        <f>Q45+Q46</f>
        <v>0</v>
      </c>
      <c r="R44" s="692">
        <f>R45+R46</f>
        <v>0</v>
      </c>
      <c r="S44" s="692">
        <f>S45+S46</f>
        <v>0</v>
      </c>
      <c r="T44" s="692">
        <f t="shared" ref="T44:T52" si="12">IF(Q44&gt;0,S44*100/Q44,0)</f>
        <v>0</v>
      </c>
      <c r="U44" s="692">
        <f t="shared" ref="U44:U52" si="13">IF(R44&gt;0,S44*100/R44,0)</f>
        <v>0</v>
      </c>
    </row>
    <row r="45" spans="1:21" ht="18.75" hidden="1" x14ac:dyDescent="0.25">
      <c r="A45" s="70"/>
      <c r="B45" s="71"/>
      <c r="C45" s="71"/>
      <c r="D45" s="71"/>
      <c r="E45" s="691" t="s">
        <v>20</v>
      </c>
      <c r="F45" s="71"/>
      <c r="G45" s="74"/>
      <c r="H45" s="690" t="s">
        <v>14</v>
      </c>
      <c r="I45" s="76"/>
      <c r="J45" s="76"/>
      <c r="K45" s="77"/>
      <c r="L45" s="689">
        <f t="shared" ref="L45:N46" si="14">L48+L51</f>
        <v>0</v>
      </c>
      <c r="M45" s="688">
        <f t="shared" si="14"/>
        <v>0</v>
      </c>
      <c r="N45" s="688">
        <f t="shared" si="14"/>
        <v>0</v>
      </c>
      <c r="O45" s="688">
        <f t="shared" si="10"/>
        <v>0</v>
      </c>
      <c r="P45" s="688">
        <f t="shared" si="11"/>
        <v>0</v>
      </c>
      <c r="Q45" s="688">
        <f t="shared" ref="Q45:S46" si="15">Q48+Q51</f>
        <v>0</v>
      </c>
      <c r="R45" s="688">
        <f t="shared" si="15"/>
        <v>0</v>
      </c>
      <c r="S45" s="688">
        <f t="shared" si="15"/>
        <v>0</v>
      </c>
      <c r="T45" s="688">
        <f t="shared" si="12"/>
        <v>0</v>
      </c>
      <c r="U45" s="688">
        <f t="shared" si="13"/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687">
        <f t="shared" ca="1" si="14"/>
        <v>424800</v>
      </c>
      <c r="M46" s="686">
        <f t="shared" ca="1" si="14"/>
        <v>424800</v>
      </c>
      <c r="N46" s="686">
        <f t="shared" ca="1" si="14"/>
        <v>378230</v>
      </c>
      <c r="O46" s="686">
        <f t="shared" ca="1" si="10"/>
        <v>89.037193973634658</v>
      </c>
      <c r="P46" s="686">
        <f t="shared" ca="1" si="11"/>
        <v>89.037193973634658</v>
      </c>
      <c r="Q46" s="686">
        <f t="shared" si="15"/>
        <v>0</v>
      </c>
      <c r="R46" s="686">
        <f t="shared" si="15"/>
        <v>0</v>
      </c>
      <c r="S46" s="686">
        <f t="shared" si="15"/>
        <v>0</v>
      </c>
      <c r="T46" s="686">
        <f t="shared" si="12"/>
        <v>0</v>
      </c>
      <c r="U46" s="686">
        <f t="shared" si="13"/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468">
        <f ca="1">L48+L49</f>
        <v>424800</v>
      </c>
      <c r="M47" s="224">
        <f ca="1">M48+M49</f>
        <v>424800</v>
      </c>
      <c r="N47" s="224">
        <f ca="1">N48+N49</f>
        <v>378230</v>
      </c>
      <c r="O47" s="224">
        <f t="shared" ca="1" si="10"/>
        <v>89.037193973634658</v>
      </c>
      <c r="P47" s="224">
        <f t="shared" ca="1" si="11"/>
        <v>89.037193973634658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 t="shared" si="12"/>
        <v>0</v>
      </c>
      <c r="U47" s="224">
        <f t="shared" si="13"/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674" t="s">
        <v>14</v>
      </c>
      <c r="I48" s="44"/>
      <c r="J48" s="44"/>
      <c r="K48" s="45"/>
      <c r="L48" s="469">
        <v>0</v>
      </c>
      <c r="M48" s="83">
        <v>0</v>
      </c>
      <c r="N48" s="83">
        <v>0</v>
      </c>
      <c r="O48" s="83">
        <f t="shared" si="10"/>
        <v>0</v>
      </c>
      <c r="P48" s="83">
        <f t="shared" si="11"/>
        <v>0</v>
      </c>
      <c r="Q48" s="83">
        <v>0</v>
      </c>
      <c r="R48" s="83">
        <v>0</v>
      </c>
      <c r="S48" s="83">
        <v>0</v>
      </c>
      <c r="T48" s="83">
        <f t="shared" si="12"/>
        <v>0</v>
      </c>
      <c r="U48" s="83">
        <f t="shared" si="13"/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468">
        <f ca="1">IFERROR(__xludf.DUMMYFUNCTION("IMPORTRANGE(""https://docs.google.com/spreadsheets/d/1-uDff_7J0KD5mKrp0Vvzr7lt3OU09vwQwhkpOPPYv2Y/edit?usp=sharing"",""งบพรบ!P24"")"),424800)</f>
        <v>424800</v>
      </c>
      <c r="M49" s="224">
        <f ca="1">IFERROR(__xludf.DUMMYFUNCTION("IMPORTRANGE(""https://docs.google.com/spreadsheets/d/1-uDff_7J0KD5mKrp0Vvzr7lt3OU09vwQwhkpOPPYv2Y/edit?usp=sharing"",""งบพรบ!V24"")"),424800)</f>
        <v>424800</v>
      </c>
      <c r="N49" s="224">
        <f ca="1">IFERROR(__xludf.DUMMYFUNCTION("IMPORTRANGE(""https://docs.google.com/spreadsheets/d/1-uDff_7J0KD5mKrp0Vvzr7lt3OU09vwQwhkpOPPYv2Y/edit?usp=sharing"",""งบพรบ!Y24"")"),378230)</f>
        <v>378230</v>
      </c>
      <c r="O49" s="224">
        <f t="shared" ca="1" si="10"/>
        <v>89.037193973634658</v>
      </c>
      <c r="P49" s="224">
        <f t="shared" ca="1" si="11"/>
        <v>89.037193973634658</v>
      </c>
      <c r="Q49" s="224">
        <v>0</v>
      </c>
      <c r="R49" s="224">
        <v>0</v>
      </c>
      <c r="S49" s="224">
        <v>0</v>
      </c>
      <c r="T49" s="224">
        <f t="shared" si="12"/>
        <v>0</v>
      </c>
      <c r="U49" s="224">
        <f t="shared" si="13"/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468">
        <f ca="1">L51+L52</f>
        <v>0</v>
      </c>
      <c r="M50" s="224">
        <f ca="1">M51+M52</f>
        <v>0</v>
      </c>
      <c r="N50" s="224">
        <f ca="1">N51+N52</f>
        <v>0</v>
      </c>
      <c r="O50" s="224">
        <f t="shared" ca="1" si="10"/>
        <v>0</v>
      </c>
      <c r="P50" s="224">
        <f t="shared" ca="1" si="11"/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 t="shared" si="12"/>
        <v>0</v>
      </c>
      <c r="U50" s="224">
        <f t="shared" si="13"/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674" t="s">
        <v>14</v>
      </c>
      <c r="I51" s="44"/>
      <c r="J51" s="44"/>
      <c r="K51" s="45"/>
      <c r="L51" s="469">
        <v>0</v>
      </c>
      <c r="M51" s="83">
        <v>0</v>
      </c>
      <c r="N51" s="83">
        <v>0</v>
      </c>
      <c r="O51" s="83">
        <f t="shared" si="10"/>
        <v>0</v>
      </c>
      <c r="P51" s="83">
        <f t="shared" si="11"/>
        <v>0</v>
      </c>
      <c r="Q51" s="83">
        <v>0</v>
      </c>
      <c r="R51" s="83">
        <v>0</v>
      </c>
      <c r="S51" s="83">
        <v>0</v>
      </c>
      <c r="T51" s="83">
        <f t="shared" si="12"/>
        <v>0</v>
      </c>
      <c r="U51" s="83">
        <f t="shared" si="13"/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468">
        <f ca="1">IFERROR(__xludf.DUMMYFUNCTION("IMPORTRANGE(""https://docs.google.com/spreadsheets/d/1-uDff_7J0KD5mKrp0Vvzr7lt3OU09vwQwhkpOPPYv2Y/edit?usp=sharing"",""งบพรบ!S24"")"),0)</f>
        <v>0</v>
      </c>
      <c r="M52" s="224">
        <f ca="1">IFERROR(__xludf.DUMMYFUNCTION("IMPORTRANGE(""https://docs.google.com/spreadsheets/d/1-uDff_7J0KD5mKrp0Vvzr7lt3OU09vwQwhkpOPPYv2Y/edit?usp=sharing"",""งบพรบ!W24"")"),0)</f>
        <v>0</v>
      </c>
      <c r="N52" s="224">
        <f ca="1">IFERROR(__xludf.DUMMYFUNCTION("IMPORTRANGE(""https://docs.google.com/spreadsheets/d/1-uDff_7J0KD5mKrp0Vvzr7lt3OU09vwQwhkpOPPYv2Y/edit?usp=sharing"",""งบพรบ!Z24"")"),0)</f>
        <v>0</v>
      </c>
      <c r="O52" s="224">
        <f t="shared" ca="1" si="10"/>
        <v>0</v>
      </c>
      <c r="P52" s="224">
        <f t="shared" ca="1" si="11"/>
        <v>0</v>
      </c>
      <c r="Q52" s="224">
        <v>0</v>
      </c>
      <c r="R52" s="224">
        <v>0</v>
      </c>
      <c r="S52" s="224">
        <v>0</v>
      </c>
      <c r="T52" s="224">
        <f t="shared" si="12"/>
        <v>0</v>
      </c>
      <c r="U52" s="224">
        <f t="shared" si="13"/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465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674" t="s">
        <v>14</v>
      </c>
      <c r="I54" s="44"/>
      <c r="J54" s="44"/>
      <c r="K54" s="45"/>
      <c r="L54" s="465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463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804" t="s">
        <v>28</v>
      </c>
      <c r="B56" s="800"/>
      <c r="C56" s="800"/>
      <c r="D56" s="800"/>
      <c r="E56" s="800"/>
      <c r="F56" s="800"/>
      <c r="G56" s="80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805" t="s">
        <v>29</v>
      </c>
      <c r="C57" s="793"/>
      <c r="D57" s="793"/>
      <c r="E57" s="793"/>
      <c r="F57" s="793"/>
      <c r="G57" s="794"/>
      <c r="H57" s="89"/>
      <c r="I57" s="90"/>
      <c r="J57" s="90"/>
      <c r="K57" s="91"/>
      <c r="L57" s="68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8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8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82">
        <f ca="1">L60+L61</f>
        <v>417500</v>
      </c>
      <c r="M59" s="681">
        <f ca="1">M60+M61</f>
        <v>417500</v>
      </c>
      <c r="N59" s="681">
        <f ca="1">N60+N61</f>
        <v>338880.22</v>
      </c>
      <c r="O59" s="681">
        <f t="shared" ref="O59:O67" ca="1" si="16">IF(L59&gt;0,N59*100/L59,0)</f>
        <v>81.168914970059873</v>
      </c>
      <c r="P59" s="681">
        <f t="shared" ref="P59:P67" ca="1" si="17">IF(M59&gt;0,N59*100/M59,0)</f>
        <v>81.168914970059873</v>
      </c>
      <c r="Q59" s="681">
        <f>Q60+Q61</f>
        <v>0</v>
      </c>
      <c r="R59" s="681">
        <f>R60+R61</f>
        <v>0</v>
      </c>
      <c r="S59" s="681">
        <f>S60+S61</f>
        <v>0</v>
      </c>
      <c r="T59" s="681">
        <f t="shared" ref="T59:T67" si="18">IF(Q59&gt;0,S59*100/Q59,0)</f>
        <v>0</v>
      </c>
      <c r="U59" s="681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80" t="s">
        <v>20</v>
      </c>
      <c r="F60" s="99"/>
      <c r="G60" s="102"/>
      <c r="H60" s="679" t="s">
        <v>14</v>
      </c>
      <c r="I60" s="104"/>
      <c r="J60" s="104"/>
      <c r="K60" s="105"/>
      <c r="L60" s="678">
        <f t="shared" ref="L60:N61" si="20">L63+L66</f>
        <v>0</v>
      </c>
      <c r="M60" s="677">
        <f t="shared" si="20"/>
        <v>0</v>
      </c>
      <c r="N60" s="677">
        <f t="shared" si="20"/>
        <v>0</v>
      </c>
      <c r="O60" s="677">
        <f t="shared" si="16"/>
        <v>0</v>
      </c>
      <c r="P60" s="677">
        <f t="shared" si="17"/>
        <v>0</v>
      </c>
      <c r="Q60" s="677">
        <f t="shared" ref="Q60:S61" si="21">Q63+Q66</f>
        <v>0</v>
      </c>
      <c r="R60" s="677">
        <f t="shared" si="21"/>
        <v>0</v>
      </c>
      <c r="S60" s="677">
        <f t="shared" si="21"/>
        <v>0</v>
      </c>
      <c r="T60" s="677">
        <f t="shared" si="18"/>
        <v>0</v>
      </c>
      <c r="U60" s="677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76">
        <f t="shared" ca="1" si="20"/>
        <v>417500</v>
      </c>
      <c r="M61" s="675">
        <f t="shared" ca="1" si="20"/>
        <v>417500</v>
      </c>
      <c r="N61" s="675">
        <f t="shared" ca="1" si="20"/>
        <v>338880.22</v>
      </c>
      <c r="O61" s="675">
        <f t="shared" ca="1" si="16"/>
        <v>81.168914970059873</v>
      </c>
      <c r="P61" s="675">
        <f t="shared" ca="1" si="17"/>
        <v>81.168914970059873</v>
      </c>
      <c r="Q61" s="675">
        <f t="shared" si="21"/>
        <v>0</v>
      </c>
      <c r="R61" s="675">
        <f t="shared" si="21"/>
        <v>0</v>
      </c>
      <c r="S61" s="675">
        <f t="shared" si="21"/>
        <v>0</v>
      </c>
      <c r="T61" s="675">
        <f t="shared" si="18"/>
        <v>0</v>
      </c>
      <c r="U61" s="675">
        <f t="shared" si="19"/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468">
        <f ca="1">L63+L64</f>
        <v>417500</v>
      </c>
      <c r="M62" s="224">
        <f ca="1">M63+M64</f>
        <v>417500</v>
      </c>
      <c r="N62" s="224">
        <f ca="1">N63+N64</f>
        <v>338880.22</v>
      </c>
      <c r="O62" s="224">
        <f t="shared" ca="1" si="16"/>
        <v>81.168914970059873</v>
      </c>
      <c r="P62" s="224">
        <f t="shared" ca="1" si="17"/>
        <v>81.168914970059873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 t="shared" si="18"/>
        <v>0</v>
      </c>
      <c r="U62" s="224">
        <f t="shared" si="19"/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674" t="s">
        <v>14</v>
      </c>
      <c r="I63" s="44"/>
      <c r="J63" s="44"/>
      <c r="K63" s="45"/>
      <c r="L63" s="469">
        <v>0</v>
      </c>
      <c r="M63" s="83">
        <v>0</v>
      </c>
      <c r="N63" s="83">
        <v>0</v>
      </c>
      <c r="O63" s="83">
        <f t="shared" si="16"/>
        <v>0</v>
      </c>
      <c r="P63" s="83">
        <f t="shared" si="17"/>
        <v>0</v>
      </c>
      <c r="Q63" s="83">
        <v>0</v>
      </c>
      <c r="R63" s="83">
        <v>0</v>
      </c>
      <c r="S63" s="83">
        <v>0</v>
      </c>
      <c r="T63" s="83">
        <f t="shared" si="18"/>
        <v>0</v>
      </c>
      <c r="U63" s="83">
        <f t="shared" si="19"/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468">
        <f ca="1">IFERROR(__xludf.DUMMYFUNCTION("IMPORTRANGE(""https://docs.google.com/spreadsheets/d/1-uDff_7J0KD5mKrp0Vvzr7lt3OU09vwQwhkpOPPYv2Y/edit?usp=sharing"",""งบพรบ!AC24"")"),417500)</f>
        <v>417500</v>
      </c>
      <c r="M64" s="224">
        <f ca="1">IFERROR(__xludf.DUMMYFUNCTION("IMPORTRANGE(""https://docs.google.com/spreadsheets/d/1-uDff_7J0KD5mKrp0Vvzr7lt3OU09vwQwhkpOPPYv2Y/edit?usp=sharing"",""งบพรบ!AH24"")"),417500)</f>
        <v>417500</v>
      </c>
      <c r="N64" s="224">
        <f ca="1">IFERROR(__xludf.DUMMYFUNCTION("IMPORTRANGE(""https://docs.google.com/spreadsheets/d/1-uDff_7J0KD5mKrp0Vvzr7lt3OU09vwQwhkpOPPYv2Y/edit?usp=sharing"",""งบพรบ!AJ24"")"),338880.22)</f>
        <v>338880.22</v>
      </c>
      <c r="O64" s="224">
        <f t="shared" ca="1" si="16"/>
        <v>81.168914970059873</v>
      </c>
      <c r="P64" s="224">
        <f t="shared" ca="1" si="17"/>
        <v>81.168914970059873</v>
      </c>
      <c r="Q64" s="224">
        <v>0</v>
      </c>
      <c r="R64" s="224">
        <v>0</v>
      </c>
      <c r="S64" s="224">
        <v>0</v>
      </c>
      <c r="T64" s="224">
        <f t="shared" si="18"/>
        <v>0</v>
      </c>
      <c r="U64" s="224">
        <f t="shared" si="19"/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468">
        <f ca="1">L66+L67</f>
        <v>0</v>
      </c>
      <c r="M65" s="224">
        <f ca="1">M66+M67</f>
        <v>0</v>
      </c>
      <c r="N65" s="224">
        <f ca="1">N66+N67</f>
        <v>0</v>
      </c>
      <c r="O65" s="224">
        <f t="shared" ca="1" si="16"/>
        <v>0</v>
      </c>
      <c r="P65" s="224">
        <f t="shared" ca="1" si="17"/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 t="shared" si="18"/>
        <v>0</v>
      </c>
      <c r="U65" s="224">
        <f t="shared" si="19"/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674" t="s">
        <v>14</v>
      </c>
      <c r="I66" s="44"/>
      <c r="J66" s="44"/>
      <c r="K66" s="45"/>
      <c r="L66" s="469">
        <v>0</v>
      </c>
      <c r="M66" s="83">
        <v>0</v>
      </c>
      <c r="N66" s="83">
        <v>0</v>
      </c>
      <c r="O66" s="83">
        <f t="shared" si="16"/>
        <v>0</v>
      </c>
      <c r="P66" s="83">
        <f t="shared" si="17"/>
        <v>0</v>
      </c>
      <c r="Q66" s="83">
        <v>0</v>
      </c>
      <c r="R66" s="83">
        <v>0</v>
      </c>
      <c r="S66" s="83">
        <v>0</v>
      </c>
      <c r="T66" s="83">
        <f t="shared" si="18"/>
        <v>0</v>
      </c>
      <c r="U66" s="83">
        <f t="shared" si="19"/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673">
        <f ca="1">IFERROR(__xludf.DUMMYFUNCTION("IMPORTRANGE(""https://docs.google.com/spreadsheets/d/1-uDff_7J0KD5mKrp0Vvzr7lt3OU09vwQwhkpOPPYv2Y/edit?usp=sharing"",""งบพรบ!AF24"")"),0)</f>
        <v>0</v>
      </c>
      <c r="M67" s="455">
        <f ca="1">IFERROR(__xludf.DUMMYFUNCTION("IMPORTRANGE(""https://docs.google.com/spreadsheets/d/1-uDff_7J0KD5mKrp0Vvzr7lt3OU09vwQwhkpOPPYv2Y/edit?usp=sharing"",""งบพรบ!AI24"")"),0)</f>
        <v>0</v>
      </c>
      <c r="N67" s="455">
        <f ca="1">IFERROR(__xludf.DUMMYFUNCTION("IMPORTRANGE(""https://docs.google.com/spreadsheets/d/1-uDff_7J0KD5mKrp0Vvzr7lt3OU09vwQwhkpOPPYv2Y/edit?usp=sharing"",""งบพรบ!AK24"")"),0)</f>
        <v>0</v>
      </c>
      <c r="O67" s="455">
        <f t="shared" ca="1" si="16"/>
        <v>0</v>
      </c>
      <c r="P67" s="455">
        <f t="shared" ca="1" si="17"/>
        <v>0</v>
      </c>
      <c r="Q67" s="455">
        <v>0</v>
      </c>
      <c r="R67" s="455">
        <v>0</v>
      </c>
      <c r="S67" s="455">
        <v>0</v>
      </c>
      <c r="T67" s="455">
        <f t="shared" si="18"/>
        <v>0</v>
      </c>
      <c r="U67" s="455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7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665">
        <f ca="1">I82</f>
        <v>1</v>
      </c>
      <c r="J70" s="665">
        <f>J82</f>
        <v>0</v>
      </c>
      <c r="K70" s="664">
        <f ca="1">IF(I70&gt;0,J70*100/I70,0)</f>
        <v>0</v>
      </c>
      <c r="L70" s="510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665">
        <f ca="1">I83</f>
        <v>31</v>
      </c>
      <c r="J71" s="665">
        <f>J83</f>
        <v>0</v>
      </c>
      <c r="K71" s="664">
        <f ca="1">IF(I71&gt;0,J71*100/I71,0)</f>
        <v>0</v>
      </c>
      <c r="L71" s="510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129" t="s">
        <v>18</v>
      </c>
      <c r="D72" s="472" t="s">
        <v>19</v>
      </c>
      <c r="E72" s="40"/>
      <c r="F72" s="40"/>
      <c r="G72" s="42"/>
      <c r="H72" s="131" t="s">
        <v>14</v>
      </c>
      <c r="I72" s="44"/>
      <c r="J72" s="44"/>
      <c r="K72" s="45"/>
      <c r="L72" s="471">
        <f ca="1">L73+L74</f>
        <v>90000</v>
      </c>
      <c r="M72" s="470">
        <f ca="1">M73+M74</f>
        <v>90000</v>
      </c>
      <c r="N72" s="470">
        <f ca="1">N73+N74</f>
        <v>58700</v>
      </c>
      <c r="O72" s="470">
        <f t="shared" ref="O72:O80" ca="1" si="22">IF(L72&gt;0,N72*100/L72,0)</f>
        <v>65.222222222222229</v>
      </c>
      <c r="P72" s="470">
        <f t="shared" ref="P72:P80" ca="1" si="23">IF(M72&gt;0,N72*100/M72,0)</f>
        <v>65.222222222222229</v>
      </c>
      <c r="Q72" s="470">
        <f ca="1">Q73+Q74</f>
        <v>410120</v>
      </c>
      <c r="R72" s="470">
        <f ca="1">R73+R74</f>
        <v>410120</v>
      </c>
      <c r="S72" s="470">
        <f ca="1">S73+S74</f>
        <v>0</v>
      </c>
      <c r="T72" s="470">
        <f t="shared" ref="T72:T80" ca="1" si="24">IF(Q72&gt;0,S72*100/Q72,0)</f>
        <v>0</v>
      </c>
      <c r="U72" s="470">
        <f t="shared" ref="U72:U80" ca="1" si="25">IF(R72&gt;0,S72*100/R72,0)</f>
        <v>0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469">
        <f t="shared" ref="L73:N74" si="26">L76+L79</f>
        <v>0</v>
      </c>
      <c r="M73" s="83">
        <f t="shared" si="26"/>
        <v>0</v>
      </c>
      <c r="N73" s="83">
        <f t="shared" si="26"/>
        <v>0</v>
      </c>
      <c r="O73" s="83">
        <f t="shared" si="22"/>
        <v>0</v>
      </c>
      <c r="P73" s="83">
        <f t="shared" si="23"/>
        <v>0</v>
      </c>
      <c r="Q73" s="83">
        <f t="shared" ref="Q73:S74" si="27">Q76+Q79</f>
        <v>0</v>
      </c>
      <c r="R73" s="83">
        <f t="shared" si="27"/>
        <v>0</v>
      </c>
      <c r="S73" s="83">
        <f t="shared" si="27"/>
        <v>0</v>
      </c>
      <c r="T73" s="83">
        <f t="shared" si="24"/>
        <v>0</v>
      </c>
      <c r="U73" s="83">
        <f t="shared" si="25"/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468">
        <f t="shared" ca="1" si="26"/>
        <v>90000</v>
      </c>
      <c r="M74" s="224">
        <f t="shared" ca="1" si="26"/>
        <v>90000</v>
      </c>
      <c r="N74" s="224">
        <f t="shared" ca="1" si="26"/>
        <v>58700</v>
      </c>
      <c r="O74" s="224">
        <f t="shared" ca="1" si="22"/>
        <v>65.222222222222229</v>
      </c>
      <c r="P74" s="224">
        <f t="shared" ca="1" si="23"/>
        <v>65.222222222222229</v>
      </c>
      <c r="Q74" s="224">
        <f t="shared" ca="1" si="27"/>
        <v>410120</v>
      </c>
      <c r="R74" s="224">
        <f t="shared" ca="1" si="27"/>
        <v>410120</v>
      </c>
      <c r="S74" s="224">
        <f t="shared" ca="1" si="27"/>
        <v>0</v>
      </c>
      <c r="T74" s="224">
        <f t="shared" ca="1" si="24"/>
        <v>0</v>
      </c>
      <c r="U74" s="224">
        <f t="shared" ca="1" si="25"/>
        <v>0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468">
        <f ca="1">L76+L77</f>
        <v>90000</v>
      </c>
      <c r="M75" s="224">
        <f ca="1">M76+M77</f>
        <v>90000</v>
      </c>
      <c r="N75" s="224">
        <f ca="1">N76+N77</f>
        <v>58700</v>
      </c>
      <c r="O75" s="224">
        <f t="shared" ca="1" si="22"/>
        <v>65.222222222222229</v>
      </c>
      <c r="P75" s="224">
        <f t="shared" ca="1" si="23"/>
        <v>65.222222222222229</v>
      </c>
      <c r="Q75" s="224">
        <f ca="1">Q76+Q77</f>
        <v>410120</v>
      </c>
      <c r="R75" s="224">
        <f ca="1">R76+R77</f>
        <v>410120</v>
      </c>
      <c r="S75" s="224">
        <f ca="1">S76+S77</f>
        <v>0</v>
      </c>
      <c r="T75" s="224">
        <f t="shared" ca="1" si="24"/>
        <v>0</v>
      </c>
      <c r="U75" s="224">
        <f t="shared" ca="1" si="25"/>
        <v>0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469">
        <v>0</v>
      </c>
      <c r="M76" s="83">
        <v>0</v>
      </c>
      <c r="N76" s="83">
        <v>0</v>
      </c>
      <c r="O76" s="83">
        <f t="shared" si="22"/>
        <v>0</v>
      </c>
      <c r="P76" s="83">
        <f t="shared" si="23"/>
        <v>0</v>
      </c>
      <c r="Q76" s="83">
        <v>0</v>
      </c>
      <c r="R76" s="83">
        <v>0</v>
      </c>
      <c r="S76" s="83">
        <v>0</v>
      </c>
      <c r="T76" s="83">
        <f t="shared" si="24"/>
        <v>0</v>
      </c>
      <c r="U76" s="83">
        <f t="shared" si="25"/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468">
        <f ca="1">IFERROR(__xludf.DUMMYFUNCTION("IMPORTRANGE(""https://docs.google.com/spreadsheets/d/1-uDff_7J0KD5mKrp0Vvzr7lt3OU09vwQwhkpOPPYv2Y/edit?usp=sharing"",""งบพรบ!AM24"")"),90000)</f>
        <v>90000</v>
      </c>
      <c r="M77" s="224">
        <f ca="1">IFERROR(__xludf.DUMMYFUNCTION("IMPORTRANGE(""https://docs.google.com/spreadsheets/d/1-uDff_7J0KD5mKrp0Vvzr7lt3OU09vwQwhkpOPPYv2Y/edit?usp=sharing"",""งบพรบ!AR24"")"),90000)</f>
        <v>90000</v>
      </c>
      <c r="N77" s="224">
        <f ca="1">IFERROR(__xludf.DUMMYFUNCTION("IMPORTRANGE(""https://docs.google.com/spreadsheets/d/1-uDff_7J0KD5mKrp0Vvzr7lt3OU09vwQwhkpOPPYv2Y/edit?usp=sharing"",""งบพรบ!AT24"")"),58700)</f>
        <v>58700</v>
      </c>
      <c r="O77" s="224">
        <f t="shared" ca="1" si="22"/>
        <v>65.222222222222229</v>
      </c>
      <c r="P77" s="224">
        <f t="shared" ca="1" si="23"/>
        <v>65.222222222222229</v>
      </c>
      <c r="Q77" s="224">
        <f ca="1">IFERROR(__xludf.DUMMYFUNCTION("IMPORTRANGE(""https://docs.google.com/spreadsheets/d/1ItG2mGa2ceCfYo0BwxsXqNm01IGEUdYcSSLTEv9YCik/edit?usp=sharing"",""เบิกจ่ายกองทุน!AS24"")"),410120)</f>
        <v>410120</v>
      </c>
      <c r="R77" s="224">
        <f ca="1">IFERROR(__xludf.DUMMYFUNCTION("IMPORTRANGE(""https://docs.google.com/spreadsheets/d/1ItG2mGa2ceCfYo0BwxsXqNm01IGEUdYcSSLTEv9YCik/edit?usp=sharing"",""เบิกจ่ายกองทุน!AT24"")"),410120)</f>
        <v>410120</v>
      </c>
      <c r="S77" s="224">
        <f ca="1">IFERROR(__xludf.DUMMYFUNCTION("IMPORTRANGE(""https://docs.google.com/spreadsheets/d/1ItG2mGa2ceCfYo0BwxsXqNm01IGEUdYcSSLTEv9YCik/edit?usp=sharing"",""เบิกจ่ายกองทุน!AU24"")"),0)</f>
        <v>0</v>
      </c>
      <c r="T77" s="224">
        <f t="shared" ca="1" si="24"/>
        <v>0</v>
      </c>
      <c r="U77" s="224">
        <f t="shared" ca="1" si="25"/>
        <v>0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468">
        <f ca="1">L79+L80</f>
        <v>0</v>
      </c>
      <c r="M78" s="224">
        <f ca="1">M79+M80</f>
        <v>0</v>
      </c>
      <c r="N78" s="224">
        <f ca="1">N79+N80</f>
        <v>0</v>
      </c>
      <c r="O78" s="224">
        <f t="shared" ca="1" si="22"/>
        <v>0</v>
      </c>
      <c r="P78" s="224">
        <f t="shared" ca="1" si="23"/>
        <v>0</v>
      </c>
      <c r="Q78" s="224">
        <f>Q79+Q80</f>
        <v>0</v>
      </c>
      <c r="R78" s="224">
        <f>R79+R80</f>
        <v>0</v>
      </c>
      <c r="S78" s="224">
        <f>S79+S80</f>
        <v>0</v>
      </c>
      <c r="T78" s="224">
        <f t="shared" si="24"/>
        <v>0</v>
      </c>
      <c r="U78" s="224">
        <f t="shared" si="25"/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469">
        <v>0</v>
      </c>
      <c r="M79" s="224">
        <v>0</v>
      </c>
      <c r="N79" s="224">
        <v>0</v>
      </c>
      <c r="O79" s="83">
        <f t="shared" si="22"/>
        <v>0</v>
      </c>
      <c r="P79" s="83">
        <f t="shared" si="23"/>
        <v>0</v>
      </c>
      <c r="Q79" s="83">
        <v>0</v>
      </c>
      <c r="R79" s="224">
        <v>0</v>
      </c>
      <c r="S79" s="224">
        <v>0</v>
      </c>
      <c r="T79" s="83">
        <f t="shared" si="24"/>
        <v>0</v>
      </c>
      <c r="U79" s="83">
        <f t="shared" si="25"/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468">
        <f ca="1">IFERROR(__xludf.DUMMYFUNCTION("IMPORTRANGE(""https://docs.google.com/spreadsheets/d/1-uDff_7J0KD5mKrp0Vvzr7lt3OU09vwQwhkpOPPYv2Y/edit?usp=sharing"",""งบพรบ!AP24"")"),0)</f>
        <v>0</v>
      </c>
      <c r="M80" s="224">
        <f ca="1">IFERROR(__xludf.DUMMYFUNCTION("IMPORTRANGE(""https://docs.google.com/spreadsheets/d/1-uDff_7J0KD5mKrp0Vvzr7lt3OU09vwQwhkpOPPYv2Y/edit?usp=sharing"",""งบพรบ!AS24"")"),0)</f>
        <v>0</v>
      </c>
      <c r="N80" s="224">
        <f ca="1">IFERROR(__xludf.DUMMYFUNCTION("IMPORTRANGE(""https://docs.google.com/spreadsheets/d/1-uDff_7J0KD5mKrp0Vvzr7lt3OU09vwQwhkpOPPYv2Y/edit?usp=sharing"",""งบพรบ!AU24"")"),0)</f>
        <v>0</v>
      </c>
      <c r="O80" s="224">
        <f t="shared" ca="1" si="22"/>
        <v>0</v>
      </c>
      <c r="P80" s="224">
        <f t="shared" ca="1" si="23"/>
        <v>0</v>
      </c>
      <c r="Q80" s="224">
        <v>0</v>
      </c>
      <c r="R80" s="224">
        <v>0</v>
      </c>
      <c r="S80" s="224">
        <v>0</v>
      </c>
      <c r="T80" s="224">
        <f t="shared" si="24"/>
        <v>0</v>
      </c>
      <c r="U80" s="224">
        <f t="shared" si="25"/>
        <v>0</v>
      </c>
    </row>
    <row r="81" spans="1:21" ht="19.5" x14ac:dyDescent="0.3">
      <c r="A81" s="138"/>
      <c r="B81" s="139"/>
      <c r="C81" s="129" t="s">
        <v>18</v>
      </c>
      <c r="D81" s="498" t="s">
        <v>38</v>
      </c>
      <c r="E81" s="141"/>
      <c r="F81" s="141"/>
      <c r="G81" s="142"/>
      <c r="H81" s="143"/>
      <c r="I81" s="135"/>
      <c r="J81" s="135"/>
      <c r="K81" s="136"/>
      <c r="L81" s="4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ca="1">I84+I86+I88</f>
        <v>1</v>
      </c>
      <c r="J82" s="328">
        <f>J84+J86+J88</f>
        <v>0</v>
      </c>
      <c r="K82" s="582">
        <f t="shared" ref="K82:K90" ca="1" si="28">IF(I82&gt;0,J82*100/I82,0)</f>
        <v>0</v>
      </c>
      <c r="L82" s="4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ca="1">I85+I87+I89</f>
        <v>31</v>
      </c>
      <c r="J83" s="328">
        <f>J85+J87+J89</f>
        <v>0</v>
      </c>
      <c r="K83" s="582">
        <f t="shared" ca="1" si="28"/>
        <v>0</v>
      </c>
      <c r="L83" s="4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581">
        <f ca="1">IFERROR(__xludf.DUMMYFUNCTION("IMPORTRANGE(""https://docs.google.com/spreadsheets/d/1eHaY18a8A9IcSdp1K8H6x8fbOy06t2VsZHhMHf-1x7Y/edit?usp=sharing"",""แผน!H24"")"),1)</f>
        <v>1</v>
      </c>
      <c r="J84" s="466">
        <v>0</v>
      </c>
      <c r="K84" s="497">
        <f t="shared" ca="1" si="28"/>
        <v>0</v>
      </c>
      <c r="L84" s="4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581">
        <f ca="1">IFERROR(__xludf.DUMMYFUNCTION("IMPORTRANGE(""https://docs.google.com/spreadsheets/d/1eHaY18a8A9IcSdp1K8H6x8fbOy06t2VsZHhMHf-1x7Y/edit?usp=sharing"",""แผน!I24"")"),31)</f>
        <v>31</v>
      </c>
      <c r="J85" s="466">
        <v>0</v>
      </c>
      <c r="K85" s="497">
        <f t="shared" ca="1" si="28"/>
        <v>0</v>
      </c>
      <c r="L85" s="4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581">
        <f ca="1">IFERROR(__xludf.DUMMYFUNCTION("IMPORTRANGE(""https://docs.google.com/spreadsheets/d/1eHaY18a8A9IcSdp1K8H6x8fbOy06t2VsZHhMHf-1x7Y/edit?usp=sharing"",""แผน!F24"")"),0)</f>
        <v>0</v>
      </c>
      <c r="J86" s="466">
        <v>0</v>
      </c>
      <c r="K86" s="497">
        <f t="shared" ca="1" si="28"/>
        <v>0</v>
      </c>
      <c r="L86" s="4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581">
        <f ca="1">IFERROR(__xludf.DUMMYFUNCTION("IMPORTRANGE(""https://docs.google.com/spreadsheets/d/1eHaY18a8A9IcSdp1K8H6x8fbOy06t2VsZHhMHf-1x7Y/edit?usp=sharing"",""แผน!G24"")"),0)</f>
        <v>0</v>
      </c>
      <c r="J87" s="466">
        <v>0</v>
      </c>
      <c r="K87" s="497">
        <f t="shared" ca="1" si="28"/>
        <v>0</v>
      </c>
      <c r="L87" s="4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581">
        <f ca="1">IFERROR(__xludf.DUMMYFUNCTION("IMPORTRANGE(""https://docs.google.com/spreadsheets/d/1eHaY18a8A9IcSdp1K8H6x8fbOy06t2VsZHhMHf-1x7Y/edit?usp=sharing"",""แผน!D24"")"),0)</f>
        <v>0</v>
      </c>
      <c r="J88" s="466">
        <v>0</v>
      </c>
      <c r="K88" s="497">
        <f t="shared" ca="1" si="28"/>
        <v>0</v>
      </c>
      <c r="L88" s="4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581">
        <f ca="1">IFERROR(__xludf.DUMMYFUNCTION("IMPORTRANGE(""https://docs.google.com/spreadsheets/d/1eHaY18a8A9IcSdp1K8H6x8fbOy06t2VsZHhMHf-1x7Y/edit?usp=sharing"",""แผน!E24"")"),0)</f>
        <v>0</v>
      </c>
      <c r="J89" s="466">
        <v>0</v>
      </c>
      <c r="K89" s="497">
        <f t="shared" ca="1" si="28"/>
        <v>0</v>
      </c>
      <c r="L89" s="4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581">
        <f ca="1">IFERROR(__xludf.DUMMYFUNCTION("IMPORTRANGE(""https://docs.google.com/spreadsheets/d/1eHaY18a8A9IcSdp1K8H6x8fbOy06t2VsZHhMHf-1x7Y/edit?usp=sharing"",""แผน!J24"")"),1)</f>
        <v>1</v>
      </c>
      <c r="J90" s="466">
        <v>0</v>
      </c>
      <c r="K90" s="497">
        <f t="shared" ca="1" si="28"/>
        <v>0</v>
      </c>
      <c r="L90" s="4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7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665">
        <f ca="1">I108</f>
        <v>0</v>
      </c>
      <c r="J92" s="665">
        <f>J108</f>
        <v>0</v>
      </c>
      <c r="K92" s="664">
        <f ca="1">IF(I92&gt;0,J92*100/I92,0)</f>
        <v>0</v>
      </c>
      <c r="L92" s="510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665">
        <f ca="1">I109</f>
        <v>0</v>
      </c>
      <c r="J93" s="665">
        <f>J109</f>
        <v>0</v>
      </c>
      <c r="K93" s="664">
        <f ca="1">IF(I93&gt;0,J93*100/I93,0)</f>
        <v>0</v>
      </c>
      <c r="L93" s="510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472" t="s">
        <v>19</v>
      </c>
      <c r="E94" s="40"/>
      <c r="F94" s="40"/>
      <c r="G94" s="42"/>
      <c r="H94" s="131" t="s">
        <v>14</v>
      </c>
      <c r="I94" s="44"/>
      <c r="J94" s="44"/>
      <c r="K94" s="45"/>
      <c r="L94" s="471">
        <f ca="1">L95+L96</f>
        <v>0</v>
      </c>
      <c r="M94" s="470">
        <f ca="1">M95+M96</f>
        <v>0</v>
      </c>
      <c r="N94" s="470">
        <f ca="1">N95+N96</f>
        <v>0</v>
      </c>
      <c r="O94" s="470">
        <f t="shared" ref="O94:O102" ca="1" si="29">IF(L94&gt;0,N94*100/L94,0)</f>
        <v>0</v>
      </c>
      <c r="P94" s="470">
        <f t="shared" ref="P94:P102" ca="1" si="30">IF(M94&gt;0,N94*100/M94,0)</f>
        <v>0</v>
      </c>
      <c r="Q94" s="470">
        <f ca="1">Q95+Q96</f>
        <v>0</v>
      </c>
      <c r="R94" s="470">
        <f ca="1">R95+R96</f>
        <v>0</v>
      </c>
      <c r="S94" s="470">
        <f ca="1">S95+S96</f>
        <v>0</v>
      </c>
      <c r="T94" s="470">
        <f t="shared" ref="T94:T102" ca="1" si="31">IF(Q94&gt;0,S94*100/Q94,0)</f>
        <v>0</v>
      </c>
      <c r="U94" s="470">
        <f t="shared" ref="U94:U102" ca="1" si="32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469">
        <f t="shared" ref="L95:N96" si="33">L98+L101</f>
        <v>0</v>
      </c>
      <c r="M95" s="83">
        <f t="shared" si="33"/>
        <v>0</v>
      </c>
      <c r="N95" s="83">
        <f t="shared" si="33"/>
        <v>0</v>
      </c>
      <c r="O95" s="83">
        <f t="shared" si="29"/>
        <v>0</v>
      </c>
      <c r="P95" s="83">
        <f t="shared" si="30"/>
        <v>0</v>
      </c>
      <c r="Q95" s="83">
        <f t="shared" ref="Q95:S96" si="34">Q98+Q101</f>
        <v>0</v>
      </c>
      <c r="R95" s="83">
        <f t="shared" si="34"/>
        <v>0</v>
      </c>
      <c r="S95" s="83">
        <f t="shared" si="34"/>
        <v>0</v>
      </c>
      <c r="T95" s="83">
        <f t="shared" si="31"/>
        <v>0</v>
      </c>
      <c r="U95" s="83">
        <f t="shared" si="32"/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468">
        <f t="shared" ca="1" si="33"/>
        <v>0</v>
      </c>
      <c r="M96" s="224">
        <f t="shared" ca="1" si="33"/>
        <v>0</v>
      </c>
      <c r="N96" s="224">
        <f t="shared" ca="1" si="33"/>
        <v>0</v>
      </c>
      <c r="O96" s="224">
        <f t="shared" ca="1" si="29"/>
        <v>0</v>
      </c>
      <c r="P96" s="224">
        <f t="shared" ca="1" si="30"/>
        <v>0</v>
      </c>
      <c r="Q96" s="224">
        <f t="shared" ca="1" si="34"/>
        <v>0</v>
      </c>
      <c r="R96" s="224">
        <f t="shared" ca="1" si="34"/>
        <v>0</v>
      </c>
      <c r="S96" s="224">
        <f t="shared" ca="1" si="34"/>
        <v>0</v>
      </c>
      <c r="T96" s="224">
        <f t="shared" ca="1" si="31"/>
        <v>0</v>
      </c>
      <c r="U96" s="224">
        <f t="shared" ca="1" si="32"/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468">
        <f ca="1">L98+L99</f>
        <v>0</v>
      </c>
      <c r="M97" s="224">
        <f ca="1">M98+M99</f>
        <v>0</v>
      </c>
      <c r="N97" s="224">
        <f ca="1">N98+N99</f>
        <v>0</v>
      </c>
      <c r="O97" s="224">
        <f t="shared" ca="1" si="29"/>
        <v>0</v>
      </c>
      <c r="P97" s="224">
        <f t="shared" ca="1" si="30"/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t="shared" ca="1" si="31"/>
        <v>0</v>
      </c>
      <c r="U97" s="224">
        <f t="shared" ca="1" si="32"/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469">
        <v>0</v>
      </c>
      <c r="M98" s="83">
        <v>0</v>
      </c>
      <c r="N98" s="83">
        <v>0</v>
      </c>
      <c r="O98" s="83">
        <f t="shared" si="29"/>
        <v>0</v>
      </c>
      <c r="P98" s="83">
        <f t="shared" si="30"/>
        <v>0</v>
      </c>
      <c r="Q98" s="83">
        <v>0</v>
      </c>
      <c r="R98" s="83">
        <v>0</v>
      </c>
      <c r="S98" s="83">
        <v>0</v>
      </c>
      <c r="T98" s="83">
        <f t="shared" si="31"/>
        <v>0</v>
      </c>
      <c r="U98" s="83">
        <f t="shared" si="32"/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468">
        <f ca="1">IFERROR(__xludf.DUMMYFUNCTION("IMPORTRANGE(""https://docs.google.com/spreadsheets/d/1-uDff_7J0KD5mKrp0Vvzr7lt3OU09vwQwhkpOPPYv2Y/edit?usp=sharing"",""งบพรบ!AW24"")"),0)</f>
        <v>0</v>
      </c>
      <c r="M99" s="224">
        <f ca="1">IFERROR(__xludf.DUMMYFUNCTION("IMPORTRANGE(""https://docs.google.com/spreadsheets/d/1-uDff_7J0KD5mKrp0Vvzr7lt3OU09vwQwhkpOPPYv2Y/edit?usp=sharing"",""งบพรบ!BB24"")"),0)</f>
        <v>0</v>
      </c>
      <c r="N99" s="224">
        <f ca="1">IFERROR(__xludf.DUMMYFUNCTION("IMPORTRANGE(""https://docs.google.com/spreadsheets/d/1-uDff_7J0KD5mKrp0Vvzr7lt3OU09vwQwhkpOPPYv2Y/edit?usp=sharing"",""งบพรบ!BD24"")"),0)</f>
        <v>0</v>
      </c>
      <c r="O99" s="224">
        <f t="shared" ca="1" si="29"/>
        <v>0</v>
      </c>
      <c r="P99" s="224">
        <f t="shared" ca="1" si="30"/>
        <v>0</v>
      </c>
      <c r="Q99" s="224">
        <f ca="1">IFERROR(__xludf.DUMMYFUNCTION("IMPORTRANGE(""https://docs.google.com/spreadsheets/d/1ItG2mGa2ceCfYo0BwxsXqNm01IGEUdYcSSLTEv9YCik/edit?usp=sharing"",""เบิกจ่ายกองทุน!AD24"")"),0)</f>
        <v>0</v>
      </c>
      <c r="R99" s="224">
        <f ca="1">IFERROR(__xludf.DUMMYFUNCTION("IMPORTRANGE(""https://docs.google.com/spreadsheets/d/1ItG2mGa2ceCfYo0BwxsXqNm01IGEUdYcSSLTEv9YCik/edit?usp=sharing"",""เบิกจ่ายกองทุน!AE24"")"),0)</f>
        <v>0</v>
      </c>
      <c r="S99" s="224">
        <f ca="1">IFERROR(__xludf.DUMMYFUNCTION("IMPORTRANGE(""https://docs.google.com/spreadsheets/d/1ItG2mGa2ceCfYo0BwxsXqNm01IGEUdYcSSLTEv9YCik/edit?usp=sharing"",""เบิกจ่ายกองทุน!AF24"")"),0)</f>
        <v>0</v>
      </c>
      <c r="T99" s="224">
        <f t="shared" ca="1" si="31"/>
        <v>0</v>
      </c>
      <c r="U99" s="224">
        <f t="shared" ca="1" si="32"/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468">
        <f ca="1">L101+L102</f>
        <v>0</v>
      </c>
      <c r="M100" s="224">
        <f ca="1">M101+M102</f>
        <v>0</v>
      </c>
      <c r="N100" s="224">
        <f ca="1">N101+N102</f>
        <v>0</v>
      </c>
      <c r="O100" s="224">
        <f t="shared" ca="1" si="29"/>
        <v>0</v>
      </c>
      <c r="P100" s="224">
        <f t="shared" ca="1" si="30"/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 t="shared" si="31"/>
        <v>0</v>
      </c>
      <c r="U100" s="224">
        <f t="shared" si="32"/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469">
        <v>0</v>
      </c>
      <c r="M101" s="83">
        <v>0</v>
      </c>
      <c r="N101" s="83">
        <v>0</v>
      </c>
      <c r="O101" s="83">
        <f t="shared" si="29"/>
        <v>0</v>
      </c>
      <c r="P101" s="83">
        <f t="shared" si="30"/>
        <v>0</v>
      </c>
      <c r="Q101" s="83">
        <v>0</v>
      </c>
      <c r="R101" s="83">
        <v>0</v>
      </c>
      <c r="S101" s="83">
        <v>0</v>
      </c>
      <c r="T101" s="83">
        <f t="shared" si="31"/>
        <v>0</v>
      </c>
      <c r="U101" s="83">
        <f t="shared" si="32"/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468">
        <f ca="1">IFERROR(__xludf.DUMMYFUNCTION("IMPORTRANGE(""https://docs.google.com/spreadsheets/d/1-uDff_7J0KD5mKrp0Vvzr7lt3OU09vwQwhkpOPPYv2Y/edit?usp=sharing"",""งบพรบ!AZ24"")"),0)</f>
        <v>0</v>
      </c>
      <c r="M102" s="224">
        <f ca="1">IFERROR(__xludf.DUMMYFUNCTION("IMPORTRANGE(""https://docs.google.com/spreadsheets/d/1-uDff_7J0KD5mKrp0Vvzr7lt3OU09vwQwhkpOPPYv2Y/edit?usp=sharing"",""งบพรบ!BC24"")"),0)</f>
        <v>0</v>
      </c>
      <c r="N102" s="224">
        <f ca="1">IFERROR(__xludf.DUMMYFUNCTION("IMPORTRANGE(""https://docs.google.com/spreadsheets/d/1-uDff_7J0KD5mKrp0Vvzr7lt3OU09vwQwhkpOPPYv2Y/edit?usp=sharing"",""งบพรบ!BE24"")"),0)</f>
        <v>0</v>
      </c>
      <c r="O102" s="224">
        <f t="shared" ca="1" si="29"/>
        <v>0</v>
      </c>
      <c r="P102" s="224">
        <f t="shared" ca="1" si="30"/>
        <v>0</v>
      </c>
      <c r="Q102" s="224">
        <v>0</v>
      </c>
      <c r="R102" s="224">
        <v>0</v>
      </c>
      <c r="S102" s="224">
        <v>0</v>
      </c>
      <c r="T102" s="224">
        <f t="shared" si="31"/>
        <v>0</v>
      </c>
      <c r="U102" s="224">
        <f t="shared" si="32"/>
        <v>0</v>
      </c>
    </row>
    <row r="103" spans="1:21" ht="19.5" hidden="1" x14ac:dyDescent="0.3">
      <c r="A103" s="138"/>
      <c r="B103" s="139"/>
      <c r="C103" s="129" t="s">
        <v>18</v>
      </c>
      <c r="D103" s="498" t="s">
        <v>38</v>
      </c>
      <c r="E103" s="141"/>
      <c r="F103" s="141"/>
      <c r="G103" s="142"/>
      <c r="H103" s="143"/>
      <c r="I103" s="135"/>
      <c r="J103" s="44"/>
      <c r="K103" s="45"/>
      <c r="L103" s="465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571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571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571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465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IFERROR(__xludf.DUMMYFUNCTION("IMPORTRANGE(""https://docs.google.com/spreadsheets/d/1eHaY18a8A9IcSdp1K8H6x8fbOy06t2VsZHhMHf-1x7Y/edit?usp=sharing"",""แผน!N24"")"),0)</f>
        <v>0</v>
      </c>
      <c r="J108" s="466">
        <v>0</v>
      </c>
      <c r="K108" s="224">
        <f ca="1">IF(I108&gt;0,J108*100/I108,0)</f>
        <v>0</v>
      </c>
      <c r="L108" s="465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IFERROR(__xludf.DUMMYFUNCTION("IMPORTRANGE(""https://docs.google.com/spreadsheets/d/1eHaY18a8A9IcSdp1K8H6x8fbOy06t2VsZHhMHf-1x7Y/edit?usp=sharing"",""แผน!O24"")"),0)</f>
        <v>0</v>
      </c>
      <c r="J109" s="466">
        <v>0</v>
      </c>
      <c r="K109" s="224">
        <f ca="1">IF(I109&gt;0,J109*100/I109,0)</f>
        <v>0</v>
      </c>
      <c r="L109" s="465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571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571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571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571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581">
        <f ca="1">IFERROR(__xludf.DUMMYFUNCTION("IMPORTRANGE(""https://docs.google.com/spreadsheets/d/1eHaY18a8A9IcSdp1K8H6x8fbOy06t2VsZHhMHf-1x7Y/edit?usp=sharing"",""แผน!R24"")"),0)</f>
        <v>0</v>
      </c>
      <c r="J114" s="466">
        <v>0</v>
      </c>
      <c r="K114" s="224">
        <f ca="1">IF(I114&gt;0,J114*100/I114,0)</f>
        <v>0</v>
      </c>
      <c r="L114" s="46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671" t="s">
        <v>51</v>
      </c>
      <c r="B115" s="668"/>
      <c r="C115" s="670"/>
      <c r="D115" s="669"/>
      <c r="E115" s="669"/>
      <c r="F115" s="669"/>
      <c r="G115" s="669"/>
      <c r="H115" s="668"/>
      <c r="I115" s="667"/>
      <c r="J115" s="667"/>
      <c r="K115" s="66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665">
        <f ca="1">I127</f>
        <v>30</v>
      </c>
      <c r="J116" s="665">
        <f>J127</f>
        <v>30</v>
      </c>
      <c r="K116" s="664">
        <f ca="1">IF(I116&gt;0,J116*100/I116,0)</f>
        <v>100</v>
      </c>
      <c r="L116" s="510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472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471">
        <f ca="1">L118+L119</f>
        <v>0</v>
      </c>
      <c r="M117" s="470">
        <f ca="1">M118+M119</f>
        <v>0</v>
      </c>
      <c r="N117" s="470">
        <f ca="1">N118+N119</f>
        <v>0</v>
      </c>
      <c r="O117" s="470">
        <f t="shared" ref="O117:O125" ca="1" si="35">IF(L117&gt;0,N117*100/L117,0)</f>
        <v>0</v>
      </c>
      <c r="P117" s="470">
        <f t="shared" ref="P117:P125" ca="1" si="36">IF(M117&gt;0,N117*100/M117,0)</f>
        <v>0</v>
      </c>
      <c r="Q117" s="470">
        <f ca="1">Q118+Q119</f>
        <v>247020</v>
      </c>
      <c r="R117" s="470">
        <f ca="1">R118+R119</f>
        <v>247020</v>
      </c>
      <c r="S117" s="470">
        <f ca="1">S118+S119</f>
        <v>58510</v>
      </c>
      <c r="T117" s="470">
        <f t="shared" ref="T117:T125" ca="1" si="37">IF(Q117&gt;0,S117*100/Q117,0)</f>
        <v>23.686341186948425</v>
      </c>
      <c r="U117" s="470">
        <f t="shared" ref="U117:U125" ca="1" si="38">IF(R117&gt;0,S117*100/R117,0)</f>
        <v>23.686341186948425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469">
        <f t="shared" ref="L118:N119" si="39">L121+L124</f>
        <v>0</v>
      </c>
      <c r="M118" s="83">
        <f t="shared" si="39"/>
        <v>0</v>
      </c>
      <c r="N118" s="83">
        <f t="shared" si="39"/>
        <v>0</v>
      </c>
      <c r="O118" s="83">
        <f t="shared" si="35"/>
        <v>0</v>
      </c>
      <c r="P118" s="83">
        <f t="shared" si="36"/>
        <v>0</v>
      </c>
      <c r="Q118" s="83">
        <f t="shared" ref="Q118:S119" si="40">Q121+Q124</f>
        <v>0</v>
      </c>
      <c r="R118" s="83">
        <f t="shared" si="40"/>
        <v>0</v>
      </c>
      <c r="S118" s="83">
        <f t="shared" si="40"/>
        <v>0</v>
      </c>
      <c r="T118" s="83">
        <f t="shared" si="37"/>
        <v>0</v>
      </c>
      <c r="U118" s="83">
        <f t="shared" si="38"/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468">
        <f t="shared" ca="1" si="39"/>
        <v>0</v>
      </c>
      <c r="M119" s="224">
        <f t="shared" ca="1" si="39"/>
        <v>0</v>
      </c>
      <c r="N119" s="224">
        <f t="shared" ca="1" si="39"/>
        <v>0</v>
      </c>
      <c r="O119" s="224">
        <f t="shared" ca="1" si="35"/>
        <v>0</v>
      </c>
      <c r="P119" s="224">
        <f t="shared" ca="1" si="36"/>
        <v>0</v>
      </c>
      <c r="Q119" s="224">
        <f t="shared" ca="1" si="40"/>
        <v>247020</v>
      </c>
      <c r="R119" s="224">
        <f t="shared" ca="1" si="40"/>
        <v>247020</v>
      </c>
      <c r="S119" s="224">
        <f t="shared" ca="1" si="40"/>
        <v>58510</v>
      </c>
      <c r="T119" s="224">
        <f t="shared" ca="1" si="37"/>
        <v>23.686341186948425</v>
      </c>
      <c r="U119" s="224">
        <f t="shared" ca="1" si="38"/>
        <v>23.686341186948425</v>
      </c>
    </row>
    <row r="120" spans="1:21" ht="18.75" x14ac:dyDescent="0.25">
      <c r="A120" s="128"/>
      <c r="B120" s="158"/>
      <c r="C120" s="174"/>
      <c r="D120" s="53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468">
        <f ca="1">L121+L122</f>
        <v>0</v>
      </c>
      <c r="M120" s="224">
        <f ca="1">M121+M122</f>
        <v>0</v>
      </c>
      <c r="N120" s="224">
        <f ca="1">N121+N122</f>
        <v>0</v>
      </c>
      <c r="O120" s="224">
        <f t="shared" ca="1" si="35"/>
        <v>0</v>
      </c>
      <c r="P120" s="224">
        <f t="shared" ca="1" si="36"/>
        <v>0</v>
      </c>
      <c r="Q120" s="224">
        <f ca="1">Q121+Q122</f>
        <v>247020</v>
      </c>
      <c r="R120" s="224">
        <f ca="1">R121+R122</f>
        <v>247020</v>
      </c>
      <c r="S120" s="224">
        <f ca="1">S121+S122</f>
        <v>58510</v>
      </c>
      <c r="T120" s="224">
        <f t="shared" ca="1" si="37"/>
        <v>23.686341186948425</v>
      </c>
      <c r="U120" s="224">
        <f t="shared" ca="1" si="38"/>
        <v>23.686341186948425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469">
        <v>0</v>
      </c>
      <c r="M121" s="83">
        <v>0</v>
      </c>
      <c r="N121" s="83">
        <v>0</v>
      </c>
      <c r="O121" s="83">
        <f t="shared" si="35"/>
        <v>0</v>
      </c>
      <c r="P121" s="83">
        <f t="shared" si="36"/>
        <v>0</v>
      </c>
      <c r="Q121" s="83">
        <v>0</v>
      </c>
      <c r="R121" s="83">
        <v>0</v>
      </c>
      <c r="S121" s="83">
        <v>0</v>
      </c>
      <c r="T121" s="83">
        <f t="shared" si="37"/>
        <v>0</v>
      </c>
      <c r="U121" s="83">
        <f t="shared" si="38"/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468">
        <f ca="1">IFERROR(__xludf.DUMMYFUNCTION("IMPORTRANGE(""https://docs.google.com/spreadsheets/d/1-uDff_7J0KD5mKrp0Vvzr7lt3OU09vwQwhkpOPPYv2Y/edit?usp=sharing"",""งบพรบ!BG24"")"),0)</f>
        <v>0</v>
      </c>
      <c r="M122" s="224">
        <f ca="1">IFERROR(__xludf.DUMMYFUNCTION("IMPORTRANGE(""https://docs.google.com/spreadsheets/d/1-uDff_7J0KD5mKrp0Vvzr7lt3OU09vwQwhkpOPPYv2Y/edit?usp=sharing"",""งบพรบ!BL24"")"),0)</f>
        <v>0</v>
      </c>
      <c r="N122" s="224">
        <f ca="1">IFERROR(__xludf.DUMMYFUNCTION("IMPORTRANGE(""https://docs.google.com/spreadsheets/d/1-uDff_7J0KD5mKrp0Vvzr7lt3OU09vwQwhkpOPPYv2Y/edit?usp=sharing"",""งบพรบ!BN24"")"),0)</f>
        <v>0</v>
      </c>
      <c r="O122" s="224">
        <f t="shared" ca="1" si="35"/>
        <v>0</v>
      </c>
      <c r="P122" s="224">
        <f t="shared" ca="1" si="36"/>
        <v>0</v>
      </c>
      <c r="Q122" s="224">
        <f ca="1">IFERROR(__xludf.DUMMYFUNCTION("IMPORTRANGE(""https://docs.google.com/spreadsheets/d/1ItG2mGa2ceCfYo0BwxsXqNm01IGEUdYcSSLTEv9YCik/edit?usp=sharing"",""เบิกจ่ายกองทุน!R24"")"),247020)</f>
        <v>247020</v>
      </c>
      <c r="R122" s="224">
        <f ca="1">IFERROR(__xludf.DUMMYFUNCTION("IMPORTRANGE(""https://docs.google.com/spreadsheets/d/1ItG2mGa2ceCfYo0BwxsXqNm01IGEUdYcSSLTEv9YCik/edit?usp=sharing"",""เบิกจ่ายกองทุน!S24"")"),247020)</f>
        <v>247020</v>
      </c>
      <c r="S122" s="224">
        <f ca="1">IFERROR(__xludf.DUMMYFUNCTION("IMPORTRANGE(""https://docs.google.com/spreadsheets/d/1ItG2mGa2ceCfYo0BwxsXqNm01IGEUdYcSSLTEv9YCik/edit?usp=sharing"",""เบิกจ่ายกองทุน!T24"")"),58510)</f>
        <v>58510</v>
      </c>
      <c r="T122" s="224">
        <f t="shared" ca="1" si="37"/>
        <v>23.686341186948425</v>
      </c>
      <c r="U122" s="224">
        <f t="shared" ca="1" si="38"/>
        <v>23.686341186948425</v>
      </c>
    </row>
    <row r="123" spans="1:21" ht="18.75" x14ac:dyDescent="0.25">
      <c r="A123" s="128"/>
      <c r="B123" s="40"/>
      <c r="C123" s="174"/>
      <c r="D123" s="53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468">
        <f ca="1">L124+L125</f>
        <v>0</v>
      </c>
      <c r="M123" s="224">
        <f ca="1">M124+M125</f>
        <v>0</v>
      </c>
      <c r="N123" s="224">
        <f ca="1">N124+N125</f>
        <v>0</v>
      </c>
      <c r="O123" s="224">
        <f t="shared" ca="1" si="35"/>
        <v>0</v>
      </c>
      <c r="P123" s="224">
        <f t="shared" ca="1" si="36"/>
        <v>0</v>
      </c>
      <c r="Q123" s="224">
        <f>Q124+Q125</f>
        <v>0</v>
      </c>
      <c r="R123" s="224">
        <f>R124+R125</f>
        <v>0</v>
      </c>
      <c r="S123" s="224">
        <f>S124+S125</f>
        <v>0</v>
      </c>
      <c r="T123" s="224">
        <f t="shared" si="37"/>
        <v>0</v>
      </c>
      <c r="U123" s="224">
        <f t="shared" si="38"/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469">
        <v>0</v>
      </c>
      <c r="M124" s="83">
        <v>0</v>
      </c>
      <c r="N124" s="83">
        <v>0</v>
      </c>
      <c r="O124" s="83">
        <f t="shared" si="35"/>
        <v>0</v>
      </c>
      <c r="P124" s="83">
        <f t="shared" si="36"/>
        <v>0</v>
      </c>
      <c r="Q124" s="83">
        <v>0</v>
      </c>
      <c r="R124" s="83">
        <v>0</v>
      </c>
      <c r="S124" s="83">
        <v>0</v>
      </c>
      <c r="T124" s="83">
        <f t="shared" si="37"/>
        <v>0</v>
      </c>
      <c r="U124" s="83">
        <f t="shared" si="38"/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468">
        <f ca="1">IFERROR(__xludf.DUMMYFUNCTION("IMPORTRANGE(""https://docs.google.com/spreadsheets/d/1-uDff_7J0KD5mKrp0Vvzr7lt3OU09vwQwhkpOPPYv2Y/edit?usp=sharing"",""งบพรบ!BJ24"")"),0)</f>
        <v>0</v>
      </c>
      <c r="M125" s="224">
        <f ca="1">IFERROR(__xludf.DUMMYFUNCTION("IMPORTRANGE(""https://docs.google.com/spreadsheets/d/1-uDff_7J0KD5mKrp0Vvzr7lt3OU09vwQwhkpOPPYv2Y/edit?usp=sharing"",""งบพรบ!BM24"")"),0)</f>
        <v>0</v>
      </c>
      <c r="N125" s="224">
        <f ca="1">IFERROR(__xludf.DUMMYFUNCTION("IMPORTRANGE(""https://docs.google.com/spreadsheets/d/1-uDff_7J0KD5mKrp0Vvzr7lt3OU09vwQwhkpOPPYv2Y/edit?usp=sharing"",""งบพรบ!BO24"")"),0)</f>
        <v>0</v>
      </c>
      <c r="O125" s="224">
        <f t="shared" ca="1" si="35"/>
        <v>0</v>
      </c>
      <c r="P125" s="224">
        <f t="shared" ca="1" si="36"/>
        <v>0</v>
      </c>
      <c r="Q125" s="224">
        <v>0</v>
      </c>
      <c r="R125" s="224">
        <v>0</v>
      </c>
      <c r="S125" s="224">
        <v>0</v>
      </c>
      <c r="T125" s="224">
        <f t="shared" si="37"/>
        <v>0</v>
      </c>
      <c r="U125" s="224">
        <f t="shared" si="38"/>
        <v>0</v>
      </c>
    </row>
    <row r="126" spans="1:21" ht="19.5" x14ac:dyDescent="0.3">
      <c r="A126" s="138"/>
      <c r="B126" s="139"/>
      <c r="C126" s="177" t="s">
        <v>18</v>
      </c>
      <c r="D126" s="498" t="s">
        <v>38</v>
      </c>
      <c r="E126" s="141"/>
      <c r="F126" s="141"/>
      <c r="G126" s="142"/>
      <c r="H126" s="178"/>
      <c r="I126" s="44"/>
      <c r="J126" s="44"/>
      <c r="K126" s="45"/>
      <c r="L126" s="465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IFERROR(__xludf.DUMMYFUNCTION("IMPORTRANGE(""https://docs.google.com/spreadsheets/d/1eHaY18a8A9IcSdp1K8H6x8fbOy06t2VsZHhMHf-1x7Y/edit?usp=sharing"",""แผน!FF24"")"),30)</f>
        <v>30</v>
      </c>
      <c r="J127" s="466">
        <v>30</v>
      </c>
      <c r="K127" s="224">
        <f ca="1">IF(I127&gt;0,J127*100/I127,0)</f>
        <v>100</v>
      </c>
      <c r="L127" s="465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IFERROR(__xludf.DUMMYFUNCTION("IMPORTRANGE(""https://docs.google.com/spreadsheets/d/1eHaY18a8A9IcSdp1K8H6x8fbOy06t2VsZHhMHf-1x7Y/edit?usp=sharing"",""แผน!FG24"")"),0)</f>
        <v>0</v>
      </c>
      <c r="J128" s="466">
        <v>0</v>
      </c>
      <c r="K128" s="224">
        <f ca="1">IF(I128&gt;0,J128*100/I128,0)</f>
        <v>0</v>
      </c>
      <c r="L128" s="465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IFERROR(__xludf.DUMMYFUNCTION("IMPORTRANGE(""https://docs.google.com/spreadsheets/d/1eHaY18a8A9IcSdp1K8H6x8fbOy06t2VsZHhMHf-1x7Y/edit?usp=sharing"",""แผน!FH24"")"),30)</f>
        <v>30</v>
      </c>
      <c r="J129" s="466">
        <v>30</v>
      </c>
      <c r="K129" s="224">
        <f ca="1">IF(I129&gt;0,J129*100/I129,0)</f>
        <v>100</v>
      </c>
      <c r="L129" s="465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IFERROR(__xludf.DUMMYFUNCTION("IMPORTRANGE(""https://docs.google.com/spreadsheets/d/1eHaY18a8A9IcSdp1K8H6x8fbOy06t2VsZHhMHf-1x7Y/edit?usp=sharing"",""แผน!FI24"")"),0)</f>
        <v>0</v>
      </c>
      <c r="J130" s="466">
        <v>0</v>
      </c>
      <c r="K130" s="224">
        <f ca="1">IF(I130&gt;0,J130*100/I130,0)</f>
        <v>0</v>
      </c>
      <c r="L130" s="465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465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465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57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10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665">
        <f ca="1">I154</f>
        <v>1</v>
      </c>
      <c r="J136" s="665">
        <f>J154</f>
        <v>0</v>
      </c>
      <c r="K136" s="664">
        <f ca="1">IF(I136&gt;0,J136*100/I136,0)</f>
        <v>0</v>
      </c>
      <c r="L136" s="510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665">
        <f ca="1">I152</f>
        <v>60</v>
      </c>
      <c r="J137" s="665">
        <f>J152</f>
        <v>60</v>
      </c>
      <c r="K137" s="664">
        <f ca="1">IF(I137&gt;0,J137*100/I137,0)</f>
        <v>100</v>
      </c>
      <c r="L137" s="510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665">
        <f ca="1">I153</f>
        <v>6</v>
      </c>
      <c r="J138" s="665">
        <f>J153</f>
        <v>6</v>
      </c>
      <c r="K138" s="664">
        <f ca="1">IF(I138&gt;0,J138*100/I138,0)</f>
        <v>100</v>
      </c>
      <c r="L138" s="510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129" t="s">
        <v>18</v>
      </c>
      <c r="D139" s="472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471">
        <f ca="1">L140+L141</f>
        <v>164700</v>
      </c>
      <c r="M139" s="470">
        <f ca="1">M140+M141</f>
        <v>159700</v>
      </c>
      <c r="N139" s="470">
        <f ca="1">N140+N141</f>
        <v>95540</v>
      </c>
      <c r="O139" s="470">
        <f t="shared" ref="O139:O147" ca="1" si="41">IF(L139&gt;0,N139*100/L139,0)</f>
        <v>58.008500303582274</v>
      </c>
      <c r="P139" s="470">
        <f t="shared" ref="P139:P147" ca="1" si="42">IF(M139&gt;0,N139*100/M139,0)</f>
        <v>59.824671258609897</v>
      </c>
      <c r="Q139" s="470">
        <f ca="1">Q140+Q141</f>
        <v>0</v>
      </c>
      <c r="R139" s="470">
        <f ca="1">R140+R141</f>
        <v>0</v>
      </c>
      <c r="S139" s="470">
        <f ca="1">S140+S141</f>
        <v>0</v>
      </c>
      <c r="T139" s="470">
        <f t="shared" ref="T139:T147" ca="1" si="43">IF(Q139&gt;0,S139*100/Q139,0)</f>
        <v>0</v>
      </c>
      <c r="U139" s="470">
        <f t="shared" ref="U139:U147" ca="1" si="44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469">
        <f t="shared" ref="L140:N141" si="45">L143+L146</f>
        <v>0</v>
      </c>
      <c r="M140" s="83">
        <f t="shared" si="45"/>
        <v>0</v>
      </c>
      <c r="N140" s="83">
        <f t="shared" si="45"/>
        <v>0</v>
      </c>
      <c r="O140" s="83">
        <f t="shared" si="41"/>
        <v>0</v>
      </c>
      <c r="P140" s="83">
        <f t="shared" si="42"/>
        <v>0</v>
      </c>
      <c r="Q140" s="83">
        <f t="shared" ref="Q140:S141" si="46">Q143+Q146</f>
        <v>0</v>
      </c>
      <c r="R140" s="83">
        <f t="shared" si="46"/>
        <v>0</v>
      </c>
      <c r="S140" s="83">
        <f t="shared" si="46"/>
        <v>0</v>
      </c>
      <c r="T140" s="83">
        <f t="shared" si="43"/>
        <v>0</v>
      </c>
      <c r="U140" s="83">
        <f t="shared" si="44"/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468">
        <f t="shared" ca="1" si="45"/>
        <v>164700</v>
      </c>
      <c r="M141" s="224">
        <f t="shared" ca="1" si="45"/>
        <v>159700</v>
      </c>
      <c r="N141" s="224">
        <f t="shared" ca="1" si="45"/>
        <v>95540</v>
      </c>
      <c r="O141" s="224">
        <f t="shared" ca="1" si="41"/>
        <v>58.008500303582274</v>
      </c>
      <c r="P141" s="224">
        <f t="shared" ca="1" si="42"/>
        <v>59.824671258609897</v>
      </c>
      <c r="Q141" s="224">
        <f t="shared" ca="1" si="46"/>
        <v>0</v>
      </c>
      <c r="R141" s="224">
        <f t="shared" ca="1" si="46"/>
        <v>0</v>
      </c>
      <c r="S141" s="224">
        <f t="shared" ca="1" si="46"/>
        <v>0</v>
      </c>
      <c r="T141" s="224">
        <f t="shared" ca="1" si="43"/>
        <v>0</v>
      </c>
      <c r="U141" s="224">
        <f t="shared" ca="1" si="44"/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468">
        <f ca="1">L143+L144</f>
        <v>164700</v>
      </c>
      <c r="M142" s="224">
        <f ca="1">M143+M144</f>
        <v>159700</v>
      </c>
      <c r="N142" s="224">
        <f ca="1">N143+N144</f>
        <v>95540</v>
      </c>
      <c r="O142" s="224">
        <f t="shared" ca="1" si="41"/>
        <v>58.008500303582274</v>
      </c>
      <c r="P142" s="224">
        <f t="shared" ca="1" si="42"/>
        <v>59.824671258609897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t="shared" ca="1" si="43"/>
        <v>0</v>
      </c>
      <c r="U142" s="224">
        <f t="shared" ca="1" si="44"/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469">
        <v>0</v>
      </c>
      <c r="M143" s="83">
        <v>0</v>
      </c>
      <c r="N143" s="83">
        <v>0</v>
      </c>
      <c r="O143" s="83">
        <f t="shared" si="41"/>
        <v>0</v>
      </c>
      <c r="P143" s="83">
        <f t="shared" si="42"/>
        <v>0</v>
      </c>
      <c r="Q143" s="83">
        <v>0</v>
      </c>
      <c r="R143" s="83">
        <v>0</v>
      </c>
      <c r="S143" s="83">
        <v>0</v>
      </c>
      <c r="T143" s="83">
        <f t="shared" si="43"/>
        <v>0</v>
      </c>
      <c r="U143" s="83">
        <f t="shared" si="44"/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468">
        <f ca="1">IFERROR(__xludf.DUMMYFUNCTION("IMPORTRANGE(""https://docs.google.com/spreadsheets/d/1-uDff_7J0KD5mKrp0Vvzr7lt3OU09vwQwhkpOPPYv2Y/edit?usp=sharing"",""งบพรบ!BQ24"")"),164700)</f>
        <v>164700</v>
      </c>
      <c r="M144" s="224">
        <f ca="1">IFERROR(__xludf.DUMMYFUNCTION("IMPORTRANGE(""https://docs.google.com/spreadsheets/d/1-uDff_7J0KD5mKrp0Vvzr7lt3OU09vwQwhkpOPPYv2Y/edit?usp=sharing"",""งบพรบ!BV24"")"),159700)</f>
        <v>159700</v>
      </c>
      <c r="N144" s="224">
        <f ca="1">IFERROR(__xludf.DUMMYFUNCTION("IMPORTRANGE(""https://docs.google.com/spreadsheets/d/1-uDff_7J0KD5mKrp0Vvzr7lt3OU09vwQwhkpOPPYv2Y/edit?usp=sharing"",""งบพรบ!BX24"")"),95540)</f>
        <v>95540</v>
      </c>
      <c r="O144" s="224">
        <f t="shared" ca="1" si="41"/>
        <v>58.008500303582274</v>
      </c>
      <c r="P144" s="224">
        <f t="shared" ca="1" si="42"/>
        <v>59.824671258609897</v>
      </c>
      <c r="Q144" s="224">
        <f ca="1">IFERROR(__xludf.DUMMYFUNCTION("IMPORTRANGE(""https://docs.google.com/spreadsheets/d/1ItG2mGa2ceCfYo0BwxsXqNm01IGEUdYcSSLTEv9YCik/edit?usp=sharing"",""เบิกจ่ายกองทุน!BB24"")"),0)</f>
        <v>0</v>
      </c>
      <c r="R144" s="224">
        <f ca="1">IFERROR(__xludf.DUMMYFUNCTION("IMPORTRANGE(""https://docs.google.com/spreadsheets/d/1ItG2mGa2ceCfYo0BwxsXqNm01IGEUdYcSSLTEv9YCik/edit?usp=sharing"",""เบิกจ่ายกองทุน!BC24"")"),0)</f>
        <v>0</v>
      </c>
      <c r="S144" s="224">
        <f ca="1">IFERROR(__xludf.DUMMYFUNCTION("IMPORTRANGE(""https://docs.google.com/spreadsheets/d/1ItG2mGa2ceCfYo0BwxsXqNm01IGEUdYcSSLTEv9YCik/edit?usp=sharing"",""เบิกจ่ายกองทุน!BD24"")"),0)</f>
        <v>0</v>
      </c>
      <c r="T144" s="224">
        <f t="shared" ca="1" si="43"/>
        <v>0</v>
      </c>
      <c r="U144" s="224">
        <f t="shared" ca="1" si="44"/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468">
        <f ca="1">L146+L147</f>
        <v>0</v>
      </c>
      <c r="M145" s="224">
        <f ca="1">M146+M147</f>
        <v>0</v>
      </c>
      <c r="N145" s="224">
        <f ca="1">N146+N147</f>
        <v>0</v>
      </c>
      <c r="O145" s="224">
        <f t="shared" ca="1" si="41"/>
        <v>0</v>
      </c>
      <c r="P145" s="224">
        <f t="shared" ca="1" si="42"/>
        <v>0</v>
      </c>
      <c r="Q145" s="224">
        <f>Q146+Q147</f>
        <v>0</v>
      </c>
      <c r="R145" s="224">
        <f>R146+R147</f>
        <v>0</v>
      </c>
      <c r="S145" s="224">
        <f>S146+S147</f>
        <v>0</v>
      </c>
      <c r="T145" s="224">
        <f t="shared" si="43"/>
        <v>0</v>
      </c>
      <c r="U145" s="224">
        <f t="shared" si="44"/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469">
        <v>0</v>
      </c>
      <c r="M146" s="83">
        <v>0</v>
      </c>
      <c r="N146" s="83">
        <v>0</v>
      </c>
      <c r="O146" s="83">
        <f t="shared" si="41"/>
        <v>0</v>
      </c>
      <c r="P146" s="83">
        <f t="shared" si="42"/>
        <v>0</v>
      </c>
      <c r="Q146" s="83">
        <v>0</v>
      </c>
      <c r="R146" s="83">
        <v>0</v>
      </c>
      <c r="S146" s="83">
        <v>0</v>
      </c>
      <c r="T146" s="83">
        <f t="shared" si="43"/>
        <v>0</v>
      </c>
      <c r="U146" s="83">
        <f t="shared" si="44"/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468">
        <f ca="1">IFERROR(__xludf.DUMMYFUNCTION("IMPORTRANGE(""https://docs.google.com/spreadsheets/d/1-uDff_7J0KD5mKrp0Vvzr7lt3OU09vwQwhkpOPPYv2Y/edit?usp=sharing"",""งบพรบ!BT24"")"),0)</f>
        <v>0</v>
      </c>
      <c r="M147" s="224">
        <f ca="1">IFERROR(__xludf.DUMMYFUNCTION("IMPORTRANGE(""https://docs.google.com/spreadsheets/d/1-uDff_7J0KD5mKrp0Vvzr7lt3OU09vwQwhkpOPPYv2Y/edit?usp=sharing"",""งบพรบ!BW24"")"),0)</f>
        <v>0</v>
      </c>
      <c r="N147" s="224">
        <f ca="1">IFERROR(__xludf.DUMMYFUNCTION("IMPORTRANGE(""https://docs.google.com/spreadsheets/d/1-uDff_7J0KD5mKrp0Vvzr7lt3OU09vwQwhkpOPPYv2Y/edit?usp=sharing"",""งบพรบ!BY24"")"),0)</f>
        <v>0</v>
      </c>
      <c r="O147" s="224">
        <f t="shared" ca="1" si="41"/>
        <v>0</v>
      </c>
      <c r="P147" s="224">
        <f t="shared" ca="1" si="42"/>
        <v>0</v>
      </c>
      <c r="Q147" s="224">
        <v>0</v>
      </c>
      <c r="R147" s="224">
        <v>0</v>
      </c>
      <c r="S147" s="224">
        <v>0</v>
      </c>
      <c r="T147" s="224">
        <f t="shared" si="43"/>
        <v>0</v>
      </c>
      <c r="U147" s="224">
        <f t="shared" si="44"/>
        <v>0</v>
      </c>
    </row>
    <row r="148" spans="1:21" ht="19.5" x14ac:dyDescent="0.3">
      <c r="A148" s="138"/>
      <c r="B148" s="139"/>
      <c r="C148" s="129" t="s">
        <v>18</v>
      </c>
      <c r="D148" s="498" t="s">
        <v>38</v>
      </c>
      <c r="E148" s="141"/>
      <c r="F148" s="141"/>
      <c r="G148" s="142"/>
      <c r="H148" s="178"/>
      <c r="I148" s="44"/>
      <c r="J148" s="44"/>
      <c r="K148" s="45"/>
      <c r="L148" s="465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466">
        <v>0</v>
      </c>
      <c r="K149" s="45"/>
      <c r="L149" s="465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IFERROR(__xludf.DUMMYFUNCTION("IMPORTRANGE(""https://docs.google.com/spreadsheets/d/1eHaY18a8A9IcSdp1K8H6x8fbOy06t2VsZHhMHf-1x7Y/edit?usp=sharing"",""แผน!U24"")"),10)</f>
        <v>10</v>
      </c>
      <c r="J150" s="466">
        <v>10</v>
      </c>
      <c r="K150" s="224">
        <f ca="1">IF(I150&gt;0,J150*100/I150,0)</f>
        <v>100</v>
      </c>
      <c r="L150" s="465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IFERROR(__xludf.DUMMYFUNCTION("IMPORTRANGE(""https://docs.google.com/spreadsheets/d/1eHaY18a8A9IcSdp1K8H6x8fbOy06t2VsZHhMHf-1x7Y/edit?usp=sharing"",""แผน!V24"")"),1)</f>
        <v>1</v>
      </c>
      <c r="J151" s="466">
        <v>1</v>
      </c>
      <c r="K151" s="224">
        <f ca="1">IF(I151&gt;0,J151*100/I151,0)</f>
        <v>100</v>
      </c>
      <c r="L151" s="465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IFERROR(__xludf.DUMMYFUNCTION("IMPORTRANGE(""https://docs.google.com/spreadsheets/d/1eHaY18a8A9IcSdp1K8H6x8fbOy06t2VsZHhMHf-1x7Y/edit?usp=sharing"",""แผน!W24"")"),60)</f>
        <v>60</v>
      </c>
      <c r="J152" s="466">
        <v>60</v>
      </c>
      <c r="K152" s="224">
        <f ca="1">IF(I152&gt;0,J152*100/I152,0)</f>
        <v>100</v>
      </c>
      <c r="L152" s="465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IFERROR(__xludf.DUMMYFUNCTION("IMPORTRANGE(""https://docs.google.com/spreadsheets/d/1eHaY18a8A9IcSdp1K8H6x8fbOy06t2VsZHhMHf-1x7Y/edit?usp=sharing"",""แผน!X24"")"),6)</f>
        <v>6</v>
      </c>
      <c r="J153" s="466">
        <v>6</v>
      </c>
      <c r="K153" s="224">
        <f ca="1">IF(I153&gt;0,J153*100/I153,0)</f>
        <v>100</v>
      </c>
      <c r="L153" s="465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IFERROR(__xludf.DUMMYFUNCTION("IMPORTRANGE(""https://docs.google.com/spreadsheets/d/1eHaY18a8A9IcSdp1K8H6x8fbOy06t2VsZHhMHf-1x7Y/edit?usp=sharing"",""แผน!Y24"")"),1)</f>
        <v>1</v>
      </c>
      <c r="J154" s="466">
        <v>0</v>
      </c>
      <c r="K154" s="224">
        <f ca="1">IF(I154&gt;0,J154*100/I154,0)</f>
        <v>0</v>
      </c>
      <c r="L154" s="465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hidden="1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665">
        <f ca="1">I169</f>
        <v>0</v>
      </c>
      <c r="J156" s="665">
        <f>J169</f>
        <v>0</v>
      </c>
      <c r="K156" s="664">
        <f ca="1">IF(I156&gt;0,J156*100/I156,0)</f>
        <v>0</v>
      </c>
      <c r="L156" s="510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hidden="1" x14ac:dyDescent="0.3">
      <c r="A157" s="128"/>
      <c r="B157" s="40"/>
      <c r="C157" s="129" t="s">
        <v>18</v>
      </c>
      <c r="D157" s="472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471">
        <f ca="1">L158+L159</f>
        <v>0</v>
      </c>
      <c r="M157" s="470">
        <f ca="1">M158+M159</f>
        <v>1360</v>
      </c>
      <c r="N157" s="470">
        <f ca="1">N158+N159</f>
        <v>0</v>
      </c>
      <c r="O157" s="470">
        <f t="shared" ref="O157:O165" ca="1" si="47">IF(L157&gt;0,N157*100/L157,0)</f>
        <v>0</v>
      </c>
      <c r="P157" s="470">
        <f t="shared" ref="P157:P165" ca="1" si="48">IF(M157&gt;0,N157*100/M157,0)</f>
        <v>0</v>
      </c>
      <c r="Q157" s="470">
        <f ca="1">Q158+Q159</f>
        <v>0</v>
      </c>
      <c r="R157" s="470">
        <f ca="1">R158+R159</f>
        <v>0</v>
      </c>
      <c r="S157" s="470">
        <f ca="1">S158+S159</f>
        <v>0</v>
      </c>
      <c r="T157" s="470">
        <f t="shared" ref="T157:T165" ca="1" si="49">IF(Q157&gt;0,S157*100/Q157,0)</f>
        <v>0</v>
      </c>
      <c r="U157" s="470">
        <f t="shared" ref="U157:U165" ca="1" si="50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469">
        <f t="shared" ref="L158:N159" si="51">L161+L164</f>
        <v>0</v>
      </c>
      <c r="M158" s="83">
        <f t="shared" si="51"/>
        <v>0</v>
      </c>
      <c r="N158" s="83">
        <f t="shared" si="51"/>
        <v>0</v>
      </c>
      <c r="O158" s="83">
        <f t="shared" si="47"/>
        <v>0</v>
      </c>
      <c r="P158" s="83">
        <f t="shared" si="48"/>
        <v>0</v>
      </c>
      <c r="Q158" s="83">
        <f t="shared" ref="Q158:S159" si="52">Q161+Q164</f>
        <v>0</v>
      </c>
      <c r="R158" s="83">
        <f t="shared" si="52"/>
        <v>0</v>
      </c>
      <c r="S158" s="83">
        <f t="shared" si="52"/>
        <v>0</v>
      </c>
      <c r="T158" s="83">
        <f t="shared" si="49"/>
        <v>0</v>
      </c>
      <c r="U158" s="83">
        <f t="shared" si="50"/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468">
        <f t="shared" ca="1" si="51"/>
        <v>0</v>
      </c>
      <c r="M159" s="224">
        <f t="shared" ca="1" si="51"/>
        <v>1360</v>
      </c>
      <c r="N159" s="224">
        <f t="shared" ca="1" si="51"/>
        <v>0</v>
      </c>
      <c r="O159" s="224">
        <f t="shared" ca="1" si="47"/>
        <v>0</v>
      </c>
      <c r="P159" s="224">
        <f t="shared" ca="1" si="48"/>
        <v>0</v>
      </c>
      <c r="Q159" s="224">
        <f t="shared" ca="1" si="52"/>
        <v>0</v>
      </c>
      <c r="R159" s="224">
        <f t="shared" ca="1" si="52"/>
        <v>0</v>
      </c>
      <c r="S159" s="224">
        <f t="shared" ca="1" si="52"/>
        <v>0</v>
      </c>
      <c r="T159" s="224">
        <f t="shared" ca="1" si="49"/>
        <v>0</v>
      </c>
      <c r="U159" s="224">
        <f t="shared" ca="1" si="50"/>
        <v>0</v>
      </c>
    </row>
    <row r="160" spans="1:21" ht="18.75" hidden="1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468">
        <f ca="1">L161+L162</f>
        <v>0</v>
      </c>
      <c r="M160" s="224">
        <f ca="1">M161+M162</f>
        <v>1360</v>
      </c>
      <c r="N160" s="224">
        <f ca="1">N161+N162</f>
        <v>0</v>
      </c>
      <c r="O160" s="224">
        <f t="shared" ca="1" si="47"/>
        <v>0</v>
      </c>
      <c r="P160" s="224">
        <f t="shared" ca="1" si="48"/>
        <v>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t="shared" ca="1" si="49"/>
        <v>0</v>
      </c>
      <c r="U160" s="224">
        <f t="shared" ca="1" si="50"/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469">
        <v>0</v>
      </c>
      <c r="M161" s="83">
        <v>0</v>
      </c>
      <c r="N161" s="83">
        <v>0</v>
      </c>
      <c r="O161" s="83">
        <f t="shared" si="47"/>
        <v>0</v>
      </c>
      <c r="P161" s="83">
        <f t="shared" si="48"/>
        <v>0</v>
      </c>
      <c r="Q161" s="83">
        <v>0</v>
      </c>
      <c r="R161" s="83">
        <v>0</v>
      </c>
      <c r="S161" s="83">
        <v>0</v>
      </c>
      <c r="T161" s="83">
        <f t="shared" si="49"/>
        <v>0</v>
      </c>
      <c r="U161" s="83">
        <f t="shared" si="50"/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468">
        <f ca="1">IFERROR(__xludf.DUMMYFUNCTION("IMPORTRANGE(""https://docs.google.com/spreadsheets/d/1-uDff_7J0KD5mKrp0Vvzr7lt3OU09vwQwhkpOPPYv2Y/edit?usp=sharing"",""งบพรบ!CA24"")"),0)</f>
        <v>0</v>
      </c>
      <c r="M162" s="224">
        <f ca="1">IFERROR(__xludf.DUMMYFUNCTION("IMPORTRANGE(""https://docs.google.com/spreadsheets/d/1-uDff_7J0KD5mKrp0Vvzr7lt3OU09vwQwhkpOPPYv2Y/edit?usp=sharing"",""งบพรบ!CF24"")"),1360)</f>
        <v>1360</v>
      </c>
      <c r="N162" s="224">
        <f ca="1">IFERROR(__xludf.DUMMYFUNCTION("IMPORTRANGE(""https://docs.google.com/spreadsheets/d/1-uDff_7J0KD5mKrp0Vvzr7lt3OU09vwQwhkpOPPYv2Y/edit?usp=sharing"",""งบพรบ!CH24"")"),0)</f>
        <v>0</v>
      </c>
      <c r="O162" s="224">
        <f t="shared" ca="1" si="47"/>
        <v>0</v>
      </c>
      <c r="P162" s="224">
        <f t="shared" ca="1" si="48"/>
        <v>0</v>
      </c>
      <c r="Q162" s="224">
        <f ca="1">IFERROR(__xludf.DUMMYFUNCTION("IMPORTRANGE(""https://docs.google.com/spreadsheets/d/1ItG2mGa2ceCfYo0BwxsXqNm01IGEUdYcSSLTEv9YCik/edit?usp=sharing"",""เบิกจ่ายกองทุน!AG24"")"),0)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IFERROR(__xludf.DUMMYFUNCTION("IMPORTRANGE(""https://docs.google.com/spreadsheets/d/1ItG2mGa2ceCfYo0BwxsXqNm01IGEUdYcSSLTEv9YCik/edit?usp=sharing"",""เบิกจ่ายกองทุน!AH24"")"),0)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IFERROR(__xludf.DUMMYFUNCTION("IMPORTRANGE(""https://docs.google.com/spreadsheets/d/1ItG2mGa2ceCfYo0BwxsXqNm01IGEUdYcSSLTEv9YCik/edit?usp=sharing"",""เบิกจ่ายกองทุน!AI24"")"),0)</f>
        <v>0</v>
      </c>
      <c r="T162" s="224">
        <f t="shared" ca="1" si="49"/>
        <v>0</v>
      </c>
      <c r="U162" s="224">
        <f t="shared" ca="1" si="50"/>
        <v>0</v>
      </c>
    </row>
    <row r="163" spans="1:21" ht="18.75" hidden="1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468">
        <f ca="1">L164+L165</f>
        <v>0</v>
      </c>
      <c r="M163" s="224">
        <f ca="1">M164+M165</f>
        <v>0</v>
      </c>
      <c r="N163" s="224">
        <f ca="1">N164+N165</f>
        <v>0</v>
      </c>
      <c r="O163" s="224">
        <f t="shared" ca="1" si="47"/>
        <v>0</v>
      </c>
      <c r="P163" s="224">
        <f t="shared" ca="1" si="48"/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 t="shared" si="49"/>
        <v>0</v>
      </c>
      <c r="U163" s="224">
        <f t="shared" si="50"/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469">
        <v>0</v>
      </c>
      <c r="M164" s="83">
        <v>0</v>
      </c>
      <c r="N164" s="83">
        <v>0</v>
      </c>
      <c r="O164" s="83">
        <f t="shared" si="47"/>
        <v>0</v>
      </c>
      <c r="P164" s="83">
        <f t="shared" si="48"/>
        <v>0</v>
      </c>
      <c r="Q164" s="83">
        <v>0</v>
      </c>
      <c r="R164" s="83">
        <v>0</v>
      </c>
      <c r="S164" s="83">
        <v>0</v>
      </c>
      <c r="T164" s="83">
        <f t="shared" si="49"/>
        <v>0</v>
      </c>
      <c r="U164" s="83">
        <f t="shared" si="50"/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468">
        <f ca="1">IFERROR(__xludf.DUMMYFUNCTION("IMPORTRANGE(""https://docs.google.com/spreadsheets/d/1-uDff_7J0KD5mKrp0Vvzr7lt3OU09vwQwhkpOPPYv2Y/edit?usp=sharing"",""งบพรบ!CD24"")"),0)</f>
        <v>0</v>
      </c>
      <c r="M165" s="224">
        <f ca="1">IFERROR(__xludf.DUMMYFUNCTION("IMPORTRANGE(""https://docs.google.com/spreadsheets/d/1-uDff_7J0KD5mKrp0Vvzr7lt3OU09vwQwhkpOPPYv2Y/edit?usp=sharing"",""งบพรบ!CG24"")"),0)</f>
        <v>0</v>
      </c>
      <c r="N165" s="224">
        <f ca="1">IFERROR(__xludf.DUMMYFUNCTION("IMPORTRANGE(""https://docs.google.com/spreadsheets/d/1-uDff_7J0KD5mKrp0Vvzr7lt3OU09vwQwhkpOPPYv2Y/edit?usp=sharing"",""งบพรบ!CI24"")"),0)</f>
        <v>0</v>
      </c>
      <c r="O165" s="224">
        <f t="shared" ca="1" si="47"/>
        <v>0</v>
      </c>
      <c r="P165" s="224">
        <f t="shared" ca="1" si="48"/>
        <v>0</v>
      </c>
      <c r="Q165" s="224">
        <v>0</v>
      </c>
      <c r="R165" s="224">
        <v>0</v>
      </c>
      <c r="S165" s="224">
        <v>0</v>
      </c>
      <c r="T165" s="224">
        <f t="shared" si="49"/>
        <v>0</v>
      </c>
      <c r="U165" s="224">
        <f t="shared" si="50"/>
        <v>0</v>
      </c>
    </row>
    <row r="166" spans="1:21" ht="19.5" hidden="1" x14ac:dyDescent="0.3">
      <c r="A166" s="138"/>
      <c r="B166" s="139"/>
      <c r="C166" s="129" t="s">
        <v>18</v>
      </c>
      <c r="D166" s="498" t="s">
        <v>38</v>
      </c>
      <c r="E166" s="141"/>
      <c r="F166" s="141"/>
      <c r="G166" s="142"/>
      <c r="H166" s="178"/>
      <c r="I166" s="44"/>
      <c r="J166" s="44"/>
      <c r="K166" s="45"/>
      <c r="L166" s="465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hidden="1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IFERROR(__xludf.DUMMYFUNCTION("IMPORTRANGE(""https://docs.google.com/spreadsheets/d/1eHaY18a8A9IcSdp1K8H6x8fbOy06t2VsZHhMHf-1x7Y/edit?usp=sharing"",""แผน!Z24"")"),0)</f>
        <v>0</v>
      </c>
      <c r="J167" s="466">
        <v>0</v>
      </c>
      <c r="K167" s="224">
        <f ca="1">IF(I167&gt;0,J167*100/I167,0)</f>
        <v>0</v>
      </c>
      <c r="L167" s="465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375" t="s">
        <v>35</v>
      </c>
      <c r="I168" s="430">
        <f ca="1">IFERROR(__xludf.DUMMYFUNCTION("IMPORTRANGE(""https://docs.google.com/spreadsheets/d/1eHaY18a8A9IcSdp1K8H6x8fbOy06t2VsZHhMHf-1x7Y/edit?usp=sharing"",""แผน!Z24"")"),0)</f>
        <v>0</v>
      </c>
      <c r="J168" s="525">
        <v>0</v>
      </c>
      <c r="K168" s="83">
        <f ca="1">IF(I168&gt;0,J168*100/I168,0)</f>
        <v>0</v>
      </c>
      <c r="L168" s="465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31" t="s">
        <v>71</v>
      </c>
      <c r="E169" s="1"/>
      <c r="F169" s="1"/>
      <c r="G169" s="52"/>
      <c r="H169" s="663" t="s">
        <v>35</v>
      </c>
      <c r="I169" s="433">
        <f ca="1">IFERROR(__xludf.DUMMYFUNCTION("IMPORTRANGE(""https://docs.google.com/spreadsheets/d/1eHaY18a8A9IcSdp1K8H6x8fbOy06t2VsZHhMHf-1x7Y/edit?usp=sharing"",""แผน!Z24"")"),0)</f>
        <v>0</v>
      </c>
      <c r="J169" s="522">
        <v>0</v>
      </c>
      <c r="K169" s="521">
        <f ca="1">IF(I169&gt;0,J169*100/I169,0)</f>
        <v>0</v>
      </c>
      <c r="L169" s="46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662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661">
        <f ca="1">I183+I184</f>
        <v>7</v>
      </c>
      <c r="J172" s="661">
        <f>J183+J184</f>
        <v>7</v>
      </c>
      <c r="K172" s="660">
        <f ca="1">IF(I172&gt;0,J172*100/I172,0)</f>
        <v>100</v>
      </c>
      <c r="L172" s="659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472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471">
        <f ca="1">L174+L175</f>
        <v>19590</v>
      </c>
      <c r="M173" s="470">
        <f ca="1">M174+M175</f>
        <v>127740</v>
      </c>
      <c r="N173" s="470">
        <f ca="1">N174+N175</f>
        <v>126600</v>
      </c>
      <c r="O173" s="470">
        <f t="shared" ref="O173:O181" ca="1" si="53">IF(L173&gt;0,N173*100/L173,0)</f>
        <v>646.24808575803979</v>
      </c>
      <c r="P173" s="470">
        <f t="shared" ref="P173:P181" ca="1" si="54">IF(M173&gt;0,N173*100/M173,0)</f>
        <v>99.107562235791448</v>
      </c>
      <c r="Q173" s="470">
        <f ca="1">Q174+Q175</f>
        <v>0</v>
      </c>
      <c r="R173" s="470">
        <f ca="1">R174+R175</f>
        <v>0</v>
      </c>
      <c r="S173" s="470">
        <f ca="1">S174+S175</f>
        <v>0</v>
      </c>
      <c r="T173" s="470">
        <f t="shared" ref="T173:T181" ca="1" si="55">IF(Q173&gt;0,S173*100/Q173,0)</f>
        <v>0</v>
      </c>
      <c r="U173" s="470">
        <f t="shared" ref="U173:U181" ca="1" si="56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469">
        <f t="shared" ref="L174:N175" si="57">L177+L180</f>
        <v>0</v>
      </c>
      <c r="M174" s="83">
        <f t="shared" si="57"/>
        <v>0</v>
      </c>
      <c r="N174" s="83">
        <f t="shared" si="57"/>
        <v>0</v>
      </c>
      <c r="O174" s="83">
        <f t="shared" si="53"/>
        <v>0</v>
      </c>
      <c r="P174" s="83">
        <f t="shared" si="54"/>
        <v>0</v>
      </c>
      <c r="Q174" s="83">
        <f t="shared" ref="Q174:S175" si="58">Q177+Q180</f>
        <v>0</v>
      </c>
      <c r="R174" s="83">
        <f t="shared" si="58"/>
        <v>0</v>
      </c>
      <c r="S174" s="83">
        <f t="shared" si="58"/>
        <v>0</v>
      </c>
      <c r="T174" s="83">
        <f t="shared" si="55"/>
        <v>0</v>
      </c>
      <c r="U174" s="83">
        <f t="shared" si="56"/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468">
        <f t="shared" ca="1" si="57"/>
        <v>19590</v>
      </c>
      <c r="M175" s="224">
        <f t="shared" ca="1" si="57"/>
        <v>127740</v>
      </c>
      <c r="N175" s="224">
        <f t="shared" ca="1" si="57"/>
        <v>126600</v>
      </c>
      <c r="O175" s="224">
        <f t="shared" ca="1" si="53"/>
        <v>646.24808575803979</v>
      </c>
      <c r="P175" s="224">
        <f t="shared" ca="1" si="54"/>
        <v>99.107562235791448</v>
      </c>
      <c r="Q175" s="224">
        <f t="shared" ca="1" si="58"/>
        <v>0</v>
      </c>
      <c r="R175" s="224">
        <f t="shared" ca="1" si="58"/>
        <v>0</v>
      </c>
      <c r="S175" s="224">
        <f t="shared" ca="1" si="58"/>
        <v>0</v>
      </c>
      <c r="T175" s="224">
        <f t="shared" ca="1" si="55"/>
        <v>0</v>
      </c>
      <c r="U175" s="224">
        <f t="shared" ca="1" si="56"/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468">
        <f ca="1">L177+L178</f>
        <v>19590</v>
      </c>
      <c r="M176" s="224">
        <f ca="1">M177+M178</f>
        <v>127740</v>
      </c>
      <c r="N176" s="224">
        <f ca="1">N177+N178</f>
        <v>126600</v>
      </c>
      <c r="O176" s="224">
        <f t="shared" ca="1" si="53"/>
        <v>646.24808575803979</v>
      </c>
      <c r="P176" s="224">
        <f t="shared" ca="1" si="54"/>
        <v>99.107562235791448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t="shared" ca="1" si="55"/>
        <v>0</v>
      </c>
      <c r="U176" s="224">
        <f t="shared" ca="1" si="56"/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469">
        <v>0</v>
      </c>
      <c r="M177" s="83">
        <v>0</v>
      </c>
      <c r="N177" s="83">
        <v>0</v>
      </c>
      <c r="O177" s="83">
        <f t="shared" si="53"/>
        <v>0</v>
      </c>
      <c r="P177" s="83">
        <f t="shared" si="54"/>
        <v>0</v>
      </c>
      <c r="Q177" s="83">
        <v>0</v>
      </c>
      <c r="R177" s="83">
        <v>0</v>
      </c>
      <c r="S177" s="83">
        <v>0</v>
      </c>
      <c r="T177" s="83">
        <f t="shared" si="55"/>
        <v>0</v>
      </c>
      <c r="U177" s="83">
        <f t="shared" si="56"/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468">
        <f ca="1">IFERROR(__xludf.DUMMYFUNCTION("IMPORTRANGE(""https://docs.google.com/spreadsheets/d/1-uDff_7J0KD5mKrp0Vvzr7lt3OU09vwQwhkpOPPYv2Y/edit?usp=sharing"",""งบพรบ!CK24"")"),19590)</f>
        <v>19590</v>
      </c>
      <c r="M178" s="224">
        <f ca="1">IFERROR(__xludf.DUMMYFUNCTION("IMPORTRANGE(""https://docs.google.com/spreadsheets/d/1-uDff_7J0KD5mKrp0Vvzr7lt3OU09vwQwhkpOPPYv2Y/edit?usp=sharing"",""งบพรบ!CP24"")"),127740)</f>
        <v>127740</v>
      </c>
      <c r="N178" s="224">
        <f ca="1">IFERROR(__xludf.DUMMYFUNCTION("IMPORTRANGE(""https://docs.google.com/spreadsheets/d/1-uDff_7J0KD5mKrp0Vvzr7lt3OU09vwQwhkpOPPYv2Y/edit?usp=sharing"",""งบพรบ!CR24"")"),126600)</f>
        <v>126600</v>
      </c>
      <c r="O178" s="224">
        <f t="shared" ca="1" si="53"/>
        <v>646.24808575803979</v>
      </c>
      <c r="P178" s="224">
        <f t="shared" ca="1" si="54"/>
        <v>99.107562235791448</v>
      </c>
      <c r="Q178" s="224">
        <f ca="1">IFERROR(__xludf.DUMMYFUNCTION("IMPORTRANGE(""https://docs.google.com/spreadsheets/d/1ItG2mGa2ceCfYo0BwxsXqNm01IGEUdYcSSLTEv9YCik/edit?usp=sharing"",""เบิกจ่ายกองทุน!BE24"")"),0)</f>
        <v>0</v>
      </c>
      <c r="R178" s="224">
        <f ca="1">IFERROR(__xludf.DUMMYFUNCTION("IMPORTRANGE(""https://docs.google.com/spreadsheets/d/1ItG2mGa2ceCfYo0BwxsXqNm01IGEUdYcSSLTEv9YCik/edit?usp=sharing"",""เบิกจ่ายกองทุน!BF24"")"),0)</f>
        <v>0</v>
      </c>
      <c r="S178" s="224">
        <f ca="1">IFERROR(__xludf.DUMMYFUNCTION("IMPORTRANGE(""https://docs.google.com/spreadsheets/d/1ItG2mGa2ceCfYo0BwxsXqNm01IGEUdYcSSLTEv9YCik/edit?usp=sharing"",""เบิกจ่ายกองทุน!BG24"")"),0)</f>
        <v>0</v>
      </c>
      <c r="T178" s="224">
        <f t="shared" ca="1" si="55"/>
        <v>0</v>
      </c>
      <c r="U178" s="224">
        <f t="shared" ca="1" si="56"/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468">
        <f ca="1">L180+L181</f>
        <v>0</v>
      </c>
      <c r="M179" s="224">
        <f ca="1">M180+M181</f>
        <v>0</v>
      </c>
      <c r="N179" s="224">
        <f ca="1">N180+N181</f>
        <v>0</v>
      </c>
      <c r="O179" s="224">
        <f t="shared" ca="1" si="53"/>
        <v>0</v>
      </c>
      <c r="P179" s="224">
        <f t="shared" ca="1" si="54"/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 t="shared" si="55"/>
        <v>0</v>
      </c>
      <c r="U179" s="224">
        <f t="shared" si="56"/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469">
        <v>0</v>
      </c>
      <c r="M180" s="83">
        <v>0</v>
      </c>
      <c r="N180" s="83">
        <v>0</v>
      </c>
      <c r="O180" s="83">
        <f t="shared" si="53"/>
        <v>0</v>
      </c>
      <c r="P180" s="83">
        <f t="shared" si="54"/>
        <v>0</v>
      </c>
      <c r="Q180" s="83">
        <v>0</v>
      </c>
      <c r="R180" s="83">
        <v>0</v>
      </c>
      <c r="S180" s="83">
        <v>0</v>
      </c>
      <c r="T180" s="83">
        <f t="shared" si="55"/>
        <v>0</v>
      </c>
      <c r="U180" s="83">
        <f t="shared" si="56"/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468">
        <f ca="1">IFERROR(__xludf.DUMMYFUNCTION("IMPORTRANGE(""https://docs.google.com/spreadsheets/d/1-uDff_7J0KD5mKrp0Vvzr7lt3OU09vwQwhkpOPPYv2Y/edit?usp=sharing"",""งบพรบ!CN24"")"),0)</f>
        <v>0</v>
      </c>
      <c r="M181" s="224">
        <f ca="1">IFERROR(__xludf.DUMMYFUNCTION("IMPORTRANGE(""https://docs.google.com/spreadsheets/d/1-uDff_7J0KD5mKrp0Vvzr7lt3OU09vwQwhkpOPPYv2Y/edit?usp=sharing"",""งบพรบ!CQ24"")"),0)</f>
        <v>0</v>
      </c>
      <c r="N181" s="224">
        <f ca="1">IFERROR(__xludf.DUMMYFUNCTION("IMPORTRANGE(""https://docs.google.com/spreadsheets/d/1-uDff_7J0KD5mKrp0Vvzr7lt3OU09vwQwhkpOPPYv2Y/edit?usp=sharing"",""งบพรบ!CS24"")"),0)</f>
        <v>0</v>
      </c>
      <c r="O181" s="224">
        <f t="shared" ca="1" si="53"/>
        <v>0</v>
      </c>
      <c r="P181" s="224">
        <f t="shared" ca="1" si="54"/>
        <v>0</v>
      </c>
      <c r="Q181" s="224">
        <v>0</v>
      </c>
      <c r="R181" s="224">
        <v>0</v>
      </c>
      <c r="S181" s="224">
        <v>0</v>
      </c>
      <c r="T181" s="224">
        <f t="shared" si="55"/>
        <v>0</v>
      </c>
      <c r="U181" s="224">
        <f t="shared" si="56"/>
        <v>0</v>
      </c>
    </row>
    <row r="182" spans="1:21" ht="19.5" x14ac:dyDescent="0.3">
      <c r="A182" s="138"/>
      <c r="B182" s="139"/>
      <c r="C182" s="129" t="s">
        <v>18</v>
      </c>
      <c r="D182" s="498" t="s">
        <v>38</v>
      </c>
      <c r="E182" s="141"/>
      <c r="F182" s="141"/>
      <c r="G182" s="142"/>
      <c r="H182" s="178"/>
      <c r="I182" s="44"/>
      <c r="J182" s="44"/>
      <c r="K182" s="45"/>
      <c r="L182" s="465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IFERROR(__xludf.DUMMYFUNCTION("IMPORTRANGE(""https://docs.google.com/spreadsheets/d/1eHaY18a8A9IcSdp1K8H6x8fbOy06t2VsZHhMHf-1x7Y/edit?usp=sharing"",""แผน!AA24"")"),7)</f>
        <v>7</v>
      </c>
      <c r="J183" s="466">
        <v>7</v>
      </c>
      <c r="K183" s="224">
        <f ca="1">IF(I183&gt;0,J183*100/I183,0)</f>
        <v>100</v>
      </c>
      <c r="L183" s="465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14" t="s">
        <v>76</v>
      </c>
      <c r="E184" s="40"/>
      <c r="F184" s="40"/>
      <c r="G184" s="42"/>
      <c r="H184" s="526" t="s">
        <v>35</v>
      </c>
      <c r="I184" s="430">
        <v>0</v>
      </c>
      <c r="J184" s="430">
        <v>0</v>
      </c>
      <c r="K184" s="83">
        <f>IF(I184&gt;0,J184*100/I184,0)</f>
        <v>0</v>
      </c>
      <c r="L184" s="465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661">
        <f ca="1">I230+I231</f>
        <v>0</v>
      </c>
      <c r="J185" s="661">
        <f>J230+J231</f>
        <v>0</v>
      </c>
      <c r="K185" s="660">
        <f ca="1">IF(I185&gt;0,J185*100/I185,0)</f>
        <v>0</v>
      </c>
      <c r="L185" s="659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472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471">
        <f ca="1">L187+L188</f>
        <v>140500</v>
      </c>
      <c r="M186" s="470">
        <f ca="1">M187+M188</f>
        <v>124500</v>
      </c>
      <c r="N186" s="470">
        <f ca="1">N187+N188</f>
        <v>80134</v>
      </c>
      <c r="O186" s="470">
        <f t="shared" ref="O186:O194" ca="1" si="59">IF(L186&gt;0,N186*100/L186,0)</f>
        <v>57.034875444839855</v>
      </c>
      <c r="P186" s="470">
        <f t="shared" ref="P186:P194" ca="1" si="60">IF(M186&gt;0,N186*100/M186,0)</f>
        <v>64.364658634538159</v>
      </c>
      <c r="Q186" s="470">
        <f ca="1">Q187+Q188</f>
        <v>42000</v>
      </c>
      <c r="R186" s="470">
        <f ca="1">R187+R188</f>
        <v>42000</v>
      </c>
      <c r="S186" s="470">
        <f ca="1">S187+S188</f>
        <v>0</v>
      </c>
      <c r="T186" s="470">
        <f t="shared" ref="T186:T194" ca="1" si="61">IF(Q186&gt;0,S186*100/Q186,0)</f>
        <v>0</v>
      </c>
      <c r="U186" s="470">
        <f t="shared" ref="U186:U194" ca="1" si="62">IF(R186&gt;0,S186*100/R186,0)</f>
        <v>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469">
        <f t="shared" ref="L187:N188" si="63">L190+L193</f>
        <v>0</v>
      </c>
      <c r="M187" s="83">
        <f t="shared" si="63"/>
        <v>0</v>
      </c>
      <c r="N187" s="83">
        <f t="shared" si="63"/>
        <v>0</v>
      </c>
      <c r="O187" s="83">
        <f t="shared" si="59"/>
        <v>0</v>
      </c>
      <c r="P187" s="83">
        <f t="shared" si="60"/>
        <v>0</v>
      </c>
      <c r="Q187" s="83">
        <f t="shared" ref="Q187:S188" si="64">Q190+Q193</f>
        <v>0</v>
      </c>
      <c r="R187" s="83">
        <f t="shared" si="64"/>
        <v>0</v>
      </c>
      <c r="S187" s="83">
        <f t="shared" si="64"/>
        <v>0</v>
      </c>
      <c r="T187" s="83">
        <f t="shared" si="61"/>
        <v>0</v>
      </c>
      <c r="U187" s="83">
        <f t="shared" si="62"/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468">
        <f t="shared" ca="1" si="63"/>
        <v>140500</v>
      </c>
      <c r="M188" s="224">
        <f t="shared" ca="1" si="63"/>
        <v>124500</v>
      </c>
      <c r="N188" s="224">
        <f t="shared" ca="1" si="63"/>
        <v>80134</v>
      </c>
      <c r="O188" s="224">
        <f t="shared" ca="1" si="59"/>
        <v>57.034875444839855</v>
      </c>
      <c r="P188" s="224">
        <f t="shared" ca="1" si="60"/>
        <v>64.364658634538159</v>
      </c>
      <c r="Q188" s="224">
        <f t="shared" ca="1" si="64"/>
        <v>42000</v>
      </c>
      <c r="R188" s="224">
        <f t="shared" ca="1" si="64"/>
        <v>42000</v>
      </c>
      <c r="S188" s="224">
        <f t="shared" ca="1" si="64"/>
        <v>0</v>
      </c>
      <c r="T188" s="224">
        <f t="shared" ca="1" si="61"/>
        <v>0</v>
      </c>
      <c r="U188" s="224">
        <f t="shared" ca="1" si="62"/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468">
        <f ca="1">L190+L191</f>
        <v>140500</v>
      </c>
      <c r="M189" s="224">
        <f ca="1">M190+M191</f>
        <v>124500</v>
      </c>
      <c r="N189" s="224">
        <f ca="1">N190+N191</f>
        <v>80134</v>
      </c>
      <c r="O189" s="224">
        <f t="shared" ca="1" si="59"/>
        <v>57.034875444839855</v>
      </c>
      <c r="P189" s="224">
        <f t="shared" ca="1" si="60"/>
        <v>64.364658634538159</v>
      </c>
      <c r="Q189" s="224">
        <f ca="1">Q190+Q191</f>
        <v>42000</v>
      </c>
      <c r="R189" s="224">
        <f ca="1">R190+R191</f>
        <v>42000</v>
      </c>
      <c r="S189" s="224">
        <f ca="1">S190+S191</f>
        <v>0</v>
      </c>
      <c r="T189" s="224">
        <f t="shared" ca="1" si="61"/>
        <v>0</v>
      </c>
      <c r="U189" s="224">
        <f t="shared" ca="1" si="62"/>
        <v>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469">
        <v>0</v>
      </c>
      <c r="M190" s="83">
        <v>0</v>
      </c>
      <c r="N190" s="83">
        <v>0</v>
      </c>
      <c r="O190" s="83">
        <f t="shared" si="59"/>
        <v>0</v>
      </c>
      <c r="P190" s="83">
        <f t="shared" si="60"/>
        <v>0</v>
      </c>
      <c r="Q190" s="83">
        <v>0</v>
      </c>
      <c r="R190" s="83">
        <v>0</v>
      </c>
      <c r="S190" s="83">
        <v>0</v>
      </c>
      <c r="T190" s="83">
        <f t="shared" si="61"/>
        <v>0</v>
      </c>
      <c r="U190" s="83">
        <f t="shared" si="62"/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468">
        <f ca="1">IFERROR(__xludf.DUMMYFUNCTION("IMPORTRANGE(""https://docs.google.com/spreadsheets/d/1-uDff_7J0KD5mKrp0Vvzr7lt3OU09vwQwhkpOPPYv2Y/edit?usp=sharing"",""งบพรบ!CU24"")"),140500)</f>
        <v>140500</v>
      </c>
      <c r="M191" s="224">
        <f ca="1">IFERROR(__xludf.DUMMYFUNCTION("IMPORTRANGE(""https://docs.google.com/spreadsheets/d/1-uDff_7J0KD5mKrp0Vvzr7lt3OU09vwQwhkpOPPYv2Y/edit?usp=sharing"",""งบพรบ!CZ24"")"),124500)</f>
        <v>124500</v>
      </c>
      <c r="N191" s="224">
        <f ca="1">IFERROR(__xludf.DUMMYFUNCTION("IMPORTRANGE(""https://docs.google.com/spreadsheets/d/1-uDff_7J0KD5mKrp0Vvzr7lt3OU09vwQwhkpOPPYv2Y/edit?usp=sharing"",""งบพรบ!DB24"")"),80134)</f>
        <v>80134</v>
      </c>
      <c r="O191" s="224">
        <f t="shared" ca="1" si="59"/>
        <v>57.034875444839855</v>
      </c>
      <c r="P191" s="224">
        <f t="shared" ca="1" si="60"/>
        <v>64.364658634538159</v>
      </c>
      <c r="Q191" s="224">
        <f ca="1">IFERROR(__xludf.DUMMYFUNCTION("IMPORTRANGE(""https://docs.google.com/spreadsheets/d/1ItG2mGa2ceCfYo0BwxsXqNm01IGEUdYcSSLTEv9YCik/edit?usp=sharing"",""เบิกจ่ายกองทุน!AV24"")"),42000)</f>
        <v>42000</v>
      </c>
      <c r="R191" s="224">
        <f ca="1">IFERROR(__xludf.DUMMYFUNCTION("IMPORTRANGE(""https://docs.google.com/spreadsheets/d/1ItG2mGa2ceCfYo0BwxsXqNm01IGEUdYcSSLTEv9YCik/edit?usp=sharing"",""เบิกจ่ายกองทุน!AW24"")"),42000)</f>
        <v>42000</v>
      </c>
      <c r="S191" s="224">
        <f ca="1">IFERROR(__xludf.DUMMYFUNCTION("IMPORTRANGE(""https://docs.google.com/spreadsheets/d/1ItG2mGa2ceCfYo0BwxsXqNm01IGEUdYcSSLTEv9YCik/edit?usp=sharing"",""เบิกจ่ายกองทุน!AX24"")"),0)</f>
        <v>0</v>
      </c>
      <c r="T191" s="224">
        <f t="shared" ca="1" si="61"/>
        <v>0</v>
      </c>
      <c r="U191" s="224">
        <f t="shared" ca="1" si="62"/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468">
        <f ca="1">L193+L194</f>
        <v>0</v>
      </c>
      <c r="M192" s="224">
        <f ca="1">M193+M194</f>
        <v>0</v>
      </c>
      <c r="N192" s="224">
        <f ca="1">N193+N194</f>
        <v>0</v>
      </c>
      <c r="O192" s="224">
        <f t="shared" ca="1" si="59"/>
        <v>0</v>
      </c>
      <c r="P192" s="224">
        <f t="shared" ca="1" si="60"/>
        <v>0</v>
      </c>
      <c r="Q192" s="224">
        <f>Q193+Q194</f>
        <v>0</v>
      </c>
      <c r="R192" s="224">
        <f>R193+R194</f>
        <v>0</v>
      </c>
      <c r="S192" s="224">
        <f>S193+S194</f>
        <v>0</v>
      </c>
      <c r="T192" s="224">
        <f t="shared" si="61"/>
        <v>0</v>
      </c>
      <c r="U192" s="224">
        <f t="shared" si="62"/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469">
        <v>0</v>
      </c>
      <c r="M193" s="83">
        <v>0</v>
      </c>
      <c r="N193" s="83">
        <v>0</v>
      </c>
      <c r="O193" s="83">
        <f t="shared" si="59"/>
        <v>0</v>
      </c>
      <c r="P193" s="83">
        <f t="shared" si="60"/>
        <v>0</v>
      </c>
      <c r="Q193" s="83">
        <v>0</v>
      </c>
      <c r="R193" s="83">
        <v>0</v>
      </c>
      <c r="S193" s="83">
        <v>0</v>
      </c>
      <c r="T193" s="83">
        <f t="shared" si="61"/>
        <v>0</v>
      </c>
      <c r="U193" s="83">
        <f t="shared" si="62"/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468">
        <f ca="1">IFERROR(__xludf.DUMMYFUNCTION("IMPORTRANGE(""https://docs.google.com/spreadsheets/d/1-uDff_7J0KD5mKrp0Vvzr7lt3OU09vwQwhkpOPPYv2Y/edit?usp=sharing"",""งบพรบ!CX24"")"),0)</f>
        <v>0</v>
      </c>
      <c r="M194" s="224">
        <f ca="1">IFERROR(__xludf.DUMMYFUNCTION("IMPORTRANGE(""https://docs.google.com/spreadsheets/d/1-uDff_7J0KD5mKrp0Vvzr7lt3OU09vwQwhkpOPPYv2Y/edit?usp=sharing"",""งบพรบ!DA24"")"),0)</f>
        <v>0</v>
      </c>
      <c r="N194" s="224">
        <f ca="1">IFERROR(__xludf.DUMMYFUNCTION("IMPORTRANGE(""https://docs.google.com/spreadsheets/d/1-uDff_7J0KD5mKrp0Vvzr7lt3OU09vwQwhkpOPPYv2Y/edit?usp=sharing"",""งบพรบ!DC24"")"),0)</f>
        <v>0</v>
      </c>
      <c r="O194" s="224">
        <f t="shared" ca="1" si="59"/>
        <v>0</v>
      </c>
      <c r="P194" s="224">
        <f t="shared" ca="1" si="60"/>
        <v>0</v>
      </c>
      <c r="Q194" s="224">
        <v>0</v>
      </c>
      <c r="R194" s="224">
        <v>0</v>
      </c>
      <c r="S194" s="224">
        <v>0</v>
      </c>
      <c r="T194" s="224">
        <f t="shared" si="61"/>
        <v>0</v>
      </c>
      <c r="U194" s="224">
        <f t="shared" si="62"/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ca="1">I198</f>
        <v>4</v>
      </c>
      <c r="J195" s="303">
        <f>J198</f>
        <v>2</v>
      </c>
      <c r="K195" s="304">
        <f ca="1">IF(I195&gt;0,J195*100/I195,0)</f>
        <v>50</v>
      </c>
      <c r="L195" s="557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654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471">
        <f ca="1">IFERROR(__xludf.DUMMYFUNCTION("IMPORTRANGE(""https://docs.google.com/spreadsheets/d/1eHaY18a8A9IcSdp1K8H6x8fbOy06t2VsZHhMHf-1x7Y/edit?usp=sharing"",""แผน!AB24"")"),6000)</f>
        <v>6000</v>
      </c>
      <c r="M196" s="45"/>
      <c r="N196" s="658">
        <v>0</v>
      </c>
      <c r="O196" s="470">
        <f ca="1">IF(L196&gt;0,N196*100/L196,0)</f>
        <v>0</v>
      </c>
      <c r="P196" s="47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498" t="s">
        <v>38</v>
      </c>
      <c r="E197" s="141"/>
      <c r="F197" s="141"/>
      <c r="G197" s="142"/>
      <c r="H197" s="143"/>
      <c r="I197" s="44"/>
      <c r="J197" s="44"/>
      <c r="K197" s="45"/>
      <c r="L197" s="465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IFERROR(__xludf.DUMMYFUNCTION("IMPORTRANGE(""https://docs.google.com/spreadsheets/d/1eHaY18a8A9IcSdp1K8H6x8fbOy06t2VsZHhMHf-1x7Y/edit?usp=sharing"",""แผน!AE24"")"),4)</f>
        <v>4</v>
      </c>
      <c r="J198" s="466">
        <v>2</v>
      </c>
      <c r="K198" s="224">
        <f ca="1">IF(I198&gt;0,J198*100/I198,0)</f>
        <v>50</v>
      </c>
      <c r="L198" s="465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65</v>
      </c>
      <c r="K199" s="45"/>
      <c r="L199" s="465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466">
        <v>65</v>
      </c>
      <c r="K200" s="45"/>
      <c r="L200" s="465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466">
        <v>0</v>
      </c>
      <c r="K201" s="45"/>
      <c r="L201" s="465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ca="1">I209</f>
        <v>3</v>
      </c>
      <c r="J202" s="303">
        <f>J209</f>
        <v>0</v>
      </c>
      <c r="K202" s="304">
        <f ca="1">IF(I202&gt;0,J202*100/I202,0)</f>
        <v>0</v>
      </c>
      <c r="L202" s="557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654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471">
        <f ca="1">L204+L205+L206+L207</f>
        <v>15000</v>
      </c>
      <c r="M203" s="45"/>
      <c r="N203" s="470">
        <f>N204+N205+N206+N207</f>
        <v>1400</v>
      </c>
      <c r="O203" s="470">
        <f ca="1">IF(L203&gt;0,N203*100/L203,0)</f>
        <v>9.3333333333333339</v>
      </c>
      <c r="P203" s="470">
        <f>IF(M203&gt;0,N203*100/M203,0)</f>
        <v>0</v>
      </c>
      <c r="Q203" s="657">
        <f ca="1">Q204+Q205+Q206+Q207</f>
        <v>42000</v>
      </c>
      <c r="R203" s="656"/>
      <c r="S203" s="655">
        <f>S204+S205+S206+S207</f>
        <v>0</v>
      </c>
      <c r="T203" s="655">
        <f ca="1">IF(Q203&gt;0,S203*100/Q203,0)</f>
        <v>0</v>
      </c>
      <c r="U203" s="655">
        <f>IF(R203&gt;0,S203*100/R203,0)</f>
        <v>0</v>
      </c>
    </row>
    <row r="204" spans="1:21" ht="18.75" x14ac:dyDescent="0.25">
      <c r="A204" s="128"/>
      <c r="B204" s="158"/>
      <c r="C204" s="40"/>
      <c r="D204" s="653" t="s">
        <v>311</v>
      </c>
      <c r="E204" s="40"/>
      <c r="F204" s="40"/>
      <c r="G204" s="42"/>
      <c r="H204" s="134" t="s">
        <v>14</v>
      </c>
      <c r="I204" s="135"/>
      <c r="J204" s="135"/>
      <c r="K204" s="136"/>
      <c r="L204" s="468">
        <f ca="1">IFERROR(__xludf.DUMMYFUNCTION("IMPORTRANGE(""https://docs.google.com/spreadsheets/d/1eHaY18a8A9IcSdp1K8H6x8fbOy06t2VsZHhMHf-1x7Y/edit?usp=sharing"",""แผน!AG24"")"),2000)</f>
        <v>2000</v>
      </c>
      <c r="M204" s="45"/>
      <c r="N204" s="644">
        <v>1400</v>
      </c>
      <c r="O204" s="136"/>
      <c r="P204" s="45"/>
      <c r="Q204" s="468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307</v>
      </c>
      <c r="E205" s="40"/>
      <c r="F205" s="40"/>
      <c r="G205" s="42"/>
      <c r="H205" s="43" t="s">
        <v>14</v>
      </c>
      <c r="I205" s="44"/>
      <c r="J205" s="44"/>
      <c r="K205" s="45"/>
      <c r="L205" s="468">
        <f ca="1">IFERROR(__xludf.DUMMYFUNCTION("IMPORTRANGE(""https://docs.google.com/spreadsheets/d/1eHaY18a8A9IcSdp1K8H6x8fbOy06t2VsZHhMHf-1x7Y/edit?usp=sharing"",""แผน!AH24"")"),0)</f>
        <v>0</v>
      </c>
      <c r="M205" s="45"/>
      <c r="N205" s="644">
        <v>0</v>
      </c>
      <c r="O205" s="136"/>
      <c r="P205" s="45"/>
      <c r="Q205" s="468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468">
        <f ca="1">IFERROR(__xludf.DUMMYFUNCTION("IMPORTRANGE(""https://docs.google.com/spreadsheets/d/1eHaY18a8A9IcSdp1K8H6x8fbOy06t2VsZHhMHf-1x7Y/edit?usp=sharing"",""แผน!AI24"")"),0)</f>
        <v>0</v>
      </c>
      <c r="M206" s="45"/>
      <c r="N206" s="644">
        <v>0</v>
      </c>
      <c r="O206" s="136"/>
      <c r="P206" s="45"/>
      <c r="Q206" s="468">
        <f ca="1">IFERROR(__xludf.DUMMYFUNCTION("IMPORTRANGE(""https://docs.google.com/spreadsheets/d/1eHaY18a8A9IcSdp1K8H6x8fbOy06t2VsZHhMHf-1x7Y/edit?usp=sharing"",""แผน!LV24"")"),42000)</f>
        <v>42000</v>
      </c>
      <c r="R206" s="45"/>
      <c r="S206" s="644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468">
        <f ca="1">IFERROR(__xludf.DUMMYFUNCTION("IMPORTRANGE(""https://docs.google.com/spreadsheets/d/1eHaY18a8A9IcSdp1K8H6x8fbOy06t2VsZHhMHf-1x7Y/edit?usp=sharing"",""แผน!AJ24"")"),13000)</f>
        <v>13000</v>
      </c>
      <c r="M207" s="45"/>
      <c r="N207" s="644">
        <v>0</v>
      </c>
      <c r="O207" s="136"/>
      <c r="P207" s="45"/>
      <c r="Q207" s="468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498" t="s">
        <v>38</v>
      </c>
      <c r="E208" s="141"/>
      <c r="F208" s="141"/>
      <c r="G208" s="142"/>
      <c r="H208" s="143"/>
      <c r="I208" s="135"/>
      <c r="J208" s="135"/>
      <c r="K208" s="136"/>
      <c r="L208" s="492"/>
      <c r="M208" s="136"/>
      <c r="N208" s="136"/>
      <c r="O208" s="136"/>
      <c r="P208" s="136"/>
      <c r="Q208" s="4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IFERROR(__xludf.DUMMYFUNCTION("IMPORTRANGE(""https://docs.google.com/spreadsheets/d/1eHaY18a8A9IcSdp1K8H6x8fbOy06t2VsZHhMHf-1x7Y/edit?usp=sharing"",""แผน!AK24"")"),3)</f>
        <v>3</v>
      </c>
      <c r="J209" s="466">
        <v>0</v>
      </c>
      <c r="K209" s="497">
        <f ca="1">IF(I209&gt;0,J209*100/I209,0)</f>
        <v>0</v>
      </c>
      <c r="L209" s="465"/>
      <c r="M209" s="45"/>
      <c r="N209" s="45"/>
      <c r="O209" s="45"/>
      <c r="P209" s="45"/>
      <c r="Q209" s="465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465"/>
      <c r="M210" s="45"/>
      <c r="N210" s="45"/>
      <c r="O210" s="45"/>
      <c r="P210" s="45"/>
      <c r="Q210" s="46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IFERROR(__xludf.DUMMYFUNCTION("IMPORTRANGE(""https://docs.google.com/spreadsheets/d/1eHaY18a8A9IcSdp1K8H6x8fbOy06t2VsZHhMHf-1x7Y/edit?usp=sharing"",""แผน!JX24"")"),2)</f>
        <v>2</v>
      </c>
      <c r="J211" s="466">
        <v>2</v>
      </c>
      <c r="K211" s="497">
        <f ca="1">IF(I211&gt;0,J211*100/I211,0)</f>
        <v>100</v>
      </c>
      <c r="L211" s="465"/>
      <c r="M211" s="45"/>
      <c r="N211" s="45"/>
      <c r="O211" s="45"/>
      <c r="P211" s="45"/>
      <c r="Q211" s="46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IFERROR(__xludf.DUMMYFUNCTION("IMPORTRANGE(""https://docs.google.com/spreadsheets/d/1eHaY18a8A9IcSdp1K8H6x8fbOy06t2VsZHhMHf-1x7Y/edit?usp=sharing"",""แผน!JY24"")"),1)</f>
        <v>1</v>
      </c>
      <c r="J212" s="466">
        <v>1</v>
      </c>
      <c r="K212" s="497">
        <f ca="1">IF(I212&gt;0,J212*100/I212,0)</f>
        <v>100</v>
      </c>
      <c r="L212" s="465"/>
      <c r="M212" s="45"/>
      <c r="N212" s="45"/>
      <c r="O212" s="45"/>
      <c r="P212" s="45"/>
      <c r="Q212" s="465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ca="1">I220</f>
        <v>0</v>
      </c>
      <c r="J213" s="303">
        <f>J220</f>
        <v>0</v>
      </c>
      <c r="K213" s="304">
        <f ca="1">IF(I213&gt;0,J213*100/I213,0)</f>
        <v>0</v>
      </c>
      <c r="L213" s="557"/>
      <c r="M213" s="219"/>
      <c r="N213" s="219"/>
      <c r="O213" s="219"/>
      <c r="P213" s="219"/>
      <c r="Q213" s="557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654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471">
        <f ca="1">L215+L216+L217</f>
        <v>0</v>
      </c>
      <c r="M214" s="45"/>
      <c r="N214" s="470">
        <f>N215+N216+N217</f>
        <v>0</v>
      </c>
      <c r="O214" s="470">
        <f ca="1">IF(L214&gt;0,N214*100/L214,0)</f>
        <v>0</v>
      </c>
      <c r="P214" s="470">
        <f>IF(M214&gt;0,N214*100/M214,0)</f>
        <v>0</v>
      </c>
      <c r="Q214" s="471">
        <f ca="1">Q215+Q216+Q217</f>
        <v>0</v>
      </c>
      <c r="R214" s="45"/>
      <c r="S214" s="470">
        <f>S215+S216+S217</f>
        <v>0</v>
      </c>
      <c r="T214" s="470">
        <f ca="1">IF(Q214&gt;0,S214*100/Q214,0)</f>
        <v>0</v>
      </c>
      <c r="U214" s="470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468">
        <f ca="1">IFERROR(__xludf.DUMMYFUNCTION("IMPORTRANGE(""https://docs.google.com/spreadsheets/d/1eHaY18a8A9IcSdp1K8H6x8fbOy06t2VsZHhMHf-1x7Y/edit?usp=sharing"",""แผน!AM24"")"),0)</f>
        <v>0</v>
      </c>
      <c r="M215" s="45"/>
      <c r="N215" s="644">
        <v>0</v>
      </c>
      <c r="O215" s="136"/>
      <c r="P215" s="45"/>
      <c r="Q215" s="468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468">
        <f ca="1">IFERROR(__xludf.DUMMYFUNCTION("IMPORTRANGE(""https://docs.google.com/spreadsheets/d/1eHaY18a8A9IcSdp1K8H6x8fbOy06t2VsZHhMHf-1x7Y/edit?usp=sharing"",""แผน!AN24"")"),0)</f>
        <v>0</v>
      </c>
      <c r="M216" s="45"/>
      <c r="N216" s="644">
        <v>0</v>
      </c>
      <c r="O216" s="136"/>
      <c r="P216" s="45"/>
      <c r="Q216" s="468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468">
        <f ca="1">IFERROR(__xludf.DUMMYFUNCTION("IMPORTRANGE(""https://docs.google.com/spreadsheets/d/1eHaY18a8A9IcSdp1K8H6x8fbOy06t2VsZHhMHf-1x7Y/edit?usp=sharing"",""แผน!AO24"")"),0)</f>
        <v>0</v>
      </c>
      <c r="M217" s="45"/>
      <c r="N217" s="644">
        <v>0</v>
      </c>
      <c r="O217" s="136"/>
      <c r="P217" s="45"/>
      <c r="Q217" s="468">
        <f ca="1">IFERROR(__xludf.DUMMYFUNCTION("IMPORTRANGE(""https://docs.google.com/spreadsheets/d/1eHaY18a8A9IcSdp1K8H6x8fbOy06t2VsZHhMHf-1x7Y/edit?usp=sharing"",""แผน!LY24"")"),0)</f>
        <v>0</v>
      </c>
      <c r="R217" s="45"/>
      <c r="S217" s="644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498" t="s">
        <v>38</v>
      </c>
      <c r="E218" s="141"/>
      <c r="F218" s="141"/>
      <c r="G218" s="142"/>
      <c r="H218" s="143"/>
      <c r="I218" s="135"/>
      <c r="J218" s="44"/>
      <c r="K218" s="45"/>
      <c r="L218" s="465"/>
      <c r="M218" s="45"/>
      <c r="N218" s="45"/>
      <c r="O218" s="136"/>
      <c r="P218" s="136"/>
      <c r="Q218" s="465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IFERROR(__xludf.DUMMYFUNCTION("IMPORTRANGE(""https://docs.google.com/spreadsheets/d/1eHaY18a8A9IcSdp1K8H6x8fbOy06t2VsZHhMHf-1x7Y/edit?usp=sharing"",""แผน!AP24"")"),0)</f>
        <v>0</v>
      </c>
      <c r="J219" s="466">
        <v>0</v>
      </c>
      <c r="K219" s="224">
        <f ca="1">IF(I219&gt;0,J219*100/I219,0)</f>
        <v>0</v>
      </c>
      <c r="L219" s="465"/>
      <c r="M219" s="45"/>
      <c r="N219" s="45"/>
      <c r="O219" s="45"/>
      <c r="P219" s="45"/>
      <c r="Q219" s="465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IFERROR(__xludf.DUMMYFUNCTION("IMPORTRANGE(""https://docs.google.com/spreadsheets/d/1eHaY18a8A9IcSdp1K8H6x8fbOy06t2VsZHhMHf-1x7Y/edit?usp=sharing"",""แผน!AP24"")"),0)</f>
        <v>0</v>
      </c>
      <c r="J220" s="466">
        <v>0</v>
      </c>
      <c r="K220" s="224">
        <f ca="1">IF(I220&gt;0,J220*100/I220,0)</f>
        <v>0</v>
      </c>
      <c r="L220" s="465"/>
      <c r="M220" s="45"/>
      <c r="N220" s="45"/>
      <c r="O220" s="45"/>
      <c r="P220" s="45"/>
      <c r="Q220" s="465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ca="1">I229</f>
        <v>100000</v>
      </c>
      <c r="J221" s="303">
        <f>J229</f>
        <v>0</v>
      </c>
      <c r="K221" s="304">
        <f ca="1">IF(I221&gt;0,J221*100/I221,0)</f>
        <v>0</v>
      </c>
      <c r="L221" s="557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654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471">
        <f ca="1">L223+L224+L225</f>
        <v>12500</v>
      </c>
      <c r="M222" s="45"/>
      <c r="N222" s="470">
        <f>N223+N224+N225</f>
        <v>0</v>
      </c>
      <c r="O222" s="470">
        <f ca="1">IF(L222&gt;0,N222*100/L222,0)</f>
        <v>0</v>
      </c>
      <c r="P222" s="47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653" t="s">
        <v>308</v>
      </c>
      <c r="E223" s="40"/>
      <c r="F223" s="40"/>
      <c r="G223" s="42"/>
      <c r="H223" s="134" t="s">
        <v>14</v>
      </c>
      <c r="I223" s="135"/>
      <c r="J223" s="135"/>
      <c r="K223" s="136"/>
      <c r="L223" s="468">
        <f ca="1">IFERROR(__xludf.DUMMYFUNCTION("IMPORTRANGE(""https://docs.google.com/spreadsheets/d/1eHaY18a8A9IcSdp1K8H6x8fbOy06t2VsZHhMHf-1x7Y/edit?usp=sharing"",""แผน!AR24"")"),2500)</f>
        <v>2500</v>
      </c>
      <c r="M223" s="45"/>
      <c r="N223" s="644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307</v>
      </c>
      <c r="E224" s="40"/>
      <c r="F224" s="40"/>
      <c r="G224" s="42"/>
      <c r="H224" s="134" t="s">
        <v>14</v>
      </c>
      <c r="I224" s="44"/>
      <c r="J224" s="44"/>
      <c r="K224" s="45"/>
      <c r="L224" s="468">
        <f ca="1">IFERROR(__xludf.DUMMYFUNCTION("IMPORTRANGE(""https://docs.google.com/spreadsheets/d/1eHaY18a8A9IcSdp1K8H6x8fbOy06t2VsZHhMHf-1x7Y/edit?usp=sharing"",""แผน!AS24"")"),10000)</f>
        <v>10000</v>
      </c>
      <c r="M224" s="45"/>
      <c r="N224" s="644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468">
        <f ca="1">IFERROR(__xludf.DUMMYFUNCTION("IMPORTRANGE(""https://docs.google.com/spreadsheets/d/1eHaY18a8A9IcSdp1K8H6x8fbOy06t2VsZHhMHf-1x7Y/edit?usp=sharing"",""แผน!AT24"")"),0)</f>
        <v>0</v>
      </c>
      <c r="M225" s="45"/>
      <c r="N225" s="644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498" t="s">
        <v>38</v>
      </c>
      <c r="E226" s="141"/>
      <c r="F226" s="141"/>
      <c r="G226" s="142"/>
      <c r="H226" s="143"/>
      <c r="I226" s="135"/>
      <c r="J226" s="135"/>
      <c r="K226" s="136"/>
      <c r="L226" s="4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4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IFERROR(__xludf.DUMMYFUNCTION("IMPORTRANGE(""https://docs.google.com/spreadsheets/d/1eHaY18a8A9IcSdp1K8H6x8fbOy06t2VsZHhMHf-1x7Y/edit?usp=sharing"",""แผน!AV24"")"),100000)</f>
        <v>100000</v>
      </c>
      <c r="J228" s="466">
        <v>0</v>
      </c>
      <c r="K228" s="497">
        <f ca="1">IF(I228&gt;0,J228*100/I228,0)</f>
        <v>0</v>
      </c>
      <c r="L228" s="4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IFERROR(__xludf.DUMMYFUNCTION("IMPORTRANGE(""https://docs.google.com/spreadsheets/d/1eHaY18a8A9IcSdp1K8H6x8fbOy06t2VsZHhMHf-1x7Y/edit?usp=sharing"",""แผน!AV24"")"),100000)</f>
        <v>100000</v>
      </c>
      <c r="J229" s="466">
        <v>0</v>
      </c>
      <c r="K229" s="497">
        <f ca="1">IF(I229&gt;0,J229*100/I229,0)</f>
        <v>0</v>
      </c>
      <c r="L229" s="465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IFERROR(__xludf.DUMMYFUNCTION("IMPORTRANGE(""https://docs.google.com/spreadsheets/d/1eHaY18a8A9IcSdp1K8H6x8fbOy06t2VsZHhMHf-1x7Y/edit?usp=sharing"",""แผน!AU24"")"),0)</f>
        <v>0</v>
      </c>
      <c r="J230" s="466">
        <v>0</v>
      </c>
      <c r="K230" s="497">
        <f ca="1">IF(I230&gt;0,J230*100/I230,0)</f>
        <v>0</v>
      </c>
      <c r="L230" s="465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3">
        <f ca="1">I242+I253</f>
        <v>0</v>
      </c>
      <c r="J231" s="303">
        <f>J242+J253</f>
        <v>0</v>
      </c>
      <c r="K231" s="304">
        <f ca="1">IF(I231&gt;0,J231*100/I231,0)</f>
        <v>0</v>
      </c>
      <c r="L231" s="557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472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652">
        <f ca="1">L243+L254</f>
        <v>0</v>
      </c>
      <c r="M232" s="45"/>
      <c r="N232" s="651">
        <f>N243+N254</f>
        <v>0</v>
      </c>
      <c r="O232" s="45"/>
      <c r="P232" s="45"/>
      <c r="Q232" s="45"/>
      <c r="R232" s="45"/>
      <c r="S232" s="45"/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469">
        <f ca="1">L244+L255</f>
        <v>0</v>
      </c>
      <c r="M233" s="45"/>
      <c r="N233" s="83">
        <f>N244+N255</f>
        <v>0</v>
      </c>
      <c r="O233" s="45"/>
      <c r="P233" s="45"/>
      <c r="Q233" s="713">
        <v>0</v>
      </c>
      <c r="R233" s="712">
        <v>0</v>
      </c>
      <c r="S233" s="712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469">
        <f ca="1">L245+L256</f>
        <v>0</v>
      </c>
      <c r="M234" s="45"/>
      <c r="N234" s="83">
        <f>N245+N256</f>
        <v>0</v>
      </c>
      <c r="O234" s="45"/>
      <c r="P234" s="45"/>
      <c r="Q234" s="711">
        <v>0</v>
      </c>
      <c r="R234" s="710">
        <v>0</v>
      </c>
      <c r="S234" s="710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469">
        <f ca="1">L246+L257</f>
        <v>0</v>
      </c>
      <c r="M235" s="45"/>
      <c r="N235" s="83">
        <f>N246+N257</f>
        <v>0</v>
      </c>
      <c r="O235" s="45"/>
      <c r="P235" s="45"/>
      <c r="Q235" s="711">
        <v>0</v>
      </c>
      <c r="R235" s="710">
        <v>0</v>
      </c>
      <c r="S235" s="710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469">
        <f ca="1">L247+L258</f>
        <v>0</v>
      </c>
      <c r="M236" s="45"/>
      <c r="N236" s="83">
        <f>N247+N258</f>
        <v>0</v>
      </c>
      <c r="O236" s="45"/>
      <c r="P236" s="45"/>
      <c r="Q236" s="711">
        <v>0</v>
      </c>
      <c r="R236" s="710">
        <v>0</v>
      </c>
      <c r="S236" s="710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498" t="s">
        <v>38</v>
      </c>
      <c r="E237" s="141"/>
      <c r="F237" s="141"/>
      <c r="G237" s="142"/>
      <c r="H237" s="143"/>
      <c r="I237" s="135"/>
      <c r="J237" s="44"/>
      <c r="K237" s="45"/>
      <c r="L237" s="465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465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465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465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465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649" t="s">
        <v>111</v>
      </c>
      <c r="D242" s="214"/>
      <c r="E242" s="214"/>
      <c r="F242" s="214"/>
      <c r="G242" s="215"/>
      <c r="H242" s="648" t="s">
        <v>35</v>
      </c>
      <c r="I242" s="647">
        <f ca="1">I249</f>
        <v>0</v>
      </c>
      <c r="J242" s="647">
        <f>J249</f>
        <v>0</v>
      </c>
      <c r="K242" s="646">
        <f ca="1">IF(I242&gt;0,J242*100/I242,0)</f>
        <v>0</v>
      </c>
      <c r="L242" s="557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527" t="s">
        <v>18</v>
      </c>
      <c r="D243" s="494" t="s">
        <v>19</v>
      </c>
      <c r="E243" s="40"/>
      <c r="F243" s="40"/>
      <c r="G243" s="42"/>
      <c r="H243" s="372" t="s">
        <v>14</v>
      </c>
      <c r="I243" s="135"/>
      <c r="J243" s="135"/>
      <c r="K243" s="136"/>
      <c r="L243" s="471">
        <f ca="1">L244+L245+L246+L247</f>
        <v>0</v>
      </c>
      <c r="M243" s="45"/>
      <c r="N243" s="470">
        <f>N244+N245+N246+N247</f>
        <v>0</v>
      </c>
      <c r="O243" s="470">
        <f ca="1">IF(L243&gt;0,N243*100/L243,0)</f>
        <v>0</v>
      </c>
      <c r="P243" s="470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468">
        <f ca="1">IFERROR(__xludf.DUMMYFUNCTION("IMPORTRANGE(""https://docs.google.com/spreadsheets/d/1eHaY18a8A9IcSdp1K8H6x8fbOy06t2VsZHhMHf-1x7Y/edit?usp=sharing"",""แผน!AX24"")"),0)</f>
        <v>0</v>
      </c>
      <c r="M244" s="45"/>
      <c r="N244" s="644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468">
        <f ca="1">IFERROR(__xludf.DUMMYFUNCTION("IMPORTRANGE(""https://docs.google.com/spreadsheets/d/1eHaY18a8A9IcSdp1K8H6x8fbOy06t2VsZHhMHf-1x7Y/edit?usp=sharing"",""แผน!AY24"")"),0)</f>
        <v>0</v>
      </c>
      <c r="M245" s="45"/>
      <c r="N245" s="644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468">
        <f ca="1">IFERROR(__xludf.DUMMYFUNCTION("IMPORTRANGE(""https://docs.google.com/spreadsheets/d/1eHaY18a8A9IcSdp1K8H6x8fbOy06t2VsZHhMHf-1x7Y/edit?usp=sharing"",""แผน!AZ24"")"),0)</f>
        <v>0</v>
      </c>
      <c r="M246" s="45"/>
      <c r="N246" s="644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468">
        <f ca="1">IFERROR(__xludf.DUMMYFUNCTION("IMPORTRANGE(""https://docs.google.com/spreadsheets/d/1eHaY18a8A9IcSdp1K8H6x8fbOy06t2VsZHhMHf-1x7Y/edit?usp=sharing"",""แผน!BA24"")"),0)</f>
        <v>0</v>
      </c>
      <c r="M247" s="45"/>
      <c r="N247" s="644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643" t="s">
        <v>18</v>
      </c>
      <c r="D248" s="509" t="s">
        <v>38</v>
      </c>
      <c r="E248" s="141"/>
      <c r="F248" s="141"/>
      <c r="G248" s="142"/>
      <c r="H248" s="143"/>
      <c r="I248" s="135"/>
      <c r="J248" s="44"/>
      <c r="K248" s="45"/>
      <c r="L248" s="465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640" t="s">
        <v>35</v>
      </c>
      <c r="I249" s="430">
        <f ca="1">IFERROR(__xludf.DUMMYFUNCTION("IMPORTRANGE(""https://docs.google.com/spreadsheets/d/1eHaY18a8A9IcSdp1K8H6x8fbOy06t2VsZHhMHf-1x7Y/edit?usp=sharing"",""แผน!BG24"")"),0)</f>
        <v>0</v>
      </c>
      <c r="J249" s="525">
        <v>0</v>
      </c>
      <c r="K249" s="83">
        <f ca="1">IF(I249&gt;0,J249*100/I249,0)</f>
        <v>0</v>
      </c>
      <c r="L249" s="465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642" t="s">
        <v>43</v>
      </c>
      <c r="E250" s="145"/>
      <c r="F250" s="145"/>
      <c r="G250" s="143"/>
      <c r="H250" s="143"/>
      <c r="I250" s="44"/>
      <c r="J250" s="44"/>
      <c r="K250" s="45"/>
      <c r="L250" s="465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1" t="s">
        <v>109</v>
      </c>
      <c r="F251" s="145"/>
      <c r="G251" s="143"/>
      <c r="H251" s="640" t="s">
        <v>35</v>
      </c>
      <c r="I251" s="430">
        <v>0</v>
      </c>
      <c r="J251" s="525">
        <v>0</v>
      </c>
      <c r="K251" s="83">
        <f>IF(I251&gt;0,J251*100/I251,0)</f>
        <v>0</v>
      </c>
      <c r="L251" s="465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641" t="s">
        <v>110</v>
      </c>
      <c r="F252" s="145"/>
      <c r="G252" s="143"/>
      <c r="H252" s="640" t="s">
        <v>61</v>
      </c>
      <c r="I252" s="430">
        <v>0</v>
      </c>
      <c r="J252" s="525">
        <v>0</v>
      </c>
      <c r="K252" s="83">
        <f>IF(I252&gt;0,J252*100/I252,0)</f>
        <v>0</v>
      </c>
      <c r="L252" s="465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649" t="s">
        <v>112</v>
      </c>
      <c r="D253" s="214"/>
      <c r="E253" s="214"/>
      <c r="F253" s="214"/>
      <c r="G253" s="215"/>
      <c r="H253" s="648" t="s">
        <v>35</v>
      </c>
      <c r="I253" s="647">
        <f ca="1">I260</f>
        <v>0</v>
      </c>
      <c r="J253" s="647">
        <f>J260</f>
        <v>0</v>
      </c>
      <c r="K253" s="646">
        <f ca="1">IF(I253&gt;0,J253*100/I253,0)</f>
        <v>0</v>
      </c>
      <c r="L253" s="557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527" t="s">
        <v>18</v>
      </c>
      <c r="D254" s="645" t="s">
        <v>19</v>
      </c>
      <c r="E254" s="40"/>
      <c r="F254" s="40"/>
      <c r="G254" s="42"/>
      <c r="H254" s="372" t="s">
        <v>14</v>
      </c>
      <c r="I254" s="135"/>
      <c r="J254" s="135"/>
      <c r="K254" s="136"/>
      <c r="L254" s="471">
        <f ca="1">L255+L256+L257+L258</f>
        <v>0</v>
      </c>
      <c r="M254" s="45"/>
      <c r="N254" s="470">
        <f>N255+N256+N257+N258</f>
        <v>0</v>
      </c>
      <c r="O254" s="470">
        <f ca="1">IF(L254&gt;0,N254*100/L254,0)</f>
        <v>0</v>
      </c>
      <c r="P254" s="470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468">
        <f ca="1">IFERROR(__xludf.DUMMYFUNCTION("IMPORTRANGE(""https://docs.google.com/spreadsheets/d/1eHaY18a8A9IcSdp1K8H6x8fbOy06t2VsZHhMHf-1x7Y/edit?usp=sharing"",""แผน!BB24"")"),0)</f>
        <v>0</v>
      </c>
      <c r="M255" s="45"/>
      <c r="N255" s="644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468">
        <f ca="1">IFERROR(__xludf.DUMMYFUNCTION("IMPORTRANGE(""https://docs.google.com/spreadsheets/d/1eHaY18a8A9IcSdp1K8H6x8fbOy06t2VsZHhMHf-1x7Y/edit?usp=sharing"",""แผน!BC24"")"),0)</f>
        <v>0</v>
      </c>
      <c r="M256" s="45"/>
      <c r="N256" s="644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468">
        <f ca="1">IFERROR(__xludf.DUMMYFUNCTION("IMPORTRANGE(""https://docs.google.com/spreadsheets/d/1eHaY18a8A9IcSdp1K8H6x8fbOy06t2VsZHhMHf-1x7Y/edit?usp=sharing"",""แผน!BD24"")"),0)</f>
        <v>0</v>
      </c>
      <c r="M257" s="45"/>
      <c r="N257" s="644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468">
        <f ca="1">IFERROR(__xludf.DUMMYFUNCTION("IMPORTRANGE(""https://docs.google.com/spreadsheets/d/1eHaY18a8A9IcSdp1K8H6x8fbOy06t2VsZHhMHf-1x7Y/edit?usp=sharing"",""แผน!BE24"")"),0)</f>
        <v>0</v>
      </c>
      <c r="M258" s="45"/>
      <c r="N258" s="644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643" t="s">
        <v>18</v>
      </c>
      <c r="D259" s="509" t="s">
        <v>38</v>
      </c>
      <c r="E259" s="141"/>
      <c r="F259" s="141"/>
      <c r="G259" s="142"/>
      <c r="H259" s="143"/>
      <c r="I259" s="135"/>
      <c r="J259" s="44"/>
      <c r="K259" s="45"/>
      <c r="L259" s="465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640" t="s">
        <v>35</v>
      </c>
      <c r="I260" s="430">
        <f ca="1">IFERROR(__xludf.DUMMYFUNCTION("IMPORTRANGE(""https://docs.google.com/spreadsheets/d/1eHaY18a8A9IcSdp1K8H6x8fbOy06t2VsZHhMHf-1x7Y/edit?usp=sharing"",""แผน!BH24"")"),0)</f>
        <v>0</v>
      </c>
      <c r="J260" s="525">
        <v>0</v>
      </c>
      <c r="K260" s="83">
        <f ca="1">IF(I260&gt;0,J260*100/I260,0)</f>
        <v>0</v>
      </c>
      <c r="L260" s="465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642" t="s">
        <v>43</v>
      </c>
      <c r="E261" s="145"/>
      <c r="F261" s="145"/>
      <c r="G261" s="143"/>
      <c r="H261" s="143"/>
      <c r="I261" s="44"/>
      <c r="J261" s="44"/>
      <c r="K261" s="45"/>
      <c r="L261" s="465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1" t="s">
        <v>109</v>
      </c>
      <c r="F262" s="145"/>
      <c r="G262" s="143"/>
      <c r="H262" s="640" t="s">
        <v>35</v>
      </c>
      <c r="I262" s="44"/>
      <c r="J262" s="525">
        <v>0</v>
      </c>
      <c r="K262" s="83">
        <f>IF(I262&gt;0,J262*100/I262,0)</f>
        <v>0</v>
      </c>
      <c r="L262" s="465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641" t="s">
        <v>110</v>
      </c>
      <c r="F263" s="145"/>
      <c r="G263" s="143"/>
      <c r="H263" s="640" t="s">
        <v>61</v>
      </c>
      <c r="I263" s="44"/>
      <c r="J263" s="525">
        <v>0</v>
      </c>
      <c r="K263" s="83">
        <f>IF(I263&gt;0,J263*100/I263,0)</f>
        <v>0</v>
      </c>
      <c r="L263" s="465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639" t="s">
        <v>113</v>
      </c>
      <c r="B264" s="638"/>
      <c r="C264" s="638"/>
      <c r="D264" s="637"/>
      <c r="E264" s="637"/>
      <c r="F264" s="637"/>
      <c r="G264" s="636"/>
      <c r="H264" s="636"/>
      <c r="I264" s="635"/>
      <c r="J264" s="635"/>
      <c r="K264" s="633"/>
      <c r="L264" s="634"/>
      <c r="M264" s="633"/>
      <c r="N264" s="633"/>
      <c r="O264" s="633"/>
      <c r="P264" s="633"/>
      <c r="Q264" s="633"/>
      <c r="R264" s="633"/>
      <c r="S264" s="633"/>
      <c r="T264" s="633"/>
      <c r="U264" s="633"/>
    </row>
    <row r="265" spans="1:21" ht="19.5" x14ac:dyDescent="0.3">
      <c r="A265" s="632"/>
      <c r="B265" s="631" t="s">
        <v>114</v>
      </c>
      <c r="C265" s="630"/>
      <c r="D265" s="603"/>
      <c r="E265" s="603"/>
      <c r="F265" s="603"/>
      <c r="G265" s="602"/>
      <c r="H265" s="629" t="s">
        <v>35</v>
      </c>
      <c r="I265" s="628">
        <f ca="1">I276</f>
        <v>22</v>
      </c>
      <c r="J265" s="628">
        <f>J276</f>
        <v>0</v>
      </c>
      <c r="K265" s="627">
        <f ca="1">IF(I265&gt;0,J265*100/I265,0)</f>
        <v>0</v>
      </c>
      <c r="L265" s="626"/>
      <c r="M265" s="625"/>
      <c r="N265" s="625"/>
      <c r="O265" s="625"/>
      <c r="P265" s="625"/>
      <c r="Q265" s="625"/>
      <c r="R265" s="625"/>
      <c r="S265" s="625"/>
      <c r="T265" s="625"/>
      <c r="U265" s="625"/>
    </row>
    <row r="266" spans="1:21" ht="19.5" x14ac:dyDescent="0.3">
      <c r="A266" s="610"/>
      <c r="B266" s="609"/>
      <c r="C266" s="624" t="s">
        <v>18</v>
      </c>
      <c r="D266" s="623" t="s">
        <v>19</v>
      </c>
      <c r="E266" s="609"/>
      <c r="F266" s="609"/>
      <c r="G266" s="608"/>
      <c r="H266" s="622" t="s">
        <v>14</v>
      </c>
      <c r="I266" s="479"/>
      <c r="J266" s="479"/>
      <c r="K266" s="476"/>
      <c r="L266" s="621">
        <f ca="1">L267+L268</f>
        <v>0</v>
      </c>
      <c r="M266" s="620">
        <f ca="1">M267+M268</f>
        <v>5000</v>
      </c>
      <c r="N266" s="620">
        <f ca="1">N267+N268</f>
        <v>0</v>
      </c>
      <c r="O266" s="620">
        <f t="shared" ref="O266:O274" ca="1" si="65">IF(L266&gt;0,N266*100/L266,0)</f>
        <v>0</v>
      </c>
      <c r="P266" s="620">
        <f t="shared" ref="P266:P274" ca="1" si="66">IF(M266&gt;0,N266*100/M266,0)</f>
        <v>0</v>
      </c>
      <c r="Q266" s="620">
        <f ca="1">Q267+Q268</f>
        <v>50660</v>
      </c>
      <c r="R266" s="620">
        <f ca="1">R267+R268</f>
        <v>50660</v>
      </c>
      <c r="S266" s="620">
        <f ca="1">S267+S268</f>
        <v>0</v>
      </c>
      <c r="T266" s="620">
        <f t="shared" ref="T266:T274" ca="1" si="67">IF(Q266&gt;0,S266*100/Q266,0)</f>
        <v>0</v>
      </c>
      <c r="U266" s="620">
        <f t="shared" ref="U266:U274" ca="1" si="68">IF(R266&gt;0,S266*100/R266,0)</f>
        <v>0</v>
      </c>
    </row>
    <row r="267" spans="1:21" ht="18.75" hidden="1" x14ac:dyDescent="0.25">
      <c r="A267" s="615"/>
      <c r="B267" s="614"/>
      <c r="C267" s="614"/>
      <c r="D267" s="614"/>
      <c r="E267" s="156" t="s">
        <v>20</v>
      </c>
      <c r="F267" s="614"/>
      <c r="G267" s="613"/>
      <c r="H267" s="157" t="s">
        <v>14</v>
      </c>
      <c r="I267" s="619"/>
      <c r="J267" s="619"/>
      <c r="K267" s="618"/>
      <c r="L267" s="469">
        <f t="shared" ref="L267:N268" si="69">L270+L273</f>
        <v>0</v>
      </c>
      <c r="M267" s="83">
        <f t="shared" si="69"/>
        <v>0</v>
      </c>
      <c r="N267" s="83">
        <f t="shared" si="69"/>
        <v>0</v>
      </c>
      <c r="O267" s="83">
        <f t="shared" si="65"/>
        <v>0</v>
      </c>
      <c r="P267" s="83">
        <f t="shared" si="66"/>
        <v>0</v>
      </c>
      <c r="Q267" s="83">
        <f t="shared" ref="Q267:S268" si="70">Q270+Q273</f>
        <v>0</v>
      </c>
      <c r="R267" s="83">
        <f t="shared" si="70"/>
        <v>0</v>
      </c>
      <c r="S267" s="83">
        <f t="shared" si="70"/>
        <v>0</v>
      </c>
      <c r="T267" s="83">
        <f t="shared" si="67"/>
        <v>0</v>
      </c>
      <c r="U267" s="83">
        <f t="shared" si="68"/>
        <v>0</v>
      </c>
    </row>
    <row r="268" spans="1:21" ht="18.75" hidden="1" x14ac:dyDescent="0.25">
      <c r="A268" s="610"/>
      <c r="B268" s="609"/>
      <c r="C268" s="609"/>
      <c r="D268" s="609"/>
      <c r="E268" s="605" t="s">
        <v>21</v>
      </c>
      <c r="F268" s="609"/>
      <c r="G268" s="608"/>
      <c r="H268" s="480" t="s">
        <v>14</v>
      </c>
      <c r="I268" s="479"/>
      <c r="J268" s="479"/>
      <c r="K268" s="476"/>
      <c r="L268" s="606">
        <f t="shared" ca="1" si="69"/>
        <v>0</v>
      </c>
      <c r="M268" s="486">
        <f t="shared" ca="1" si="69"/>
        <v>5000</v>
      </c>
      <c r="N268" s="486">
        <f t="shared" ca="1" si="69"/>
        <v>0</v>
      </c>
      <c r="O268" s="486">
        <f t="shared" ca="1" si="65"/>
        <v>0</v>
      </c>
      <c r="P268" s="486">
        <f t="shared" ca="1" si="66"/>
        <v>0</v>
      </c>
      <c r="Q268" s="486">
        <f t="shared" ca="1" si="70"/>
        <v>50660</v>
      </c>
      <c r="R268" s="486">
        <f t="shared" ca="1" si="70"/>
        <v>50660</v>
      </c>
      <c r="S268" s="486">
        <f t="shared" ca="1" si="70"/>
        <v>0</v>
      </c>
      <c r="T268" s="486">
        <f t="shared" ca="1" si="67"/>
        <v>0</v>
      </c>
      <c r="U268" s="486">
        <f t="shared" ca="1" si="68"/>
        <v>0</v>
      </c>
    </row>
    <row r="269" spans="1:21" ht="18.75" x14ac:dyDescent="0.25">
      <c r="A269" s="610"/>
      <c r="B269" s="609"/>
      <c r="C269" s="609"/>
      <c r="D269" s="616" t="s">
        <v>22</v>
      </c>
      <c r="E269" s="609"/>
      <c r="F269" s="609"/>
      <c r="G269" s="608"/>
      <c r="H269" s="617" t="s">
        <v>14</v>
      </c>
      <c r="I269" s="601"/>
      <c r="J269" s="601"/>
      <c r="K269" s="599"/>
      <c r="L269" s="606">
        <f ca="1">L270+L271</f>
        <v>0</v>
      </c>
      <c r="M269" s="486">
        <f ca="1">M270+M271</f>
        <v>5000</v>
      </c>
      <c r="N269" s="486">
        <f ca="1">N270+N271</f>
        <v>0</v>
      </c>
      <c r="O269" s="486">
        <f t="shared" ca="1" si="65"/>
        <v>0</v>
      </c>
      <c r="P269" s="486">
        <f t="shared" ca="1" si="66"/>
        <v>0</v>
      </c>
      <c r="Q269" s="486">
        <f ca="1">Q270+Q271</f>
        <v>50660</v>
      </c>
      <c r="R269" s="486">
        <f ca="1">R270+R271</f>
        <v>50660</v>
      </c>
      <c r="S269" s="486">
        <f ca="1">S270+S271</f>
        <v>0</v>
      </c>
      <c r="T269" s="486">
        <f t="shared" ca="1" si="67"/>
        <v>0</v>
      </c>
      <c r="U269" s="486">
        <f t="shared" ca="1" si="68"/>
        <v>0</v>
      </c>
    </row>
    <row r="270" spans="1:21" ht="18.75" hidden="1" x14ac:dyDescent="0.25">
      <c r="A270" s="615"/>
      <c r="B270" s="614"/>
      <c r="C270" s="614"/>
      <c r="D270" s="614"/>
      <c r="E270" s="156" t="s">
        <v>36</v>
      </c>
      <c r="F270" s="614"/>
      <c r="G270" s="613"/>
      <c r="H270" s="159" t="s">
        <v>14</v>
      </c>
      <c r="I270" s="612"/>
      <c r="J270" s="612"/>
      <c r="K270" s="611"/>
      <c r="L270" s="469">
        <v>0</v>
      </c>
      <c r="M270" s="83">
        <v>0</v>
      </c>
      <c r="N270" s="83">
        <v>0</v>
      </c>
      <c r="O270" s="83">
        <f t="shared" si="65"/>
        <v>0</v>
      </c>
      <c r="P270" s="83">
        <f t="shared" si="66"/>
        <v>0</v>
      </c>
      <c r="Q270" s="83">
        <v>0</v>
      </c>
      <c r="R270" s="83">
        <v>0</v>
      </c>
      <c r="S270" s="83">
        <v>0</v>
      </c>
      <c r="T270" s="83">
        <f t="shared" si="67"/>
        <v>0</v>
      </c>
      <c r="U270" s="83">
        <f t="shared" si="68"/>
        <v>0</v>
      </c>
    </row>
    <row r="271" spans="1:21" ht="18.75" hidden="1" x14ac:dyDescent="0.25">
      <c r="A271" s="610"/>
      <c r="B271" s="609"/>
      <c r="C271" s="609"/>
      <c r="D271" s="609"/>
      <c r="E271" s="605" t="s">
        <v>37</v>
      </c>
      <c r="F271" s="609"/>
      <c r="G271" s="608"/>
      <c r="H271" s="617" t="s">
        <v>14</v>
      </c>
      <c r="I271" s="601"/>
      <c r="J271" s="601"/>
      <c r="K271" s="599"/>
      <c r="L271" s="606">
        <f ca="1">IFERROR(__xludf.DUMMYFUNCTION("IMPORTRANGE(""https://docs.google.com/spreadsheets/d/1-uDff_7J0KD5mKrp0Vvzr7lt3OU09vwQwhkpOPPYv2Y/edit?usp=sharing"",""งบพรบ!DE24"")"),0)</f>
        <v>0</v>
      </c>
      <c r="M271" s="486">
        <f ca="1">IFERROR(__xludf.DUMMYFUNCTION("IMPORTRANGE(""https://docs.google.com/spreadsheets/d/1-uDff_7J0KD5mKrp0Vvzr7lt3OU09vwQwhkpOPPYv2Y/edit?usp=sharing"",""งบพรบ!DJ24"")"),5000)</f>
        <v>5000</v>
      </c>
      <c r="N271" s="486">
        <f ca="1">IFERROR(__xludf.DUMMYFUNCTION("IMPORTRANGE(""https://docs.google.com/spreadsheets/d/1-uDff_7J0KD5mKrp0Vvzr7lt3OU09vwQwhkpOPPYv2Y/edit?usp=sharing"",""งบพรบ!DL24"")"),0)</f>
        <v>0</v>
      </c>
      <c r="O271" s="486">
        <f t="shared" ca="1" si="65"/>
        <v>0</v>
      </c>
      <c r="P271" s="486">
        <f t="shared" ca="1" si="66"/>
        <v>0</v>
      </c>
      <c r="Q271" s="486">
        <f ca="1">IFERROR(__xludf.DUMMYFUNCTION("IMPORTRANGE(""https://docs.google.com/spreadsheets/d/1ItG2mGa2ceCfYo0BwxsXqNm01IGEUdYcSSLTEv9YCik/edit?usp=sharing"",""เบิกจ่ายกองทุน!AJ24"")"),50660)</f>
        <v>50660</v>
      </c>
      <c r="R271" s="486">
        <f ca="1">IFERROR(__xludf.DUMMYFUNCTION("IMPORTRANGE(""https://docs.google.com/spreadsheets/d/1ItG2mGa2ceCfYo0BwxsXqNm01IGEUdYcSSLTEv9YCik/edit?usp=sharing"",""เบิกจ่ายกองทุน!AK24"")"),50660)</f>
        <v>50660</v>
      </c>
      <c r="S271" s="486">
        <f ca="1">IFERROR(__xludf.DUMMYFUNCTION("IMPORTRANGE(""https://docs.google.com/spreadsheets/d/1ItG2mGa2ceCfYo0BwxsXqNm01IGEUdYcSSLTEv9YCik/edit?usp=sharing"",""เบิกจ่ายกองทุน!AL24"")"),0)</f>
        <v>0</v>
      </c>
      <c r="T271" s="486">
        <f t="shared" ca="1" si="67"/>
        <v>0</v>
      </c>
      <c r="U271" s="486">
        <f t="shared" ca="1" si="68"/>
        <v>0</v>
      </c>
    </row>
    <row r="272" spans="1:21" ht="18.75" x14ac:dyDescent="0.25">
      <c r="A272" s="610"/>
      <c r="B272" s="609"/>
      <c r="C272" s="609"/>
      <c r="D272" s="616" t="s">
        <v>23</v>
      </c>
      <c r="E272" s="609"/>
      <c r="F272" s="609"/>
      <c r="G272" s="608"/>
      <c r="H272" s="607" t="s">
        <v>14</v>
      </c>
      <c r="I272" s="601"/>
      <c r="J272" s="601"/>
      <c r="K272" s="599"/>
      <c r="L272" s="606">
        <f ca="1">L273+L274</f>
        <v>0</v>
      </c>
      <c r="M272" s="486">
        <f ca="1">M273+M274</f>
        <v>0</v>
      </c>
      <c r="N272" s="486">
        <f ca="1">N273+N274</f>
        <v>0</v>
      </c>
      <c r="O272" s="486">
        <f t="shared" ca="1" si="65"/>
        <v>0</v>
      </c>
      <c r="P272" s="486">
        <f t="shared" ca="1" si="66"/>
        <v>0</v>
      </c>
      <c r="Q272" s="486">
        <f>Q273+Q274</f>
        <v>0</v>
      </c>
      <c r="R272" s="486">
        <f>R273+R274</f>
        <v>0</v>
      </c>
      <c r="S272" s="486">
        <f>S273+S274</f>
        <v>0</v>
      </c>
      <c r="T272" s="486">
        <f t="shared" si="67"/>
        <v>0</v>
      </c>
      <c r="U272" s="486">
        <f t="shared" si="68"/>
        <v>0</v>
      </c>
    </row>
    <row r="273" spans="1:21" ht="18.75" hidden="1" x14ac:dyDescent="0.25">
      <c r="A273" s="615"/>
      <c r="B273" s="614"/>
      <c r="C273" s="614"/>
      <c r="D273" s="614"/>
      <c r="E273" s="156" t="s">
        <v>20</v>
      </c>
      <c r="F273" s="614"/>
      <c r="G273" s="613"/>
      <c r="H273" s="159" t="s">
        <v>14</v>
      </c>
      <c r="I273" s="612"/>
      <c r="J273" s="612"/>
      <c r="K273" s="611"/>
      <c r="L273" s="469">
        <v>0</v>
      </c>
      <c r="M273" s="83">
        <v>0</v>
      </c>
      <c r="N273" s="83">
        <v>0</v>
      </c>
      <c r="O273" s="83">
        <f t="shared" si="65"/>
        <v>0</v>
      </c>
      <c r="P273" s="83">
        <f t="shared" si="66"/>
        <v>0</v>
      </c>
      <c r="Q273" s="83">
        <v>0</v>
      </c>
      <c r="R273" s="83">
        <v>0</v>
      </c>
      <c r="S273" s="83">
        <v>0</v>
      </c>
      <c r="T273" s="83">
        <f t="shared" si="67"/>
        <v>0</v>
      </c>
      <c r="U273" s="83">
        <f t="shared" si="68"/>
        <v>0</v>
      </c>
    </row>
    <row r="274" spans="1:21" ht="18.75" hidden="1" x14ac:dyDescent="0.25">
      <c r="A274" s="610"/>
      <c r="B274" s="609"/>
      <c r="C274" s="609"/>
      <c r="D274" s="609"/>
      <c r="E274" s="605" t="s">
        <v>21</v>
      </c>
      <c r="F274" s="609"/>
      <c r="G274" s="608"/>
      <c r="H274" s="607" t="s">
        <v>14</v>
      </c>
      <c r="I274" s="601"/>
      <c r="J274" s="601"/>
      <c r="K274" s="599"/>
      <c r="L274" s="606">
        <f ca="1">IFERROR(__xludf.DUMMYFUNCTION("IMPORTRANGE(""https://docs.google.com/spreadsheets/d/1-uDff_7J0KD5mKrp0Vvzr7lt3OU09vwQwhkpOPPYv2Y/edit?usp=sharing"",""งบพรบ!DH24"")"),0)</f>
        <v>0</v>
      </c>
      <c r="M274" s="486">
        <f ca="1">IFERROR(__xludf.DUMMYFUNCTION("IMPORTRANGE(""https://docs.google.com/spreadsheets/d/1-uDff_7J0KD5mKrp0Vvzr7lt3OU09vwQwhkpOPPYv2Y/edit?usp=sharing"",""งบพรบ!DK24"")"),0)</f>
        <v>0</v>
      </c>
      <c r="N274" s="486">
        <f ca="1">IFERROR(__xludf.DUMMYFUNCTION("IMPORTRANGE(""https://docs.google.com/spreadsheets/d/1-uDff_7J0KD5mKrp0Vvzr7lt3OU09vwQwhkpOPPYv2Y/edit?usp=sharing"",""งบพรบ!DM24"")"),0)</f>
        <v>0</v>
      </c>
      <c r="O274" s="486">
        <f t="shared" ca="1" si="65"/>
        <v>0</v>
      </c>
      <c r="P274" s="486">
        <f t="shared" ca="1" si="66"/>
        <v>0</v>
      </c>
      <c r="Q274" s="486">
        <v>0</v>
      </c>
      <c r="R274" s="486">
        <v>0</v>
      </c>
      <c r="S274" s="486">
        <v>0</v>
      </c>
      <c r="T274" s="486">
        <f t="shared" si="67"/>
        <v>0</v>
      </c>
      <c r="U274" s="486">
        <f t="shared" si="68"/>
        <v>0</v>
      </c>
    </row>
    <row r="275" spans="1:21" ht="19.5" x14ac:dyDescent="0.3">
      <c r="A275" s="485"/>
      <c r="B275" s="484"/>
      <c r="C275" s="605" t="s">
        <v>18</v>
      </c>
      <c r="D275" s="604" t="s">
        <v>38</v>
      </c>
      <c r="E275" s="603"/>
      <c r="F275" s="603"/>
      <c r="G275" s="602"/>
      <c r="H275" s="481"/>
      <c r="I275" s="601"/>
      <c r="J275" s="601"/>
      <c r="K275" s="599"/>
      <c r="L275" s="600"/>
      <c r="M275" s="599"/>
      <c r="N275" s="599"/>
      <c r="O275" s="599"/>
      <c r="P275" s="599"/>
      <c r="Q275" s="599"/>
      <c r="R275" s="599"/>
      <c r="S275" s="599"/>
      <c r="T275" s="599"/>
      <c r="U275" s="599"/>
    </row>
    <row r="276" spans="1:21" ht="18.75" x14ac:dyDescent="0.25">
      <c r="A276" s="598"/>
      <c r="B276" s="597"/>
      <c r="C276" s="597"/>
      <c r="D276" s="596" t="s">
        <v>115</v>
      </c>
      <c r="E276" s="595"/>
      <c r="F276" s="595"/>
      <c r="G276" s="594"/>
      <c r="H276" s="593" t="s">
        <v>35</v>
      </c>
      <c r="I276" s="592">
        <f ca="1">IFERROR(__xludf.DUMMYFUNCTION("IMPORTRANGE(""https://docs.google.com/spreadsheets/d/1eHaY18a8A9IcSdp1K8H6x8fbOy06t2VsZHhMHf-1x7Y/edit?usp=sharing"",""แผน!EC24"")"),22)</f>
        <v>22</v>
      </c>
      <c r="J276" s="444">
        <v>0</v>
      </c>
      <c r="K276" s="591">
        <f ca="1">IF(I276&gt;0,J276*100/I276,0)</f>
        <v>0</v>
      </c>
      <c r="L276" s="465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590" t="s">
        <v>116</v>
      </c>
      <c r="E277" s="252"/>
      <c r="F277" s="252"/>
      <c r="G277" s="253"/>
      <c r="H277" s="589" t="s">
        <v>35</v>
      </c>
      <c r="I277" s="433">
        <v>0</v>
      </c>
      <c r="J277" s="433">
        <v>0</v>
      </c>
      <c r="K277" s="588">
        <v>0</v>
      </c>
      <c r="L277" s="587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58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585">
        <f ca="1">I293</f>
        <v>10</v>
      </c>
      <c r="J280" s="585">
        <f>J293</f>
        <v>10</v>
      </c>
      <c r="K280" s="584">
        <f ca="1">IF(I280&gt;0,J280*100/I280,0)</f>
        <v>100</v>
      </c>
      <c r="L280" s="583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585">
        <f ca="1">I292</f>
        <v>100</v>
      </c>
      <c r="J281" s="585">
        <f>J292</f>
        <v>100</v>
      </c>
      <c r="K281" s="584">
        <f ca="1">IF(I281&gt;0,J281*100/I281,0)</f>
        <v>100</v>
      </c>
      <c r="L281" s="583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472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471">
        <f ca="1">L283+L284</f>
        <v>56120</v>
      </c>
      <c r="M282" s="470">
        <f ca="1">M283+M284</f>
        <v>56120</v>
      </c>
      <c r="N282" s="470">
        <f ca="1">N283+N284</f>
        <v>47207.47</v>
      </c>
      <c r="O282" s="470">
        <f t="shared" ref="O282:O290" ca="1" si="71">IF(L282&gt;0,N282*100/L282,0)</f>
        <v>84.118799002138275</v>
      </c>
      <c r="P282" s="470">
        <f t="shared" ref="P282:P290" ca="1" si="72">IF(M282&gt;0,N282*100/M282,0)</f>
        <v>84.118799002138275</v>
      </c>
      <c r="Q282" s="470">
        <f>Q283+Q284</f>
        <v>0</v>
      </c>
      <c r="R282" s="470">
        <f>R283+R284</f>
        <v>0</v>
      </c>
      <c r="S282" s="470">
        <f>S283+S284</f>
        <v>0</v>
      </c>
      <c r="T282" s="470">
        <f t="shared" ref="T282:T290" si="73">IF(Q282&gt;0,S282*100/Q282,0)</f>
        <v>0</v>
      </c>
      <c r="U282" s="470">
        <f t="shared" ref="U282:U290" si="74"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469">
        <f t="shared" ref="L283:N284" si="75">L286+L289</f>
        <v>0</v>
      </c>
      <c r="M283" s="83">
        <f t="shared" si="75"/>
        <v>0</v>
      </c>
      <c r="N283" s="83">
        <f t="shared" si="75"/>
        <v>0</v>
      </c>
      <c r="O283" s="83">
        <f t="shared" si="71"/>
        <v>0</v>
      </c>
      <c r="P283" s="83">
        <f t="shared" si="72"/>
        <v>0</v>
      </c>
      <c r="Q283" s="83">
        <f t="shared" ref="Q283:S284" si="76">Q286+Q289</f>
        <v>0</v>
      </c>
      <c r="R283" s="83">
        <f t="shared" si="76"/>
        <v>0</v>
      </c>
      <c r="S283" s="83">
        <f t="shared" si="76"/>
        <v>0</v>
      </c>
      <c r="T283" s="83">
        <f t="shared" si="73"/>
        <v>0</v>
      </c>
      <c r="U283" s="83">
        <f t="shared" si="74"/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468">
        <f t="shared" ca="1" si="75"/>
        <v>56120</v>
      </c>
      <c r="M284" s="224">
        <f t="shared" ca="1" si="75"/>
        <v>56120</v>
      </c>
      <c r="N284" s="224">
        <f t="shared" ca="1" si="75"/>
        <v>47207.47</v>
      </c>
      <c r="O284" s="224">
        <f t="shared" ca="1" si="71"/>
        <v>84.118799002138275</v>
      </c>
      <c r="P284" s="224">
        <f t="shared" ca="1" si="72"/>
        <v>84.118799002138275</v>
      </c>
      <c r="Q284" s="224">
        <f t="shared" si="76"/>
        <v>0</v>
      </c>
      <c r="R284" s="224">
        <f t="shared" si="76"/>
        <v>0</v>
      </c>
      <c r="S284" s="224">
        <f t="shared" si="76"/>
        <v>0</v>
      </c>
      <c r="T284" s="224">
        <f t="shared" si="73"/>
        <v>0</v>
      </c>
      <c r="U284" s="224">
        <f t="shared" si="74"/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468">
        <f ca="1">L286+L287</f>
        <v>56120</v>
      </c>
      <c r="M285" s="224">
        <f ca="1">M286+M287</f>
        <v>56120</v>
      </c>
      <c r="N285" s="224">
        <f ca="1">N286+N287</f>
        <v>47207.47</v>
      </c>
      <c r="O285" s="224">
        <f t="shared" ca="1" si="71"/>
        <v>84.118799002138275</v>
      </c>
      <c r="P285" s="224">
        <f t="shared" ca="1" si="72"/>
        <v>84.118799002138275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 t="shared" si="73"/>
        <v>0</v>
      </c>
      <c r="U285" s="224">
        <f t="shared" si="74"/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469">
        <v>0</v>
      </c>
      <c r="M286" s="83">
        <v>0</v>
      </c>
      <c r="N286" s="83">
        <v>0</v>
      </c>
      <c r="O286" s="83">
        <f t="shared" si="71"/>
        <v>0</v>
      </c>
      <c r="P286" s="83">
        <f t="shared" si="72"/>
        <v>0</v>
      </c>
      <c r="Q286" s="83">
        <v>0</v>
      </c>
      <c r="R286" s="83">
        <v>0</v>
      </c>
      <c r="S286" s="83">
        <v>0</v>
      </c>
      <c r="T286" s="83">
        <f t="shared" si="73"/>
        <v>0</v>
      </c>
      <c r="U286" s="83">
        <f t="shared" si="74"/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468">
        <f ca="1">IFERROR(__xludf.DUMMYFUNCTION("IMPORTRANGE(""https://docs.google.com/spreadsheets/d/1-uDff_7J0KD5mKrp0Vvzr7lt3OU09vwQwhkpOPPYv2Y/edit?usp=sharing"",""งบพรบ!DO24"")"),56120)</f>
        <v>56120</v>
      </c>
      <c r="M287" s="224">
        <f ca="1">IFERROR(__xludf.DUMMYFUNCTION("IMPORTRANGE(""https://docs.google.com/spreadsheets/d/1-uDff_7J0KD5mKrp0Vvzr7lt3OU09vwQwhkpOPPYv2Y/edit?usp=sharing"",""งบพรบ!DT24"")"),56120)</f>
        <v>56120</v>
      </c>
      <c r="N287" s="224">
        <f ca="1">IFERROR(__xludf.DUMMYFUNCTION("IMPORTRANGE(""https://docs.google.com/spreadsheets/d/1-uDff_7J0KD5mKrp0Vvzr7lt3OU09vwQwhkpOPPYv2Y/edit?usp=sharing"",""งบพรบ!DV24"")"),47207.47)</f>
        <v>47207.47</v>
      </c>
      <c r="O287" s="224">
        <f t="shared" ca="1" si="71"/>
        <v>84.118799002138275</v>
      </c>
      <c r="P287" s="224">
        <f t="shared" ca="1" si="72"/>
        <v>84.118799002138275</v>
      </c>
      <c r="Q287" s="224">
        <v>0</v>
      </c>
      <c r="R287" s="224">
        <v>0</v>
      </c>
      <c r="S287" s="224">
        <v>0</v>
      </c>
      <c r="T287" s="83">
        <f t="shared" si="73"/>
        <v>0</v>
      </c>
      <c r="U287" s="83">
        <f t="shared" si="74"/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468">
        <f ca="1">L289+L290</f>
        <v>0</v>
      </c>
      <c r="M288" s="224">
        <f ca="1">M289+M290</f>
        <v>0</v>
      </c>
      <c r="N288" s="224">
        <f ca="1">N289+N290</f>
        <v>0</v>
      </c>
      <c r="O288" s="224">
        <f t="shared" ca="1" si="71"/>
        <v>0</v>
      </c>
      <c r="P288" s="224">
        <f t="shared" ca="1" si="72"/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 t="shared" si="73"/>
        <v>0</v>
      </c>
      <c r="U288" s="224">
        <f t="shared" si="74"/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469">
        <v>0</v>
      </c>
      <c r="M289" s="83">
        <v>0</v>
      </c>
      <c r="N289" s="83">
        <v>0</v>
      </c>
      <c r="O289" s="83">
        <f t="shared" si="71"/>
        <v>0</v>
      </c>
      <c r="P289" s="83">
        <f t="shared" si="72"/>
        <v>0</v>
      </c>
      <c r="Q289" s="83">
        <v>0</v>
      </c>
      <c r="R289" s="83">
        <v>0</v>
      </c>
      <c r="S289" s="83">
        <v>0</v>
      </c>
      <c r="T289" s="83">
        <f t="shared" si="73"/>
        <v>0</v>
      </c>
      <c r="U289" s="83">
        <f t="shared" si="74"/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468">
        <f ca="1">IFERROR(__xludf.DUMMYFUNCTION("IMPORTRANGE(""https://docs.google.com/spreadsheets/d/1-uDff_7J0KD5mKrp0Vvzr7lt3OU09vwQwhkpOPPYv2Y/edit?usp=sharing"",""งบพรบ!DR24"")"),0)</f>
        <v>0</v>
      </c>
      <c r="M290" s="224">
        <f ca="1">IFERROR(__xludf.DUMMYFUNCTION("IMPORTRANGE(""https://docs.google.com/spreadsheets/d/1-uDff_7J0KD5mKrp0Vvzr7lt3OU09vwQwhkpOPPYv2Y/edit?usp=sharing"",""งบพรบ!DU24"")"),0)</f>
        <v>0</v>
      </c>
      <c r="N290" s="224">
        <f ca="1">IFERROR(__xludf.DUMMYFUNCTION("IMPORTRANGE(""https://docs.google.com/spreadsheets/d/1-uDff_7J0KD5mKrp0Vvzr7lt3OU09vwQwhkpOPPYv2Y/edit?usp=sharing"",""งบพรบ!DW24"")"),0)</f>
        <v>0</v>
      </c>
      <c r="O290" s="224">
        <f t="shared" ca="1" si="71"/>
        <v>0</v>
      </c>
      <c r="P290" s="224">
        <f t="shared" ca="1" si="72"/>
        <v>0</v>
      </c>
      <c r="Q290" s="224">
        <v>0</v>
      </c>
      <c r="R290" s="224">
        <v>0</v>
      </c>
      <c r="S290" s="224">
        <v>0</v>
      </c>
      <c r="T290" s="224">
        <f t="shared" si="73"/>
        <v>0</v>
      </c>
      <c r="U290" s="224">
        <f t="shared" si="74"/>
        <v>0</v>
      </c>
    </row>
    <row r="291" spans="1:21" ht="19.5" x14ac:dyDescent="0.3">
      <c r="A291" s="138"/>
      <c r="B291" s="139"/>
      <c r="C291" s="129" t="s">
        <v>18</v>
      </c>
      <c r="D291" s="498" t="s">
        <v>38</v>
      </c>
      <c r="E291" s="141"/>
      <c r="F291" s="141"/>
      <c r="G291" s="142"/>
      <c r="H291" s="143"/>
      <c r="I291" s="135"/>
      <c r="J291" s="135"/>
      <c r="K291" s="136"/>
      <c r="L291" s="4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IFERROR(__xludf.DUMMYFUNCTION("IMPORTRANGE(""https://docs.google.com/spreadsheets/d/1eHaY18a8A9IcSdp1K8H6x8fbOy06t2VsZHhMHf-1x7Y/edit?usp=sharing"",""แผน!EE24"")"),100)</f>
        <v>100</v>
      </c>
      <c r="J292" s="466">
        <v>100</v>
      </c>
      <c r="K292" s="497">
        <f ca="1">IF(I292&gt;0,J292*100/I292,0)</f>
        <v>100</v>
      </c>
      <c r="L292" s="4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IFERROR(__xludf.DUMMYFUNCTION("IMPORTRANGE(""https://docs.google.com/spreadsheets/d/1eHaY18a8A9IcSdp1K8H6x8fbOy06t2VsZHhMHf-1x7Y/edit?usp=sharing"",""แผน!ED24"")"),10)</f>
        <v>10</v>
      </c>
      <c r="J293" s="328">
        <f>J296</f>
        <v>10</v>
      </c>
      <c r="K293" s="582">
        <f ca="1">IF(I293&gt;0,J293*100/I293,0)</f>
        <v>100</v>
      </c>
      <c r="L293" s="4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4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581">
        <f ca="1">IFERROR(__xludf.DUMMYFUNCTION("IMPORTRANGE(""https://docs.google.com/spreadsheets/d/1eHaY18a8A9IcSdp1K8H6x8fbOy06t2VsZHhMHf-1x7Y/edit?usp=sharing"",""แผน!ED24"")"),10)</f>
        <v>10</v>
      </c>
      <c r="J295" s="466">
        <v>10</v>
      </c>
      <c r="K295" s="497">
        <f ca="1">IF(I295&gt;0,J295*100/I295,0)</f>
        <v>100</v>
      </c>
      <c r="L295" s="4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581">
        <f ca="1">IFERROR(__xludf.DUMMYFUNCTION("IMPORTRANGE(""https://docs.google.com/spreadsheets/d/1eHaY18a8A9IcSdp1K8H6x8fbOy06t2VsZHhMHf-1x7Y/edit?usp=sharing"",""แผน!ED24"")"),10)</f>
        <v>10</v>
      </c>
      <c r="J296" s="466">
        <v>10</v>
      </c>
      <c r="K296" s="497">
        <f ca="1">IF(I296&gt;0,J296*100/I296,0)</f>
        <v>100</v>
      </c>
      <c r="L296" s="4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571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hidden="1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571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580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57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541">
        <f ca="1">I314</f>
        <v>30</v>
      </c>
      <c r="J302" s="541">
        <f>J314</f>
        <v>30</v>
      </c>
      <c r="K302" s="540">
        <f ca="1">IF(I302&gt;0,J302*100/I302,0)</f>
        <v>100</v>
      </c>
      <c r="L302" s="539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472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471">
        <f ca="1">L304+L305</f>
        <v>0</v>
      </c>
      <c r="M303" s="470">
        <f ca="1">M304+M305</f>
        <v>0</v>
      </c>
      <c r="N303" s="470">
        <f ca="1">N304+N305</f>
        <v>0</v>
      </c>
      <c r="O303" s="470">
        <f t="shared" ref="O303:O311" ca="1" si="77">IF(L303&gt;0,N303*100/L303,0)</f>
        <v>0</v>
      </c>
      <c r="P303" s="470">
        <f t="shared" ref="P303:P311" ca="1" si="78">IF(M303&gt;0,N303*100/M303,0)</f>
        <v>0</v>
      </c>
      <c r="Q303" s="470">
        <f ca="1">Q304+Q305</f>
        <v>260958.39</v>
      </c>
      <c r="R303" s="470">
        <f ca="1">R304+R305</f>
        <v>260958</v>
      </c>
      <c r="S303" s="470">
        <f ca="1">S304+S305</f>
        <v>13505</v>
      </c>
      <c r="T303" s="470">
        <f t="shared" ref="T303:T311" ca="1" si="79">IF(Q303&gt;0,S303*100/Q303,0)</f>
        <v>5.1751545524173412</v>
      </c>
      <c r="U303" s="470">
        <f t="shared" ref="U303:U311" ca="1" si="80">IF(R303&gt;0,S303*100/R303,0)</f>
        <v>5.1751622866514921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469">
        <f t="shared" ref="L304:N305" si="81">L307+L310</f>
        <v>0</v>
      </c>
      <c r="M304" s="83">
        <f t="shared" si="81"/>
        <v>0</v>
      </c>
      <c r="N304" s="83">
        <f t="shared" si="81"/>
        <v>0</v>
      </c>
      <c r="O304" s="83">
        <f t="shared" si="77"/>
        <v>0</v>
      </c>
      <c r="P304" s="83">
        <f t="shared" si="78"/>
        <v>0</v>
      </c>
      <c r="Q304" s="83">
        <f t="shared" ref="Q304:S305" si="82">Q307+Q310</f>
        <v>0</v>
      </c>
      <c r="R304" s="83">
        <f t="shared" si="82"/>
        <v>0</v>
      </c>
      <c r="S304" s="83">
        <f t="shared" si="82"/>
        <v>0</v>
      </c>
      <c r="T304" s="83">
        <f t="shared" si="79"/>
        <v>0</v>
      </c>
      <c r="U304" s="83">
        <f t="shared" si="80"/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468">
        <f t="shared" ca="1" si="81"/>
        <v>0</v>
      </c>
      <c r="M305" s="224">
        <f t="shared" ca="1" si="81"/>
        <v>0</v>
      </c>
      <c r="N305" s="224">
        <f t="shared" ca="1" si="81"/>
        <v>0</v>
      </c>
      <c r="O305" s="224">
        <f t="shared" ca="1" si="77"/>
        <v>0</v>
      </c>
      <c r="P305" s="224">
        <f t="shared" ca="1" si="78"/>
        <v>0</v>
      </c>
      <c r="Q305" s="224">
        <f t="shared" ca="1" si="82"/>
        <v>260958.39</v>
      </c>
      <c r="R305" s="224">
        <f t="shared" ca="1" si="82"/>
        <v>260958</v>
      </c>
      <c r="S305" s="224">
        <f t="shared" ca="1" si="82"/>
        <v>13505</v>
      </c>
      <c r="T305" s="224">
        <f t="shared" ca="1" si="79"/>
        <v>5.1751545524173412</v>
      </c>
      <c r="U305" s="224">
        <f t="shared" ca="1" si="80"/>
        <v>5.1751622866514921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468">
        <f ca="1">L307+L308</f>
        <v>0</v>
      </c>
      <c r="M306" s="224">
        <f ca="1">M307+M308</f>
        <v>0</v>
      </c>
      <c r="N306" s="224">
        <f ca="1">N307+N308</f>
        <v>0</v>
      </c>
      <c r="O306" s="224">
        <f t="shared" ca="1" si="77"/>
        <v>0</v>
      </c>
      <c r="P306" s="224">
        <f t="shared" ca="1" si="78"/>
        <v>0</v>
      </c>
      <c r="Q306" s="224">
        <f ca="1">Q307+Q308</f>
        <v>260958.39</v>
      </c>
      <c r="R306" s="224">
        <f ca="1">R307+R308</f>
        <v>260958</v>
      </c>
      <c r="S306" s="224">
        <f ca="1">S307+S308</f>
        <v>13505</v>
      </c>
      <c r="T306" s="224">
        <f t="shared" ca="1" si="79"/>
        <v>5.1751545524173412</v>
      </c>
      <c r="U306" s="224">
        <f t="shared" ca="1" si="80"/>
        <v>5.1751622866514921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469">
        <v>0</v>
      </c>
      <c r="M307" s="83">
        <v>0</v>
      </c>
      <c r="N307" s="83">
        <v>0</v>
      </c>
      <c r="O307" s="83">
        <f t="shared" si="77"/>
        <v>0</v>
      </c>
      <c r="P307" s="83">
        <f t="shared" si="78"/>
        <v>0</v>
      </c>
      <c r="Q307" s="83">
        <v>0</v>
      </c>
      <c r="R307" s="83">
        <v>0</v>
      </c>
      <c r="S307" s="83">
        <v>0</v>
      </c>
      <c r="T307" s="83">
        <f t="shared" si="79"/>
        <v>0</v>
      </c>
      <c r="U307" s="83">
        <f t="shared" si="80"/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468">
        <f ca="1">IFERROR(__xludf.DUMMYFUNCTION("IMPORTRANGE(""https://docs.google.com/spreadsheets/d/1-uDff_7J0KD5mKrp0Vvzr7lt3OU09vwQwhkpOPPYv2Y/edit?usp=sharing"",""งบพรบ!DY24"")"),0)</f>
        <v>0</v>
      </c>
      <c r="M308" s="224">
        <f ca="1">IFERROR(__xludf.DUMMYFUNCTION("IMPORTRANGE(""https://docs.google.com/spreadsheets/d/1-uDff_7J0KD5mKrp0Vvzr7lt3OU09vwQwhkpOPPYv2Y/edit?usp=sharing"",""งบพรบ!ED24"")"),0)</f>
        <v>0</v>
      </c>
      <c r="N308" s="224">
        <f ca="1">IFERROR(__xludf.DUMMYFUNCTION("IMPORTRANGE(""https://docs.google.com/spreadsheets/d/1-uDff_7J0KD5mKrp0Vvzr7lt3OU09vwQwhkpOPPYv2Y/edit?usp=sharing"",""งบพรบ!EF24"")"),0)</f>
        <v>0</v>
      </c>
      <c r="O308" s="224">
        <f t="shared" ca="1" si="77"/>
        <v>0</v>
      </c>
      <c r="P308" s="224">
        <f t="shared" ca="1" si="78"/>
        <v>0</v>
      </c>
      <c r="Q308" s="224">
        <f ca="1">IFERROR(__xludf.DUMMYFUNCTION("IMPORTRANGE(""https://docs.google.com/spreadsheets/d/1ItG2mGa2ceCfYo0BwxsXqNm01IGEUdYcSSLTEv9YCik/edit?usp=sharing"",""เบิกจ่ายกองทุน!AP24"")"),260958.39)</f>
        <v>260958.39</v>
      </c>
      <c r="R308" s="224">
        <f ca="1">IFERROR(__xludf.DUMMYFUNCTION("IMPORTRANGE(""https://docs.google.com/spreadsheets/d/1ItG2mGa2ceCfYo0BwxsXqNm01IGEUdYcSSLTEv9YCik/edit?usp=sharing"",""เบิกจ่ายกองทุน!AQ24"")"),260958)</f>
        <v>260958</v>
      </c>
      <c r="S308" s="224">
        <f ca="1">IFERROR(__xludf.DUMMYFUNCTION("IMPORTRANGE(""https://docs.google.com/spreadsheets/d/1ItG2mGa2ceCfYo0BwxsXqNm01IGEUdYcSSLTEv9YCik/edit?usp=sharing"",""เบิกจ่ายกองทุน!AR24"")"),13505)</f>
        <v>13505</v>
      </c>
      <c r="T308" s="224">
        <f t="shared" ca="1" si="79"/>
        <v>5.1751545524173412</v>
      </c>
      <c r="U308" s="224">
        <f t="shared" ca="1" si="80"/>
        <v>5.1751622866514921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468">
        <f ca="1">L310+L311</f>
        <v>0</v>
      </c>
      <c r="M309" s="224">
        <f ca="1">M310+M311</f>
        <v>0</v>
      </c>
      <c r="N309" s="224">
        <f ca="1">N310+N311</f>
        <v>0</v>
      </c>
      <c r="O309" s="224">
        <f t="shared" ca="1" si="77"/>
        <v>0</v>
      </c>
      <c r="P309" s="224">
        <f t="shared" ca="1" si="78"/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 t="shared" si="79"/>
        <v>0</v>
      </c>
      <c r="U309" s="224">
        <f t="shared" si="80"/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469">
        <v>0</v>
      </c>
      <c r="M310" s="83">
        <v>0</v>
      </c>
      <c r="N310" s="83">
        <v>0</v>
      </c>
      <c r="O310" s="83">
        <f t="shared" si="77"/>
        <v>0</v>
      </c>
      <c r="P310" s="83">
        <f t="shared" si="78"/>
        <v>0</v>
      </c>
      <c r="Q310" s="83">
        <v>0</v>
      </c>
      <c r="R310" s="83">
        <v>0</v>
      </c>
      <c r="S310" s="83">
        <v>0</v>
      </c>
      <c r="T310" s="83">
        <f t="shared" si="79"/>
        <v>0</v>
      </c>
      <c r="U310" s="83">
        <f t="shared" si="80"/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468">
        <f ca="1">IFERROR(__xludf.DUMMYFUNCTION("IMPORTRANGE(""https://docs.google.com/spreadsheets/d/1-uDff_7J0KD5mKrp0Vvzr7lt3OU09vwQwhkpOPPYv2Y/edit?usp=sharing"",""งบพรบ!EB24"")"),0)</f>
        <v>0</v>
      </c>
      <c r="M311" s="224">
        <f ca="1">IFERROR(__xludf.DUMMYFUNCTION("IMPORTRANGE(""https://docs.google.com/spreadsheets/d/1-uDff_7J0KD5mKrp0Vvzr7lt3OU09vwQwhkpOPPYv2Y/edit?usp=sharing"",""งบพรบ!EE24"")"),0)</f>
        <v>0</v>
      </c>
      <c r="N311" s="224">
        <f ca="1">IFERROR(__xludf.DUMMYFUNCTION("IMPORTRANGE(""https://docs.google.com/spreadsheets/d/1-uDff_7J0KD5mKrp0Vvzr7lt3OU09vwQwhkpOPPYv2Y/edit?usp=sharing"",""งบพรบ!EG24"")"),0)</f>
        <v>0</v>
      </c>
      <c r="O311" s="224">
        <f t="shared" ca="1" si="77"/>
        <v>0</v>
      </c>
      <c r="P311" s="224">
        <f t="shared" ca="1" si="78"/>
        <v>0</v>
      </c>
      <c r="Q311" s="224">
        <v>0</v>
      </c>
      <c r="R311" s="224">
        <v>0</v>
      </c>
      <c r="S311" s="224">
        <v>0</v>
      </c>
      <c r="T311" s="224">
        <f t="shared" si="79"/>
        <v>0</v>
      </c>
      <c r="U311" s="224">
        <f t="shared" si="80"/>
        <v>0</v>
      </c>
    </row>
    <row r="312" spans="1:21" ht="19.5" x14ac:dyDescent="0.3">
      <c r="A312" s="138"/>
      <c r="B312" s="139"/>
      <c r="C312" s="129" t="s">
        <v>18</v>
      </c>
      <c r="D312" s="498" t="s">
        <v>38</v>
      </c>
      <c r="E312" s="141"/>
      <c r="F312" s="141"/>
      <c r="G312" s="142"/>
      <c r="H312" s="143"/>
      <c r="I312" s="44"/>
      <c r="J312" s="44"/>
      <c r="K312" s="45"/>
      <c r="L312" s="465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579"/>
      <c r="E313" s="18"/>
      <c r="F313" s="18"/>
      <c r="G313" s="19"/>
      <c r="H313" s="19"/>
      <c r="I313" s="20"/>
      <c r="J313" s="577"/>
      <c r="K313" s="21"/>
      <c r="L313" s="571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IFERROR(__xludf.DUMMYFUNCTION("IMPORTRANGE(""https://docs.google.com/spreadsheets/d/1eHaY18a8A9IcSdp1K8H6x8fbOy06t2VsZHhMHf-1x7Y/edit?usp=sharing"",""แผน!EF24"")"),30)</f>
        <v>30</v>
      </c>
      <c r="J314" s="466">
        <v>30</v>
      </c>
      <c r="K314" s="224">
        <f ca="1">IF(I314&gt;0,J314*100/I314,0)</f>
        <v>100</v>
      </c>
      <c r="L314" s="465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579"/>
      <c r="E315" s="18"/>
      <c r="F315" s="18"/>
      <c r="G315" s="19"/>
      <c r="H315" s="578"/>
      <c r="I315" s="577"/>
      <c r="J315" s="577"/>
      <c r="K315" s="576"/>
      <c r="L315" s="571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579"/>
      <c r="E316" s="18"/>
      <c r="F316" s="18"/>
      <c r="G316" s="19"/>
      <c r="H316" s="578"/>
      <c r="I316" s="577"/>
      <c r="J316" s="577"/>
      <c r="K316" s="576"/>
      <c r="L316" s="571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575"/>
      <c r="E317" s="18"/>
      <c r="F317" s="18"/>
      <c r="G317" s="19"/>
      <c r="H317" s="574"/>
      <c r="I317" s="573"/>
      <c r="J317" s="573"/>
      <c r="K317" s="572"/>
      <c r="L317" s="571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57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hidden="1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541">
        <f ca="1">I330</f>
        <v>0</v>
      </c>
      <c r="J319" s="541">
        <f>J330</f>
        <v>0</v>
      </c>
      <c r="K319" s="540">
        <f ca="1">IF(I319&gt;0,J319*100/I319,0)</f>
        <v>0</v>
      </c>
      <c r="L319" s="539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hidden="1" x14ac:dyDescent="0.3">
      <c r="A320" s="128"/>
      <c r="B320" s="40"/>
      <c r="C320" s="129" t="s">
        <v>18</v>
      </c>
      <c r="D320" s="472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471">
        <f ca="1">L321+L322</f>
        <v>0</v>
      </c>
      <c r="M320" s="470">
        <f ca="1">M321+M322</f>
        <v>0</v>
      </c>
      <c r="N320" s="470">
        <f ca="1">N321+N322</f>
        <v>0</v>
      </c>
      <c r="O320" s="470">
        <f t="shared" ref="O320:O328" ca="1" si="83">IF(L320&gt;0,N320*100/L320,0)</f>
        <v>0</v>
      </c>
      <c r="P320" s="470">
        <f t="shared" ref="P320:P328" ca="1" si="84">IF(M320&gt;0,N320*100/M320,0)</f>
        <v>0</v>
      </c>
      <c r="Q320" s="470">
        <f>Q321+Q322</f>
        <v>0</v>
      </c>
      <c r="R320" s="470">
        <f>R321+R322</f>
        <v>0</v>
      </c>
      <c r="S320" s="470">
        <f>S321+S322</f>
        <v>0</v>
      </c>
      <c r="T320" s="470">
        <f t="shared" ref="T320:T328" si="85">IF(Q320&gt;0,S320*100/Q320,0)</f>
        <v>0</v>
      </c>
      <c r="U320" s="470">
        <f t="shared" ref="U320:U328" si="86"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469">
        <f t="shared" ref="L321:N322" si="87">L324+L327</f>
        <v>0</v>
      </c>
      <c r="M321" s="83">
        <f t="shared" si="87"/>
        <v>0</v>
      </c>
      <c r="N321" s="83">
        <f t="shared" si="87"/>
        <v>0</v>
      </c>
      <c r="O321" s="83">
        <f t="shared" si="83"/>
        <v>0</v>
      </c>
      <c r="P321" s="83">
        <f t="shared" si="84"/>
        <v>0</v>
      </c>
      <c r="Q321" s="83">
        <f t="shared" ref="Q321:S322" si="88">Q324+Q327</f>
        <v>0</v>
      </c>
      <c r="R321" s="83">
        <f t="shared" si="88"/>
        <v>0</v>
      </c>
      <c r="S321" s="83">
        <f t="shared" si="88"/>
        <v>0</v>
      </c>
      <c r="T321" s="83">
        <f t="shared" si="85"/>
        <v>0</v>
      </c>
      <c r="U321" s="83">
        <f t="shared" si="86"/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468">
        <f t="shared" ca="1" si="87"/>
        <v>0</v>
      </c>
      <c r="M322" s="224">
        <f t="shared" ca="1" si="87"/>
        <v>0</v>
      </c>
      <c r="N322" s="224">
        <f t="shared" ca="1" si="87"/>
        <v>0</v>
      </c>
      <c r="O322" s="224">
        <f t="shared" ca="1" si="83"/>
        <v>0</v>
      </c>
      <c r="P322" s="224">
        <f t="shared" ca="1" si="84"/>
        <v>0</v>
      </c>
      <c r="Q322" s="224">
        <f t="shared" si="88"/>
        <v>0</v>
      </c>
      <c r="R322" s="224">
        <f t="shared" si="88"/>
        <v>0</v>
      </c>
      <c r="S322" s="224">
        <f t="shared" si="88"/>
        <v>0</v>
      </c>
      <c r="T322" s="224">
        <f t="shared" si="85"/>
        <v>0</v>
      </c>
      <c r="U322" s="224">
        <f t="shared" si="86"/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468">
        <f ca="1">L324+L325</f>
        <v>0</v>
      </c>
      <c r="M323" s="224">
        <f ca="1">M324+M325</f>
        <v>0</v>
      </c>
      <c r="N323" s="224">
        <f ca="1">N324+N325</f>
        <v>0</v>
      </c>
      <c r="O323" s="224">
        <f t="shared" ca="1" si="83"/>
        <v>0</v>
      </c>
      <c r="P323" s="224">
        <f t="shared" ca="1" si="84"/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 t="shared" si="85"/>
        <v>0</v>
      </c>
      <c r="U323" s="224">
        <f t="shared" si="86"/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469">
        <v>0</v>
      </c>
      <c r="M324" s="83">
        <v>0</v>
      </c>
      <c r="N324" s="83">
        <v>0</v>
      </c>
      <c r="O324" s="83">
        <f t="shared" si="83"/>
        <v>0</v>
      </c>
      <c r="P324" s="83">
        <f t="shared" si="84"/>
        <v>0</v>
      </c>
      <c r="Q324" s="83">
        <v>0</v>
      </c>
      <c r="R324" s="83">
        <v>0</v>
      </c>
      <c r="S324" s="83">
        <v>0</v>
      </c>
      <c r="T324" s="83">
        <f t="shared" si="85"/>
        <v>0</v>
      </c>
      <c r="U324" s="83">
        <f t="shared" si="86"/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468">
        <f ca="1">IFERROR(__xludf.DUMMYFUNCTION("IMPORTRANGE(""https://docs.google.com/spreadsheets/d/1-uDff_7J0KD5mKrp0Vvzr7lt3OU09vwQwhkpOPPYv2Y/edit?usp=sharing"",""งบพรบ!EI24"")"),0)</f>
        <v>0</v>
      </c>
      <c r="M325" s="224">
        <f ca="1">IFERROR(__xludf.DUMMYFUNCTION("IMPORTRANGE(""https://docs.google.com/spreadsheets/d/1-uDff_7J0KD5mKrp0Vvzr7lt3OU09vwQwhkpOPPYv2Y/edit?usp=sharing"",""งบพรบ!EN24"")"),0)</f>
        <v>0</v>
      </c>
      <c r="N325" s="224">
        <f ca="1">IFERROR(__xludf.DUMMYFUNCTION("IMPORTRANGE(""https://docs.google.com/spreadsheets/d/1-uDff_7J0KD5mKrp0Vvzr7lt3OU09vwQwhkpOPPYv2Y/edit?usp=sharing"",""งบพรบ!EP24"")"),0)</f>
        <v>0</v>
      </c>
      <c r="O325" s="224">
        <f t="shared" ca="1" si="83"/>
        <v>0</v>
      </c>
      <c r="P325" s="224">
        <f t="shared" ca="1" si="84"/>
        <v>0</v>
      </c>
      <c r="Q325" s="224">
        <v>0</v>
      </c>
      <c r="R325" s="224">
        <v>0</v>
      </c>
      <c r="S325" s="224">
        <v>0</v>
      </c>
      <c r="T325" s="224">
        <f t="shared" si="85"/>
        <v>0</v>
      </c>
      <c r="U325" s="224">
        <f t="shared" si="86"/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468">
        <f ca="1">L327+L328</f>
        <v>0</v>
      </c>
      <c r="M326" s="224">
        <f ca="1">M327+M328</f>
        <v>0</v>
      </c>
      <c r="N326" s="224">
        <f ca="1">N327+N328</f>
        <v>0</v>
      </c>
      <c r="O326" s="224">
        <f t="shared" ca="1" si="83"/>
        <v>0</v>
      </c>
      <c r="P326" s="224">
        <f t="shared" ca="1" si="84"/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 t="shared" si="85"/>
        <v>0</v>
      </c>
      <c r="U326" s="224">
        <f t="shared" si="86"/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469">
        <v>0</v>
      </c>
      <c r="M327" s="83">
        <v>0</v>
      </c>
      <c r="N327" s="83">
        <v>0</v>
      </c>
      <c r="O327" s="83">
        <f t="shared" si="83"/>
        <v>0</v>
      </c>
      <c r="P327" s="83">
        <f t="shared" si="84"/>
        <v>0</v>
      </c>
      <c r="Q327" s="83">
        <v>0</v>
      </c>
      <c r="R327" s="83">
        <v>0</v>
      </c>
      <c r="S327" s="83">
        <v>0</v>
      </c>
      <c r="T327" s="83">
        <f t="shared" si="85"/>
        <v>0</v>
      </c>
      <c r="U327" s="83">
        <f t="shared" si="86"/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468">
        <f ca="1">IFERROR(__xludf.DUMMYFUNCTION("IMPORTRANGE(""https://docs.google.com/spreadsheets/d/1-uDff_7J0KD5mKrp0Vvzr7lt3OU09vwQwhkpOPPYv2Y/edit?usp=sharing"",""งบพรบ!EL24"")"),0)</f>
        <v>0</v>
      </c>
      <c r="M328" s="224">
        <f ca="1">IFERROR(__xludf.DUMMYFUNCTION("IMPORTRANGE(""https://docs.google.com/spreadsheets/d/1-uDff_7J0KD5mKrp0Vvzr7lt3OU09vwQwhkpOPPYv2Y/edit?usp=sharing"",""งบพรบ!EO24"")"),0)</f>
        <v>0</v>
      </c>
      <c r="N328" s="224">
        <f ca="1">IFERROR(__xludf.DUMMYFUNCTION("IMPORTRANGE(""https://docs.google.com/spreadsheets/d/1-uDff_7J0KD5mKrp0Vvzr7lt3OU09vwQwhkpOPPYv2Y/edit?usp=sharing"",""งบพรบ!EQ24"")"),0)</f>
        <v>0</v>
      </c>
      <c r="O328" s="224">
        <f t="shared" ca="1" si="83"/>
        <v>0</v>
      </c>
      <c r="P328" s="224">
        <f t="shared" ca="1" si="84"/>
        <v>0</v>
      </c>
      <c r="Q328" s="224">
        <v>0</v>
      </c>
      <c r="R328" s="224">
        <v>0</v>
      </c>
      <c r="S328" s="224">
        <v>0</v>
      </c>
      <c r="T328" s="224">
        <f t="shared" si="85"/>
        <v>0</v>
      </c>
      <c r="U328" s="224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8" t="s">
        <v>38</v>
      </c>
      <c r="E329" s="141"/>
      <c r="F329" s="141"/>
      <c r="G329" s="142"/>
      <c r="H329" s="143"/>
      <c r="I329" s="135"/>
      <c r="J329" s="44"/>
      <c r="K329" s="45"/>
      <c r="L329" s="465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IFERROR(__xludf.DUMMYFUNCTION("IMPORTRANGE(""https://docs.google.com/spreadsheets/d/1eHaY18a8A9IcSdp1K8H6x8fbOy06t2VsZHhMHf-1x7Y/edit?usp=sharing"",""แผน!EJ24"")"),0)</f>
        <v>0</v>
      </c>
      <c r="J330" s="466">
        <v>0</v>
      </c>
      <c r="K330" s="224">
        <f ca="1">IF(I330&gt;0,J330*100/I330,0)</f>
        <v>0</v>
      </c>
      <c r="L330" s="465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57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569">
        <f ca="1">I344</f>
        <v>1140</v>
      </c>
      <c r="J332" s="568">
        <f ca="1">J344+J347+J348+J349+J353</f>
        <v>4219</v>
      </c>
      <c r="K332" s="567">
        <f ca="1">IF(I332&gt;0,J332*100/I332,0)</f>
        <v>370.08771929824559</v>
      </c>
      <c r="L332" s="539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472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471">
        <f ca="1">L334+L335</f>
        <v>108000</v>
      </c>
      <c r="M333" s="470">
        <f ca="1">M334+M335</f>
        <v>113000</v>
      </c>
      <c r="N333" s="470">
        <f ca="1">N334+N335</f>
        <v>73143</v>
      </c>
      <c r="O333" s="470">
        <f t="shared" ref="O333:O341" ca="1" si="89">IF(L333&gt;0,N333*100/L333,0)</f>
        <v>67.724999999999994</v>
      </c>
      <c r="P333" s="470">
        <f t="shared" ref="P333:P341" ca="1" si="90">IF(M333&gt;0,N333*100/M333,0)</f>
        <v>64.728318584070792</v>
      </c>
      <c r="Q333" s="470">
        <f>Q334+Q335</f>
        <v>0</v>
      </c>
      <c r="R333" s="470">
        <f>R334+R335</f>
        <v>0</v>
      </c>
      <c r="S333" s="470">
        <f>S334+S335</f>
        <v>0</v>
      </c>
      <c r="T333" s="470">
        <f t="shared" ref="T333:T341" si="91">IF(Q333&gt;0,S333*100/Q333,0)</f>
        <v>0</v>
      </c>
      <c r="U333" s="470">
        <f t="shared" ref="U333:U341" si="92"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469">
        <f t="shared" ref="L334:N335" si="93">L337+L340</f>
        <v>0</v>
      </c>
      <c r="M334" s="83">
        <f t="shared" si="93"/>
        <v>0</v>
      </c>
      <c r="N334" s="83">
        <f t="shared" si="93"/>
        <v>0</v>
      </c>
      <c r="O334" s="83">
        <f t="shared" si="89"/>
        <v>0</v>
      </c>
      <c r="P334" s="83">
        <f t="shared" si="90"/>
        <v>0</v>
      </c>
      <c r="Q334" s="83">
        <f t="shared" ref="Q334:S335" si="94">Q337+Q340</f>
        <v>0</v>
      </c>
      <c r="R334" s="83">
        <f t="shared" si="94"/>
        <v>0</v>
      </c>
      <c r="S334" s="83">
        <f t="shared" si="94"/>
        <v>0</v>
      </c>
      <c r="T334" s="83">
        <f t="shared" si="91"/>
        <v>0</v>
      </c>
      <c r="U334" s="83">
        <f t="shared" si="92"/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468">
        <f t="shared" ca="1" si="93"/>
        <v>108000</v>
      </c>
      <c r="M335" s="224">
        <f t="shared" ca="1" si="93"/>
        <v>113000</v>
      </c>
      <c r="N335" s="224">
        <f t="shared" ca="1" si="93"/>
        <v>73143</v>
      </c>
      <c r="O335" s="224">
        <f t="shared" ca="1" si="89"/>
        <v>67.724999999999994</v>
      </c>
      <c r="P335" s="224">
        <f t="shared" ca="1" si="90"/>
        <v>64.728318584070792</v>
      </c>
      <c r="Q335" s="224">
        <f t="shared" si="94"/>
        <v>0</v>
      </c>
      <c r="R335" s="224">
        <f t="shared" si="94"/>
        <v>0</v>
      </c>
      <c r="S335" s="224">
        <f t="shared" si="94"/>
        <v>0</v>
      </c>
      <c r="T335" s="224">
        <f t="shared" si="91"/>
        <v>0</v>
      </c>
      <c r="U335" s="224">
        <f t="shared" si="92"/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468">
        <f ca="1">L337+L338</f>
        <v>108000</v>
      </c>
      <c r="M336" s="224">
        <f ca="1">M337+M338</f>
        <v>113000</v>
      </c>
      <c r="N336" s="224">
        <f ca="1">N337+N338</f>
        <v>73143</v>
      </c>
      <c r="O336" s="224">
        <f t="shared" ca="1" si="89"/>
        <v>67.724999999999994</v>
      </c>
      <c r="P336" s="224">
        <f t="shared" ca="1" si="90"/>
        <v>64.728318584070792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 t="shared" si="91"/>
        <v>0</v>
      </c>
      <c r="U336" s="224">
        <f t="shared" si="92"/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469">
        <v>0</v>
      </c>
      <c r="M337" s="83">
        <v>0</v>
      </c>
      <c r="N337" s="83">
        <v>0</v>
      </c>
      <c r="O337" s="83">
        <f t="shared" si="89"/>
        <v>0</v>
      </c>
      <c r="P337" s="83">
        <f t="shared" si="90"/>
        <v>0</v>
      </c>
      <c r="Q337" s="83">
        <v>0</v>
      </c>
      <c r="R337" s="83">
        <v>0</v>
      </c>
      <c r="S337" s="83">
        <v>0</v>
      </c>
      <c r="T337" s="83">
        <f t="shared" si="91"/>
        <v>0</v>
      </c>
      <c r="U337" s="83">
        <f t="shared" si="92"/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468">
        <f ca="1">IFERROR(__xludf.DUMMYFUNCTION("IMPORTRANGE(""https://docs.google.com/spreadsheets/d/1-uDff_7J0KD5mKrp0Vvzr7lt3OU09vwQwhkpOPPYv2Y/edit?usp=sharing"",""งบพรบ!ES24"")"),108000)</f>
        <v>108000</v>
      </c>
      <c r="M338" s="224">
        <f ca="1">IFERROR(__xludf.DUMMYFUNCTION("IMPORTRANGE(""https://docs.google.com/spreadsheets/d/1-uDff_7J0KD5mKrp0Vvzr7lt3OU09vwQwhkpOPPYv2Y/edit?usp=sharing"",""งบพรบ!EX24"")"),113000)</f>
        <v>113000</v>
      </c>
      <c r="N338" s="224">
        <f ca="1">IFERROR(__xludf.DUMMYFUNCTION("IMPORTRANGE(""https://docs.google.com/spreadsheets/d/1-uDff_7J0KD5mKrp0Vvzr7lt3OU09vwQwhkpOPPYv2Y/edit?usp=sharing"",""งบพรบ!EZ24"")"),73143)</f>
        <v>73143</v>
      </c>
      <c r="O338" s="224">
        <f t="shared" ca="1" si="89"/>
        <v>67.724999999999994</v>
      </c>
      <c r="P338" s="224">
        <f t="shared" ca="1" si="90"/>
        <v>64.728318584070792</v>
      </c>
      <c r="Q338" s="224">
        <v>0</v>
      </c>
      <c r="R338" s="224">
        <v>0</v>
      </c>
      <c r="S338" s="224">
        <v>0</v>
      </c>
      <c r="T338" s="224">
        <f t="shared" si="91"/>
        <v>0</v>
      </c>
      <c r="U338" s="224">
        <f t="shared" si="92"/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468">
        <f ca="1">L340+L341</f>
        <v>0</v>
      </c>
      <c r="M339" s="224">
        <f ca="1">M340+M341</f>
        <v>0</v>
      </c>
      <c r="N339" s="224">
        <f ca="1">N340+N341</f>
        <v>0</v>
      </c>
      <c r="O339" s="224">
        <f t="shared" ca="1" si="89"/>
        <v>0</v>
      </c>
      <c r="P339" s="224">
        <f t="shared" ca="1" si="90"/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 t="shared" si="91"/>
        <v>0</v>
      </c>
      <c r="U339" s="224">
        <f t="shared" si="92"/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469">
        <v>0</v>
      </c>
      <c r="M340" s="83">
        <v>0</v>
      </c>
      <c r="N340" s="83">
        <v>0</v>
      </c>
      <c r="O340" s="83">
        <f t="shared" si="89"/>
        <v>0</v>
      </c>
      <c r="P340" s="83">
        <f t="shared" si="90"/>
        <v>0</v>
      </c>
      <c r="Q340" s="83">
        <v>0</v>
      </c>
      <c r="R340" s="83">
        <v>0</v>
      </c>
      <c r="S340" s="83">
        <v>0</v>
      </c>
      <c r="T340" s="83">
        <f t="shared" si="91"/>
        <v>0</v>
      </c>
      <c r="U340" s="83">
        <f t="shared" si="92"/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468">
        <f ca="1">IFERROR(__xludf.DUMMYFUNCTION("IMPORTRANGE(""https://docs.google.com/spreadsheets/d/1-uDff_7J0KD5mKrp0Vvzr7lt3OU09vwQwhkpOPPYv2Y/edit?usp=sharing"",""งบพรบ!EV24"")"),0)</f>
        <v>0</v>
      </c>
      <c r="M341" s="224">
        <f ca="1">IFERROR(__xludf.DUMMYFUNCTION("IMPORTRANGE(""https://docs.google.com/spreadsheets/d/1-uDff_7J0KD5mKrp0Vvzr7lt3OU09vwQwhkpOPPYv2Y/edit?usp=sharing"",""งบพรบ!EY24"")"),0)</f>
        <v>0</v>
      </c>
      <c r="N341" s="224">
        <f ca="1">IFERROR(__xludf.DUMMYFUNCTION("IMPORTRANGE(""https://docs.google.com/spreadsheets/d/1-uDff_7J0KD5mKrp0Vvzr7lt3OU09vwQwhkpOPPYv2Y/edit?usp=sharing"",""งบพรบ!FA24"")"),0)</f>
        <v>0</v>
      </c>
      <c r="O341" s="224">
        <f t="shared" ca="1" si="89"/>
        <v>0</v>
      </c>
      <c r="P341" s="224">
        <f t="shared" ca="1" si="90"/>
        <v>0</v>
      </c>
      <c r="Q341" s="224">
        <v>0</v>
      </c>
      <c r="R341" s="224">
        <v>0</v>
      </c>
      <c r="S341" s="224">
        <v>0</v>
      </c>
      <c r="T341" s="224">
        <f t="shared" si="91"/>
        <v>0</v>
      </c>
      <c r="U341" s="224">
        <f t="shared" si="92"/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465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566"/>
      <c r="B343" s="563"/>
      <c r="C343" s="565"/>
      <c r="D343" s="563"/>
      <c r="E343" s="564" t="s">
        <v>137</v>
      </c>
      <c r="F343" s="563"/>
      <c r="G343" s="562"/>
      <c r="H343" s="561" t="s">
        <v>35</v>
      </c>
      <c r="I343" s="560">
        <v>0</v>
      </c>
      <c r="J343" s="560">
        <f ca="1">J344+J347+J348+J349</f>
        <v>771</v>
      </c>
      <c r="K343" s="559">
        <v>0</v>
      </c>
      <c r="L343" s="557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IFERROR(__xludf.DUMMYFUNCTION("IMPORTRANGE(""https://docs.google.com/spreadsheets/d/1eHaY18a8A9IcSdp1K8H6x8fbOy06t2VsZHhMHf-1x7Y/edit?usp=sharing"",""แผน!EK24"")"),1140)</f>
        <v>1140</v>
      </c>
      <c r="J344" s="184">
        <f ca="1">IFERROR(__xludf.DUMMYFUNCTION("IMPORTRANGE(""https://docs.google.com/spreadsheets/d/1awYsYK3VOup2i3Pq_Yjnu8DRu_mYwSBnCR2QPthd0rU/edit?usp=sharing"",""ศูนย์ยกเว้นโฉนด!D24"")"),754)</f>
        <v>754</v>
      </c>
      <c r="K344" s="224">
        <f ca="1">IF(I344&gt;0,J344*100/I344,0)</f>
        <v>66.140350877192986</v>
      </c>
      <c r="L344" s="465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465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IFERROR(__xludf.DUMMYFUNCTION("IMPORTRANGE(""https://docs.google.com/spreadsheets/d/1eHaY18a8A9IcSdp1K8H6x8fbOy06t2VsZHhMHf-1x7Y/edit?usp=sharing"",""แผน!EL24"")"),4)</f>
        <v>4</v>
      </c>
      <c r="J346" s="184">
        <f ca="1">IFERROR(__xludf.DUMMYFUNCTION("IMPORTRANGE(""https://docs.google.com/spreadsheets/d/1awYsYK3VOup2i3Pq_Yjnu8DRu_mYwSBnCR2QPthd0rU/edit?usp=sharing"",""ศูนย์รวม!E24"")"),1)</f>
        <v>1</v>
      </c>
      <c r="K346" s="224">
        <f ca="1">IF(I346&gt;0,J346*100/I346,0)</f>
        <v>25</v>
      </c>
      <c r="L346" s="465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IFERROR(__xludf.DUMMYFUNCTION("IMPORTRANGE(""https://docs.google.com/spreadsheets/d/1awYsYK3VOup2i3Pq_Yjnu8DRu_mYwSBnCR2QPthd0rU/edit?usp=sharing"",""ศูนย์ยกเว้นโฉนด!F24"")"),0)</f>
        <v>0</v>
      </c>
      <c r="K347" s="45"/>
      <c r="L347" s="465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IFERROR(__xludf.DUMMYFUNCTION("IMPORTRANGE(""https://docs.google.com/spreadsheets/d/1awYsYK3VOup2i3Pq_Yjnu8DRu_mYwSBnCR2QPthd0rU/edit?usp=sharing"",""ศูนย์ยกเว้นโฉนด!G24"")"),17)</f>
        <v>17</v>
      </c>
      <c r="K348" s="45"/>
      <c r="L348" s="465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IFERROR(__xludf.DUMMYFUNCTION("IMPORTRANGE(""https://docs.google.com/spreadsheets/d/1awYsYK3VOup2i3Pq_Yjnu8DRu_mYwSBnCR2QPthd0rU/edit?usp=sharing"",""ศูนย์ยกเว้นโฉนด!H24"")"),0)</f>
        <v>0</v>
      </c>
      <c r="K349" s="45"/>
      <c r="L349" s="465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0"/>
      <c r="F350" s="40"/>
      <c r="G350" s="42"/>
      <c r="H350" s="180"/>
      <c r="I350" s="44"/>
      <c r="J350" s="44"/>
      <c r="K350" s="45"/>
      <c r="L350" s="465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558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4994</v>
      </c>
      <c r="K351" s="304">
        <v>0</v>
      </c>
      <c r="L351" s="557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IFERROR(__xludf.DUMMYFUNCTION("IMPORTRANGE(""https://docs.google.com/spreadsheets/d/1awYsYK3VOup2i3Pq_Yjnu8DRu_mYwSBnCR2QPthd0rU/edit?usp=sharing"",""โฉนดM3!G24"")"),1546)</f>
        <v>1546</v>
      </c>
      <c r="K352" s="45"/>
      <c r="L352" s="465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IFERROR(__xludf.DUMMYFUNCTION("IMPORTRANGE(""https://docs.google.com/spreadsheets/d/1awYsYK3VOup2i3Pq_Yjnu8DRu_mYwSBnCR2QPthd0rU/edit?usp=sharing"",""โฉนดM3!H24"")"),3448)</f>
        <v>3448</v>
      </c>
      <c r="K353" s="45"/>
      <c r="L353" s="465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0"/>
      <c r="F354" s="40"/>
      <c r="G354" s="42"/>
      <c r="H354" s="180"/>
      <c r="I354" s="44"/>
      <c r="J354" s="44"/>
      <c r="K354" s="45"/>
      <c r="L354" s="465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539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472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471">
        <f ca="1">L357+L358</f>
        <v>422685</v>
      </c>
      <c r="M356" s="470">
        <f ca="1">M357+M358</f>
        <v>422685</v>
      </c>
      <c r="N356" s="470">
        <f ca="1">N357+N358</f>
        <v>290684</v>
      </c>
      <c r="O356" s="470">
        <f t="shared" ref="O356:O364" ca="1" si="95">IF(L356&gt;0,N356*100/L356,0)</f>
        <v>68.77083407265458</v>
      </c>
      <c r="P356" s="470">
        <f t="shared" ref="P356:P364" ca="1" si="96">IF(M356&gt;0,N356*100/M356,0)</f>
        <v>68.77083407265458</v>
      </c>
      <c r="Q356" s="470">
        <f>Q357+Q358</f>
        <v>0</v>
      </c>
      <c r="R356" s="470">
        <f>R357+R358</f>
        <v>0</v>
      </c>
      <c r="S356" s="470">
        <f>S357+S358</f>
        <v>0</v>
      </c>
      <c r="T356" s="470">
        <f t="shared" ref="T356:T364" si="97">IF(Q356&gt;0,S356*100/Q356,0)</f>
        <v>0</v>
      </c>
      <c r="U356" s="470">
        <f t="shared" ref="U356:U364" si="98"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469">
        <f t="shared" ref="L357:N358" si="99">L360+L363</f>
        <v>0</v>
      </c>
      <c r="M357" s="83">
        <f t="shared" si="99"/>
        <v>0</v>
      </c>
      <c r="N357" s="83">
        <f t="shared" si="99"/>
        <v>0</v>
      </c>
      <c r="O357" s="83">
        <f t="shared" si="95"/>
        <v>0</v>
      </c>
      <c r="P357" s="83">
        <f t="shared" si="96"/>
        <v>0</v>
      </c>
      <c r="Q357" s="83">
        <f t="shared" ref="Q357:S358" si="100">Q360+Q363</f>
        <v>0</v>
      </c>
      <c r="R357" s="83">
        <f t="shared" si="100"/>
        <v>0</v>
      </c>
      <c r="S357" s="83">
        <f t="shared" si="100"/>
        <v>0</v>
      </c>
      <c r="T357" s="83">
        <f t="shared" si="97"/>
        <v>0</v>
      </c>
      <c r="U357" s="83">
        <f t="shared" si="98"/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468">
        <f t="shared" ca="1" si="99"/>
        <v>422685</v>
      </c>
      <c r="M358" s="224">
        <f t="shared" ca="1" si="99"/>
        <v>422685</v>
      </c>
      <c r="N358" s="224">
        <f t="shared" ca="1" si="99"/>
        <v>290684</v>
      </c>
      <c r="O358" s="224">
        <f t="shared" ca="1" si="95"/>
        <v>68.77083407265458</v>
      </c>
      <c r="P358" s="224">
        <f t="shared" ca="1" si="96"/>
        <v>68.77083407265458</v>
      </c>
      <c r="Q358" s="224">
        <f t="shared" si="100"/>
        <v>0</v>
      </c>
      <c r="R358" s="224">
        <f t="shared" si="100"/>
        <v>0</v>
      </c>
      <c r="S358" s="224">
        <f t="shared" si="100"/>
        <v>0</v>
      </c>
      <c r="T358" s="224">
        <f t="shared" si="97"/>
        <v>0</v>
      </c>
      <c r="U358" s="224">
        <f t="shared" si="98"/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468">
        <f ca="1">L360+L361</f>
        <v>422685</v>
      </c>
      <c r="M359" s="224">
        <f ca="1">M360+M361</f>
        <v>422685</v>
      </c>
      <c r="N359" s="224">
        <f ca="1">N360+N361</f>
        <v>290684</v>
      </c>
      <c r="O359" s="224">
        <f t="shared" ca="1" si="95"/>
        <v>68.77083407265458</v>
      </c>
      <c r="P359" s="224">
        <f t="shared" ca="1" si="96"/>
        <v>68.77083407265458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 t="shared" si="97"/>
        <v>0</v>
      </c>
      <c r="U359" s="224">
        <f t="shared" si="98"/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469">
        <v>0</v>
      </c>
      <c r="M360" s="83">
        <v>0</v>
      </c>
      <c r="N360" s="83">
        <v>0</v>
      </c>
      <c r="O360" s="83">
        <f t="shared" si="95"/>
        <v>0</v>
      </c>
      <c r="P360" s="83">
        <f t="shared" si="96"/>
        <v>0</v>
      </c>
      <c r="Q360" s="83">
        <v>0</v>
      </c>
      <c r="R360" s="83">
        <v>0</v>
      </c>
      <c r="S360" s="83">
        <v>0</v>
      </c>
      <c r="T360" s="83">
        <f t="shared" si="97"/>
        <v>0</v>
      </c>
      <c r="U360" s="83">
        <f t="shared" si="98"/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468">
        <f ca="1">IFERROR(__xludf.DUMMYFUNCTION("IMPORTRANGE(""https://docs.google.com/spreadsheets/d/1-uDff_7J0KD5mKrp0Vvzr7lt3OU09vwQwhkpOPPYv2Y/edit?usp=sharing"",""งบพรบ!FC24"")"),422685)</f>
        <v>422685</v>
      </c>
      <c r="M361" s="224">
        <f ca="1">IFERROR(__xludf.DUMMYFUNCTION("IMPORTRANGE(""https://docs.google.com/spreadsheets/d/1-uDff_7J0KD5mKrp0Vvzr7lt3OU09vwQwhkpOPPYv2Y/edit?usp=sharing"",""งบพรบ!FH24"")"),422685)</f>
        <v>422685</v>
      </c>
      <c r="N361" s="224">
        <f ca="1">IFERROR(__xludf.DUMMYFUNCTION("IMPORTRANGE(""https://docs.google.com/spreadsheets/d/1-uDff_7J0KD5mKrp0Vvzr7lt3OU09vwQwhkpOPPYv2Y/edit?usp=sharing"",""งบพรบ!FJ24"")"),290684)</f>
        <v>290684</v>
      </c>
      <c r="O361" s="224">
        <f t="shared" ca="1" si="95"/>
        <v>68.77083407265458</v>
      </c>
      <c r="P361" s="224">
        <f t="shared" ca="1" si="96"/>
        <v>68.77083407265458</v>
      </c>
      <c r="Q361" s="224">
        <v>0</v>
      </c>
      <c r="R361" s="224">
        <v>0</v>
      </c>
      <c r="S361" s="224">
        <v>0</v>
      </c>
      <c r="T361" s="224">
        <f t="shared" si="97"/>
        <v>0</v>
      </c>
      <c r="U361" s="224">
        <f t="shared" si="98"/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468">
        <f ca="1">L363+L364</f>
        <v>0</v>
      </c>
      <c r="M362" s="224">
        <f ca="1">M363+M364</f>
        <v>0</v>
      </c>
      <c r="N362" s="224">
        <f ca="1">N363+N364</f>
        <v>0</v>
      </c>
      <c r="O362" s="224">
        <f t="shared" ca="1" si="95"/>
        <v>0</v>
      </c>
      <c r="P362" s="224">
        <f t="shared" ca="1" si="96"/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 t="shared" si="97"/>
        <v>0</v>
      </c>
      <c r="U362" s="224">
        <f t="shared" si="98"/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469">
        <v>0</v>
      </c>
      <c r="M363" s="83">
        <v>0</v>
      </c>
      <c r="N363" s="83">
        <v>0</v>
      </c>
      <c r="O363" s="83">
        <f t="shared" si="95"/>
        <v>0</v>
      </c>
      <c r="P363" s="83">
        <f t="shared" si="96"/>
        <v>0</v>
      </c>
      <c r="Q363" s="83">
        <v>0</v>
      </c>
      <c r="R363" s="83">
        <v>0</v>
      </c>
      <c r="S363" s="83">
        <v>0</v>
      </c>
      <c r="T363" s="83">
        <f t="shared" si="97"/>
        <v>0</v>
      </c>
      <c r="U363" s="83">
        <f t="shared" si="98"/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468">
        <f ca="1">IFERROR(__xludf.DUMMYFUNCTION("IMPORTRANGE(""https://docs.google.com/spreadsheets/d/1-uDff_7J0KD5mKrp0Vvzr7lt3OU09vwQwhkpOPPYv2Y/edit?usp=sharing"",""งบพรบ!FF24"")"),0)</f>
        <v>0</v>
      </c>
      <c r="M364" s="224">
        <f ca="1">IFERROR(__xludf.DUMMYFUNCTION("IMPORTRANGE(""https://docs.google.com/spreadsheets/d/1-uDff_7J0KD5mKrp0Vvzr7lt3OU09vwQwhkpOPPYv2Y/edit?usp=sharing"",""งบพรบ!FI24"")"),0)</f>
        <v>0</v>
      </c>
      <c r="N364" s="224">
        <f ca="1">IFERROR(__xludf.DUMMYFUNCTION("IMPORTRANGE(""https://docs.google.com/spreadsheets/d/1-uDff_7J0KD5mKrp0Vvzr7lt3OU09vwQwhkpOPPYv2Y/edit?usp=sharing"",""งบพรบ!FK24"")"),0)</f>
        <v>0</v>
      </c>
      <c r="O364" s="224">
        <f t="shared" ca="1" si="95"/>
        <v>0</v>
      </c>
      <c r="P364" s="224">
        <f t="shared" ca="1" si="96"/>
        <v>0</v>
      </c>
      <c r="Q364" s="224">
        <v>0</v>
      </c>
      <c r="R364" s="224">
        <v>0</v>
      </c>
      <c r="S364" s="224">
        <v>0</v>
      </c>
      <c r="T364" s="224">
        <f t="shared" si="97"/>
        <v>0</v>
      </c>
      <c r="U364" s="224">
        <f t="shared" si="98"/>
        <v>0</v>
      </c>
    </row>
    <row r="365" spans="1:21" ht="19.5" x14ac:dyDescent="0.3">
      <c r="A365" s="211"/>
      <c r="B365" s="212"/>
      <c r="C365" s="214"/>
      <c r="D365" s="558" t="s">
        <v>149</v>
      </c>
      <c r="E365" s="214"/>
      <c r="F365" s="214"/>
      <c r="G365" s="215"/>
      <c r="H365" s="223" t="s">
        <v>35</v>
      </c>
      <c r="I365" s="303">
        <f ca="1">I371</f>
        <v>191</v>
      </c>
      <c r="J365" s="303">
        <f ca="1">J371</f>
        <v>321</v>
      </c>
      <c r="K365" s="304">
        <f ca="1">IF(I365&gt;0,J365*100/I365,0)</f>
        <v>168.06282722513089</v>
      </c>
      <c r="L365" s="557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498" t="s">
        <v>38</v>
      </c>
      <c r="E366" s="141"/>
      <c r="F366" s="141"/>
      <c r="G366" s="142"/>
      <c r="H366" s="143"/>
      <c r="I366" s="44"/>
      <c r="J366" s="44"/>
      <c r="K366" s="45"/>
      <c r="L366" s="4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IFERROR(__xludf.DUMMYFUNCTION("IMPORTRANGE(""https://docs.google.com/spreadsheets/d/1tdoBKaGub7dwA3U6UFTqxio9LNnvDCQjHKmttSEBsFQ/edit?usp=sharing"",""จัดที่ดิน!AB24"")"),65)</f>
        <v>65</v>
      </c>
      <c r="K367" s="224">
        <f t="shared" ref="K367:K372" si="101">IF(I367&gt;0,J367*100/I367,0)</f>
        <v>0</v>
      </c>
      <c r="L367" s="4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IFERROR(__xludf.DUMMYFUNCTION("IMPORTRANGE(""https://docs.google.com/spreadsheets/d/1eHaY18a8A9IcSdp1K8H6x8fbOy06t2VsZHhMHf-1x7Y/edit?usp=sharing"",""แผน!EW24"")"),540)</f>
        <v>540</v>
      </c>
      <c r="J368" s="556">
        <f ca="1">IFERROR(__xludf.DUMMYFUNCTION("IMPORTRANGE(""https://docs.google.com/spreadsheets/d/1tdoBKaGub7dwA3U6UFTqxio9LNnvDCQjHKmttSEBsFQ/edit?usp=sharing"",""จัดที่ดิน!AC24"")"),366.419999999999)</f>
        <v>366.41999999999899</v>
      </c>
      <c r="K368" s="224">
        <f t="shared" ca="1" si="101"/>
        <v>67.85555555555537</v>
      </c>
      <c r="L368" s="4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IFERROR(__xludf.DUMMYFUNCTION("IMPORTRANGE(""https://docs.google.com/spreadsheets/d/1eHaY18a8A9IcSdp1K8H6x8fbOy06t2VsZHhMHf-1x7Y/edit?usp=sharing"",""แผน!EX24"")"),191)</f>
        <v>191</v>
      </c>
      <c r="J369" s="184">
        <f ca="1">IFERROR(__xludf.DUMMYFUNCTION("IMPORTRANGE(""https://docs.google.com/spreadsheets/d/1tdoBKaGub7dwA3U6UFTqxio9LNnvDCQjHKmttSEBsFQ/edit?usp=sharing"",""จัดที่ดิน!AD24"")"),351)</f>
        <v>351</v>
      </c>
      <c r="K369" s="224">
        <f t="shared" ca="1" si="101"/>
        <v>183.7696335078534</v>
      </c>
      <c r="L369" s="4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556">
        <f ca="1">IFERROR(__xludf.DUMMYFUNCTION("IMPORTRANGE(""https://docs.google.com/spreadsheets/d/1tdoBKaGub7dwA3U6UFTqxio9LNnvDCQjHKmttSEBsFQ/edit?usp=sharing"",""จัดที่ดิน!AE24"")"),2961.93)</f>
        <v>2961.93</v>
      </c>
      <c r="K370" s="224">
        <f t="shared" si="101"/>
        <v>0</v>
      </c>
      <c r="L370" s="4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IFERROR(__xludf.DUMMYFUNCTION("IMPORTRANGE(""https://docs.google.com/spreadsheets/d/1eHaY18a8A9IcSdp1K8H6x8fbOy06t2VsZHhMHf-1x7Y/edit?usp=sharing"",""แผน!EY24"")"),191)</f>
        <v>191</v>
      </c>
      <c r="J371" s="184">
        <f ca="1">IFERROR(__xludf.DUMMYFUNCTION("IMPORTRANGE(""https://docs.google.com/spreadsheets/d/1tdoBKaGub7dwA3U6UFTqxio9LNnvDCQjHKmttSEBsFQ/edit?usp=sharing"",""จัดที่ดิน!AF24"")"),321)</f>
        <v>321</v>
      </c>
      <c r="K371" s="224">
        <f t="shared" ca="1" si="101"/>
        <v>168.06282722513089</v>
      </c>
      <c r="L371" s="4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556">
        <f ca="1">IFERROR(__xludf.DUMMYFUNCTION("IMPORTRANGE(""https://docs.google.com/spreadsheets/d/1tdoBKaGub7dwA3U6UFTqxio9LNnvDCQjHKmttSEBsFQ/edit?usp=sharing"",""จัดที่ดิน!AG24"")"),2677.12)</f>
        <v>2677.12</v>
      </c>
      <c r="K372" s="224">
        <f t="shared" si="101"/>
        <v>0</v>
      </c>
      <c r="L372" s="4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2"/>
      <c r="H373" s="52"/>
      <c r="I373" s="54"/>
      <c r="J373" s="54"/>
      <c r="K373" s="3"/>
      <c r="L373" s="46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555"/>
      <c r="B374" s="554" t="s">
        <v>153</v>
      </c>
      <c r="C374" s="553"/>
      <c r="D374" s="552"/>
      <c r="E374" s="551"/>
      <c r="F374" s="551"/>
      <c r="G374" s="550"/>
      <c r="H374" s="549" t="s">
        <v>46</v>
      </c>
      <c r="I374" s="548">
        <f ca="1">I386+I388</f>
        <v>1000</v>
      </c>
      <c r="J374" s="548">
        <f ca="1">J386+J388</f>
        <v>0</v>
      </c>
      <c r="K374" s="547">
        <f ca="1">IF(I374&gt;0,J374*100/I374,0)</f>
        <v>0</v>
      </c>
      <c r="L374" s="539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128"/>
      <c r="B375" s="158"/>
      <c r="C375" s="161" t="s">
        <v>18</v>
      </c>
      <c r="D375" s="544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471">
        <f>L376+L377</f>
        <v>0</v>
      </c>
      <c r="M375" s="470">
        <f>M376+M377</f>
        <v>0</v>
      </c>
      <c r="N375" s="470">
        <f>N376+N377</f>
        <v>0</v>
      </c>
      <c r="O375" s="470">
        <f t="shared" ref="O375:O383" si="102">IF(L375&gt;0,N375*100/L375,0)</f>
        <v>0</v>
      </c>
      <c r="P375" s="470">
        <f t="shared" ref="P375:P383" si="103">IF(M375&gt;0,N375*100/M375,0)</f>
        <v>0</v>
      </c>
      <c r="Q375" s="470">
        <f ca="1">Q376+Q377</f>
        <v>62500</v>
      </c>
      <c r="R375" s="470">
        <f ca="1">R376+R377</f>
        <v>0</v>
      </c>
      <c r="S375" s="470">
        <f ca="1">S376+S377</f>
        <v>0</v>
      </c>
      <c r="T375" s="470">
        <f t="shared" ref="T375:T383" ca="1" si="104">IF(Q375&gt;0,S375*100/Q375,0)</f>
        <v>0</v>
      </c>
      <c r="U375" s="470">
        <f t="shared" ref="U375:U383" ca="1" si="105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469">
        <f t="shared" ref="L376:N377" si="106">L379+L382</f>
        <v>0</v>
      </c>
      <c r="M376" s="83">
        <f t="shared" si="106"/>
        <v>0</v>
      </c>
      <c r="N376" s="83">
        <f t="shared" si="106"/>
        <v>0</v>
      </c>
      <c r="O376" s="83">
        <f t="shared" si="102"/>
        <v>0</v>
      </c>
      <c r="P376" s="83">
        <f t="shared" si="103"/>
        <v>0</v>
      </c>
      <c r="Q376" s="83">
        <f t="shared" ref="Q376:S377" si="107">Q379+Q382</f>
        <v>0</v>
      </c>
      <c r="R376" s="83">
        <f t="shared" si="107"/>
        <v>0</v>
      </c>
      <c r="S376" s="83">
        <f t="shared" si="107"/>
        <v>0</v>
      </c>
      <c r="T376" s="83">
        <f t="shared" si="104"/>
        <v>0</v>
      </c>
      <c r="U376" s="83">
        <f t="shared" si="105"/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468">
        <f t="shared" si="106"/>
        <v>0</v>
      </c>
      <c r="M377" s="224">
        <f t="shared" si="106"/>
        <v>0</v>
      </c>
      <c r="N377" s="224">
        <f t="shared" si="106"/>
        <v>0</v>
      </c>
      <c r="O377" s="224">
        <f t="shared" si="102"/>
        <v>0</v>
      </c>
      <c r="P377" s="224">
        <f t="shared" si="103"/>
        <v>0</v>
      </c>
      <c r="Q377" s="224">
        <f t="shared" ca="1" si="107"/>
        <v>62500</v>
      </c>
      <c r="R377" s="224">
        <f t="shared" ca="1" si="107"/>
        <v>0</v>
      </c>
      <c r="S377" s="224">
        <f t="shared" ca="1" si="107"/>
        <v>0</v>
      </c>
      <c r="T377" s="224">
        <f t="shared" ca="1" si="104"/>
        <v>0</v>
      </c>
      <c r="U377" s="224">
        <f t="shared" ca="1" si="105"/>
        <v>0</v>
      </c>
    </row>
    <row r="378" spans="1:21" ht="18.75" x14ac:dyDescent="0.25">
      <c r="A378" s="128"/>
      <c r="B378" s="158"/>
      <c r="C378" s="158"/>
      <c r="D378" s="53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468">
        <f>L379+L380</f>
        <v>0</v>
      </c>
      <c r="M378" s="224">
        <f>M379+M380</f>
        <v>0</v>
      </c>
      <c r="N378" s="224">
        <f>N379+N380</f>
        <v>0</v>
      </c>
      <c r="O378" s="224">
        <f t="shared" si="102"/>
        <v>0</v>
      </c>
      <c r="P378" s="224">
        <f t="shared" si="103"/>
        <v>0</v>
      </c>
      <c r="Q378" s="224">
        <f ca="1">Q379+Q380</f>
        <v>62500</v>
      </c>
      <c r="R378" s="224">
        <f ca="1">R379+R380</f>
        <v>0</v>
      </c>
      <c r="S378" s="224">
        <f ca="1">S379+S380</f>
        <v>0</v>
      </c>
      <c r="T378" s="224">
        <f t="shared" ca="1" si="104"/>
        <v>0</v>
      </c>
      <c r="U378" s="224">
        <f t="shared" ca="1" si="105"/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469">
        <v>0</v>
      </c>
      <c r="M379" s="83">
        <v>0</v>
      </c>
      <c r="N379" s="83">
        <v>0</v>
      </c>
      <c r="O379" s="83">
        <f t="shared" si="102"/>
        <v>0</v>
      </c>
      <c r="P379" s="83">
        <f t="shared" si="103"/>
        <v>0</v>
      </c>
      <c r="Q379" s="83">
        <v>0</v>
      </c>
      <c r="R379" s="83">
        <v>0</v>
      </c>
      <c r="S379" s="83">
        <v>0</v>
      </c>
      <c r="T379" s="83">
        <f t="shared" si="104"/>
        <v>0</v>
      </c>
      <c r="U379" s="83">
        <f t="shared" si="105"/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468">
        <v>0</v>
      </c>
      <c r="M380" s="224">
        <v>0</v>
      </c>
      <c r="N380" s="224">
        <v>0</v>
      </c>
      <c r="O380" s="224">
        <f t="shared" si="102"/>
        <v>0</v>
      </c>
      <c r="P380" s="224">
        <f t="shared" si="103"/>
        <v>0</v>
      </c>
      <c r="Q380" s="224">
        <f ca="1">IFERROR(__xludf.DUMMYFUNCTION("IMPORTRANGE(""https://docs.google.com/spreadsheets/d/1ItG2mGa2ceCfYo0BwxsXqNm01IGEUdYcSSLTEv9YCik/edit?usp=sharing"",""เบิกจ่ายกองทุน!AY24"")"),62500)</f>
        <v>62500</v>
      </c>
      <c r="R380" s="224">
        <f ca="1">IFERROR(__xludf.DUMMYFUNCTION("IMPORTRANGE(""https://docs.google.com/spreadsheets/d/1ItG2mGa2ceCfYo0BwxsXqNm01IGEUdYcSSLTEv9YCik/edit?usp=sharing"",""เบิกจ่ายกองทุน!AZ24"")"),0)</f>
        <v>0</v>
      </c>
      <c r="S380" s="224">
        <f ca="1">IFERROR(__xludf.DUMMYFUNCTION("IMPORTRANGE(""https://docs.google.com/spreadsheets/d/1ItG2mGa2ceCfYo0BwxsXqNm01IGEUdYcSSLTEv9YCik/edit?usp=sharing"",""เบิกจ่ายกองทุน!BA24"")"),0)</f>
        <v>0</v>
      </c>
      <c r="T380" s="224">
        <f t="shared" ca="1" si="104"/>
        <v>0</v>
      </c>
      <c r="U380" s="224">
        <f t="shared" ca="1" si="105"/>
        <v>0</v>
      </c>
    </row>
    <row r="381" spans="1:21" ht="18.75" x14ac:dyDescent="0.25">
      <c r="A381" s="128"/>
      <c r="B381" s="158"/>
      <c r="C381" s="158"/>
      <c r="D381" s="53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468">
        <f>L382+L383</f>
        <v>0</v>
      </c>
      <c r="M381" s="224">
        <f>M382+M383</f>
        <v>0</v>
      </c>
      <c r="N381" s="224">
        <f>N382+N383</f>
        <v>0</v>
      </c>
      <c r="O381" s="224">
        <f t="shared" si="102"/>
        <v>0</v>
      </c>
      <c r="P381" s="224">
        <f t="shared" si="103"/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 t="shared" si="104"/>
        <v>0</v>
      </c>
      <c r="U381" s="224">
        <f t="shared" si="105"/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469">
        <v>0</v>
      </c>
      <c r="M382" s="83">
        <v>0</v>
      </c>
      <c r="N382" s="83">
        <v>0</v>
      </c>
      <c r="O382" s="83">
        <f t="shared" si="102"/>
        <v>0</v>
      </c>
      <c r="P382" s="83">
        <f t="shared" si="103"/>
        <v>0</v>
      </c>
      <c r="Q382" s="83">
        <v>0</v>
      </c>
      <c r="R382" s="83">
        <v>0</v>
      </c>
      <c r="S382" s="83">
        <v>0</v>
      </c>
      <c r="T382" s="83">
        <f t="shared" si="104"/>
        <v>0</v>
      </c>
      <c r="U382" s="83">
        <f t="shared" si="105"/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468">
        <v>0</v>
      </c>
      <c r="M383" s="224">
        <v>0</v>
      </c>
      <c r="N383" s="224">
        <v>0</v>
      </c>
      <c r="O383" s="224">
        <f t="shared" si="102"/>
        <v>0</v>
      </c>
      <c r="P383" s="224">
        <f t="shared" si="103"/>
        <v>0</v>
      </c>
      <c r="Q383" s="224">
        <v>0</v>
      </c>
      <c r="R383" s="224">
        <v>0</v>
      </c>
      <c r="S383" s="224">
        <v>0</v>
      </c>
      <c r="T383" s="224">
        <f t="shared" si="104"/>
        <v>0</v>
      </c>
      <c r="U383" s="224">
        <f t="shared" si="105"/>
        <v>0</v>
      </c>
    </row>
    <row r="384" spans="1:21" ht="19.5" x14ac:dyDescent="0.3">
      <c r="A384" s="138"/>
      <c r="B384" s="139"/>
      <c r="C384" s="161" t="s">
        <v>18</v>
      </c>
      <c r="D384" s="491" t="s">
        <v>38</v>
      </c>
      <c r="E384" s="141"/>
      <c r="F384" s="141"/>
      <c r="G384" s="142"/>
      <c r="H384" s="178"/>
      <c r="I384" s="135"/>
      <c r="J384" s="44"/>
      <c r="K384" s="45"/>
      <c r="L384" s="465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IFERROR(__xludf.DUMMYFUNCTION("IMPORTRANGE(""https://docs.google.com/spreadsheets/d/1w5rwWK1o49a35cNtocGL0gxDwhFSTZUQu90BiH9_zqM/edit?usp=sharing"",""RTK!H24"")"),0)</f>
        <v>0</v>
      </c>
      <c r="K385" s="224">
        <f>IF(I385&gt;0,J385*100/I385,0)</f>
        <v>0</v>
      </c>
      <c r="L385" s="465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IFERROR(__xludf.DUMMYFUNCTION("IMPORTRANGE(""https://docs.google.com/spreadsheets/d/1w5rwWK1o49a35cNtocGL0gxDwhFSTZUQu90BiH9_zqM/edit?usp=sharing"",""RTK!G24"")"),1000)</f>
        <v>1000</v>
      </c>
      <c r="J386" s="184">
        <f ca="1">IFERROR(__xludf.DUMMYFUNCTION("IMPORTRANGE(""https://docs.google.com/spreadsheets/d/1w5rwWK1o49a35cNtocGL0gxDwhFSTZUQu90BiH9_zqM/edit?usp=sharing"",""RTK!I24"")"),0)</f>
        <v>0</v>
      </c>
      <c r="K386" s="224">
        <f ca="1">IF(I386&gt;0,J386*100/I386,0)</f>
        <v>0</v>
      </c>
      <c r="L386" s="465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58"/>
      <c r="B387" s="158"/>
      <c r="C387" s="158"/>
      <c r="D387" s="158"/>
      <c r="E387" s="546" t="s">
        <v>155</v>
      </c>
      <c r="F387" s="545"/>
      <c r="G387" s="488"/>
      <c r="H387" s="480" t="s">
        <v>34</v>
      </c>
      <c r="I387" s="487">
        <v>0</v>
      </c>
      <c r="J387" s="487">
        <f ca="1">IFERROR(__xludf.DUMMYFUNCTION("IMPORTRANGE(""https://docs.google.com/spreadsheets/d/1w5rwWK1o49a35cNtocGL0gxDwhFSTZUQu90BiH9_zqM/edit?usp=sharing"",""RTK!L24"")"),0)</f>
        <v>0</v>
      </c>
      <c r="K387" s="486">
        <f>IF(I387&gt;0,J387*100/I387,0)</f>
        <v>0</v>
      </c>
      <c r="L387" s="465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158"/>
      <c r="B388" s="158"/>
      <c r="C388" s="158"/>
      <c r="D388" s="158"/>
      <c r="E388" s="545"/>
      <c r="F388" s="545"/>
      <c r="G388" s="488"/>
      <c r="H388" s="480" t="s">
        <v>46</v>
      </c>
      <c r="I388" s="487">
        <f ca="1">IFERROR(__xludf.DUMMYFUNCTION("IMPORTRANGE(""https://docs.google.com/spreadsheets/d/1w5rwWK1o49a35cNtocGL0gxDwhFSTZUQu90BiH9_zqM/edit?usp=sharing"",""RTK!K24"")"),0)</f>
        <v>0</v>
      </c>
      <c r="J388" s="487">
        <f ca="1">IFERROR(__xludf.DUMMYFUNCTION("IMPORTRANGE(""https://docs.google.com/spreadsheets/d/1w5rwWK1o49a35cNtocGL0gxDwhFSTZUQu90BiH9_zqM/edit?usp=sharing"",""RTK!M24"")"),0)</f>
        <v>0</v>
      </c>
      <c r="K388" s="486">
        <f ca="1">IF(I388&gt;0,J388*100/I388,0)</f>
        <v>0</v>
      </c>
      <c r="L388" s="465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11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16"/>
      <c r="B390" s="316"/>
      <c r="C390" s="316"/>
      <c r="D390" s="316"/>
      <c r="E390" s="316"/>
      <c r="F390" s="316"/>
      <c r="G390" s="317"/>
      <c r="H390" s="317"/>
      <c r="I390" s="318"/>
      <c r="J390" s="318"/>
      <c r="K390" s="319"/>
      <c r="L390" s="496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hidden="1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>I402</f>
        <v>0</v>
      </c>
      <c r="J391" s="307">
        <f>J402</f>
        <v>0</v>
      </c>
      <c r="K391" s="540">
        <f>IF(I391&gt;0,J391*100/I391,0)</f>
        <v>0</v>
      </c>
      <c r="L391" s="539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hidden="1" x14ac:dyDescent="0.3">
      <c r="A392" s="128"/>
      <c r="B392" s="158"/>
      <c r="C392" s="161" t="s">
        <v>18</v>
      </c>
      <c r="D392" s="54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471">
        <f>L393+L394</f>
        <v>0</v>
      </c>
      <c r="M392" s="470">
        <f>M393+M394</f>
        <v>0</v>
      </c>
      <c r="N392" s="470">
        <f>N393+N394</f>
        <v>0</v>
      </c>
      <c r="O392" s="470">
        <f t="shared" ref="O392:O400" si="108">IF(L392&gt;0,N392*100/L392,0)</f>
        <v>0</v>
      </c>
      <c r="P392" s="470">
        <f t="shared" ref="P392:P400" si="109">IF(M392&gt;0,N392*100/M392,0)</f>
        <v>0</v>
      </c>
      <c r="Q392" s="470">
        <f>Q393+Q394</f>
        <v>0</v>
      </c>
      <c r="R392" s="470">
        <f>R393+R394</f>
        <v>0</v>
      </c>
      <c r="S392" s="470">
        <f>S393+S394</f>
        <v>0</v>
      </c>
      <c r="T392" s="470">
        <f t="shared" ref="T392:T400" si="110">IF(Q392&gt;0,S392*100/Q392,0)</f>
        <v>0</v>
      </c>
      <c r="U392" s="470">
        <f t="shared" ref="U392:U400" si="11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469">
        <f t="shared" ref="L393:N394" si="112">L396+L399</f>
        <v>0</v>
      </c>
      <c r="M393" s="83">
        <f t="shared" si="112"/>
        <v>0</v>
      </c>
      <c r="N393" s="83">
        <f t="shared" si="112"/>
        <v>0</v>
      </c>
      <c r="O393" s="83">
        <f t="shared" si="108"/>
        <v>0</v>
      </c>
      <c r="P393" s="83">
        <f t="shared" si="109"/>
        <v>0</v>
      </c>
      <c r="Q393" s="83">
        <f t="shared" ref="Q393:S394" si="113">Q396+Q399</f>
        <v>0</v>
      </c>
      <c r="R393" s="83">
        <f t="shared" si="113"/>
        <v>0</v>
      </c>
      <c r="S393" s="83">
        <f t="shared" si="113"/>
        <v>0</v>
      </c>
      <c r="T393" s="83">
        <f t="shared" si="110"/>
        <v>0</v>
      </c>
      <c r="U393" s="83">
        <f t="shared" si="111"/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468">
        <f t="shared" si="112"/>
        <v>0</v>
      </c>
      <c r="M394" s="224">
        <f t="shared" si="112"/>
        <v>0</v>
      </c>
      <c r="N394" s="224">
        <f t="shared" si="112"/>
        <v>0</v>
      </c>
      <c r="O394" s="224">
        <f t="shared" si="108"/>
        <v>0</v>
      </c>
      <c r="P394" s="224">
        <f t="shared" si="109"/>
        <v>0</v>
      </c>
      <c r="Q394" s="224">
        <f t="shared" si="113"/>
        <v>0</v>
      </c>
      <c r="R394" s="224">
        <f t="shared" si="113"/>
        <v>0</v>
      </c>
      <c r="S394" s="224">
        <f t="shared" si="113"/>
        <v>0</v>
      </c>
      <c r="T394" s="224">
        <f t="shared" si="110"/>
        <v>0</v>
      </c>
      <c r="U394" s="224">
        <f t="shared" si="111"/>
        <v>0</v>
      </c>
    </row>
    <row r="395" spans="1:21" ht="18.75" hidden="1" x14ac:dyDescent="0.25">
      <c r="A395" s="128"/>
      <c r="B395" s="158"/>
      <c r="C395" s="158"/>
      <c r="D395" s="53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468">
        <f>L396+L397</f>
        <v>0</v>
      </c>
      <c r="M395" s="224">
        <f>M396+M397</f>
        <v>0</v>
      </c>
      <c r="N395" s="224">
        <f>N396+N397</f>
        <v>0</v>
      </c>
      <c r="O395" s="224">
        <f t="shared" si="108"/>
        <v>0</v>
      </c>
      <c r="P395" s="224">
        <f t="shared" si="109"/>
        <v>0</v>
      </c>
      <c r="Q395" s="224">
        <f>Q396+Q397</f>
        <v>0</v>
      </c>
      <c r="R395" s="224">
        <f>R396+R397</f>
        <v>0</v>
      </c>
      <c r="S395" s="224">
        <f>S396+S397</f>
        <v>0</v>
      </c>
      <c r="T395" s="224">
        <f t="shared" si="110"/>
        <v>0</v>
      </c>
      <c r="U395" s="224">
        <f t="shared" si="111"/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469">
        <v>0</v>
      </c>
      <c r="M396" s="83">
        <v>0</v>
      </c>
      <c r="N396" s="83">
        <v>0</v>
      </c>
      <c r="O396" s="83">
        <f t="shared" si="108"/>
        <v>0</v>
      </c>
      <c r="P396" s="83">
        <f t="shared" si="109"/>
        <v>0</v>
      </c>
      <c r="Q396" s="83">
        <v>0</v>
      </c>
      <c r="R396" s="83">
        <v>0</v>
      </c>
      <c r="S396" s="83">
        <v>0</v>
      </c>
      <c r="T396" s="83">
        <f t="shared" si="110"/>
        <v>0</v>
      </c>
      <c r="U396" s="83">
        <f t="shared" si="111"/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468">
        <v>0</v>
      </c>
      <c r="M397" s="224">
        <v>0</v>
      </c>
      <c r="N397" s="224">
        <v>0</v>
      </c>
      <c r="O397" s="224">
        <f t="shared" si="108"/>
        <v>0</v>
      </c>
      <c r="P397" s="224">
        <f t="shared" si="109"/>
        <v>0</v>
      </c>
      <c r="Q397" s="224">
        <v>0</v>
      </c>
      <c r="R397" s="224">
        <v>0</v>
      </c>
      <c r="S397" s="224">
        <v>0</v>
      </c>
      <c r="T397" s="224">
        <f t="shared" si="110"/>
        <v>0</v>
      </c>
      <c r="U397" s="224">
        <f t="shared" si="111"/>
        <v>0</v>
      </c>
    </row>
    <row r="398" spans="1:21" ht="18.75" hidden="1" x14ac:dyDescent="0.25">
      <c r="A398" s="128"/>
      <c r="B398" s="158"/>
      <c r="C398" s="158"/>
      <c r="D398" s="53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468">
        <f>L399+L400</f>
        <v>0</v>
      </c>
      <c r="M398" s="224">
        <f>M399+M400</f>
        <v>0</v>
      </c>
      <c r="N398" s="224">
        <f>N399+N400</f>
        <v>0</v>
      </c>
      <c r="O398" s="224">
        <f t="shared" si="108"/>
        <v>0</v>
      </c>
      <c r="P398" s="224">
        <f t="shared" si="109"/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 t="shared" si="110"/>
        <v>0</v>
      </c>
      <c r="U398" s="224">
        <f t="shared" si="111"/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469">
        <v>0</v>
      </c>
      <c r="M399" s="83">
        <v>0</v>
      </c>
      <c r="N399" s="83">
        <v>0</v>
      </c>
      <c r="O399" s="83">
        <f t="shared" si="108"/>
        <v>0</v>
      </c>
      <c r="P399" s="83">
        <f t="shared" si="109"/>
        <v>0</v>
      </c>
      <c r="Q399" s="83">
        <v>0</v>
      </c>
      <c r="R399" s="83">
        <v>0</v>
      </c>
      <c r="S399" s="83">
        <v>0</v>
      </c>
      <c r="T399" s="83">
        <f t="shared" si="110"/>
        <v>0</v>
      </c>
      <c r="U399" s="83">
        <f t="shared" si="111"/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468">
        <v>0</v>
      </c>
      <c r="M400" s="224">
        <v>0</v>
      </c>
      <c r="N400" s="224">
        <v>0</v>
      </c>
      <c r="O400" s="224">
        <f t="shared" si="108"/>
        <v>0</v>
      </c>
      <c r="P400" s="224">
        <f t="shared" si="109"/>
        <v>0</v>
      </c>
      <c r="Q400" s="224">
        <v>0</v>
      </c>
      <c r="R400" s="224">
        <v>0</v>
      </c>
      <c r="S400" s="224">
        <v>0</v>
      </c>
      <c r="T400" s="224">
        <f t="shared" si="110"/>
        <v>0</v>
      </c>
      <c r="U400" s="224">
        <f t="shared" si="111"/>
        <v>0</v>
      </c>
    </row>
    <row r="401" spans="1:21" ht="19.5" hidden="1" x14ac:dyDescent="0.3">
      <c r="A401" s="138"/>
      <c r="B401" s="139"/>
      <c r="C401" s="161" t="s">
        <v>18</v>
      </c>
      <c r="D401" s="491" t="s">
        <v>38</v>
      </c>
      <c r="E401" s="141"/>
      <c r="F401" s="141"/>
      <c r="G401" s="142"/>
      <c r="H401" s="178"/>
      <c r="I401" s="135"/>
      <c r="J401" s="44"/>
      <c r="K401" s="45"/>
      <c r="L401" s="465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11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11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11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11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11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11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11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11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11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496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hidden="1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541">
        <f ca="1">I423</f>
        <v>0</v>
      </c>
      <c r="J412" s="541">
        <f>J423</f>
        <v>0</v>
      </c>
      <c r="K412" s="540">
        <f ca="1">IF(I412&gt;0,J412*100/I412,0)</f>
        <v>0</v>
      </c>
      <c r="L412" s="539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hidden="1" x14ac:dyDescent="0.3">
      <c r="A413" s="128"/>
      <c r="B413" s="158"/>
      <c r="C413" s="322" t="s">
        <v>18</v>
      </c>
      <c r="D413" s="819" t="s">
        <v>19</v>
      </c>
      <c r="E413" s="800"/>
      <c r="F413" s="800"/>
      <c r="G413" s="801"/>
      <c r="H413" s="323" t="s">
        <v>14</v>
      </c>
      <c r="I413" s="44"/>
      <c r="J413" s="44"/>
      <c r="K413" s="45"/>
      <c r="L413" s="471">
        <f>L414+L415</f>
        <v>0</v>
      </c>
      <c r="M413" s="470">
        <f>M414+M415</f>
        <v>0</v>
      </c>
      <c r="N413" s="470">
        <f>N414+N415</f>
        <v>0</v>
      </c>
      <c r="O413" s="470">
        <f t="shared" ref="O413:O421" si="114">IF(L413&gt;0,N413*100/L413,0)</f>
        <v>0</v>
      </c>
      <c r="P413" s="470">
        <f t="shared" ref="P413:P421" si="115">IF(M413&gt;0,N413*100/M413,0)</f>
        <v>0</v>
      </c>
      <c r="Q413" s="470">
        <f ca="1">Q414+Q415</f>
        <v>0</v>
      </c>
      <c r="R413" s="470">
        <f ca="1">R414+R415</f>
        <v>0</v>
      </c>
      <c r="S413" s="470">
        <f ca="1">S414+S415</f>
        <v>0</v>
      </c>
      <c r="T413" s="470">
        <f t="shared" ref="T413:T421" ca="1" si="116">IF(Q413&gt;0,S413*100/Q413,0)</f>
        <v>0</v>
      </c>
      <c r="U413" s="470">
        <f t="shared" ref="U413:U421" ca="1" si="117">IF(R413&gt;0,S413*100/R413,0)</f>
        <v>0</v>
      </c>
    </row>
    <row r="414" spans="1:21" ht="18.75" hidden="1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469">
        <f t="shared" ref="L414:N415" si="118">L417+L420</f>
        <v>0</v>
      </c>
      <c r="M414" s="83">
        <f t="shared" si="118"/>
        <v>0</v>
      </c>
      <c r="N414" s="83">
        <f t="shared" si="118"/>
        <v>0</v>
      </c>
      <c r="O414" s="83">
        <f t="shared" si="114"/>
        <v>0</v>
      </c>
      <c r="P414" s="83">
        <f t="shared" si="115"/>
        <v>0</v>
      </c>
      <c r="Q414" s="83">
        <f t="shared" ref="Q414:S415" si="119">Q417+Q420</f>
        <v>0</v>
      </c>
      <c r="R414" s="83">
        <f t="shared" si="119"/>
        <v>0</v>
      </c>
      <c r="S414" s="83">
        <f t="shared" si="119"/>
        <v>0</v>
      </c>
      <c r="T414" s="83">
        <f t="shared" si="116"/>
        <v>0</v>
      </c>
      <c r="U414" s="83">
        <f t="shared" si="117"/>
        <v>0</v>
      </c>
    </row>
    <row r="415" spans="1:21" ht="18.75" hidden="1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468">
        <f t="shared" si="118"/>
        <v>0</v>
      </c>
      <c r="M415" s="224">
        <f t="shared" si="118"/>
        <v>0</v>
      </c>
      <c r="N415" s="224">
        <f t="shared" si="118"/>
        <v>0</v>
      </c>
      <c r="O415" s="224">
        <f t="shared" si="114"/>
        <v>0</v>
      </c>
      <c r="P415" s="224">
        <f t="shared" si="115"/>
        <v>0</v>
      </c>
      <c r="Q415" s="224">
        <f t="shared" ca="1" si="119"/>
        <v>0</v>
      </c>
      <c r="R415" s="224">
        <f t="shared" ca="1" si="119"/>
        <v>0</v>
      </c>
      <c r="S415" s="224">
        <f t="shared" ca="1" si="119"/>
        <v>0</v>
      </c>
      <c r="T415" s="224">
        <f t="shared" ca="1" si="116"/>
        <v>0</v>
      </c>
      <c r="U415" s="224">
        <f t="shared" ca="1" si="117"/>
        <v>0</v>
      </c>
    </row>
    <row r="416" spans="1:21" ht="19.5" hidden="1" x14ac:dyDescent="0.3">
      <c r="A416" s="128"/>
      <c r="B416" s="158"/>
      <c r="C416" s="158"/>
      <c r="D416" s="54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468">
        <f>L417+L418</f>
        <v>0</v>
      </c>
      <c r="M416" s="224">
        <f>M417+M418</f>
        <v>0</v>
      </c>
      <c r="N416" s="224">
        <f>N417+N418</f>
        <v>0</v>
      </c>
      <c r="O416" s="224">
        <f t="shared" si="114"/>
        <v>0</v>
      </c>
      <c r="P416" s="224">
        <f t="shared" si="115"/>
        <v>0</v>
      </c>
      <c r="Q416" s="224">
        <f ca="1">Q417+Q418</f>
        <v>0</v>
      </c>
      <c r="R416" s="224">
        <f ca="1">R417+R418</f>
        <v>0</v>
      </c>
      <c r="S416" s="224">
        <f ca="1">S417+S418</f>
        <v>0</v>
      </c>
      <c r="T416" s="224">
        <f t="shared" ca="1" si="116"/>
        <v>0</v>
      </c>
      <c r="U416" s="224">
        <f t="shared" ca="1" si="117"/>
        <v>0</v>
      </c>
    </row>
    <row r="417" spans="1:21" ht="18.75" hidden="1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469">
        <v>0</v>
      </c>
      <c r="M417" s="83">
        <v>0</v>
      </c>
      <c r="N417" s="83">
        <v>0</v>
      </c>
      <c r="O417" s="83">
        <f t="shared" si="114"/>
        <v>0</v>
      </c>
      <c r="P417" s="83">
        <f t="shared" si="115"/>
        <v>0</v>
      </c>
      <c r="Q417" s="83">
        <v>0</v>
      </c>
      <c r="R417" s="83">
        <v>0</v>
      </c>
      <c r="S417" s="83">
        <v>0</v>
      </c>
      <c r="T417" s="83">
        <f t="shared" si="116"/>
        <v>0</v>
      </c>
      <c r="U417" s="83">
        <f t="shared" si="117"/>
        <v>0</v>
      </c>
    </row>
    <row r="418" spans="1:21" ht="18.75" hidden="1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468">
        <v>0</v>
      </c>
      <c r="M418" s="224">
        <v>0</v>
      </c>
      <c r="N418" s="224">
        <v>0</v>
      </c>
      <c r="O418" s="224">
        <f t="shared" si="114"/>
        <v>0</v>
      </c>
      <c r="P418" s="224">
        <f t="shared" si="115"/>
        <v>0</v>
      </c>
      <c r="Q418" s="224">
        <f ca="1">IFERROR(__xludf.DUMMYFUNCTION("IMPORTRANGE(""https://docs.google.com/spreadsheets/d/1ItG2mGa2ceCfYo0BwxsXqNm01IGEUdYcSSLTEv9YCik/edit?usp=sharing"",""เบิกจ่ายกองทุน!BH24"")"),0)</f>
        <v>0</v>
      </c>
      <c r="R418" s="224">
        <f ca="1">IFERROR(__xludf.DUMMYFUNCTION("IMPORTRANGE(""https://docs.google.com/spreadsheets/d/1ItG2mGa2ceCfYo0BwxsXqNm01IGEUdYcSSLTEv9YCik/edit?usp=sharing"",""เบิกจ่ายกองทุน!BI24"")"),0)</f>
        <v>0</v>
      </c>
      <c r="S418" s="224">
        <f ca="1">IFERROR(__xludf.DUMMYFUNCTION("IMPORTRANGE(""https://docs.google.com/spreadsheets/d/1ItG2mGa2ceCfYo0BwxsXqNm01IGEUdYcSSLTEv9YCik/edit?usp=sharing"",""เบิกจ่ายกองทุน!BJ24"")"),0)</f>
        <v>0</v>
      </c>
      <c r="T418" s="224">
        <f t="shared" ca="1" si="116"/>
        <v>0</v>
      </c>
      <c r="U418" s="224">
        <f t="shared" ca="1" si="117"/>
        <v>0</v>
      </c>
    </row>
    <row r="419" spans="1:21" ht="19.5" hidden="1" x14ac:dyDescent="0.3">
      <c r="A419" s="128"/>
      <c r="B419" s="158"/>
      <c r="C419" s="158"/>
      <c r="D419" s="54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468">
        <f>L420+L421</f>
        <v>0</v>
      </c>
      <c r="M419" s="224">
        <f>M420+M421</f>
        <v>0</v>
      </c>
      <c r="N419" s="224">
        <f>N420+N421</f>
        <v>0</v>
      </c>
      <c r="O419" s="224">
        <f t="shared" si="114"/>
        <v>0</v>
      </c>
      <c r="P419" s="224">
        <f t="shared" si="115"/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 t="shared" si="116"/>
        <v>0</v>
      </c>
      <c r="U419" s="224">
        <f t="shared" si="117"/>
        <v>0</v>
      </c>
    </row>
    <row r="420" spans="1:21" ht="18.75" hidden="1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469">
        <v>0</v>
      </c>
      <c r="M420" s="83">
        <v>0</v>
      </c>
      <c r="N420" s="83">
        <v>0</v>
      </c>
      <c r="O420" s="83">
        <f t="shared" si="114"/>
        <v>0</v>
      </c>
      <c r="P420" s="83">
        <f t="shared" si="115"/>
        <v>0</v>
      </c>
      <c r="Q420" s="83">
        <v>0</v>
      </c>
      <c r="R420" s="83">
        <v>0</v>
      </c>
      <c r="S420" s="83">
        <v>0</v>
      </c>
      <c r="T420" s="83">
        <f t="shared" si="116"/>
        <v>0</v>
      </c>
      <c r="U420" s="83">
        <f t="shared" si="117"/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468">
        <v>0</v>
      </c>
      <c r="M421" s="224">
        <v>0</v>
      </c>
      <c r="N421" s="224">
        <v>0</v>
      </c>
      <c r="O421" s="224">
        <f t="shared" si="114"/>
        <v>0</v>
      </c>
      <c r="P421" s="224">
        <f t="shared" si="115"/>
        <v>0</v>
      </c>
      <c r="Q421" s="224">
        <v>0</v>
      </c>
      <c r="R421" s="224">
        <v>0</v>
      </c>
      <c r="S421" s="224">
        <v>0</v>
      </c>
      <c r="T421" s="224">
        <f t="shared" si="116"/>
        <v>0</v>
      </c>
      <c r="U421" s="224">
        <f t="shared" si="117"/>
        <v>0</v>
      </c>
    </row>
    <row r="422" spans="1:21" ht="19.5" hidden="1" x14ac:dyDescent="0.3">
      <c r="A422" s="208"/>
      <c r="B422" s="158"/>
      <c r="C422" s="322" t="s">
        <v>18</v>
      </c>
      <c r="D422" s="543" t="s">
        <v>38</v>
      </c>
      <c r="E422" s="158"/>
      <c r="F422" s="158"/>
      <c r="G422" s="180"/>
      <c r="H422" s="180"/>
      <c r="I422" s="44"/>
      <c r="J422" s="44"/>
      <c r="K422" s="45"/>
      <c r="L422" s="465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ca="1">I440</f>
        <v>0</v>
      </c>
      <c r="J423" s="328">
        <f>J440</f>
        <v>0</v>
      </c>
      <c r="K423" s="470">
        <f ca="1">IF(I423&gt;0,J423*100/I423,0)</f>
        <v>0</v>
      </c>
      <c r="L423" s="465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IFERROR(__xludf.DUMMYFUNCTION("IMPORTRANGE(""https://docs.google.com/spreadsheets/d/1eHaY18a8A9IcSdp1K8H6x8fbOy06t2VsZHhMHf-1x7Y/edit?usp=sharing"",""แผน!HJ24"")"),0)</f>
        <v>0</v>
      </c>
      <c r="J424" s="328">
        <f>J426+J428+J430</f>
        <v>0</v>
      </c>
      <c r="K424" s="470">
        <f ca="1">IF(I424&gt;0,J424*100/I424,0)</f>
        <v>0</v>
      </c>
      <c r="L424" s="465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IFERROR(__xludf.DUMMYFUNCTION("IMPORTRANGE(""https://docs.google.com/spreadsheets/d/1eHaY18a8A9IcSdp1K8H6x8fbOy06t2VsZHhMHf-1x7Y/edit?usp=sharing"",""แผน!HK24"")"),0)</f>
        <v>0</v>
      </c>
      <c r="J425" s="328">
        <f>J427+J429+J431</f>
        <v>0</v>
      </c>
      <c r="K425" s="470">
        <f ca="1">IF(I425&gt;0,J425*100/I425,0)</f>
        <v>0</v>
      </c>
      <c r="L425" s="465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465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465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465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465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465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465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IFERROR(__xludf.DUMMYFUNCTION("IMPORTRANGE(""https://docs.google.com/spreadsheets/d/1eHaY18a8A9IcSdp1K8H6x8fbOy06t2VsZHhMHf-1x7Y/edit?usp=sharing"",""แผน!HJ24"")"),0)</f>
        <v>0</v>
      </c>
      <c r="J432" s="328">
        <f>J434+J436+J438</f>
        <v>0</v>
      </c>
      <c r="K432" s="470">
        <f ca="1">IF(I432&gt;0,J432*100/I432,0)</f>
        <v>0</v>
      </c>
      <c r="L432" s="465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IFERROR(__xludf.DUMMYFUNCTION("IMPORTRANGE(""https://docs.google.com/spreadsheets/d/1eHaY18a8A9IcSdp1K8H6x8fbOy06t2VsZHhMHf-1x7Y/edit?usp=sharing"",""แผน!HK24"")"),0)</f>
        <v>0</v>
      </c>
      <c r="J433" s="328">
        <f>J435+J437+J439</f>
        <v>0</v>
      </c>
      <c r="K433" s="470">
        <f ca="1">IF(I433&gt;0,J433*100/I433,0)</f>
        <v>0</v>
      </c>
      <c r="L433" s="465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465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465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465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465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465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465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IFERROR(__xludf.DUMMYFUNCTION("IMPORTRANGE(""https://docs.google.com/spreadsheets/d/1eHaY18a8A9IcSdp1K8H6x8fbOy06t2VsZHhMHf-1x7Y/edit?usp=sharing"",""แผน!HJ24"")"),0)</f>
        <v>0</v>
      </c>
      <c r="J440" s="328">
        <f>J442+J444+J446+J452+J454</f>
        <v>0</v>
      </c>
      <c r="K440" s="470">
        <f ca="1">IF(I440&gt;0,J440*100/I440,0)</f>
        <v>0</v>
      </c>
      <c r="L440" s="465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IFERROR(__xludf.DUMMYFUNCTION("IMPORTRANGE(""https://docs.google.com/spreadsheets/d/1eHaY18a8A9IcSdp1K8H6x8fbOy06t2VsZHhMHf-1x7Y/edit?usp=sharing"",""แผน!HK24"")"),0)</f>
        <v>0</v>
      </c>
      <c r="J441" s="328">
        <f>J443+J445+J447+J453+J455</f>
        <v>0</v>
      </c>
      <c r="K441" s="470">
        <f ca="1">IF(I441&gt;0,J441*100/I441,0)</f>
        <v>0</v>
      </c>
      <c r="L441" s="465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465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465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465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465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>J448+J450</f>
        <v>0</v>
      </c>
      <c r="K446" s="45"/>
      <c r="L446" s="465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>J449+J451</f>
        <v>0</v>
      </c>
      <c r="K447" s="45"/>
      <c r="L447" s="465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465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465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465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465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465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465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542"/>
      <c r="K454" s="45"/>
      <c r="L454" s="465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465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hidden="1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ca="1">I457</f>
        <v>0</v>
      </c>
      <c r="J456" s="328">
        <f>J457</f>
        <v>0</v>
      </c>
      <c r="K456" s="470">
        <f ca="1">IF(I456&gt;0,J456*100/I456,0)</f>
        <v>0</v>
      </c>
      <c r="L456" s="465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IFERROR(__xludf.DUMMYFUNCTION("IMPORTRANGE(""https://docs.google.com/spreadsheets/d/1eHaY18a8A9IcSdp1K8H6x8fbOy06t2VsZHhMHf-1x7Y/edit?usp=sharing"",""แผน!HL24"")"),0)</f>
        <v>0</v>
      </c>
      <c r="J457" s="328">
        <f>J459+J467+J473</f>
        <v>0</v>
      </c>
      <c r="K457" s="470">
        <f ca="1">IF(I457&gt;0,J457*100/I457,0)</f>
        <v>0</v>
      </c>
      <c r="L457" s="465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IFERROR(__xludf.DUMMYFUNCTION("IMPORTRANGE(""https://docs.google.com/spreadsheets/d/1eHaY18a8A9IcSdp1K8H6x8fbOy06t2VsZHhMHf-1x7Y/edit?usp=sharing"",""แผน!HM24"")"),0)</f>
        <v>0</v>
      </c>
      <c r="J458" s="328">
        <f>J460+J468+J474</f>
        <v>0</v>
      </c>
      <c r="K458" s="470">
        <f ca="1">IF(I458&gt;0,J458*100/I458,0)</f>
        <v>0</v>
      </c>
      <c r="L458" s="465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hidden="1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>J461+J463</f>
        <v>0</v>
      </c>
      <c r="K459" s="45"/>
      <c r="L459" s="465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>J462+J464</f>
        <v>0</v>
      </c>
      <c r="K460" s="45"/>
      <c r="L460" s="465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465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465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465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465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465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465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>J469+J471</f>
        <v>0</v>
      </c>
      <c r="K467" s="45"/>
      <c r="L467" s="465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>J470+J472</f>
        <v>0</v>
      </c>
      <c r="K468" s="45"/>
      <c r="L468" s="465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465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465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465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465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465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465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470">
        <f>IF(I475&gt;0,J475*100/I475,0)</f>
        <v>0</v>
      </c>
      <c r="L475" s="465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>J478+J480</f>
        <v>0</v>
      </c>
      <c r="K476" s="470">
        <f>IF(I476&gt;0,J476*100/I476,0)</f>
        <v>0</v>
      </c>
      <c r="L476" s="465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>J479+J481</f>
        <v>0</v>
      </c>
      <c r="K477" s="470">
        <f>IF(I477&gt;0,J477*100/I477,0)</f>
        <v>0</v>
      </c>
      <c r="L477" s="465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hidden="1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465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465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465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465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IFERROR(__xludf.DUMMYFUNCTION("IMPORTRANGE(""https://docs.google.com/spreadsheets/d/1eHaY18a8A9IcSdp1K8H6x8fbOy06t2VsZHhMHf-1x7Y/edit?usp=sharing"",""แผน!HN24"")"),0)</f>
        <v>0</v>
      </c>
      <c r="K482" s="45"/>
      <c r="L482" s="465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IFERROR(__xludf.DUMMYFUNCTION("IMPORTRANGE(""https://docs.google.com/spreadsheets/d/1eHaY18a8A9IcSdp1K8H6x8fbOy06t2VsZHhMHf-1x7Y/edit?usp=sharing"",""แผน!HO24"")"),0)</f>
        <v>0</v>
      </c>
      <c r="K483" s="45"/>
      <c r="L483" s="465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>J480</f>
        <v>0</v>
      </c>
      <c r="J484" s="328">
        <f>J486+J488+J490</f>
        <v>0</v>
      </c>
      <c r="K484" s="470">
        <f>IF(I484&gt;0,J484*100/I484,0)</f>
        <v>0</v>
      </c>
      <c r="L484" s="465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>J481</f>
        <v>0</v>
      </c>
      <c r="J485" s="328">
        <f>J487+J489+J491</f>
        <v>0</v>
      </c>
      <c r="K485" s="470">
        <f>IF(I485&gt;0,J485*100/I485,0)</f>
        <v>0</v>
      </c>
      <c r="L485" s="465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hidden="1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465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465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465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465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465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46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541">
        <f ca="1">I503</f>
        <v>0</v>
      </c>
      <c r="J492" s="541">
        <f ca="1">J503</f>
        <v>0</v>
      </c>
      <c r="K492" s="540">
        <f ca="1">IF(I492&gt;0,J492*100/I492,0)</f>
        <v>0</v>
      </c>
      <c r="L492" s="539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hidden="1" x14ac:dyDescent="0.3">
      <c r="A493" s="128"/>
      <c r="B493" s="158"/>
      <c r="C493" s="177" t="s">
        <v>18</v>
      </c>
      <c r="D493" s="819" t="s">
        <v>19</v>
      </c>
      <c r="E493" s="800"/>
      <c r="F493" s="800"/>
      <c r="G493" s="42"/>
      <c r="H493" s="221" t="s">
        <v>14</v>
      </c>
      <c r="I493" s="44"/>
      <c r="J493" s="44"/>
      <c r="K493" s="45"/>
      <c r="L493" s="471">
        <f>L494+L495</f>
        <v>0</v>
      </c>
      <c r="M493" s="470">
        <f>M494+M495</f>
        <v>0</v>
      </c>
      <c r="N493" s="470">
        <f>N494+N495</f>
        <v>0</v>
      </c>
      <c r="O493" s="470">
        <f t="shared" ref="O493:O501" si="120">IF(L493&gt;0,N493*100/L493,0)</f>
        <v>0</v>
      </c>
      <c r="P493" s="470">
        <f t="shared" ref="P493:P501" si="121">IF(M493&gt;0,N493*100/M493,0)</f>
        <v>0</v>
      </c>
      <c r="Q493" s="470">
        <f ca="1">Q494+Q495</f>
        <v>0</v>
      </c>
      <c r="R493" s="470">
        <f ca="1">R494+R495</f>
        <v>0</v>
      </c>
      <c r="S493" s="470">
        <f ca="1">S494+S495</f>
        <v>0</v>
      </c>
      <c r="T493" s="470">
        <f t="shared" ref="T493:T501" ca="1" si="122">IF(Q493&gt;0,S493*100/Q493,0)</f>
        <v>0</v>
      </c>
      <c r="U493" s="470">
        <f t="shared" ref="U493:U501" ca="1" si="123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469">
        <f t="shared" ref="L494:N495" si="124">L497+L500</f>
        <v>0</v>
      </c>
      <c r="M494" s="83">
        <f t="shared" si="124"/>
        <v>0</v>
      </c>
      <c r="N494" s="83">
        <f t="shared" si="124"/>
        <v>0</v>
      </c>
      <c r="O494" s="83">
        <f t="shared" si="120"/>
        <v>0</v>
      </c>
      <c r="P494" s="83">
        <f t="shared" si="121"/>
        <v>0</v>
      </c>
      <c r="Q494" s="83">
        <f t="shared" ref="Q494:S495" si="125">Q497+Q500</f>
        <v>0</v>
      </c>
      <c r="R494" s="83">
        <f t="shared" si="125"/>
        <v>0</v>
      </c>
      <c r="S494" s="83">
        <f t="shared" si="125"/>
        <v>0</v>
      </c>
      <c r="T494" s="83">
        <f t="shared" si="122"/>
        <v>0</v>
      </c>
      <c r="U494" s="83">
        <f t="shared" si="123"/>
        <v>0</v>
      </c>
    </row>
    <row r="495" spans="1:21" ht="18.75" hidden="1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468">
        <f t="shared" si="124"/>
        <v>0</v>
      </c>
      <c r="M495" s="224">
        <f t="shared" si="124"/>
        <v>0</v>
      </c>
      <c r="N495" s="224">
        <f t="shared" si="124"/>
        <v>0</v>
      </c>
      <c r="O495" s="224">
        <f t="shared" si="120"/>
        <v>0</v>
      </c>
      <c r="P495" s="224">
        <f t="shared" si="121"/>
        <v>0</v>
      </c>
      <c r="Q495" s="224">
        <f t="shared" ca="1" si="125"/>
        <v>0</v>
      </c>
      <c r="R495" s="224">
        <f t="shared" ca="1" si="125"/>
        <v>0</v>
      </c>
      <c r="S495" s="224">
        <f t="shared" ca="1" si="125"/>
        <v>0</v>
      </c>
      <c r="T495" s="224">
        <f t="shared" ca="1" si="122"/>
        <v>0</v>
      </c>
      <c r="U495" s="224">
        <f t="shared" ca="1" si="123"/>
        <v>0</v>
      </c>
    </row>
    <row r="496" spans="1:21" ht="18.75" hidden="1" x14ac:dyDescent="0.25">
      <c r="A496" s="128"/>
      <c r="B496" s="158"/>
      <c r="C496" s="158"/>
      <c r="D496" s="53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468">
        <f>L497+L498</f>
        <v>0</v>
      </c>
      <c r="M496" s="224">
        <f>M497+M498</f>
        <v>0</v>
      </c>
      <c r="N496" s="224">
        <f>N497+N498</f>
        <v>0</v>
      </c>
      <c r="O496" s="224">
        <f t="shared" si="120"/>
        <v>0</v>
      </c>
      <c r="P496" s="224">
        <f t="shared" si="121"/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t="shared" ca="1" si="122"/>
        <v>0</v>
      </c>
      <c r="U496" s="224">
        <f t="shared" ca="1" si="123"/>
        <v>0</v>
      </c>
    </row>
    <row r="497" spans="1:21" ht="18.75" hidden="1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469">
        <v>0</v>
      </c>
      <c r="M497" s="83">
        <v>0</v>
      </c>
      <c r="N497" s="83">
        <v>0</v>
      </c>
      <c r="O497" s="83">
        <f t="shared" si="120"/>
        <v>0</v>
      </c>
      <c r="P497" s="83">
        <f t="shared" si="121"/>
        <v>0</v>
      </c>
      <c r="Q497" s="83">
        <v>0</v>
      </c>
      <c r="R497" s="83">
        <v>0</v>
      </c>
      <c r="S497" s="83">
        <v>0</v>
      </c>
      <c r="T497" s="83">
        <f t="shared" si="122"/>
        <v>0</v>
      </c>
      <c r="U497" s="83">
        <f t="shared" si="123"/>
        <v>0</v>
      </c>
    </row>
    <row r="498" spans="1:21" ht="18.75" hidden="1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468">
        <v>0</v>
      </c>
      <c r="M498" s="224">
        <v>0</v>
      </c>
      <c r="N498" s="224">
        <v>0</v>
      </c>
      <c r="O498" s="224">
        <f t="shared" si="120"/>
        <v>0</v>
      </c>
      <c r="P498" s="224">
        <f t="shared" si="121"/>
        <v>0</v>
      </c>
      <c r="Q498" s="224">
        <f ca="1">IFERROR(__xludf.DUMMYFUNCTION("IMPORTRANGE(""https://docs.google.com/spreadsheets/d/1ItG2mGa2ceCfYo0BwxsXqNm01IGEUdYcSSLTEv9YCik/edit?usp=sharing"",""เบิกจ่ายกองทุน!X24"")"),0)</f>
        <v>0</v>
      </c>
      <c r="R498" s="224">
        <f ca="1">IFERROR(__xludf.DUMMYFUNCTION("IMPORTRANGE(""https://docs.google.com/spreadsheets/d/1ItG2mGa2ceCfYo0BwxsXqNm01IGEUdYcSSLTEv9YCik/edit?usp=sharing"",""เบิกจ่ายกองทุน!Y24"")"),0)</f>
        <v>0</v>
      </c>
      <c r="S498" s="224">
        <f ca="1">IFERROR(__xludf.DUMMYFUNCTION("IMPORTRANGE(""https://docs.google.com/spreadsheets/d/1ItG2mGa2ceCfYo0BwxsXqNm01IGEUdYcSSLTEv9YCik/edit?usp=sharing"",""เบิกจ่ายกองทุน!Z24"")"),0)</f>
        <v>0</v>
      </c>
      <c r="T498" s="224">
        <f t="shared" ca="1" si="122"/>
        <v>0</v>
      </c>
      <c r="U498" s="224">
        <f t="shared" ca="1" si="123"/>
        <v>0</v>
      </c>
    </row>
    <row r="499" spans="1:21" ht="18.75" hidden="1" x14ac:dyDescent="0.25">
      <c r="A499" s="128"/>
      <c r="B499" s="158"/>
      <c r="C499" s="158"/>
      <c r="D499" s="53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468">
        <f>L500+L501</f>
        <v>0</v>
      </c>
      <c r="M499" s="224">
        <f>M500+M501</f>
        <v>0</v>
      </c>
      <c r="N499" s="224">
        <f>N500+N501</f>
        <v>0</v>
      </c>
      <c r="O499" s="224">
        <f t="shared" si="120"/>
        <v>0</v>
      </c>
      <c r="P499" s="224">
        <f t="shared" si="121"/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 t="shared" si="122"/>
        <v>0</v>
      </c>
      <c r="U499" s="224">
        <f t="shared" si="123"/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469">
        <v>0</v>
      </c>
      <c r="M500" s="83">
        <v>0</v>
      </c>
      <c r="N500" s="83">
        <v>0</v>
      </c>
      <c r="O500" s="83">
        <f t="shared" si="120"/>
        <v>0</v>
      </c>
      <c r="P500" s="83">
        <f t="shared" si="121"/>
        <v>0</v>
      </c>
      <c r="Q500" s="83">
        <v>0</v>
      </c>
      <c r="R500" s="83">
        <v>0</v>
      </c>
      <c r="S500" s="83">
        <v>0</v>
      </c>
      <c r="T500" s="83">
        <f t="shared" si="122"/>
        <v>0</v>
      </c>
      <c r="U500" s="83">
        <f t="shared" si="123"/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468">
        <v>0</v>
      </c>
      <c r="M501" s="224">
        <v>0</v>
      </c>
      <c r="N501" s="224">
        <v>0</v>
      </c>
      <c r="O501" s="224">
        <f t="shared" si="120"/>
        <v>0</v>
      </c>
      <c r="P501" s="224">
        <f t="shared" si="121"/>
        <v>0</v>
      </c>
      <c r="Q501" s="224">
        <v>0</v>
      </c>
      <c r="R501" s="224">
        <v>0</v>
      </c>
      <c r="S501" s="224">
        <v>0</v>
      </c>
      <c r="T501" s="224">
        <f t="shared" si="122"/>
        <v>0</v>
      </c>
      <c r="U501" s="224">
        <f t="shared" si="123"/>
        <v>0</v>
      </c>
    </row>
    <row r="502" spans="1:21" ht="19.5" hidden="1" x14ac:dyDescent="0.3">
      <c r="A502" s="138"/>
      <c r="B502" s="139"/>
      <c r="C502" s="177" t="s">
        <v>18</v>
      </c>
      <c r="D502" s="491" t="s">
        <v>38</v>
      </c>
      <c r="E502" s="141"/>
      <c r="F502" s="141"/>
      <c r="G502" s="142"/>
      <c r="H502" s="178"/>
      <c r="I502" s="135"/>
      <c r="J502" s="135"/>
      <c r="K502" s="136"/>
      <c r="L502" s="4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IFERROR(__xludf.DUMMYFUNCTION("IMPORTRANGE(""https://docs.google.com/spreadsheets/d/1eHaY18a8A9IcSdp1K8H6x8fbOy06t2VsZHhMHf-1x7Y/edit?usp=sharing"",""แผน!GX24"")"),0)</f>
        <v>0</v>
      </c>
      <c r="J503" s="328">
        <f ca="1">IF(AND(J504=I504,J505=I505,J506=I506,J507=I507),I503,0)</f>
        <v>0</v>
      </c>
      <c r="K503" s="470">
        <f t="shared" ref="K503:K509" ca="1" si="126">IF(I503&gt;0,J503*100/I503,0)</f>
        <v>0</v>
      </c>
      <c r="L503" s="465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IFERROR(__xludf.DUMMYFUNCTION("IMPORTRANGE(""https://docs.google.com/spreadsheets/d/1eHaY18a8A9IcSdp1K8H6x8fbOy06t2VsZHhMHf-1x7Y/edit?usp=sharing"",""แผน!GY24"")"),0)</f>
        <v>0</v>
      </c>
      <c r="J504" s="466">
        <v>0</v>
      </c>
      <c r="K504" s="224">
        <f t="shared" ca="1" si="126"/>
        <v>0</v>
      </c>
      <c r="L504" s="465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IFERROR(__xludf.DUMMYFUNCTION("IMPORTRANGE(""https://docs.google.com/spreadsheets/d/1eHaY18a8A9IcSdp1K8H6x8fbOy06t2VsZHhMHf-1x7Y/edit?usp=sharing"",""แผน!GZ24"")"),0)</f>
        <v>0</v>
      </c>
      <c r="J505" s="466">
        <v>0</v>
      </c>
      <c r="K505" s="224">
        <f t="shared" ca="1" si="126"/>
        <v>0</v>
      </c>
      <c r="L505" s="465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IFERROR(__xludf.DUMMYFUNCTION("IMPORTRANGE(""https://docs.google.com/spreadsheets/d/1eHaY18a8A9IcSdp1K8H6x8fbOy06t2VsZHhMHf-1x7Y/edit?usp=sharing"",""แผน!HA24"")"),0)</f>
        <v>0</v>
      </c>
      <c r="J506" s="466">
        <v>0</v>
      </c>
      <c r="K506" s="224">
        <f t="shared" ca="1" si="126"/>
        <v>0</v>
      </c>
      <c r="L506" s="465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IFERROR(__xludf.DUMMYFUNCTION("IMPORTRANGE(""https://docs.google.com/spreadsheets/d/1eHaY18a8A9IcSdp1K8H6x8fbOy06t2VsZHhMHf-1x7Y/edit?usp=sharing"",""แผน!HB24"")"),0)</f>
        <v>0</v>
      </c>
      <c r="J507" s="466">
        <v>0</v>
      </c>
      <c r="K507" s="224">
        <f t="shared" ca="1" si="126"/>
        <v>0</v>
      </c>
      <c r="L507" s="465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 t="shared" si="126"/>
        <v>0</v>
      </c>
      <c r="L508" s="465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IFERROR(__xludf.DUMMYFUNCTION("IMPORTRANGE(""https://docs.google.com/spreadsheets/d/1eHaY18a8A9IcSdp1K8H6x8fbOy06t2VsZHhMHf-1x7Y/edit?usp=sharing"",""แผน!HC24"")"),0)</f>
        <v>0</v>
      </c>
      <c r="J509" s="464">
        <v>0</v>
      </c>
      <c r="K509" s="455">
        <f t="shared" ca="1" si="126"/>
        <v>0</v>
      </c>
      <c r="L509" s="46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537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536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hidden="1" x14ac:dyDescent="0.3">
      <c r="A511" s="535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534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hidden="1" x14ac:dyDescent="0.3">
      <c r="A512" s="349"/>
      <c r="B512" s="533" t="s">
        <v>207</v>
      </c>
      <c r="C512" s="351"/>
      <c r="D512" s="352"/>
      <c r="E512" s="352"/>
      <c r="F512" s="352"/>
      <c r="G512" s="353"/>
      <c r="H512" s="532" t="s">
        <v>61</v>
      </c>
      <c r="I512" s="531">
        <f>I524</f>
        <v>0</v>
      </c>
      <c r="J512" s="531">
        <f>J524</f>
        <v>0</v>
      </c>
      <c r="K512" s="530">
        <f>IF(I512&gt;0,J512*100/I512,0)</f>
        <v>0</v>
      </c>
      <c r="L512" s="512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hidden="1" x14ac:dyDescent="0.3">
      <c r="A513" s="128"/>
      <c r="B513" s="40"/>
      <c r="C513" s="527" t="s">
        <v>18</v>
      </c>
      <c r="D513" s="494" t="s">
        <v>19</v>
      </c>
      <c r="E513" s="40"/>
      <c r="F513" s="40"/>
      <c r="G513" s="42"/>
      <c r="H513" s="529" t="s">
        <v>14</v>
      </c>
      <c r="I513" s="44"/>
      <c r="J513" s="44"/>
      <c r="K513" s="45"/>
      <c r="L513" s="471">
        <f ca="1">L514+L515</f>
        <v>0</v>
      </c>
      <c r="M513" s="470">
        <f ca="1">M514+M515</f>
        <v>0</v>
      </c>
      <c r="N513" s="470">
        <f ca="1">N514+N515</f>
        <v>0</v>
      </c>
      <c r="O513" s="470">
        <f t="shared" ref="O513:O521" ca="1" si="127">IF(L513&gt;0,N513*100/L513,0)</f>
        <v>0</v>
      </c>
      <c r="P513" s="470">
        <f t="shared" ref="P513:P521" ca="1" si="128">IF(M513&gt;0,N513*100/M513,0)</f>
        <v>0</v>
      </c>
      <c r="Q513" s="470">
        <f>Q514+Q515</f>
        <v>0</v>
      </c>
      <c r="R513" s="470">
        <f>R514+R515</f>
        <v>0</v>
      </c>
      <c r="S513" s="470">
        <f>S514+S515</f>
        <v>0</v>
      </c>
      <c r="T513" s="470">
        <f t="shared" ref="T513:T521" si="129">IF(Q513&gt;0,S513*100/Q513,0)</f>
        <v>0</v>
      </c>
      <c r="U513" s="470">
        <f t="shared" ref="U513:U521" si="130"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469">
        <f t="shared" ref="L514:N515" si="131">L517+L520</f>
        <v>0</v>
      </c>
      <c r="M514" s="83">
        <f t="shared" si="131"/>
        <v>0</v>
      </c>
      <c r="N514" s="83">
        <f t="shared" si="131"/>
        <v>0</v>
      </c>
      <c r="O514" s="83">
        <f t="shared" si="127"/>
        <v>0</v>
      </c>
      <c r="P514" s="83">
        <f t="shared" si="128"/>
        <v>0</v>
      </c>
      <c r="Q514" s="83">
        <f t="shared" ref="Q514:S515" si="132">Q517+Q520</f>
        <v>0</v>
      </c>
      <c r="R514" s="83">
        <f t="shared" si="132"/>
        <v>0</v>
      </c>
      <c r="S514" s="83">
        <f t="shared" si="132"/>
        <v>0</v>
      </c>
      <c r="T514" s="83">
        <f t="shared" si="129"/>
        <v>0</v>
      </c>
      <c r="U514" s="83">
        <f t="shared" si="130"/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468">
        <f t="shared" ca="1" si="131"/>
        <v>0</v>
      </c>
      <c r="M515" s="224">
        <f t="shared" ca="1" si="131"/>
        <v>0</v>
      </c>
      <c r="N515" s="224">
        <f t="shared" ca="1" si="131"/>
        <v>0</v>
      </c>
      <c r="O515" s="224">
        <f t="shared" ca="1" si="127"/>
        <v>0</v>
      </c>
      <c r="P515" s="224">
        <f t="shared" ca="1" si="128"/>
        <v>0</v>
      </c>
      <c r="Q515" s="224">
        <f t="shared" si="132"/>
        <v>0</v>
      </c>
      <c r="R515" s="224">
        <f t="shared" si="132"/>
        <v>0</v>
      </c>
      <c r="S515" s="224">
        <f t="shared" si="132"/>
        <v>0</v>
      </c>
      <c r="T515" s="224">
        <f t="shared" si="129"/>
        <v>0</v>
      </c>
      <c r="U515" s="224">
        <f t="shared" si="130"/>
        <v>0</v>
      </c>
    </row>
    <row r="516" spans="1:21" ht="18.75" hidden="1" x14ac:dyDescent="0.25">
      <c r="A516" s="128"/>
      <c r="B516" s="40"/>
      <c r="C516" s="40"/>
      <c r="D516" s="52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468">
        <f ca="1">L517+L518</f>
        <v>0</v>
      </c>
      <c r="M516" s="224">
        <f ca="1">M517+M518</f>
        <v>0</v>
      </c>
      <c r="N516" s="224">
        <f ca="1">N517+N518</f>
        <v>0</v>
      </c>
      <c r="O516" s="224">
        <f t="shared" ca="1" si="127"/>
        <v>0</v>
      </c>
      <c r="P516" s="224">
        <f t="shared" ca="1" si="128"/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 t="shared" si="129"/>
        <v>0</v>
      </c>
      <c r="U516" s="224">
        <f t="shared" si="130"/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469">
        <v>0</v>
      </c>
      <c r="M517" s="83">
        <v>0</v>
      </c>
      <c r="N517" s="83">
        <v>0</v>
      </c>
      <c r="O517" s="83">
        <f t="shared" si="127"/>
        <v>0</v>
      </c>
      <c r="P517" s="83">
        <f t="shared" si="128"/>
        <v>0</v>
      </c>
      <c r="Q517" s="83">
        <v>0</v>
      </c>
      <c r="R517" s="83">
        <v>0</v>
      </c>
      <c r="S517" s="83">
        <v>0</v>
      </c>
      <c r="T517" s="83">
        <f t="shared" si="129"/>
        <v>0</v>
      </c>
      <c r="U517" s="83">
        <f t="shared" si="130"/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468">
        <f ca="1">IFERROR(__xludf.DUMMYFUNCTION("IMPORTRANGE(""https://docs.google.com/spreadsheets/d/1-uDff_7J0KD5mKrp0Vvzr7lt3OU09vwQwhkpOPPYv2Y/edit?usp=sharing"",""งบพรบ!FM24"")"),0)</f>
        <v>0</v>
      </c>
      <c r="M518" s="224">
        <f ca="1">IFERROR(__xludf.DUMMYFUNCTION("IMPORTRANGE(""https://docs.google.com/spreadsheets/d/1-uDff_7J0KD5mKrp0Vvzr7lt3OU09vwQwhkpOPPYv2Y/edit?usp=sharing"",""งบพรบ!FR24"")"),0)</f>
        <v>0</v>
      </c>
      <c r="N518" s="224">
        <f ca="1">IFERROR(__xludf.DUMMYFUNCTION("IMPORTRANGE(""https://docs.google.com/spreadsheets/d/1-uDff_7J0KD5mKrp0Vvzr7lt3OU09vwQwhkpOPPYv2Y/edit?usp=sharing"",""งบพรบ!FT24"")"),0)</f>
        <v>0</v>
      </c>
      <c r="O518" s="224">
        <f t="shared" ca="1" si="127"/>
        <v>0</v>
      </c>
      <c r="P518" s="224">
        <f t="shared" ca="1" si="128"/>
        <v>0</v>
      </c>
      <c r="Q518" s="224">
        <v>0</v>
      </c>
      <c r="R518" s="224">
        <v>0</v>
      </c>
      <c r="S518" s="224">
        <v>0</v>
      </c>
      <c r="T518" s="224">
        <f t="shared" si="129"/>
        <v>0</v>
      </c>
      <c r="U518" s="224">
        <f t="shared" si="130"/>
        <v>0</v>
      </c>
    </row>
    <row r="519" spans="1:21" ht="18.75" hidden="1" x14ac:dyDescent="0.25">
      <c r="A519" s="128"/>
      <c r="B519" s="40"/>
      <c r="C519" s="40"/>
      <c r="D519" s="528" t="s">
        <v>23</v>
      </c>
      <c r="E519" s="40"/>
      <c r="F519" s="40"/>
      <c r="G519" s="42"/>
      <c r="H519" s="375" t="s">
        <v>14</v>
      </c>
      <c r="I519" s="135"/>
      <c r="J519" s="135"/>
      <c r="K519" s="136"/>
      <c r="L519" s="468">
        <f ca="1">L520+L521</f>
        <v>0</v>
      </c>
      <c r="M519" s="224">
        <f ca="1">M520+M521</f>
        <v>0</v>
      </c>
      <c r="N519" s="224">
        <f ca="1">N520+N521</f>
        <v>0</v>
      </c>
      <c r="O519" s="224">
        <f t="shared" ca="1" si="127"/>
        <v>0</v>
      </c>
      <c r="P519" s="224">
        <f t="shared" ca="1" si="128"/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 t="shared" si="129"/>
        <v>0</v>
      </c>
      <c r="U519" s="224">
        <f t="shared" si="130"/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469">
        <v>0</v>
      </c>
      <c r="M520" s="83">
        <v>0</v>
      </c>
      <c r="N520" s="83">
        <v>0</v>
      </c>
      <c r="O520" s="83">
        <f t="shared" si="127"/>
        <v>0</v>
      </c>
      <c r="P520" s="83">
        <f t="shared" si="128"/>
        <v>0</v>
      </c>
      <c r="Q520" s="83">
        <v>0</v>
      </c>
      <c r="R520" s="83">
        <v>0</v>
      </c>
      <c r="S520" s="83">
        <v>0</v>
      </c>
      <c r="T520" s="83">
        <f t="shared" si="129"/>
        <v>0</v>
      </c>
      <c r="U520" s="83">
        <f t="shared" si="130"/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375" t="s">
        <v>14</v>
      </c>
      <c r="I521" s="135"/>
      <c r="J521" s="135"/>
      <c r="K521" s="136"/>
      <c r="L521" s="468">
        <f ca="1">IFERROR(__xludf.DUMMYFUNCTION("IMPORTRANGE(""https://docs.google.com/spreadsheets/d/1-uDff_7J0KD5mKrp0Vvzr7lt3OU09vwQwhkpOPPYv2Y/edit?usp=sharing"",""งบพรบ!FP24"")"),0)</f>
        <v>0</v>
      </c>
      <c r="M521" s="224">
        <f ca="1">IFERROR(__xludf.DUMMYFUNCTION("IMPORTRANGE(""https://docs.google.com/spreadsheets/d/1-uDff_7J0KD5mKrp0Vvzr7lt3OU09vwQwhkpOPPYv2Y/edit?usp=sharing"",""งบพรบ!FS24"")"),0)</f>
        <v>0</v>
      </c>
      <c r="N521" s="224">
        <f ca="1">IFERROR(__xludf.DUMMYFUNCTION("IMPORTRANGE(""https://docs.google.com/spreadsheets/d/1-uDff_7J0KD5mKrp0Vvzr7lt3OU09vwQwhkpOPPYv2Y/edit?usp=sharing"",""งบพรบ!FU24"")"),0)</f>
        <v>0</v>
      </c>
      <c r="O521" s="224">
        <f t="shared" ca="1" si="127"/>
        <v>0</v>
      </c>
      <c r="P521" s="224">
        <f t="shared" ca="1" si="128"/>
        <v>0</v>
      </c>
      <c r="Q521" s="224">
        <v>0</v>
      </c>
      <c r="R521" s="224">
        <v>0</v>
      </c>
      <c r="S521" s="224">
        <v>0</v>
      </c>
      <c r="T521" s="224">
        <f t="shared" si="129"/>
        <v>0</v>
      </c>
      <c r="U521" s="224">
        <f t="shared" si="130"/>
        <v>0</v>
      </c>
    </row>
    <row r="522" spans="1:21" ht="19.5" hidden="1" x14ac:dyDescent="0.3">
      <c r="A522" s="138"/>
      <c r="B522" s="139"/>
      <c r="C522" s="527" t="s">
        <v>18</v>
      </c>
      <c r="D522" s="509" t="s">
        <v>38</v>
      </c>
      <c r="E522" s="141"/>
      <c r="F522" s="141"/>
      <c r="G522" s="142"/>
      <c r="H522" s="143"/>
      <c r="I522" s="135"/>
      <c r="J522" s="44"/>
      <c r="K522" s="45"/>
      <c r="L522" s="465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208</v>
      </c>
      <c r="E523" s="139"/>
      <c r="F523" s="40"/>
      <c r="G523" s="42"/>
      <c r="H523" s="526" t="s">
        <v>11</v>
      </c>
      <c r="I523" s="430">
        <v>0</v>
      </c>
      <c r="J523" s="525">
        <v>0</v>
      </c>
      <c r="K523" s="83">
        <f>IF(I523&gt;0,J523*100/I523,0)</f>
        <v>0</v>
      </c>
      <c r="L523" s="465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29"/>
      <c r="B524" s="1"/>
      <c r="C524" s="2"/>
      <c r="D524" s="524" t="s">
        <v>209</v>
      </c>
      <c r="E524" s="250"/>
      <c r="F524" s="1"/>
      <c r="G524" s="52"/>
      <c r="H524" s="523" t="s">
        <v>61</v>
      </c>
      <c r="I524" s="433">
        <v>0</v>
      </c>
      <c r="J524" s="522">
        <v>0</v>
      </c>
      <c r="K524" s="521">
        <f>IF(I524&gt;0,J524*100/I524,0)</f>
        <v>0</v>
      </c>
      <c r="L524" s="465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520"/>
      <c r="B525" s="519"/>
      <c r="C525" s="519"/>
      <c r="D525" s="518"/>
      <c r="E525" s="518"/>
      <c r="F525" s="518"/>
      <c r="G525" s="517"/>
      <c r="H525" s="516"/>
      <c r="I525" s="515"/>
      <c r="J525" s="515"/>
      <c r="K525" s="514"/>
      <c r="L525" s="511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11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11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11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11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11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11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496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hidden="1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64">
        <f>I545</f>
        <v>0</v>
      </c>
      <c r="J533" s="364">
        <f>J545</f>
        <v>0</v>
      </c>
      <c r="K533" s="513">
        <f>IF(I533&gt;0,J533*100/I533,0)</f>
        <v>0</v>
      </c>
      <c r="L533" s="512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hidden="1" x14ac:dyDescent="0.3">
      <c r="A534" s="128"/>
      <c r="B534" s="40"/>
      <c r="C534" s="129" t="s">
        <v>18</v>
      </c>
      <c r="D534" s="472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471">
        <f>L535+L536</f>
        <v>0</v>
      </c>
      <c r="M534" s="470">
        <f>M535+M536</f>
        <v>0</v>
      </c>
      <c r="N534" s="470">
        <f>N535+N536</f>
        <v>0</v>
      </c>
      <c r="O534" s="470">
        <f t="shared" ref="O534:O542" si="133">IF(L534&gt;0,N534*100/L534,0)</f>
        <v>0</v>
      </c>
      <c r="P534" s="470">
        <f t="shared" ref="P534:P542" si="134">IF(M534&gt;0,N534*100/M534,0)</f>
        <v>0</v>
      </c>
      <c r="Q534" s="470">
        <f>Q535+Q536</f>
        <v>0</v>
      </c>
      <c r="R534" s="470">
        <f>R535+R536</f>
        <v>0</v>
      </c>
      <c r="S534" s="470">
        <f>S535+S536</f>
        <v>0</v>
      </c>
      <c r="T534" s="470">
        <f t="shared" ref="T534:T542" si="135">IF(Q534&gt;0,S534*100/Q534,0)</f>
        <v>0</v>
      </c>
      <c r="U534" s="470">
        <f t="shared" ref="U534:U542" si="136"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469">
        <f t="shared" ref="L535:N536" si="137">L538+L541</f>
        <v>0</v>
      </c>
      <c r="M535" s="83">
        <f t="shared" si="137"/>
        <v>0</v>
      </c>
      <c r="N535" s="83">
        <f t="shared" si="137"/>
        <v>0</v>
      </c>
      <c r="O535" s="83">
        <f t="shared" si="133"/>
        <v>0</v>
      </c>
      <c r="P535" s="83">
        <f t="shared" si="134"/>
        <v>0</v>
      </c>
      <c r="Q535" s="83">
        <f t="shared" ref="Q535:S536" si="138">Q538+Q541</f>
        <v>0</v>
      </c>
      <c r="R535" s="83">
        <f t="shared" si="138"/>
        <v>0</v>
      </c>
      <c r="S535" s="83">
        <f t="shared" si="138"/>
        <v>0</v>
      </c>
      <c r="T535" s="83">
        <f t="shared" si="135"/>
        <v>0</v>
      </c>
      <c r="U535" s="83">
        <f t="shared" si="136"/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468">
        <f t="shared" si="137"/>
        <v>0</v>
      </c>
      <c r="M536" s="224">
        <f t="shared" si="137"/>
        <v>0</v>
      </c>
      <c r="N536" s="224">
        <f t="shared" si="137"/>
        <v>0</v>
      </c>
      <c r="O536" s="224">
        <f t="shared" si="133"/>
        <v>0</v>
      </c>
      <c r="P536" s="224">
        <f t="shared" si="134"/>
        <v>0</v>
      </c>
      <c r="Q536" s="224">
        <f t="shared" si="138"/>
        <v>0</v>
      </c>
      <c r="R536" s="224">
        <f t="shared" si="138"/>
        <v>0</v>
      </c>
      <c r="S536" s="224">
        <f t="shared" si="138"/>
        <v>0</v>
      </c>
      <c r="T536" s="224">
        <f t="shared" si="135"/>
        <v>0</v>
      </c>
      <c r="U536" s="224">
        <f t="shared" si="136"/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468">
        <f>L538+L539</f>
        <v>0</v>
      </c>
      <c r="M537" s="224">
        <f>M538+M539</f>
        <v>0</v>
      </c>
      <c r="N537" s="224">
        <f>N538+N539</f>
        <v>0</v>
      </c>
      <c r="O537" s="224">
        <f t="shared" si="133"/>
        <v>0</v>
      </c>
      <c r="P537" s="224">
        <f t="shared" si="134"/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 t="shared" si="135"/>
        <v>0</v>
      </c>
      <c r="U537" s="224">
        <f t="shared" si="136"/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469">
        <v>0</v>
      </c>
      <c r="M538" s="83">
        <v>0</v>
      </c>
      <c r="N538" s="83">
        <v>0</v>
      </c>
      <c r="O538" s="83">
        <f t="shared" si="133"/>
        <v>0</v>
      </c>
      <c r="P538" s="83">
        <f t="shared" si="134"/>
        <v>0</v>
      </c>
      <c r="Q538" s="83">
        <v>0</v>
      </c>
      <c r="R538" s="83">
        <v>0</v>
      </c>
      <c r="S538" s="83">
        <v>0</v>
      </c>
      <c r="T538" s="83">
        <f t="shared" si="135"/>
        <v>0</v>
      </c>
      <c r="U538" s="83">
        <f t="shared" si="136"/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468">
        <v>0</v>
      </c>
      <c r="M539" s="224">
        <v>0</v>
      </c>
      <c r="N539" s="224">
        <v>0</v>
      </c>
      <c r="O539" s="224">
        <f t="shared" si="133"/>
        <v>0</v>
      </c>
      <c r="P539" s="224">
        <f t="shared" si="134"/>
        <v>0</v>
      </c>
      <c r="Q539" s="224">
        <v>0</v>
      </c>
      <c r="R539" s="224">
        <v>0</v>
      </c>
      <c r="S539" s="224">
        <v>0</v>
      </c>
      <c r="T539" s="224">
        <f t="shared" si="135"/>
        <v>0</v>
      </c>
      <c r="U539" s="224">
        <f t="shared" si="136"/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468">
        <f>L541+L542</f>
        <v>0</v>
      </c>
      <c r="M540" s="224">
        <f>M541+M542</f>
        <v>0</v>
      </c>
      <c r="N540" s="224">
        <f>N541+N542</f>
        <v>0</v>
      </c>
      <c r="O540" s="224">
        <f t="shared" si="133"/>
        <v>0</v>
      </c>
      <c r="P540" s="224">
        <f t="shared" si="134"/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 t="shared" si="135"/>
        <v>0</v>
      </c>
      <c r="U540" s="224">
        <f t="shared" si="136"/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469">
        <v>0</v>
      </c>
      <c r="M541" s="83">
        <v>0</v>
      </c>
      <c r="N541" s="83">
        <v>0</v>
      </c>
      <c r="O541" s="83">
        <f t="shared" si="133"/>
        <v>0</v>
      </c>
      <c r="P541" s="83">
        <f t="shared" si="134"/>
        <v>0</v>
      </c>
      <c r="Q541" s="83">
        <v>0</v>
      </c>
      <c r="R541" s="83">
        <v>0</v>
      </c>
      <c r="S541" s="83">
        <v>0</v>
      </c>
      <c r="T541" s="83">
        <f t="shared" si="135"/>
        <v>0</v>
      </c>
      <c r="U541" s="83">
        <f t="shared" si="136"/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468">
        <v>0</v>
      </c>
      <c r="M542" s="224">
        <v>0</v>
      </c>
      <c r="N542" s="224">
        <v>0</v>
      </c>
      <c r="O542" s="224">
        <f t="shared" si="133"/>
        <v>0</v>
      </c>
      <c r="P542" s="224">
        <f t="shared" si="134"/>
        <v>0</v>
      </c>
      <c r="Q542" s="224">
        <v>0</v>
      </c>
      <c r="R542" s="224">
        <v>0</v>
      </c>
      <c r="S542" s="224">
        <v>0</v>
      </c>
      <c r="T542" s="224">
        <f t="shared" si="135"/>
        <v>0</v>
      </c>
      <c r="U542" s="224">
        <f t="shared" si="136"/>
        <v>0</v>
      </c>
    </row>
    <row r="543" spans="1:21" ht="19.5" hidden="1" x14ac:dyDescent="0.3">
      <c r="A543" s="138"/>
      <c r="B543" s="139"/>
      <c r="C543" s="365" t="s">
        <v>18</v>
      </c>
      <c r="D543" s="498" t="s">
        <v>38</v>
      </c>
      <c r="E543" s="141"/>
      <c r="F543" s="141"/>
      <c r="G543" s="142"/>
      <c r="H543" s="143"/>
      <c r="I543" s="135"/>
      <c r="J543" s="44"/>
      <c r="K543" s="45"/>
      <c r="L543" s="465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11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11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11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11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11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11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11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11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11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496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hidden="1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64">
        <f>I566</f>
        <v>0</v>
      </c>
      <c r="J554" s="364">
        <f>J566</f>
        <v>0</v>
      </c>
      <c r="K554" s="513">
        <f>IF(I554&gt;0,J554*100/I554,0)</f>
        <v>0</v>
      </c>
      <c r="L554" s="512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hidden="1" x14ac:dyDescent="0.3">
      <c r="A555" s="128"/>
      <c r="B555" s="40"/>
      <c r="C555" s="129" t="s">
        <v>18</v>
      </c>
      <c r="D555" s="472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471">
        <f>L556+L557</f>
        <v>0</v>
      </c>
      <c r="M555" s="470">
        <f>M556+M557</f>
        <v>0</v>
      </c>
      <c r="N555" s="470">
        <f>N556+N557</f>
        <v>0</v>
      </c>
      <c r="O555" s="470">
        <f t="shared" ref="O555:O563" si="139">IF(L555&gt;0,N555*100/L555,0)</f>
        <v>0</v>
      </c>
      <c r="P555" s="470">
        <f t="shared" ref="P555:P563" si="140">IF(M555&gt;0,N555*100/M555,0)</f>
        <v>0</v>
      </c>
      <c r="Q555" s="470">
        <f>Q556+Q557</f>
        <v>0</v>
      </c>
      <c r="R555" s="470">
        <f>R556+R557</f>
        <v>0</v>
      </c>
      <c r="S555" s="470">
        <f>S556+S557</f>
        <v>0</v>
      </c>
      <c r="T555" s="470">
        <f t="shared" ref="T555:T563" si="141">IF(Q555&gt;0,S555*100/Q555,0)</f>
        <v>0</v>
      </c>
      <c r="U555" s="470">
        <f t="shared" ref="U555:U563" si="142"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469">
        <f t="shared" ref="L556:N557" si="143">L559+L562</f>
        <v>0</v>
      </c>
      <c r="M556" s="83">
        <f t="shared" si="143"/>
        <v>0</v>
      </c>
      <c r="N556" s="83">
        <f t="shared" si="143"/>
        <v>0</v>
      </c>
      <c r="O556" s="83">
        <f t="shared" si="139"/>
        <v>0</v>
      </c>
      <c r="P556" s="83">
        <f t="shared" si="140"/>
        <v>0</v>
      </c>
      <c r="Q556" s="83">
        <f t="shared" ref="Q556:S557" si="144">Q559+Q562</f>
        <v>0</v>
      </c>
      <c r="R556" s="83">
        <f t="shared" si="144"/>
        <v>0</v>
      </c>
      <c r="S556" s="83">
        <f t="shared" si="144"/>
        <v>0</v>
      </c>
      <c r="T556" s="83">
        <f t="shared" si="141"/>
        <v>0</v>
      </c>
      <c r="U556" s="83">
        <f t="shared" si="142"/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468">
        <f t="shared" si="143"/>
        <v>0</v>
      </c>
      <c r="M557" s="224">
        <f t="shared" si="143"/>
        <v>0</v>
      </c>
      <c r="N557" s="224">
        <f t="shared" si="143"/>
        <v>0</v>
      </c>
      <c r="O557" s="224">
        <f t="shared" si="139"/>
        <v>0</v>
      </c>
      <c r="P557" s="224">
        <f t="shared" si="140"/>
        <v>0</v>
      </c>
      <c r="Q557" s="224">
        <f t="shared" si="144"/>
        <v>0</v>
      </c>
      <c r="R557" s="224">
        <f t="shared" si="144"/>
        <v>0</v>
      </c>
      <c r="S557" s="224">
        <f t="shared" si="144"/>
        <v>0</v>
      </c>
      <c r="T557" s="224">
        <f t="shared" si="141"/>
        <v>0</v>
      </c>
      <c r="U557" s="224">
        <f t="shared" si="142"/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468">
        <f>L559+L560</f>
        <v>0</v>
      </c>
      <c r="M558" s="224">
        <f>M559+M560</f>
        <v>0</v>
      </c>
      <c r="N558" s="224">
        <f>N559+N560</f>
        <v>0</v>
      </c>
      <c r="O558" s="224">
        <f t="shared" si="139"/>
        <v>0</v>
      </c>
      <c r="P558" s="224">
        <f t="shared" si="140"/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 t="shared" si="141"/>
        <v>0</v>
      </c>
      <c r="U558" s="224">
        <f t="shared" si="142"/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469">
        <v>0</v>
      </c>
      <c r="M559" s="83">
        <v>0</v>
      </c>
      <c r="N559" s="83">
        <v>0</v>
      </c>
      <c r="O559" s="83">
        <f t="shared" si="139"/>
        <v>0</v>
      </c>
      <c r="P559" s="83">
        <f t="shared" si="140"/>
        <v>0</v>
      </c>
      <c r="Q559" s="83">
        <v>0</v>
      </c>
      <c r="R559" s="83">
        <v>0</v>
      </c>
      <c r="S559" s="83">
        <v>0</v>
      </c>
      <c r="T559" s="83">
        <f t="shared" si="141"/>
        <v>0</v>
      </c>
      <c r="U559" s="83">
        <f t="shared" si="142"/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468">
        <v>0</v>
      </c>
      <c r="M560" s="224">
        <v>0</v>
      </c>
      <c r="N560" s="224">
        <v>0</v>
      </c>
      <c r="O560" s="224">
        <f t="shared" si="139"/>
        <v>0</v>
      </c>
      <c r="P560" s="224">
        <f t="shared" si="140"/>
        <v>0</v>
      </c>
      <c r="Q560" s="224">
        <v>0</v>
      </c>
      <c r="R560" s="224">
        <v>0</v>
      </c>
      <c r="S560" s="224">
        <v>0</v>
      </c>
      <c r="T560" s="224">
        <f t="shared" si="141"/>
        <v>0</v>
      </c>
      <c r="U560" s="224">
        <f t="shared" si="142"/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468">
        <f>L562+L563</f>
        <v>0</v>
      </c>
      <c r="M561" s="224">
        <f>M562+M563</f>
        <v>0</v>
      </c>
      <c r="N561" s="224">
        <f>N562+N563</f>
        <v>0</v>
      </c>
      <c r="O561" s="224">
        <f t="shared" si="139"/>
        <v>0</v>
      </c>
      <c r="P561" s="224">
        <f t="shared" si="140"/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 t="shared" si="141"/>
        <v>0</v>
      </c>
      <c r="U561" s="224">
        <f t="shared" si="142"/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469">
        <v>0</v>
      </c>
      <c r="M562" s="83">
        <v>0</v>
      </c>
      <c r="N562" s="83">
        <v>0</v>
      </c>
      <c r="O562" s="83">
        <f t="shared" si="139"/>
        <v>0</v>
      </c>
      <c r="P562" s="83">
        <f t="shared" si="140"/>
        <v>0</v>
      </c>
      <c r="Q562" s="83">
        <v>0</v>
      </c>
      <c r="R562" s="83">
        <v>0</v>
      </c>
      <c r="S562" s="83">
        <v>0</v>
      </c>
      <c r="T562" s="83">
        <f t="shared" si="141"/>
        <v>0</v>
      </c>
      <c r="U562" s="83">
        <f t="shared" si="142"/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468">
        <v>0</v>
      </c>
      <c r="M563" s="224">
        <v>0</v>
      </c>
      <c r="N563" s="224">
        <v>0</v>
      </c>
      <c r="O563" s="224">
        <f t="shared" si="139"/>
        <v>0</v>
      </c>
      <c r="P563" s="224">
        <f t="shared" si="140"/>
        <v>0</v>
      </c>
      <c r="Q563" s="224">
        <v>0</v>
      </c>
      <c r="R563" s="224">
        <v>0</v>
      </c>
      <c r="S563" s="224">
        <v>0</v>
      </c>
      <c r="T563" s="224">
        <f t="shared" si="141"/>
        <v>0</v>
      </c>
      <c r="U563" s="224">
        <f t="shared" si="142"/>
        <v>0</v>
      </c>
    </row>
    <row r="564" spans="1:21" ht="19.5" hidden="1" x14ac:dyDescent="0.3">
      <c r="A564" s="138"/>
      <c r="B564" s="139"/>
      <c r="C564" s="365" t="s">
        <v>18</v>
      </c>
      <c r="D564" s="498" t="s">
        <v>38</v>
      </c>
      <c r="E564" s="141"/>
      <c r="F564" s="141"/>
      <c r="G564" s="142"/>
      <c r="H564" s="143"/>
      <c r="I564" s="135"/>
      <c r="J564" s="44"/>
      <c r="K564" s="45"/>
      <c r="L564" s="465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11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11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11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11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11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11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11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11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11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496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hidden="1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64">
        <f>I587</f>
        <v>0</v>
      </c>
      <c r="J575" s="364">
        <f>J587</f>
        <v>0</v>
      </c>
      <c r="K575" s="513">
        <f>IF(I575&gt;0,J575*100/I575,0)</f>
        <v>0</v>
      </c>
      <c r="L575" s="512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hidden="1" x14ac:dyDescent="0.3">
      <c r="A576" s="128"/>
      <c r="B576" s="40"/>
      <c r="C576" s="129" t="s">
        <v>18</v>
      </c>
      <c r="D576" s="472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471">
        <f>L577+L578</f>
        <v>0</v>
      </c>
      <c r="M576" s="470">
        <f>M577+M578</f>
        <v>0</v>
      </c>
      <c r="N576" s="470">
        <f>N577+N578</f>
        <v>0</v>
      </c>
      <c r="O576" s="470">
        <f t="shared" ref="O576:O584" si="145">IF(L576&gt;0,N576*100/L576,0)</f>
        <v>0</v>
      </c>
      <c r="P576" s="470">
        <f t="shared" ref="P576:P584" si="146">IF(M576&gt;0,N576*100/M576,0)</f>
        <v>0</v>
      </c>
      <c r="Q576" s="470">
        <f>Q577+Q578</f>
        <v>0</v>
      </c>
      <c r="R576" s="470">
        <f>R577+R578</f>
        <v>0</v>
      </c>
      <c r="S576" s="470">
        <f>S577+S578</f>
        <v>0</v>
      </c>
      <c r="T576" s="470">
        <f t="shared" ref="T576:T584" si="147">IF(Q576&gt;0,S576*100/Q576,0)</f>
        <v>0</v>
      </c>
      <c r="U576" s="470">
        <f t="shared" ref="U576:U584" si="148"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469">
        <f t="shared" ref="L577:N578" si="149">L580+L583</f>
        <v>0</v>
      </c>
      <c r="M577" s="83">
        <f t="shared" si="149"/>
        <v>0</v>
      </c>
      <c r="N577" s="83">
        <f t="shared" si="149"/>
        <v>0</v>
      </c>
      <c r="O577" s="83">
        <f t="shared" si="145"/>
        <v>0</v>
      </c>
      <c r="P577" s="83">
        <f t="shared" si="146"/>
        <v>0</v>
      </c>
      <c r="Q577" s="83">
        <f t="shared" ref="Q577:S578" si="150">Q580+Q583</f>
        <v>0</v>
      </c>
      <c r="R577" s="83">
        <f t="shared" si="150"/>
        <v>0</v>
      </c>
      <c r="S577" s="83">
        <f t="shared" si="150"/>
        <v>0</v>
      </c>
      <c r="T577" s="83">
        <f t="shared" si="147"/>
        <v>0</v>
      </c>
      <c r="U577" s="83">
        <f t="shared" si="148"/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468">
        <f t="shared" si="149"/>
        <v>0</v>
      </c>
      <c r="M578" s="224">
        <f t="shared" si="149"/>
        <v>0</v>
      </c>
      <c r="N578" s="224">
        <f t="shared" si="149"/>
        <v>0</v>
      </c>
      <c r="O578" s="224">
        <f t="shared" si="145"/>
        <v>0</v>
      </c>
      <c r="P578" s="224">
        <f t="shared" si="146"/>
        <v>0</v>
      </c>
      <c r="Q578" s="224">
        <f t="shared" si="150"/>
        <v>0</v>
      </c>
      <c r="R578" s="224">
        <f t="shared" si="150"/>
        <v>0</v>
      </c>
      <c r="S578" s="224">
        <f t="shared" si="150"/>
        <v>0</v>
      </c>
      <c r="T578" s="224">
        <f t="shared" si="147"/>
        <v>0</v>
      </c>
      <c r="U578" s="224">
        <f t="shared" si="148"/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468">
        <f>L580+L581</f>
        <v>0</v>
      </c>
      <c r="M579" s="224">
        <f>M580+M581</f>
        <v>0</v>
      </c>
      <c r="N579" s="224">
        <f>N580+N581</f>
        <v>0</v>
      </c>
      <c r="O579" s="224">
        <f t="shared" si="145"/>
        <v>0</v>
      </c>
      <c r="P579" s="224">
        <f t="shared" si="146"/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 t="shared" si="147"/>
        <v>0</v>
      </c>
      <c r="U579" s="224">
        <f t="shared" si="148"/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469">
        <v>0</v>
      </c>
      <c r="M580" s="83">
        <v>0</v>
      </c>
      <c r="N580" s="83">
        <v>0</v>
      </c>
      <c r="O580" s="83">
        <f t="shared" si="145"/>
        <v>0</v>
      </c>
      <c r="P580" s="83">
        <f t="shared" si="146"/>
        <v>0</v>
      </c>
      <c r="Q580" s="83">
        <v>0</v>
      </c>
      <c r="R580" s="83">
        <v>0</v>
      </c>
      <c r="S580" s="83">
        <v>0</v>
      </c>
      <c r="T580" s="83">
        <f t="shared" si="147"/>
        <v>0</v>
      </c>
      <c r="U580" s="83">
        <f t="shared" si="148"/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468">
        <v>0</v>
      </c>
      <c r="M581" s="224">
        <v>0</v>
      </c>
      <c r="N581" s="224">
        <v>0</v>
      </c>
      <c r="O581" s="224">
        <f t="shared" si="145"/>
        <v>0</v>
      </c>
      <c r="P581" s="224">
        <f t="shared" si="146"/>
        <v>0</v>
      </c>
      <c r="Q581" s="224">
        <v>0</v>
      </c>
      <c r="R581" s="224">
        <v>0</v>
      </c>
      <c r="S581" s="224">
        <v>0</v>
      </c>
      <c r="T581" s="224">
        <f t="shared" si="147"/>
        <v>0</v>
      </c>
      <c r="U581" s="224">
        <f t="shared" si="148"/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468">
        <f>L583+L584</f>
        <v>0</v>
      </c>
      <c r="M582" s="224">
        <f>M583+M584</f>
        <v>0</v>
      </c>
      <c r="N582" s="224">
        <f>N583+N584</f>
        <v>0</v>
      </c>
      <c r="O582" s="224">
        <f t="shared" si="145"/>
        <v>0</v>
      </c>
      <c r="P582" s="224">
        <f t="shared" si="146"/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 t="shared" si="147"/>
        <v>0</v>
      </c>
      <c r="U582" s="224">
        <f t="shared" si="148"/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469">
        <v>0</v>
      </c>
      <c r="M583" s="83">
        <v>0</v>
      </c>
      <c r="N583" s="83">
        <v>0</v>
      </c>
      <c r="O583" s="83">
        <f t="shared" si="145"/>
        <v>0</v>
      </c>
      <c r="P583" s="83">
        <f t="shared" si="146"/>
        <v>0</v>
      </c>
      <c r="Q583" s="83">
        <v>0</v>
      </c>
      <c r="R583" s="83">
        <v>0</v>
      </c>
      <c r="S583" s="83">
        <v>0</v>
      </c>
      <c r="T583" s="83">
        <f t="shared" si="147"/>
        <v>0</v>
      </c>
      <c r="U583" s="83">
        <f t="shared" si="148"/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468">
        <v>0</v>
      </c>
      <c r="M584" s="224">
        <v>0</v>
      </c>
      <c r="N584" s="224">
        <v>0</v>
      </c>
      <c r="O584" s="224">
        <f t="shared" si="145"/>
        <v>0</v>
      </c>
      <c r="P584" s="224">
        <f t="shared" si="146"/>
        <v>0</v>
      </c>
      <c r="Q584" s="224">
        <v>0</v>
      </c>
      <c r="R584" s="224">
        <v>0</v>
      </c>
      <c r="S584" s="224">
        <v>0</v>
      </c>
      <c r="T584" s="224">
        <f t="shared" si="147"/>
        <v>0</v>
      </c>
      <c r="U584" s="224">
        <f t="shared" si="148"/>
        <v>0</v>
      </c>
    </row>
    <row r="585" spans="1:21" ht="19.5" hidden="1" x14ac:dyDescent="0.3">
      <c r="A585" s="138"/>
      <c r="B585" s="139"/>
      <c r="C585" s="365" t="s">
        <v>18</v>
      </c>
      <c r="D585" s="498" t="s">
        <v>38</v>
      </c>
      <c r="E585" s="141"/>
      <c r="F585" s="141"/>
      <c r="G585" s="142"/>
      <c r="H585" s="143"/>
      <c r="I585" s="135"/>
      <c r="J585" s="44"/>
      <c r="K585" s="45"/>
      <c r="L585" s="465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11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11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11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11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11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11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11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11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11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496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hidden="1" x14ac:dyDescent="0.3">
      <c r="A596" s="366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67" t="s">
        <v>214</v>
      </c>
      <c r="C597" s="172"/>
      <c r="D597" s="125"/>
      <c r="E597" s="27"/>
      <c r="F597" s="27"/>
      <c r="G597" s="27"/>
      <c r="H597" s="368" t="s">
        <v>99</v>
      </c>
      <c r="I597" s="182"/>
      <c r="J597" s="32"/>
      <c r="K597" s="33"/>
      <c r="L597" s="510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369"/>
      <c r="B598" s="370" t="s">
        <v>215</v>
      </c>
      <c r="C598" s="125"/>
      <c r="D598" s="27"/>
      <c r="E598" s="27"/>
      <c r="F598" s="27"/>
      <c r="G598" s="30"/>
      <c r="H598" s="371" t="s">
        <v>35</v>
      </c>
      <c r="I598" s="32"/>
      <c r="J598" s="32"/>
      <c r="K598" s="33"/>
      <c r="L598" s="510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820" t="s">
        <v>19</v>
      </c>
      <c r="E599" s="793"/>
      <c r="F599" s="793"/>
      <c r="G599" s="794"/>
      <c r="H599" s="372" t="s">
        <v>14</v>
      </c>
      <c r="I599" s="44"/>
      <c r="J599" s="44"/>
      <c r="K599" s="45"/>
      <c r="L599" s="471">
        <f>L600+L601</f>
        <v>0</v>
      </c>
      <c r="M599" s="470">
        <f>M600+M601</f>
        <v>0</v>
      </c>
      <c r="N599" s="470">
        <f>N600+N601</f>
        <v>0</v>
      </c>
      <c r="O599" s="470">
        <f t="shared" ref="O599:O607" si="151">IF(L599&gt;0,N599*100/L599,0)</f>
        <v>0</v>
      </c>
      <c r="P599" s="470">
        <f t="shared" ref="P599:P607" si="152">IF(M599&gt;0,N599*100/M599,0)</f>
        <v>0</v>
      </c>
      <c r="Q599" s="470">
        <f>Q600+Q601</f>
        <v>0</v>
      </c>
      <c r="R599" s="470">
        <f>R600+R601</f>
        <v>0</v>
      </c>
      <c r="S599" s="470">
        <f>S600+S601</f>
        <v>0</v>
      </c>
      <c r="T599" s="470">
        <f t="shared" ref="T599:T607" si="153">IF(Q599&gt;0,S599*100/Q599,0)</f>
        <v>0</v>
      </c>
      <c r="U599" s="470">
        <f t="shared" ref="U599:U607" si="154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469">
        <f t="shared" ref="L600:N601" si="155">L603+L606</f>
        <v>0</v>
      </c>
      <c r="M600" s="83">
        <f t="shared" si="155"/>
        <v>0</v>
      </c>
      <c r="N600" s="83">
        <f t="shared" si="155"/>
        <v>0</v>
      </c>
      <c r="O600" s="83">
        <f t="shared" si="151"/>
        <v>0</v>
      </c>
      <c r="P600" s="83">
        <f t="shared" si="152"/>
        <v>0</v>
      </c>
      <c r="Q600" s="83">
        <f t="shared" ref="Q600:S601" si="156">Q603+Q606</f>
        <v>0</v>
      </c>
      <c r="R600" s="83">
        <f t="shared" si="156"/>
        <v>0</v>
      </c>
      <c r="S600" s="83">
        <f t="shared" si="156"/>
        <v>0</v>
      </c>
      <c r="T600" s="83">
        <f t="shared" si="153"/>
        <v>0</v>
      </c>
      <c r="U600" s="83">
        <f t="shared" si="154"/>
        <v>0</v>
      </c>
    </row>
    <row r="601" spans="1:21" ht="18.75" hidden="1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468">
        <f t="shared" si="155"/>
        <v>0</v>
      </c>
      <c r="M601" s="224">
        <f t="shared" si="155"/>
        <v>0</v>
      </c>
      <c r="N601" s="224">
        <f t="shared" si="155"/>
        <v>0</v>
      </c>
      <c r="O601" s="224">
        <f t="shared" si="151"/>
        <v>0</v>
      </c>
      <c r="P601" s="224">
        <f t="shared" si="152"/>
        <v>0</v>
      </c>
      <c r="Q601" s="224">
        <f t="shared" si="156"/>
        <v>0</v>
      </c>
      <c r="R601" s="224">
        <f t="shared" si="156"/>
        <v>0</v>
      </c>
      <c r="S601" s="224">
        <f t="shared" si="156"/>
        <v>0</v>
      </c>
      <c r="T601" s="224">
        <f t="shared" si="153"/>
        <v>0</v>
      </c>
      <c r="U601" s="224">
        <f t="shared" si="154"/>
        <v>0</v>
      </c>
    </row>
    <row r="602" spans="1:21" ht="19.5" hidden="1" x14ac:dyDescent="0.3">
      <c r="A602" s="128"/>
      <c r="B602" s="158"/>
      <c r="C602" s="158"/>
      <c r="D602" s="494" t="s">
        <v>22</v>
      </c>
      <c r="E602" s="40"/>
      <c r="F602" s="40"/>
      <c r="G602" s="42"/>
      <c r="H602" s="372" t="s">
        <v>14</v>
      </c>
      <c r="I602" s="135"/>
      <c r="J602" s="135"/>
      <c r="K602" s="136"/>
      <c r="L602" s="468">
        <f>L603+L604</f>
        <v>0</v>
      </c>
      <c r="M602" s="224">
        <f>M603+M604</f>
        <v>0</v>
      </c>
      <c r="N602" s="224">
        <f>N603+N604</f>
        <v>0</v>
      </c>
      <c r="O602" s="224">
        <f t="shared" si="151"/>
        <v>0</v>
      </c>
      <c r="P602" s="224">
        <f t="shared" si="152"/>
        <v>0</v>
      </c>
      <c r="Q602" s="224">
        <f>Q603+Q604</f>
        <v>0</v>
      </c>
      <c r="R602" s="224">
        <f>R603+R604</f>
        <v>0</v>
      </c>
      <c r="S602" s="224">
        <f>S603+S604</f>
        <v>0</v>
      </c>
      <c r="T602" s="224">
        <f t="shared" si="153"/>
        <v>0</v>
      </c>
      <c r="U602" s="224">
        <f t="shared" si="154"/>
        <v>0</v>
      </c>
    </row>
    <row r="603" spans="1:21" ht="18.75" hidden="1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469">
        <v>0</v>
      </c>
      <c r="M603" s="83">
        <v>0</v>
      </c>
      <c r="N603" s="83">
        <v>0</v>
      </c>
      <c r="O603" s="83">
        <f t="shared" si="151"/>
        <v>0</v>
      </c>
      <c r="P603" s="83">
        <f t="shared" si="152"/>
        <v>0</v>
      </c>
      <c r="Q603" s="83">
        <v>0</v>
      </c>
      <c r="R603" s="83">
        <v>0</v>
      </c>
      <c r="S603" s="83">
        <v>0</v>
      </c>
      <c r="T603" s="83">
        <f t="shared" si="153"/>
        <v>0</v>
      </c>
      <c r="U603" s="83">
        <f t="shared" si="154"/>
        <v>0</v>
      </c>
    </row>
    <row r="604" spans="1:21" ht="18.75" hidden="1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468">
        <v>0</v>
      </c>
      <c r="M604" s="224">
        <v>0</v>
      </c>
      <c r="N604" s="224">
        <v>0</v>
      </c>
      <c r="O604" s="224">
        <f t="shared" si="151"/>
        <v>0</v>
      </c>
      <c r="P604" s="224">
        <f t="shared" si="152"/>
        <v>0</v>
      </c>
      <c r="Q604" s="224">
        <v>0</v>
      </c>
      <c r="R604" s="224">
        <v>0</v>
      </c>
      <c r="S604" s="224">
        <v>0</v>
      </c>
      <c r="T604" s="224">
        <f t="shared" si="153"/>
        <v>0</v>
      </c>
      <c r="U604" s="224">
        <f t="shared" si="154"/>
        <v>0</v>
      </c>
    </row>
    <row r="605" spans="1:21" ht="19.5" hidden="1" x14ac:dyDescent="0.3">
      <c r="A605" s="128"/>
      <c r="B605" s="158"/>
      <c r="C605" s="158"/>
      <c r="D605" s="494" t="s">
        <v>23</v>
      </c>
      <c r="E605" s="158"/>
      <c r="F605" s="40"/>
      <c r="G605" s="42"/>
      <c r="H605" s="374" t="s">
        <v>14</v>
      </c>
      <c r="I605" s="135"/>
      <c r="J605" s="135"/>
      <c r="K605" s="136"/>
      <c r="L605" s="468">
        <f>L606+L607</f>
        <v>0</v>
      </c>
      <c r="M605" s="224">
        <f>M606+M607</f>
        <v>0</v>
      </c>
      <c r="N605" s="224">
        <f>N606+N607</f>
        <v>0</v>
      </c>
      <c r="O605" s="224">
        <f t="shared" si="151"/>
        <v>0</v>
      </c>
      <c r="P605" s="224">
        <f t="shared" si="152"/>
        <v>0</v>
      </c>
      <c r="Q605" s="224">
        <f>Q606+Q607</f>
        <v>0</v>
      </c>
      <c r="R605" s="224">
        <f>R606+R607</f>
        <v>0</v>
      </c>
      <c r="S605" s="224">
        <f>S606+S607</f>
        <v>0</v>
      </c>
      <c r="T605" s="224">
        <f t="shared" si="153"/>
        <v>0</v>
      </c>
      <c r="U605" s="224">
        <f t="shared" si="154"/>
        <v>0</v>
      </c>
    </row>
    <row r="606" spans="1:21" ht="18.75" hidden="1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469">
        <v>0</v>
      </c>
      <c r="M606" s="83">
        <v>0</v>
      </c>
      <c r="N606" s="83">
        <v>0</v>
      </c>
      <c r="O606" s="83">
        <f t="shared" si="151"/>
        <v>0</v>
      </c>
      <c r="P606" s="83">
        <f t="shared" si="152"/>
        <v>0</v>
      </c>
      <c r="Q606" s="83">
        <v>0</v>
      </c>
      <c r="R606" s="83">
        <v>0</v>
      </c>
      <c r="S606" s="83">
        <v>0</v>
      </c>
      <c r="T606" s="83">
        <f t="shared" si="153"/>
        <v>0</v>
      </c>
      <c r="U606" s="83">
        <f t="shared" si="154"/>
        <v>0</v>
      </c>
    </row>
    <row r="607" spans="1:21" ht="18.75" hidden="1" x14ac:dyDescent="0.25">
      <c r="A607" s="128"/>
      <c r="B607" s="158"/>
      <c r="C607" s="158"/>
      <c r="D607" s="40"/>
      <c r="E607" s="314" t="s">
        <v>21</v>
      </c>
      <c r="F607" s="40"/>
      <c r="G607" s="42"/>
      <c r="H607" s="375" t="s">
        <v>14</v>
      </c>
      <c r="I607" s="135"/>
      <c r="J607" s="135"/>
      <c r="K607" s="136"/>
      <c r="L607" s="468">
        <v>0</v>
      </c>
      <c r="M607" s="224">
        <v>0</v>
      </c>
      <c r="N607" s="224">
        <v>0</v>
      </c>
      <c r="O607" s="224">
        <f t="shared" si="151"/>
        <v>0</v>
      </c>
      <c r="P607" s="224">
        <f t="shared" si="152"/>
        <v>0</v>
      </c>
      <c r="Q607" s="224">
        <v>0</v>
      </c>
      <c r="R607" s="224">
        <v>0</v>
      </c>
      <c r="S607" s="224">
        <v>0</v>
      </c>
      <c r="T607" s="224">
        <f t="shared" si="153"/>
        <v>0</v>
      </c>
      <c r="U607" s="224">
        <f t="shared" si="154"/>
        <v>0</v>
      </c>
    </row>
    <row r="608" spans="1:21" ht="19.5" hidden="1" x14ac:dyDescent="0.3">
      <c r="A608" s="138"/>
      <c r="B608" s="139"/>
      <c r="C608" s="177" t="s">
        <v>18</v>
      </c>
      <c r="D608" s="509" t="s">
        <v>38</v>
      </c>
      <c r="E608" s="141"/>
      <c r="F608" s="141"/>
      <c r="G608" s="142"/>
      <c r="H608" s="178"/>
      <c r="I608" s="135"/>
      <c r="J608" s="135"/>
      <c r="K608" s="136"/>
      <c r="L608" s="465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377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465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377" t="s">
        <v>217</v>
      </c>
      <c r="E610" s="145"/>
      <c r="F610" s="145"/>
      <c r="G610" s="143"/>
      <c r="H610" s="372" t="s">
        <v>35</v>
      </c>
      <c r="I610" s="44"/>
      <c r="J610" s="44"/>
      <c r="K610" s="136"/>
      <c r="L610" s="465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377" t="s">
        <v>218</v>
      </c>
      <c r="F611" s="145"/>
      <c r="G611" s="143"/>
      <c r="H611" s="375" t="s">
        <v>35</v>
      </c>
      <c r="I611" s="44"/>
      <c r="J611" s="44"/>
      <c r="K611" s="136"/>
      <c r="L611" s="465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378"/>
      <c r="B612" s="379"/>
      <c r="C612" s="379"/>
      <c r="D612" s="379"/>
      <c r="E612" s="380" t="s">
        <v>219</v>
      </c>
      <c r="F612" s="381"/>
      <c r="G612" s="382"/>
      <c r="H612" s="383" t="s">
        <v>35</v>
      </c>
      <c r="I612" s="384"/>
      <c r="J612" s="384"/>
      <c r="K612" s="385"/>
      <c r="L612" s="508"/>
      <c r="M612" s="386"/>
      <c r="N612" s="386"/>
      <c r="O612" s="386"/>
      <c r="P612" s="386"/>
      <c r="Q612" s="386"/>
      <c r="R612" s="386"/>
      <c r="S612" s="386"/>
      <c r="T612" s="386"/>
      <c r="U612" s="386"/>
    </row>
    <row r="613" spans="1:21" ht="19.5" hidden="1" x14ac:dyDescent="0.3">
      <c r="A613" s="387" t="s">
        <v>220</v>
      </c>
      <c r="B613" s="388"/>
      <c r="C613" s="388"/>
      <c r="D613" s="389"/>
      <c r="E613" s="389"/>
      <c r="F613" s="389"/>
      <c r="G613" s="390"/>
      <c r="H613" s="391"/>
      <c r="I613" s="392"/>
      <c r="J613" s="392"/>
      <c r="K613" s="393"/>
      <c r="L613" s="507"/>
      <c r="M613" s="393"/>
      <c r="N613" s="393"/>
      <c r="O613" s="393"/>
      <c r="P613" s="393"/>
      <c r="Q613" s="393"/>
      <c r="R613" s="393"/>
      <c r="S613" s="393"/>
      <c r="T613" s="393"/>
      <c r="U613" s="393"/>
    </row>
    <row r="614" spans="1:21" ht="19.5" x14ac:dyDescent="0.3">
      <c r="A614" s="394"/>
      <c r="B614" s="395" t="s">
        <v>221</v>
      </c>
      <c r="C614" s="394"/>
      <c r="D614" s="396"/>
      <c r="E614" s="396"/>
      <c r="F614" s="396"/>
      <c r="G614" s="397"/>
      <c r="H614" s="398"/>
      <c r="I614" s="399"/>
      <c r="J614" s="399"/>
      <c r="K614" s="400"/>
      <c r="L614" s="473"/>
      <c r="M614" s="400"/>
      <c r="N614" s="400"/>
      <c r="O614" s="400"/>
      <c r="P614" s="400"/>
      <c r="Q614" s="400"/>
      <c r="R614" s="400"/>
      <c r="S614" s="400"/>
      <c r="T614" s="400"/>
      <c r="U614" s="400"/>
    </row>
    <row r="615" spans="1:21" ht="19.5" x14ac:dyDescent="0.3">
      <c r="A615" s="401"/>
      <c r="B615" s="402" t="s">
        <v>222</v>
      </c>
      <c r="C615" s="401"/>
      <c r="D615" s="403"/>
      <c r="E615" s="403"/>
      <c r="F615" s="403"/>
      <c r="G615" s="404"/>
      <c r="H615" s="405" t="s">
        <v>46</v>
      </c>
      <c r="I615" s="506">
        <f ca="1">I626</f>
        <v>50</v>
      </c>
      <c r="J615" s="506">
        <f>J626</f>
        <v>0</v>
      </c>
      <c r="K615" s="505">
        <f ca="1">IF(I615&gt;0,J615*100/I615,0)</f>
        <v>0</v>
      </c>
      <c r="L615" s="504"/>
      <c r="M615" s="408"/>
      <c r="N615" s="408"/>
      <c r="O615" s="408"/>
      <c r="P615" s="408"/>
      <c r="Q615" s="408"/>
      <c r="R615" s="408"/>
      <c r="S615" s="408"/>
      <c r="T615" s="408"/>
      <c r="U615" s="408"/>
    </row>
    <row r="616" spans="1:21" ht="19.5" x14ac:dyDescent="0.3">
      <c r="A616" s="128"/>
      <c r="B616" s="158"/>
      <c r="C616" s="177" t="s">
        <v>18</v>
      </c>
      <c r="D616" s="821" t="s">
        <v>19</v>
      </c>
      <c r="E616" s="793"/>
      <c r="F616" s="793"/>
      <c r="G616" s="794"/>
      <c r="H616" s="221" t="s">
        <v>14</v>
      </c>
      <c r="I616" s="44"/>
      <c r="J616" s="44"/>
      <c r="K616" s="45"/>
      <c r="L616" s="471">
        <f>L617+L618</f>
        <v>0</v>
      </c>
      <c r="M616" s="470">
        <f>M617+M618</f>
        <v>0</v>
      </c>
      <c r="N616" s="470">
        <f>N617+N618</f>
        <v>0</v>
      </c>
      <c r="O616" s="470">
        <f t="shared" ref="O616:O624" si="157">IF(L616&gt;0,N616*100/L616,0)</f>
        <v>0</v>
      </c>
      <c r="P616" s="470">
        <f t="shared" ref="P616:P624" si="158">IF(M616&gt;0,N616*100/M616,0)</f>
        <v>0</v>
      </c>
      <c r="Q616" s="470">
        <f ca="1">Q617+Q618</f>
        <v>7300</v>
      </c>
      <c r="R616" s="470">
        <f ca="1">R617+R618</f>
        <v>7300</v>
      </c>
      <c r="S616" s="470">
        <f ca="1">S617+S618</f>
        <v>0</v>
      </c>
      <c r="T616" s="470">
        <f t="shared" ref="T616:T624" ca="1" si="159">IF(Q616&gt;0,S616*100/Q616,0)</f>
        <v>0</v>
      </c>
      <c r="U616" s="470">
        <f t="shared" ref="U616:U624" ca="1" si="160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469">
        <f t="shared" ref="L617:N618" si="161">L620+L623</f>
        <v>0</v>
      </c>
      <c r="M617" s="83">
        <f t="shared" si="161"/>
        <v>0</v>
      </c>
      <c r="N617" s="83">
        <f t="shared" si="161"/>
        <v>0</v>
      </c>
      <c r="O617" s="83">
        <f t="shared" si="157"/>
        <v>0</v>
      </c>
      <c r="P617" s="83">
        <f t="shared" si="158"/>
        <v>0</v>
      </c>
      <c r="Q617" s="83">
        <f t="shared" ref="Q617:S618" si="162">Q620+Q623</f>
        <v>0</v>
      </c>
      <c r="R617" s="83">
        <f t="shared" si="162"/>
        <v>0</v>
      </c>
      <c r="S617" s="83">
        <f t="shared" si="162"/>
        <v>0</v>
      </c>
      <c r="T617" s="83">
        <f t="shared" si="159"/>
        <v>0</v>
      </c>
      <c r="U617" s="83">
        <f t="shared" si="160"/>
        <v>0</v>
      </c>
    </row>
    <row r="618" spans="1:21" ht="18.75" hidden="1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468">
        <f t="shared" si="161"/>
        <v>0</v>
      </c>
      <c r="M618" s="224">
        <f t="shared" si="161"/>
        <v>0</v>
      </c>
      <c r="N618" s="224">
        <f t="shared" si="161"/>
        <v>0</v>
      </c>
      <c r="O618" s="224">
        <f t="shared" si="157"/>
        <v>0</v>
      </c>
      <c r="P618" s="224">
        <f t="shared" si="158"/>
        <v>0</v>
      </c>
      <c r="Q618" s="224">
        <f t="shared" ca="1" si="162"/>
        <v>7300</v>
      </c>
      <c r="R618" s="224">
        <f t="shared" ca="1" si="162"/>
        <v>7300</v>
      </c>
      <c r="S618" s="224">
        <f t="shared" ca="1" si="162"/>
        <v>0</v>
      </c>
      <c r="T618" s="224">
        <f t="shared" ca="1" si="159"/>
        <v>0</v>
      </c>
      <c r="U618" s="224">
        <f t="shared" ca="1" si="160"/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468">
        <f>L620+L621</f>
        <v>0</v>
      </c>
      <c r="M619" s="224">
        <f>M620+M621</f>
        <v>0</v>
      </c>
      <c r="N619" s="224">
        <f>N620+N621</f>
        <v>0</v>
      </c>
      <c r="O619" s="224">
        <f t="shared" si="157"/>
        <v>0</v>
      </c>
      <c r="P619" s="224">
        <f t="shared" si="158"/>
        <v>0</v>
      </c>
      <c r="Q619" s="224">
        <f ca="1">Q620+Q621</f>
        <v>7300</v>
      </c>
      <c r="R619" s="224">
        <f ca="1">R620+R621</f>
        <v>7300</v>
      </c>
      <c r="S619" s="224">
        <f ca="1">S620+S621</f>
        <v>0</v>
      </c>
      <c r="T619" s="224">
        <f t="shared" ca="1" si="159"/>
        <v>0</v>
      </c>
      <c r="U619" s="224">
        <f t="shared" ca="1" si="160"/>
        <v>0</v>
      </c>
    </row>
    <row r="620" spans="1:21" ht="18.75" hidden="1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469">
        <v>0</v>
      </c>
      <c r="M620" s="83">
        <v>0</v>
      </c>
      <c r="N620" s="83">
        <v>0</v>
      </c>
      <c r="O620" s="83">
        <f t="shared" si="157"/>
        <v>0</v>
      </c>
      <c r="P620" s="83">
        <f t="shared" si="158"/>
        <v>0</v>
      </c>
      <c r="Q620" s="83">
        <v>0</v>
      </c>
      <c r="R620" s="83">
        <v>0</v>
      </c>
      <c r="S620" s="83">
        <v>0</v>
      </c>
      <c r="T620" s="83">
        <f t="shared" si="159"/>
        <v>0</v>
      </c>
      <c r="U620" s="83">
        <f t="shared" si="160"/>
        <v>0</v>
      </c>
    </row>
    <row r="621" spans="1:21" ht="18.75" hidden="1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468">
        <v>0</v>
      </c>
      <c r="M621" s="224">
        <v>0</v>
      </c>
      <c r="N621" s="224">
        <v>0</v>
      </c>
      <c r="O621" s="224">
        <f t="shared" si="157"/>
        <v>0</v>
      </c>
      <c r="P621" s="224">
        <f t="shared" si="158"/>
        <v>0</v>
      </c>
      <c r="Q621" s="224">
        <f ca="1">IFERROR(__xludf.DUMMYFUNCTION("IMPORTRANGE(""https://docs.google.com/spreadsheets/d/1ItG2mGa2ceCfYo0BwxsXqNm01IGEUdYcSSLTEv9YCik/edit?usp=sharing"",""เบิกจ่ายกองทุน!F24"")"),7300)</f>
        <v>7300</v>
      </c>
      <c r="R621" s="224">
        <f ca="1">IFERROR(__xludf.DUMMYFUNCTION("IMPORTRANGE(""https://docs.google.com/spreadsheets/d/1ItG2mGa2ceCfYo0BwxsXqNm01IGEUdYcSSLTEv9YCik/edit?usp=sharing"",""เบิกจ่ายกองทุน!G24"")"),7300)</f>
        <v>7300</v>
      </c>
      <c r="S621" s="224">
        <f ca="1">IFERROR(__xludf.DUMMYFUNCTION("IMPORTRANGE(""https://docs.google.com/spreadsheets/d/1ItG2mGa2ceCfYo0BwxsXqNm01IGEUdYcSSLTEv9YCik/edit?usp=sharing"",""เบิกจ่ายกองทุน!H24"")"),0)</f>
        <v>0</v>
      </c>
      <c r="T621" s="224">
        <f t="shared" ca="1" si="159"/>
        <v>0</v>
      </c>
      <c r="U621" s="224">
        <f t="shared" ca="1" si="160"/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468">
        <f>L623+L624</f>
        <v>0</v>
      </c>
      <c r="M622" s="224">
        <f>M623+M624</f>
        <v>0</v>
      </c>
      <c r="N622" s="224">
        <f>N623+N624</f>
        <v>0</v>
      </c>
      <c r="O622" s="224">
        <f t="shared" si="157"/>
        <v>0</v>
      </c>
      <c r="P622" s="224">
        <f t="shared" si="158"/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 t="shared" si="159"/>
        <v>0</v>
      </c>
      <c r="U622" s="224">
        <f t="shared" si="160"/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469">
        <v>0</v>
      </c>
      <c r="M623" s="83">
        <v>0</v>
      </c>
      <c r="N623" s="83">
        <v>0</v>
      </c>
      <c r="O623" s="83">
        <f t="shared" si="157"/>
        <v>0</v>
      </c>
      <c r="P623" s="83">
        <f t="shared" si="158"/>
        <v>0</v>
      </c>
      <c r="Q623" s="83">
        <v>0</v>
      </c>
      <c r="R623" s="83">
        <v>0</v>
      </c>
      <c r="S623" s="83">
        <v>0</v>
      </c>
      <c r="T623" s="83">
        <f t="shared" si="159"/>
        <v>0</v>
      </c>
      <c r="U623" s="83">
        <f t="shared" si="160"/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468">
        <v>0</v>
      </c>
      <c r="M624" s="224">
        <v>0</v>
      </c>
      <c r="N624" s="224">
        <v>0</v>
      </c>
      <c r="O624" s="224">
        <f t="shared" si="157"/>
        <v>0</v>
      </c>
      <c r="P624" s="224">
        <f t="shared" si="158"/>
        <v>0</v>
      </c>
      <c r="Q624" s="224">
        <v>0</v>
      </c>
      <c r="R624" s="224">
        <v>0</v>
      </c>
      <c r="S624" s="224">
        <v>0</v>
      </c>
      <c r="T624" s="224">
        <f t="shared" si="159"/>
        <v>0</v>
      </c>
      <c r="U624" s="224">
        <f t="shared" si="160"/>
        <v>0</v>
      </c>
    </row>
    <row r="625" spans="1:21" ht="19.5" x14ac:dyDescent="0.3">
      <c r="A625" s="138"/>
      <c r="B625" s="139"/>
      <c r="C625" s="177" t="s">
        <v>18</v>
      </c>
      <c r="D625" s="467" t="s">
        <v>38</v>
      </c>
      <c r="E625" s="141"/>
      <c r="F625" s="141"/>
      <c r="G625" s="142"/>
      <c r="H625" s="178"/>
      <c r="I625" s="135"/>
      <c r="J625" s="135"/>
      <c r="K625" s="136"/>
      <c r="L625" s="4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10" t="s">
        <v>223</v>
      </c>
      <c r="E626" s="145"/>
      <c r="F626" s="145"/>
      <c r="G626" s="143"/>
      <c r="H626" s="411" t="s">
        <v>46</v>
      </c>
      <c r="I626" s="328">
        <f ca="1">IFERROR(__xludf.DUMMYFUNCTION("IMPORTRANGE(""https://docs.google.com/spreadsheets/d/1eHaY18a8A9IcSdp1K8H6x8fbOy06t2VsZHhMHf-1x7Y/edit?usp=sharing"",""แผน!ID24"")"),50)</f>
        <v>50</v>
      </c>
      <c r="J626" s="328">
        <f>J632</f>
        <v>0</v>
      </c>
      <c r="K626" s="470">
        <f ca="1">IF(I626&gt;0,J626*100/I626,0)</f>
        <v>0</v>
      </c>
      <c r="L626" s="4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IFERROR(__xludf.DUMMYFUNCTION("IMPORTRANGE(""https://docs.google.com/spreadsheets/d/1eHaY18a8A9IcSdp1K8H6x8fbOy06t2VsZHhMHf-1x7Y/edit?usp=sharing"",""แผน!IC24"")"),1)</f>
        <v>1</v>
      </c>
      <c r="J627" s="466">
        <v>1</v>
      </c>
      <c r="K627" s="224">
        <f ca="1">IF(I627&gt;0,(J627*100)/I627,0)</f>
        <v>100</v>
      </c>
      <c r="L627" s="4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IFERROR(__xludf.DUMMYFUNCTION("IMPORTRANGE(""https://docs.google.com/spreadsheets/d/1eHaY18a8A9IcSdp1K8H6x8fbOy06t2VsZHhMHf-1x7Y/edit?usp=sharing"",""แผน!IC24"")"),1)</f>
        <v>1</v>
      </c>
      <c r="J628" s="466">
        <v>1</v>
      </c>
      <c r="K628" s="224">
        <f ca="1">IF(I628&gt;0,(J628*100)/I628,0)</f>
        <v>100</v>
      </c>
      <c r="L628" s="4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466">
        <v>0</v>
      </c>
      <c r="K629" s="224">
        <f ca="1">IF(I$626&gt;0,J629*100/I$626,0)</f>
        <v>0</v>
      </c>
      <c r="L629" s="4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466">
        <v>0</v>
      </c>
      <c r="K630" s="224">
        <f ca="1">IF(I$626&gt;0,J630*100/I$626,0)</f>
        <v>0</v>
      </c>
      <c r="L630" s="4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466">
        <v>0</v>
      </c>
      <c r="K631" s="224">
        <f ca="1">IF(I$626&gt;0,J631*100/I$626,0)</f>
        <v>0</v>
      </c>
      <c r="L631" s="4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470">
        <f ca="1">IF(I626&gt;0,J632*100/I626,0)</f>
        <v>0</v>
      </c>
      <c r="L632" s="4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466">
        <v>0</v>
      </c>
      <c r="K633" s="45"/>
      <c r="L633" s="4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466">
        <v>0</v>
      </c>
      <c r="K634" s="45"/>
      <c r="L634" s="4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10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IFERROR(__xludf.DUMMYFUNCTION("IMPORTRANGE(""https://docs.google.com/spreadsheets/d/1eHaY18a8A9IcSdp1K8H6x8fbOy06t2VsZHhMHf-1x7Y/edit?usp=sharing"",""แผน!IE24"")"),0)</f>
        <v>0</v>
      </c>
      <c r="J635" s="328">
        <f>J636</f>
        <v>0</v>
      </c>
      <c r="K635" s="470">
        <f ca="1">IF(I635&gt;0,J635*100/I635,0)</f>
        <v>0</v>
      </c>
      <c r="L635" s="4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4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466">
        <v>0</v>
      </c>
      <c r="K637" s="45"/>
      <c r="L637" s="4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466">
        <v>0</v>
      </c>
      <c r="K638" s="45"/>
      <c r="L638" s="4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466">
        <v>0</v>
      </c>
      <c r="K639" s="45"/>
      <c r="L639" s="4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466">
        <v>0</v>
      </c>
      <c r="K640" s="45"/>
      <c r="L640" s="4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01"/>
      <c r="B641" s="402" t="s">
        <v>236</v>
      </c>
      <c r="C641" s="401"/>
      <c r="D641" s="403"/>
      <c r="E641" s="403"/>
      <c r="F641" s="403"/>
      <c r="G641" s="404"/>
      <c r="H641" s="412"/>
      <c r="I641" s="413"/>
      <c r="J641" s="413"/>
      <c r="K641" s="408"/>
      <c r="L641" s="504"/>
      <c r="M641" s="408"/>
      <c r="N641" s="408"/>
      <c r="O641" s="408"/>
      <c r="P641" s="408"/>
      <c r="Q641" s="408"/>
      <c r="R641" s="408"/>
      <c r="S641" s="408"/>
      <c r="T641" s="408"/>
      <c r="U641" s="408"/>
    </row>
    <row r="642" spans="1:21" ht="19.5" hidden="1" x14ac:dyDescent="0.3">
      <c r="A642" s="128"/>
      <c r="B642" s="158"/>
      <c r="C642" s="209" t="s">
        <v>18</v>
      </c>
      <c r="D642" s="821" t="s">
        <v>19</v>
      </c>
      <c r="E642" s="793"/>
      <c r="F642" s="793"/>
      <c r="G642" s="794"/>
      <c r="H642" s="221" t="s">
        <v>14</v>
      </c>
      <c r="I642" s="44"/>
      <c r="J642" s="44"/>
      <c r="K642" s="45"/>
      <c r="L642" s="471">
        <f>L643+L644</f>
        <v>0</v>
      </c>
      <c r="M642" s="470">
        <f>M643+M644</f>
        <v>0</v>
      </c>
      <c r="N642" s="470">
        <f>N643+N644</f>
        <v>0</v>
      </c>
      <c r="O642" s="470">
        <f t="shared" ref="O642:O650" si="163">IF(L642&gt;0,N642*100/L642,0)</f>
        <v>0</v>
      </c>
      <c r="P642" s="470">
        <f t="shared" ref="P642:P650" si="164">IF(M642&gt;0,N642*100/M642,0)</f>
        <v>0</v>
      </c>
      <c r="Q642" s="470">
        <f ca="1">Q643+Q644</f>
        <v>0</v>
      </c>
      <c r="R642" s="470">
        <f ca="1">R643+R644</f>
        <v>0</v>
      </c>
      <c r="S642" s="470">
        <f ca="1">S643+S644</f>
        <v>0</v>
      </c>
      <c r="T642" s="470">
        <f t="shared" ref="T642:T650" ca="1" si="165">IF(Q642&gt;0,S642*100/Q642,0)</f>
        <v>0</v>
      </c>
      <c r="U642" s="470">
        <f t="shared" ref="U642:U650" ca="1" si="166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469">
        <f t="shared" ref="L643:N644" si="167">L646+L649</f>
        <v>0</v>
      </c>
      <c r="M643" s="83">
        <f t="shared" si="167"/>
        <v>0</v>
      </c>
      <c r="N643" s="83">
        <f t="shared" si="167"/>
        <v>0</v>
      </c>
      <c r="O643" s="83">
        <f t="shared" si="163"/>
        <v>0</v>
      </c>
      <c r="P643" s="83">
        <f t="shared" si="164"/>
        <v>0</v>
      </c>
      <c r="Q643" s="83">
        <f t="shared" ref="Q643:S644" si="168">Q646+Q649</f>
        <v>0</v>
      </c>
      <c r="R643" s="83">
        <f t="shared" si="168"/>
        <v>0</v>
      </c>
      <c r="S643" s="83">
        <f t="shared" si="168"/>
        <v>0</v>
      </c>
      <c r="T643" s="83">
        <f t="shared" si="165"/>
        <v>0</v>
      </c>
      <c r="U643" s="83">
        <f t="shared" si="166"/>
        <v>0</v>
      </c>
    </row>
    <row r="644" spans="1:21" ht="18.75" hidden="1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468">
        <f t="shared" si="167"/>
        <v>0</v>
      </c>
      <c r="M644" s="224">
        <f t="shared" si="167"/>
        <v>0</v>
      </c>
      <c r="N644" s="224">
        <f t="shared" si="167"/>
        <v>0</v>
      </c>
      <c r="O644" s="224">
        <f t="shared" si="163"/>
        <v>0</v>
      </c>
      <c r="P644" s="224">
        <f t="shared" si="164"/>
        <v>0</v>
      </c>
      <c r="Q644" s="224">
        <f t="shared" ca="1" si="168"/>
        <v>0</v>
      </c>
      <c r="R644" s="224">
        <f t="shared" ca="1" si="168"/>
        <v>0</v>
      </c>
      <c r="S644" s="224">
        <f t="shared" ca="1" si="168"/>
        <v>0</v>
      </c>
      <c r="T644" s="224">
        <f t="shared" ca="1" si="165"/>
        <v>0</v>
      </c>
      <c r="U644" s="224">
        <f t="shared" ca="1" si="166"/>
        <v>0</v>
      </c>
    </row>
    <row r="645" spans="1:21" ht="18.75" hidden="1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468">
        <f>L646+L647</f>
        <v>0</v>
      </c>
      <c r="M645" s="224">
        <f>M646+M647</f>
        <v>0</v>
      </c>
      <c r="N645" s="224">
        <f>N646+N647</f>
        <v>0</v>
      </c>
      <c r="O645" s="224">
        <f t="shared" si="163"/>
        <v>0</v>
      </c>
      <c r="P645" s="224">
        <f t="shared" si="164"/>
        <v>0</v>
      </c>
      <c r="Q645" s="224">
        <f ca="1">Q646+Q647</f>
        <v>0</v>
      </c>
      <c r="R645" s="224">
        <f ca="1">R646+R647</f>
        <v>0</v>
      </c>
      <c r="S645" s="224">
        <f ca="1">S646+S647</f>
        <v>0</v>
      </c>
      <c r="T645" s="224">
        <f t="shared" ca="1" si="165"/>
        <v>0</v>
      </c>
      <c r="U645" s="224">
        <f t="shared" ca="1" si="166"/>
        <v>0</v>
      </c>
    </row>
    <row r="646" spans="1:21" ht="18.75" hidden="1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469">
        <v>0</v>
      </c>
      <c r="M646" s="83">
        <v>0</v>
      </c>
      <c r="N646" s="83">
        <v>0</v>
      </c>
      <c r="O646" s="83">
        <f t="shared" si="163"/>
        <v>0</v>
      </c>
      <c r="P646" s="83">
        <f t="shared" si="164"/>
        <v>0</v>
      </c>
      <c r="Q646" s="83">
        <v>0</v>
      </c>
      <c r="R646" s="83">
        <v>0</v>
      </c>
      <c r="S646" s="83">
        <v>0</v>
      </c>
      <c r="T646" s="83">
        <f t="shared" si="165"/>
        <v>0</v>
      </c>
      <c r="U646" s="83">
        <f t="shared" si="166"/>
        <v>0</v>
      </c>
    </row>
    <row r="647" spans="1:21" ht="18.75" hidden="1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468">
        <v>0</v>
      </c>
      <c r="M647" s="224">
        <v>0</v>
      </c>
      <c r="N647" s="224">
        <v>0</v>
      </c>
      <c r="O647" s="224">
        <f t="shared" si="163"/>
        <v>0</v>
      </c>
      <c r="P647" s="224">
        <f t="shared" si="164"/>
        <v>0</v>
      </c>
      <c r="Q647" s="224">
        <f ca="1">IFERROR(__xludf.DUMMYFUNCTION("IMPORTRANGE(""https://docs.google.com/spreadsheets/d/1ItG2mGa2ceCfYo0BwxsXqNm01IGEUdYcSSLTEv9YCik/edit?usp=sharing"",""เบิกจ่ายกองทุน!I24"")"),0)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IFERROR(__xludf.DUMMYFUNCTION("IMPORTRANGE(""https://docs.google.com/spreadsheets/d/1ItG2mGa2ceCfYo0BwxsXqNm01IGEUdYcSSLTEv9YCik/edit?usp=sharing"",""เบิกจ่ายกองทุน!J24"")"),0)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IFERROR(__xludf.DUMMYFUNCTION("IMPORTRANGE(""https://docs.google.com/spreadsheets/d/1ItG2mGa2ceCfYo0BwxsXqNm01IGEUdYcSSLTEv9YCik/edit?usp=sharing"",""เบิกจ่ายกองทุน!K24"")"),0)</f>
        <v>0</v>
      </c>
      <c r="T647" s="224">
        <f t="shared" ca="1" si="165"/>
        <v>0</v>
      </c>
      <c r="U647" s="224">
        <f t="shared" ca="1" si="166"/>
        <v>0</v>
      </c>
    </row>
    <row r="648" spans="1:21" ht="18.75" hidden="1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468">
        <f>L649+L650</f>
        <v>0</v>
      </c>
      <c r="M648" s="224">
        <f>M649+M650</f>
        <v>0</v>
      </c>
      <c r="N648" s="224">
        <f>N649+N650</f>
        <v>0</v>
      </c>
      <c r="O648" s="224">
        <f t="shared" si="163"/>
        <v>0</v>
      </c>
      <c r="P648" s="224">
        <f t="shared" si="164"/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 t="shared" si="165"/>
        <v>0</v>
      </c>
      <c r="U648" s="224">
        <f t="shared" si="166"/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469">
        <v>0</v>
      </c>
      <c r="M649" s="83">
        <v>0</v>
      </c>
      <c r="N649" s="83">
        <v>0</v>
      </c>
      <c r="O649" s="83">
        <f t="shared" si="163"/>
        <v>0</v>
      </c>
      <c r="P649" s="83">
        <f t="shared" si="164"/>
        <v>0</v>
      </c>
      <c r="Q649" s="83">
        <v>0</v>
      </c>
      <c r="R649" s="83">
        <v>0</v>
      </c>
      <c r="S649" s="83">
        <v>0</v>
      </c>
      <c r="T649" s="83">
        <f t="shared" si="165"/>
        <v>0</v>
      </c>
      <c r="U649" s="83">
        <f t="shared" si="166"/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468">
        <v>0</v>
      </c>
      <c r="M650" s="224">
        <v>0</v>
      </c>
      <c r="N650" s="224">
        <v>0</v>
      </c>
      <c r="O650" s="224">
        <f t="shared" si="163"/>
        <v>0</v>
      </c>
      <c r="P650" s="224">
        <f t="shared" si="164"/>
        <v>0</v>
      </c>
      <c r="Q650" s="224">
        <v>0</v>
      </c>
      <c r="R650" s="224">
        <v>0</v>
      </c>
      <c r="S650" s="224">
        <v>0</v>
      </c>
      <c r="T650" s="224">
        <f t="shared" si="165"/>
        <v>0</v>
      </c>
      <c r="U650" s="224">
        <f t="shared" si="166"/>
        <v>0</v>
      </c>
    </row>
    <row r="651" spans="1:21" ht="19.5" hidden="1" x14ac:dyDescent="0.3">
      <c r="A651" s="138"/>
      <c r="B651" s="139"/>
      <c r="C651" s="209" t="s">
        <v>18</v>
      </c>
      <c r="D651" s="503" t="s">
        <v>38</v>
      </c>
      <c r="E651" s="141"/>
      <c r="F651" s="141"/>
      <c r="G651" s="142"/>
      <c r="H651" s="178"/>
      <c r="I651" s="135"/>
      <c r="J651" s="135"/>
      <c r="K651" s="136"/>
      <c r="L651" s="4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502">
        <f ca="1">IFERROR(__xludf.DUMMYFUNCTION("IMPORTRANGE(""https://docs.google.com/spreadsheets/d/1eHaY18a8A9IcSdp1K8H6x8fbOy06t2VsZHhMHf-1x7Y/edit?usp=sharing"",""แผน!IF24"")"),0)</f>
        <v>0</v>
      </c>
      <c r="J652" s="184">
        <f ca="1">IFERROR(__xludf.DUMMYFUNCTION("IMPORTRANGE(""https://docs.google.com/spreadsheets/d/1tdoBKaGub7dwA3U6UFTqxio9LNnvDCQjHKmttSEBsFQ/edit?usp=sharing"",""จัดที่ดิน!AU24"")"),0)</f>
        <v>0</v>
      </c>
      <c r="K652" s="224">
        <f ca="1">IF(I652&gt;0,J652*100/I652,0)</f>
        <v>0</v>
      </c>
      <c r="L652" s="465"/>
      <c r="M652" s="45"/>
      <c r="N652" s="416"/>
      <c r="O652" s="45"/>
      <c r="P652" s="45"/>
      <c r="Q652" s="45"/>
      <c r="R652" s="45"/>
      <c r="S652" s="416"/>
      <c r="T652" s="45"/>
      <c r="U652" s="45"/>
    </row>
    <row r="653" spans="1:21" ht="18.75" hidden="1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502">
        <f ca="1">IFERROR(__xludf.DUMMYFUNCTION("IMPORTRANGE(""https://docs.google.com/spreadsheets/d/1eHaY18a8A9IcSdp1K8H6x8fbOy06t2VsZHhMHf-1x7Y/edit?usp=sharing"",""แผน!IG24"")"),0)</f>
        <v>0</v>
      </c>
      <c r="J653" s="184">
        <f ca="1">IFERROR(__xludf.DUMMYFUNCTION("IMPORTRANGE(""https://docs.google.com/spreadsheets/d/1tdoBKaGub7dwA3U6UFTqxio9LNnvDCQjHKmttSEBsFQ/edit?usp=sharing"",""จัดที่ดิน!AW24"")"),0)</f>
        <v>0</v>
      </c>
      <c r="K653" s="224">
        <f ca="1">IF(I653&gt;0,J653*100/I653,0)</f>
        <v>0</v>
      </c>
      <c r="L653" s="465"/>
      <c r="M653" s="45"/>
      <c r="N653" s="416"/>
      <c r="O653" s="45"/>
      <c r="P653" s="45"/>
      <c r="Q653" s="45"/>
      <c r="R653" s="45"/>
      <c r="S653" s="416"/>
      <c r="T653" s="45"/>
      <c r="U653" s="45"/>
    </row>
    <row r="654" spans="1:21" ht="19.5" hidden="1" x14ac:dyDescent="0.3">
      <c r="A654" s="208"/>
      <c r="B654" s="158"/>
      <c r="C654" s="158"/>
      <c r="D654" s="47" t="s">
        <v>239</v>
      </c>
      <c r="E654" s="40"/>
      <c r="F654" s="40"/>
      <c r="G654" s="42"/>
      <c r="H654" s="411" t="s">
        <v>46</v>
      </c>
      <c r="I654" s="501">
        <f ca="1">IFERROR(__xludf.DUMMYFUNCTION("IMPORTRANGE(""https://docs.google.com/spreadsheets/d/1eHaY18a8A9IcSdp1K8H6x8fbOy06t2VsZHhMHf-1x7Y/edit?usp=sharing"",""แผน!IH24"")"),0)</f>
        <v>0</v>
      </c>
      <c r="J654" s="328">
        <f>J657+J660</f>
        <v>0</v>
      </c>
      <c r="K654" s="470">
        <f ca="1">IF(I654&gt;0,J654*100/I654,0)</f>
        <v>0</v>
      </c>
      <c r="L654" s="465"/>
      <c r="M654" s="45"/>
      <c r="N654" s="416"/>
      <c r="O654" s="45"/>
      <c r="P654" s="45"/>
      <c r="Q654" s="45"/>
      <c r="R654" s="45"/>
      <c r="S654" s="416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466">
        <v>0</v>
      </c>
      <c r="K655" s="45"/>
      <c r="L655" s="465"/>
      <c r="M655" s="45"/>
      <c r="N655" s="416"/>
      <c r="O655" s="45"/>
      <c r="P655" s="45"/>
      <c r="Q655" s="45"/>
      <c r="R655" s="45"/>
      <c r="S655" s="416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466">
        <v>0</v>
      </c>
      <c r="K656" s="45"/>
      <c r="L656" s="465"/>
      <c r="M656" s="45"/>
      <c r="N656" s="416"/>
      <c r="O656" s="45"/>
      <c r="P656" s="45"/>
      <c r="Q656" s="45"/>
      <c r="R656" s="45"/>
      <c r="S656" s="416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02">
        <f ca="1">IFERROR(__xludf.DUMMYFUNCTION("IMPORTRANGE(""https://docs.google.com/spreadsheets/d/1eHaY18a8A9IcSdp1K8H6x8fbOy06t2VsZHhMHf-1x7Y/edit?usp=sharing"",""แผน!II24"")"),0)</f>
        <v>0</v>
      </c>
      <c r="J657" s="466">
        <v>0</v>
      </c>
      <c r="K657" s="45"/>
      <c r="L657" s="465"/>
      <c r="M657" s="45"/>
      <c r="N657" s="416"/>
      <c r="O657" s="45"/>
      <c r="P657" s="45"/>
      <c r="Q657" s="45"/>
      <c r="R657" s="45"/>
      <c r="S657" s="416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466">
        <v>0</v>
      </c>
      <c r="K658" s="45"/>
      <c r="L658" s="465"/>
      <c r="M658" s="45"/>
      <c r="N658" s="416"/>
      <c r="O658" s="45"/>
      <c r="P658" s="45"/>
      <c r="Q658" s="45"/>
      <c r="R658" s="45"/>
      <c r="S658" s="416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466">
        <v>0</v>
      </c>
      <c r="K659" s="45"/>
      <c r="L659" s="465"/>
      <c r="M659" s="45"/>
      <c r="N659" s="416"/>
      <c r="O659" s="45"/>
      <c r="P659" s="45"/>
      <c r="Q659" s="45"/>
      <c r="R659" s="45"/>
      <c r="S659" s="416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02">
        <f ca="1">IFERROR(__xludf.DUMMYFUNCTION("IMPORTRANGE(""https://docs.google.com/spreadsheets/d/1eHaY18a8A9IcSdp1K8H6x8fbOy06t2VsZHhMHf-1x7Y/edit?usp=sharing"",""แผน!IJ24"")"),0)</f>
        <v>0</v>
      </c>
      <c r="J660" s="466">
        <v>0</v>
      </c>
      <c r="K660" s="45"/>
      <c r="L660" s="465"/>
      <c r="M660" s="45"/>
      <c r="N660" s="416"/>
      <c r="O660" s="45"/>
      <c r="P660" s="45"/>
      <c r="Q660" s="45"/>
      <c r="R660" s="45"/>
      <c r="S660" s="416"/>
      <c r="T660" s="45"/>
      <c r="U660" s="45"/>
    </row>
    <row r="661" spans="1:21" ht="19.5" hidden="1" x14ac:dyDescent="0.3">
      <c r="A661" s="208"/>
      <c r="B661" s="158"/>
      <c r="C661" s="158"/>
      <c r="D661" s="332" t="s">
        <v>242</v>
      </c>
      <c r="E661" s="40"/>
      <c r="F661" s="40"/>
      <c r="G661" s="42"/>
      <c r="H661" s="411" t="s">
        <v>46</v>
      </c>
      <c r="I661" s="501">
        <f ca="1">IFERROR(__xludf.DUMMYFUNCTION("IMPORTRANGE(""https://docs.google.com/spreadsheets/d/1eHaY18a8A9IcSdp1K8H6x8fbOy06t2VsZHhMHf-1x7Y/edit?usp=sharing"",""แผน!IK24"")"),0)</f>
        <v>0</v>
      </c>
      <c r="J661" s="328">
        <f>J667+J670</f>
        <v>0</v>
      </c>
      <c r="K661" s="470">
        <f ca="1">IF(I661&gt;0,J661*100/I661,0)</f>
        <v>0</v>
      </c>
      <c r="L661" s="465"/>
      <c r="M661" s="45"/>
      <c r="N661" s="416"/>
      <c r="O661" s="45"/>
      <c r="P661" s="45"/>
      <c r="Q661" s="45"/>
      <c r="R661" s="45"/>
      <c r="S661" s="416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466">
        <v>0</v>
      </c>
      <c r="K662" s="45"/>
      <c r="L662" s="500"/>
      <c r="M662" s="45"/>
      <c r="N662" s="416"/>
      <c r="O662" s="45"/>
      <c r="P662" s="45"/>
      <c r="Q662" s="416"/>
      <c r="R662" s="45"/>
      <c r="S662" s="416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466">
        <v>0</v>
      </c>
      <c r="K663" s="45"/>
      <c r="L663" s="500"/>
      <c r="M663" s="45"/>
      <c r="N663" s="416"/>
      <c r="O663" s="45"/>
      <c r="P663" s="45"/>
      <c r="Q663" s="416"/>
      <c r="R663" s="45"/>
      <c r="S663" s="416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500"/>
      <c r="M664" s="45"/>
      <c r="N664" s="416"/>
      <c r="O664" s="45"/>
      <c r="P664" s="45"/>
      <c r="Q664" s="416"/>
      <c r="R664" s="45"/>
      <c r="S664" s="416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466">
        <v>0</v>
      </c>
      <c r="K665" s="45"/>
      <c r="L665" s="500"/>
      <c r="M665" s="45"/>
      <c r="N665" s="416"/>
      <c r="O665" s="45"/>
      <c r="P665" s="45"/>
      <c r="Q665" s="416"/>
      <c r="R665" s="45"/>
      <c r="S665" s="416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466">
        <v>0</v>
      </c>
      <c r="K666" s="45"/>
      <c r="L666" s="500"/>
      <c r="M666" s="45"/>
      <c r="N666" s="416"/>
      <c r="O666" s="45"/>
      <c r="P666" s="45"/>
      <c r="Q666" s="416"/>
      <c r="R666" s="45"/>
      <c r="S666" s="416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466">
        <v>0</v>
      </c>
      <c r="K667" s="45"/>
      <c r="L667" s="500"/>
      <c r="M667" s="45"/>
      <c r="N667" s="416"/>
      <c r="O667" s="45"/>
      <c r="P667" s="45"/>
      <c r="Q667" s="416"/>
      <c r="R667" s="45"/>
      <c r="S667" s="416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466">
        <v>0</v>
      </c>
      <c r="K668" s="45"/>
      <c r="L668" s="500"/>
      <c r="M668" s="45"/>
      <c r="N668" s="416"/>
      <c r="O668" s="45"/>
      <c r="P668" s="45"/>
      <c r="Q668" s="416"/>
      <c r="R668" s="45"/>
      <c r="S668" s="416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466">
        <v>0</v>
      </c>
      <c r="K669" s="45"/>
      <c r="L669" s="500"/>
      <c r="M669" s="45"/>
      <c r="N669" s="416"/>
      <c r="O669" s="45"/>
      <c r="P669" s="45"/>
      <c r="Q669" s="416"/>
      <c r="R669" s="45"/>
      <c r="S669" s="416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466">
        <v>0</v>
      </c>
      <c r="K670" s="45"/>
      <c r="L670" s="500"/>
      <c r="M670" s="45"/>
      <c r="N670" s="416"/>
      <c r="O670" s="45"/>
      <c r="P670" s="45"/>
      <c r="Q670" s="416"/>
      <c r="R670" s="45"/>
      <c r="S670" s="416"/>
      <c r="T670" s="45"/>
      <c r="U670" s="45"/>
    </row>
    <row r="671" spans="1:21" ht="18.75" hidden="1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IFERROR(__xludf.DUMMYFUNCTION("IMPORTRANGE(""https://docs.google.com/spreadsheets/d/1tdoBKaGub7dwA3U6UFTqxio9LNnvDCQjHKmttSEBsFQ/edit?usp=sharing"",""จัดที่ดิน!AY24"")"),0)</f>
        <v>0</v>
      </c>
      <c r="K671" s="45"/>
      <c r="L671" s="465"/>
      <c r="M671" s="45"/>
      <c r="N671" s="416"/>
      <c r="O671" s="45"/>
      <c r="P671" s="45"/>
      <c r="Q671" s="45"/>
      <c r="R671" s="45"/>
      <c r="S671" s="416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IFERROR(__xludf.DUMMYFUNCTION("IMPORTRANGE(""https://docs.google.com/spreadsheets/d/1tdoBKaGub7dwA3U6UFTqxio9LNnvDCQjHKmttSEBsFQ/edit?usp=sharing"",""จัดที่ดิน!AZ24"")"),0)</f>
        <v>0</v>
      </c>
      <c r="K672" s="45"/>
      <c r="L672" s="500"/>
      <c r="M672" s="45"/>
      <c r="N672" s="416"/>
      <c r="O672" s="45"/>
      <c r="P672" s="45"/>
      <c r="Q672" s="416"/>
      <c r="R672" s="45"/>
      <c r="S672" s="416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02">
        <f ca="1">IFERROR(__xludf.DUMMYFUNCTION("IMPORTRANGE(""https://docs.google.com/spreadsheets/d/1eHaY18a8A9IcSdp1K8H6x8fbOy06t2VsZHhMHf-1x7Y/edit?usp=sharing"",""แผน!IL24"")"),0)</f>
        <v>0</v>
      </c>
      <c r="J673" s="184">
        <f ca="1">IFERROR(__xludf.DUMMYFUNCTION("IMPORTRANGE(""https://docs.google.com/spreadsheets/d/1tdoBKaGub7dwA3U6UFTqxio9LNnvDCQjHKmttSEBsFQ/edit?usp=sharing"",""จัดที่ดิน!BA24"")"),0)</f>
        <v>0</v>
      </c>
      <c r="K673" s="224">
        <f ca="1">IF(I673&gt;0,J673*100/I673,0)</f>
        <v>0</v>
      </c>
      <c r="L673" s="500"/>
      <c r="M673" s="45"/>
      <c r="N673" s="416"/>
      <c r="O673" s="45"/>
      <c r="P673" s="45"/>
      <c r="Q673" s="416"/>
      <c r="R673" s="45"/>
      <c r="S673" s="416"/>
      <c r="T673" s="45"/>
      <c r="U673" s="45"/>
    </row>
    <row r="674" spans="1:21" ht="19.5" hidden="1" x14ac:dyDescent="0.3">
      <c r="A674" s="208"/>
      <c r="B674" s="158"/>
      <c r="C674" s="158"/>
      <c r="D674" s="47" t="s">
        <v>248</v>
      </c>
      <c r="E674" s="40"/>
      <c r="F674" s="40"/>
      <c r="G674" s="42"/>
      <c r="H674" s="411" t="s">
        <v>35</v>
      </c>
      <c r="I674" s="501">
        <f ca="1">IFERROR(__xludf.DUMMYFUNCTION("IMPORTRANGE(""https://docs.google.com/spreadsheets/d/1eHaY18a8A9IcSdp1K8H6x8fbOy06t2VsZHhMHf-1x7Y/edit?usp=sharing"",""แผน!IM24"")"),0)</f>
        <v>0</v>
      </c>
      <c r="J674" s="328">
        <f ca="1">J676+J679</f>
        <v>0</v>
      </c>
      <c r="K674" s="470">
        <f ca="1">IF(I674&gt;0,J674*100/I674,0)</f>
        <v>0</v>
      </c>
      <c r="L674" s="500"/>
      <c r="M674" s="45"/>
      <c r="N674" s="416"/>
      <c r="O674" s="45"/>
      <c r="P674" s="45"/>
      <c r="Q674" s="416"/>
      <c r="R674" s="45"/>
      <c r="S674" s="416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11" t="s">
        <v>46</v>
      </c>
      <c r="I675" s="501">
        <f ca="1">IFERROR(__xludf.DUMMYFUNCTION("IMPORTRANGE(""https://docs.google.com/spreadsheets/d/1eHaY18a8A9IcSdp1K8H6x8fbOy06t2VsZHhMHf-1x7Y/edit?usp=sharing"",""แผน!IN24"")"),0)</f>
        <v>0</v>
      </c>
      <c r="J675" s="328">
        <f ca="1">J678+J681</f>
        <v>0</v>
      </c>
      <c r="K675" s="470">
        <f ca="1">IF(I675&gt;0,J675*100/I675,0)</f>
        <v>0</v>
      </c>
      <c r="L675" s="465"/>
      <c r="M675" s="45"/>
      <c r="N675" s="416"/>
      <c r="O675" s="45"/>
      <c r="P675" s="45"/>
      <c r="Q675" s="45"/>
      <c r="R675" s="45"/>
      <c r="S675" s="416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502">
        <f ca="1">IFERROR(__xludf.DUMMYFUNCTION("IMPORTRANGE(""https://docs.google.com/spreadsheets/d/1eHaY18a8A9IcSdp1K8H6x8fbOy06t2VsZHhMHf-1x7Y/edit?usp=sharing"",""แผน!IO24"")"),0)</f>
        <v>0</v>
      </c>
      <c r="J676" s="184">
        <f ca="1">IFERROR(__xludf.DUMMYFUNCTION("IMPORTRANGE(""https://docs.google.com/spreadsheets/d/1tdoBKaGub7dwA3U6UFTqxio9LNnvDCQjHKmttSEBsFQ/edit?usp=sharing"",""จัดที่ดิน!BF24"")"),0)</f>
        <v>0</v>
      </c>
      <c r="K676" s="224">
        <f ca="1">IF(I676&gt;0,J676*100/I676,0)</f>
        <v>0</v>
      </c>
      <c r="L676" s="465"/>
      <c r="M676" s="45"/>
      <c r="N676" s="416"/>
      <c r="O676" s="45"/>
      <c r="P676" s="45"/>
      <c r="Q676" s="45"/>
      <c r="R676" s="45"/>
      <c r="S676" s="416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IFERROR(__xludf.DUMMYFUNCTION("IMPORTRANGE(""https://docs.google.com/spreadsheets/d/1tdoBKaGub7dwA3U6UFTqxio9LNnvDCQjHKmttSEBsFQ/edit?usp=sharing"",""จัดที่ดิน!BG24"")"),0)</f>
        <v>0</v>
      </c>
      <c r="K677" s="45"/>
      <c r="L677" s="500"/>
      <c r="M677" s="45"/>
      <c r="N677" s="416"/>
      <c r="O677" s="45"/>
      <c r="P677" s="45"/>
      <c r="Q677" s="416"/>
      <c r="R677" s="45"/>
      <c r="S677" s="416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02">
        <f ca="1">IFERROR(__xludf.DUMMYFUNCTION("IMPORTRANGE(""https://docs.google.com/spreadsheets/d/1eHaY18a8A9IcSdp1K8H6x8fbOy06t2VsZHhMHf-1x7Y/edit?usp=sharing"",""แผน!IP24"")"),0)</f>
        <v>0</v>
      </c>
      <c r="J678" s="184">
        <f ca="1">IFERROR(__xludf.DUMMYFUNCTION("IMPORTRANGE(""https://docs.google.com/spreadsheets/d/1tdoBKaGub7dwA3U6UFTqxio9LNnvDCQjHKmttSEBsFQ/edit?usp=sharing"",""จัดที่ดิน!BH24"")"),0)</f>
        <v>0</v>
      </c>
      <c r="K678" s="224">
        <f ca="1">IF(I678&gt;0,J678*100/I678,0)</f>
        <v>0</v>
      </c>
      <c r="L678" s="500"/>
      <c r="M678" s="45"/>
      <c r="N678" s="416"/>
      <c r="O678" s="45"/>
      <c r="P678" s="45"/>
      <c r="Q678" s="416"/>
      <c r="R678" s="45"/>
      <c r="S678" s="416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502">
        <f ca="1">IFERROR(__xludf.DUMMYFUNCTION("IMPORTRANGE(""https://docs.google.com/spreadsheets/d/1eHaY18a8A9IcSdp1K8H6x8fbOy06t2VsZHhMHf-1x7Y/edit?usp=sharing"",""แผน!IQ24"")"),0)</f>
        <v>0</v>
      </c>
      <c r="J679" s="184">
        <f ca="1">IFERROR(__xludf.DUMMYFUNCTION("IMPORTRANGE(""https://docs.google.com/spreadsheets/d/1tdoBKaGub7dwA3U6UFTqxio9LNnvDCQjHKmttSEBsFQ/edit?usp=sharing"",""จัดที่ดิน!BK24"")"),0)</f>
        <v>0</v>
      </c>
      <c r="K679" s="224">
        <f ca="1">IF(I679&gt;0,J679*100/I679,0)</f>
        <v>0</v>
      </c>
      <c r="L679" s="465"/>
      <c r="M679" s="45"/>
      <c r="N679" s="416"/>
      <c r="O679" s="45"/>
      <c r="P679" s="45"/>
      <c r="Q679" s="45"/>
      <c r="R679" s="45"/>
      <c r="S679" s="416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IFERROR(__xludf.DUMMYFUNCTION("IMPORTRANGE(""https://docs.google.com/spreadsheets/d/1tdoBKaGub7dwA3U6UFTqxio9LNnvDCQjHKmttSEBsFQ/edit?usp=sharing"",""จัดที่ดิน!BL24"")"),0)</f>
        <v>0</v>
      </c>
      <c r="K680" s="45"/>
      <c r="L680" s="500"/>
      <c r="M680" s="45"/>
      <c r="N680" s="416"/>
      <c r="O680" s="45"/>
      <c r="P680" s="45"/>
      <c r="Q680" s="416"/>
      <c r="R680" s="45"/>
      <c r="S680" s="416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02">
        <f ca="1">IFERROR(__xludf.DUMMYFUNCTION("IMPORTRANGE(""https://docs.google.com/spreadsheets/d/1eHaY18a8A9IcSdp1K8H6x8fbOy06t2VsZHhMHf-1x7Y/edit?usp=sharing"",""แผน!IR24"")"),0)</f>
        <v>0</v>
      </c>
      <c r="J681" s="184">
        <f ca="1">IFERROR(__xludf.DUMMYFUNCTION("IMPORTRANGE(""https://docs.google.com/spreadsheets/d/1tdoBKaGub7dwA3U6UFTqxio9LNnvDCQjHKmttSEBsFQ/edit?usp=sharing"",""จัดที่ดิน!BM24"")"),0)</f>
        <v>0</v>
      </c>
      <c r="K681" s="224">
        <f ca="1">IF(I681&gt;0,J681*100/I681,0)</f>
        <v>0</v>
      </c>
      <c r="L681" s="500"/>
      <c r="M681" s="45"/>
      <c r="N681" s="416"/>
      <c r="O681" s="45"/>
      <c r="P681" s="45"/>
      <c r="Q681" s="416"/>
      <c r="R681" s="45"/>
      <c r="S681" s="416"/>
      <c r="T681" s="45"/>
      <c r="U681" s="45"/>
    </row>
    <row r="682" spans="1:21" ht="19.5" hidden="1" x14ac:dyDescent="0.3">
      <c r="A682" s="208"/>
      <c r="B682" s="158"/>
      <c r="C682" s="158"/>
      <c r="D682" s="47" t="s">
        <v>251</v>
      </c>
      <c r="E682" s="40"/>
      <c r="F682" s="40"/>
      <c r="G682" s="42"/>
      <c r="H682" s="411" t="s">
        <v>46</v>
      </c>
      <c r="I682" s="501">
        <f ca="1">IFERROR(__xludf.DUMMYFUNCTION("IMPORTRANGE(""https://docs.google.com/spreadsheets/d/1eHaY18a8A9IcSdp1K8H6x8fbOy06t2VsZHhMHf-1x7Y/edit?usp=sharing"",""แผน!IS24"")"),0)</f>
        <v>0</v>
      </c>
      <c r="J682" s="328">
        <f>J685+J688</f>
        <v>0</v>
      </c>
      <c r="K682" s="470">
        <f ca="1">IF(I682&gt;0,J682*100/I682,0)</f>
        <v>0</v>
      </c>
      <c r="L682" s="465"/>
      <c r="M682" s="45"/>
      <c r="N682" s="416"/>
      <c r="O682" s="45"/>
      <c r="P682" s="45"/>
      <c r="Q682" s="45"/>
      <c r="R682" s="45"/>
      <c r="S682" s="416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466">
        <v>0</v>
      </c>
      <c r="K683" s="45"/>
      <c r="L683" s="500"/>
      <c r="M683" s="45"/>
      <c r="N683" s="416"/>
      <c r="O683" s="45"/>
      <c r="P683" s="45"/>
      <c r="Q683" s="416"/>
      <c r="R683" s="45"/>
      <c r="S683" s="416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466">
        <v>0</v>
      </c>
      <c r="K684" s="45"/>
      <c r="L684" s="500"/>
      <c r="M684" s="45"/>
      <c r="N684" s="416"/>
      <c r="O684" s="45"/>
      <c r="P684" s="45"/>
      <c r="Q684" s="416"/>
      <c r="R684" s="45"/>
      <c r="S684" s="416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466">
        <v>0</v>
      </c>
      <c r="K685" s="45"/>
      <c r="L685" s="500"/>
      <c r="M685" s="45"/>
      <c r="N685" s="416"/>
      <c r="O685" s="45"/>
      <c r="P685" s="45"/>
      <c r="Q685" s="416"/>
      <c r="R685" s="45"/>
      <c r="S685" s="416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466">
        <v>0</v>
      </c>
      <c r="K686" s="45"/>
      <c r="L686" s="500"/>
      <c r="M686" s="45"/>
      <c r="N686" s="416"/>
      <c r="O686" s="45"/>
      <c r="P686" s="45"/>
      <c r="Q686" s="416"/>
      <c r="R686" s="45"/>
      <c r="S686" s="416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466">
        <v>0</v>
      </c>
      <c r="K687" s="45"/>
      <c r="L687" s="500"/>
      <c r="M687" s="45"/>
      <c r="N687" s="416"/>
      <c r="O687" s="45"/>
      <c r="P687" s="45"/>
      <c r="Q687" s="416"/>
      <c r="R687" s="45"/>
      <c r="S687" s="416"/>
      <c r="T687" s="45"/>
      <c r="U687" s="45"/>
    </row>
    <row r="688" spans="1:21" ht="19.5" hidden="1" x14ac:dyDescent="0.3">
      <c r="A688" s="249"/>
      <c r="B688" s="419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464">
        <v>0</v>
      </c>
      <c r="K688" s="3"/>
      <c r="L688" s="499"/>
      <c r="M688" s="3"/>
      <c r="N688" s="420"/>
      <c r="O688" s="3"/>
      <c r="P688" s="3"/>
      <c r="Q688" s="420"/>
      <c r="R688" s="3"/>
      <c r="S688" s="420"/>
      <c r="T688" s="3"/>
      <c r="U688" s="3"/>
    </row>
    <row r="689" spans="1:21" ht="19.5" x14ac:dyDescent="0.3">
      <c r="A689" s="394"/>
      <c r="B689" s="395" t="s">
        <v>255</v>
      </c>
      <c r="C689" s="394"/>
      <c r="D689" s="396"/>
      <c r="E689" s="396"/>
      <c r="F689" s="396"/>
      <c r="G689" s="397"/>
      <c r="H689" s="434" t="s">
        <v>35</v>
      </c>
      <c r="I689" s="475">
        <f ca="1">I707</f>
        <v>52</v>
      </c>
      <c r="J689" s="475">
        <f ca="1">J707</f>
        <v>0</v>
      </c>
      <c r="K689" s="474">
        <f ca="1">IF(I689&gt;0,J689*100/I689,0)</f>
        <v>0</v>
      </c>
      <c r="L689" s="473"/>
      <c r="M689" s="400"/>
      <c r="N689" s="400"/>
      <c r="O689" s="400"/>
      <c r="P689" s="400"/>
      <c r="Q689" s="400"/>
      <c r="R689" s="400"/>
      <c r="S689" s="400"/>
      <c r="T689" s="400"/>
      <c r="U689" s="400"/>
    </row>
    <row r="690" spans="1:21" ht="19.5" x14ac:dyDescent="0.3">
      <c r="A690" s="128"/>
      <c r="B690" s="158"/>
      <c r="C690" s="177" t="s">
        <v>18</v>
      </c>
      <c r="D690" s="821" t="s">
        <v>19</v>
      </c>
      <c r="E690" s="793"/>
      <c r="F690" s="793"/>
      <c r="G690" s="794"/>
      <c r="H690" s="221" t="s">
        <v>14</v>
      </c>
      <c r="I690" s="44"/>
      <c r="J690" s="44"/>
      <c r="K690" s="45"/>
      <c r="L690" s="471">
        <f>L691+L692</f>
        <v>0</v>
      </c>
      <c r="M690" s="470">
        <f>M691+M692</f>
        <v>0</v>
      </c>
      <c r="N690" s="470">
        <f>N691+N692</f>
        <v>0</v>
      </c>
      <c r="O690" s="470">
        <f t="shared" ref="O690:O698" si="169">IF(L690&gt;0,N690*100/L690,0)</f>
        <v>0</v>
      </c>
      <c r="P690" s="470">
        <f t="shared" ref="P690:P698" si="170">IF(M690&gt;0,N690*100/M690,0)</f>
        <v>0</v>
      </c>
      <c r="Q690" s="470">
        <f ca="1">Q691+Q692</f>
        <v>144340</v>
      </c>
      <c r="R690" s="470">
        <f ca="1">R691+R692</f>
        <v>144340</v>
      </c>
      <c r="S690" s="470">
        <f ca="1">S691+S692</f>
        <v>2670</v>
      </c>
      <c r="T690" s="470">
        <f t="shared" ref="T690:T698" ca="1" si="171">IF(Q690&gt;0,S690*100/Q690,0)</f>
        <v>1.849799085492587</v>
      </c>
      <c r="U690" s="470">
        <f t="shared" ref="U690:U698" ca="1" si="172">IF(R690&gt;0,S690*100/R690,0)</f>
        <v>1.849799085492587</v>
      </c>
    </row>
    <row r="691" spans="1:21" ht="18.75" hidden="1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469">
        <f t="shared" ref="L691:N692" si="173">L694+L697</f>
        <v>0</v>
      </c>
      <c r="M691" s="83">
        <f t="shared" si="173"/>
        <v>0</v>
      </c>
      <c r="N691" s="83">
        <f t="shared" si="173"/>
        <v>0</v>
      </c>
      <c r="O691" s="83">
        <f t="shared" si="169"/>
        <v>0</v>
      </c>
      <c r="P691" s="83">
        <f t="shared" si="170"/>
        <v>0</v>
      </c>
      <c r="Q691" s="83">
        <f t="shared" ref="Q691:S692" si="174">Q694+Q697</f>
        <v>0</v>
      </c>
      <c r="R691" s="83">
        <f t="shared" si="174"/>
        <v>0</v>
      </c>
      <c r="S691" s="83">
        <f t="shared" si="174"/>
        <v>0</v>
      </c>
      <c r="T691" s="83">
        <f t="shared" si="171"/>
        <v>0</v>
      </c>
      <c r="U691" s="83">
        <f t="shared" si="172"/>
        <v>0</v>
      </c>
    </row>
    <row r="692" spans="1:21" ht="18.75" hidden="1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468">
        <f t="shared" si="173"/>
        <v>0</v>
      </c>
      <c r="M692" s="224">
        <f t="shared" si="173"/>
        <v>0</v>
      </c>
      <c r="N692" s="224">
        <f t="shared" si="173"/>
        <v>0</v>
      </c>
      <c r="O692" s="224">
        <f t="shared" si="169"/>
        <v>0</v>
      </c>
      <c r="P692" s="224">
        <f t="shared" si="170"/>
        <v>0</v>
      </c>
      <c r="Q692" s="224">
        <f t="shared" ca="1" si="174"/>
        <v>144340</v>
      </c>
      <c r="R692" s="224">
        <f t="shared" ca="1" si="174"/>
        <v>144340</v>
      </c>
      <c r="S692" s="224">
        <f t="shared" ca="1" si="174"/>
        <v>2670</v>
      </c>
      <c r="T692" s="224">
        <f t="shared" ca="1" si="171"/>
        <v>1.849799085492587</v>
      </c>
      <c r="U692" s="224">
        <f t="shared" ca="1" si="172"/>
        <v>1.849799085492587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468">
        <f>L694+L695</f>
        <v>0</v>
      </c>
      <c r="M693" s="224">
        <f>M694+M695</f>
        <v>0</v>
      </c>
      <c r="N693" s="224">
        <f>N694+N695</f>
        <v>0</v>
      </c>
      <c r="O693" s="224">
        <f t="shared" si="169"/>
        <v>0</v>
      </c>
      <c r="P693" s="224">
        <f t="shared" si="170"/>
        <v>0</v>
      </c>
      <c r="Q693" s="224">
        <f ca="1">Q694+Q695</f>
        <v>144340</v>
      </c>
      <c r="R693" s="224">
        <f ca="1">R694+R695</f>
        <v>144340</v>
      </c>
      <c r="S693" s="224">
        <f ca="1">S694+S695</f>
        <v>2670</v>
      </c>
      <c r="T693" s="224">
        <f t="shared" ca="1" si="171"/>
        <v>1.849799085492587</v>
      </c>
      <c r="U693" s="224">
        <f t="shared" ca="1" si="172"/>
        <v>1.849799085492587</v>
      </c>
    </row>
    <row r="694" spans="1:21" ht="18.75" hidden="1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469">
        <v>0</v>
      </c>
      <c r="M694" s="83">
        <v>0</v>
      </c>
      <c r="N694" s="83">
        <v>0</v>
      </c>
      <c r="O694" s="83">
        <f t="shared" si="169"/>
        <v>0</v>
      </c>
      <c r="P694" s="83">
        <f t="shared" si="170"/>
        <v>0</v>
      </c>
      <c r="Q694" s="83">
        <v>0</v>
      </c>
      <c r="R694" s="83">
        <v>0</v>
      </c>
      <c r="S694" s="83">
        <v>0</v>
      </c>
      <c r="T694" s="83">
        <f t="shared" si="171"/>
        <v>0</v>
      </c>
      <c r="U694" s="83">
        <f t="shared" si="172"/>
        <v>0</v>
      </c>
    </row>
    <row r="695" spans="1:21" ht="18.75" hidden="1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468">
        <v>0</v>
      </c>
      <c r="M695" s="224">
        <v>0</v>
      </c>
      <c r="N695" s="224">
        <v>0</v>
      </c>
      <c r="O695" s="224">
        <f t="shared" si="169"/>
        <v>0</v>
      </c>
      <c r="P695" s="224">
        <f t="shared" si="170"/>
        <v>0</v>
      </c>
      <c r="Q695" s="224">
        <f ca="1">IFERROR(__xludf.DUMMYFUNCTION("IMPORTRANGE(""https://docs.google.com/spreadsheets/d/1ItG2mGa2ceCfYo0BwxsXqNm01IGEUdYcSSLTEv9YCik/edit?usp=sharing"",""เบิกจ่ายกองทุน!L24"")"),144340)</f>
        <v>144340</v>
      </c>
      <c r="R695" s="224">
        <f ca="1">IFERROR(__xludf.DUMMYFUNCTION("IMPORTRANGE(""https://docs.google.com/spreadsheets/d/1ItG2mGa2ceCfYo0BwxsXqNm01IGEUdYcSSLTEv9YCik/edit?usp=sharing"",""เบิกจ่ายกองทุน!M24"")"),144340)</f>
        <v>144340</v>
      </c>
      <c r="S695" s="224">
        <f ca="1">IFERROR(__xludf.DUMMYFUNCTION("IMPORTRANGE(""https://docs.google.com/spreadsheets/d/1ItG2mGa2ceCfYo0BwxsXqNm01IGEUdYcSSLTEv9YCik/edit?usp=sharing"",""เบิกจ่ายกองทุน!N24"")"),2670)</f>
        <v>2670</v>
      </c>
      <c r="T695" s="224">
        <f t="shared" ca="1" si="171"/>
        <v>1.849799085492587</v>
      </c>
      <c r="U695" s="224">
        <f t="shared" ca="1" si="172"/>
        <v>1.849799085492587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468">
        <f>L697+L698</f>
        <v>0</v>
      </c>
      <c r="M696" s="224">
        <f>M697+M698</f>
        <v>0</v>
      </c>
      <c r="N696" s="224">
        <f>N697+N698</f>
        <v>0</v>
      </c>
      <c r="O696" s="224">
        <f t="shared" si="169"/>
        <v>0</v>
      </c>
      <c r="P696" s="224">
        <f t="shared" si="170"/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 t="shared" si="171"/>
        <v>0</v>
      </c>
      <c r="U696" s="224">
        <f t="shared" si="172"/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469">
        <v>0</v>
      </c>
      <c r="M697" s="83">
        <v>0</v>
      </c>
      <c r="N697" s="83">
        <v>0</v>
      </c>
      <c r="O697" s="83">
        <f t="shared" si="169"/>
        <v>0</v>
      </c>
      <c r="P697" s="83">
        <f t="shared" si="170"/>
        <v>0</v>
      </c>
      <c r="Q697" s="83">
        <v>0</v>
      </c>
      <c r="R697" s="83">
        <v>0</v>
      </c>
      <c r="S697" s="83">
        <v>0</v>
      </c>
      <c r="T697" s="83">
        <f t="shared" si="171"/>
        <v>0</v>
      </c>
      <c r="U697" s="83">
        <f t="shared" si="172"/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468">
        <v>0</v>
      </c>
      <c r="M698" s="224">
        <v>0</v>
      </c>
      <c r="N698" s="224">
        <v>0</v>
      </c>
      <c r="O698" s="224">
        <f t="shared" si="169"/>
        <v>0</v>
      </c>
      <c r="P698" s="224">
        <f t="shared" si="170"/>
        <v>0</v>
      </c>
      <c r="Q698" s="224">
        <v>0</v>
      </c>
      <c r="R698" s="224">
        <v>0</v>
      </c>
      <c r="S698" s="224">
        <v>0</v>
      </c>
      <c r="T698" s="224">
        <f t="shared" si="171"/>
        <v>0</v>
      </c>
      <c r="U698" s="224">
        <f t="shared" si="172"/>
        <v>0</v>
      </c>
    </row>
    <row r="699" spans="1:21" ht="19.5" x14ac:dyDescent="0.3">
      <c r="A699" s="138"/>
      <c r="B699" s="139"/>
      <c r="C699" s="177" t="s">
        <v>18</v>
      </c>
      <c r="D699" s="498" t="s">
        <v>38</v>
      </c>
      <c r="E699" s="141"/>
      <c r="F699" s="141"/>
      <c r="G699" s="141"/>
      <c r="H699" s="178"/>
      <c r="I699" s="135"/>
      <c r="J699" s="135"/>
      <c r="K699" s="136"/>
      <c r="L699" s="465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IFERROR(__xludf.DUMMYFUNCTION("IMPORTRANGE(""https://docs.google.com/spreadsheets/d/1eHaY18a8A9IcSdp1K8H6x8fbOy06t2VsZHhMHf-1x7Y/edit?usp=sharing"",""แผน!LC24"")"),0)</f>
        <v>0</v>
      </c>
      <c r="J700" s="466">
        <v>0</v>
      </c>
      <c r="K700" s="497">
        <f t="shared" ref="K700:K710" ca="1" si="175">IF(I700&gt;0,J700*100/I700,0)</f>
        <v>0</v>
      </c>
      <c r="L700" s="4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24" t="s">
        <v>258</v>
      </c>
      <c r="F701" s="145"/>
      <c r="G701" s="143"/>
      <c r="H701" s="131" t="s">
        <v>35</v>
      </c>
      <c r="I701" s="328">
        <f ca="1">I703+I705</f>
        <v>55</v>
      </c>
      <c r="J701" s="328">
        <f ca="1">J703+J705</f>
        <v>0</v>
      </c>
      <c r="K701" s="470">
        <f t="shared" ca="1" si="175"/>
        <v>0</v>
      </c>
      <c r="L701" s="4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0</v>
      </c>
      <c r="K702" s="470">
        <f t="shared" si="175"/>
        <v>0</v>
      </c>
      <c r="L702" s="4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IFERROR(__xludf.DUMMYFUNCTION("IMPORTRANGE(""https://docs.google.com/spreadsheets/d/1eHaY18a8A9IcSdp1K8H6x8fbOy06t2VsZHhMHf-1x7Y/edit?usp=sharing"",""แผน!LJ24"")"),52)</f>
        <v>52</v>
      </c>
      <c r="J703" s="184">
        <f ca="1">IFERROR(__xludf.DUMMYFUNCTION("IMPORTRANGE(""https://docs.google.com/spreadsheets/d/1tdoBKaGub7dwA3U6UFTqxio9LNnvDCQjHKmttSEBsFQ/edit?usp=sharing"",""จัดที่ดิน!AP24"")"),0)</f>
        <v>0</v>
      </c>
      <c r="K703" s="224">
        <f t="shared" ca="1" si="175"/>
        <v>0</v>
      </c>
      <c r="L703" s="4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IFERROR(__xludf.DUMMYFUNCTION("IMPORTRANGE(""https://docs.google.com/spreadsheets/d/1tdoBKaGub7dwA3U6UFTqxio9LNnvDCQjHKmttSEBsFQ/edit?usp=sharing"",""จัดที่ดิน!AQ24"")"),0)</f>
        <v>0</v>
      </c>
      <c r="K704" s="224">
        <f t="shared" si="175"/>
        <v>0</v>
      </c>
      <c r="L704" s="4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IFERROR(__xludf.DUMMYFUNCTION("IMPORTRANGE(""https://docs.google.com/spreadsheets/d/1eHaY18a8A9IcSdp1K8H6x8fbOy06t2VsZHhMHf-1x7Y/edit?usp=sharing"",""แผน!LK24"")"),3)</f>
        <v>3</v>
      </c>
      <c r="J705" s="184">
        <f ca="1">IFERROR(__xludf.DUMMYFUNCTION("IMPORTRANGE(""https://docs.google.com/spreadsheets/d/1tdoBKaGub7dwA3U6UFTqxio9LNnvDCQjHKmttSEBsFQ/edit?usp=sharing"",""จัดที่ดิน!AR24"")"),0)</f>
        <v>0</v>
      </c>
      <c r="K705" s="497">
        <f t="shared" ca="1" si="175"/>
        <v>0</v>
      </c>
      <c r="L705" s="4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IFERROR(__xludf.DUMMYFUNCTION("IMPORTRANGE(""https://docs.google.com/spreadsheets/d/1tdoBKaGub7dwA3U6UFTqxio9LNnvDCQjHKmttSEBsFQ/edit?usp=sharing"",""จัดที่ดิน!AS24"")"),0)</f>
        <v>0</v>
      </c>
      <c r="K706" s="224">
        <f t="shared" si="175"/>
        <v>0</v>
      </c>
      <c r="L706" s="4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IFERROR(__xludf.DUMMYFUNCTION("IMPORTRANGE(""https://docs.google.com/spreadsheets/d/1eHaY18a8A9IcSdp1K8H6x8fbOy06t2VsZHhMHf-1x7Y/edit?usp=sharing"",""แผน!LJ24"")"),52)</f>
        <v>52</v>
      </c>
      <c r="J707" s="184">
        <f ca="1">IFERROR(__xludf.DUMMYFUNCTION("IMPORTRANGE(""https://docs.google.com/spreadsheets/d/1tdoBKaGub7dwA3U6UFTqxio9LNnvDCQjHKmttSEBsFQ/edit?usp=sharing"",""จัดที่ดิน!BN24"")"),0)</f>
        <v>0</v>
      </c>
      <c r="K707" s="224">
        <f t="shared" ca="1" si="175"/>
        <v>0</v>
      </c>
      <c r="L707" s="4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25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IFERROR(__xludf.DUMMYFUNCTION("IMPORTRANGE(""https://docs.google.com/spreadsheets/d/1tdoBKaGub7dwA3U6UFTqxio9LNnvDCQjHKmttSEBsFQ/edit?usp=sharing"",""จัดที่ดิน!BO24"")"),0)</f>
        <v>0</v>
      </c>
      <c r="K708" s="224">
        <f t="shared" si="175"/>
        <v>0</v>
      </c>
      <c r="L708" s="4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IFERROR(__xludf.DUMMYFUNCTION("IMPORTRANGE(""https://docs.google.com/spreadsheets/d/1eHaY18a8A9IcSdp1K8H6x8fbOy06t2VsZHhMHf-1x7Y/edit?usp=sharing"",""แผน!LK24"")"),3)</f>
        <v>3</v>
      </c>
      <c r="J709" s="184">
        <f ca="1">IFERROR(__xludf.DUMMYFUNCTION("IMPORTRANGE(""https://docs.google.com/spreadsheets/d/1tdoBKaGub7dwA3U6UFTqxio9LNnvDCQjHKmttSEBsFQ/edit?usp=sharing"",""จัดที่ดิน!BP24"")"),0)</f>
        <v>0</v>
      </c>
      <c r="K709" s="224">
        <f t="shared" ca="1" si="175"/>
        <v>0</v>
      </c>
      <c r="L709" s="465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25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IFERROR(__xludf.DUMMYFUNCTION("IMPORTRANGE(""https://docs.google.com/spreadsheets/d/1tdoBKaGub7dwA3U6UFTqxio9LNnvDCQjHKmttSEBsFQ/edit?usp=sharing"",""จัดที่ดิน!BQ24"")"),0)</f>
        <v>0</v>
      </c>
      <c r="K710" s="224">
        <f t="shared" si="175"/>
        <v>0</v>
      </c>
      <c r="L710" s="465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496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hidden="1" x14ac:dyDescent="0.3">
      <c r="A712" s="394"/>
      <c r="B712" s="426" t="s">
        <v>265</v>
      </c>
      <c r="C712" s="394"/>
      <c r="D712" s="396"/>
      <c r="E712" s="396"/>
      <c r="F712" s="396"/>
      <c r="G712" s="397"/>
      <c r="H712" s="427" t="s">
        <v>46</v>
      </c>
      <c r="I712" s="399"/>
      <c r="J712" s="399">
        <f>J724</f>
        <v>0</v>
      </c>
      <c r="K712" s="495">
        <f>IF(I712&gt;0,J712*100/I712,0)</f>
        <v>0</v>
      </c>
      <c r="L712" s="473"/>
      <c r="M712" s="400"/>
      <c r="N712" s="400"/>
      <c r="O712" s="400"/>
      <c r="P712" s="400"/>
      <c r="Q712" s="400"/>
      <c r="R712" s="400"/>
      <c r="S712" s="400"/>
      <c r="T712" s="400"/>
      <c r="U712" s="400"/>
    </row>
    <row r="713" spans="1:21" ht="19.5" hidden="1" x14ac:dyDescent="0.3">
      <c r="A713" s="394"/>
      <c r="B713" s="426" t="s">
        <v>266</v>
      </c>
      <c r="C713" s="394"/>
      <c r="D713" s="396"/>
      <c r="E713" s="396"/>
      <c r="F713" s="396"/>
      <c r="G713" s="397"/>
      <c r="H713" s="398"/>
      <c r="I713" s="399"/>
      <c r="J713" s="399"/>
      <c r="K713" s="400"/>
      <c r="L713" s="47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128"/>
      <c r="B714" s="158"/>
      <c r="C714" s="314" t="s">
        <v>18</v>
      </c>
      <c r="D714" s="820" t="s">
        <v>19</v>
      </c>
      <c r="E714" s="793"/>
      <c r="F714" s="793"/>
      <c r="G714" s="794"/>
      <c r="H714" s="372" t="s">
        <v>14</v>
      </c>
      <c r="I714" s="44"/>
      <c r="J714" s="44"/>
      <c r="K714" s="45"/>
      <c r="L714" s="471">
        <f>L715+L716</f>
        <v>0</v>
      </c>
      <c r="M714" s="470">
        <f>M715+M716</f>
        <v>0</v>
      </c>
      <c r="N714" s="470">
        <f>N715+N716</f>
        <v>0</v>
      </c>
      <c r="O714" s="470">
        <f t="shared" ref="O714:O722" si="176">IF(L714&gt;0,N714*100/L714,0)</f>
        <v>0</v>
      </c>
      <c r="P714" s="470">
        <f t="shared" ref="P714:P722" si="177">IF(M714&gt;0,N714*100/M714,0)</f>
        <v>0</v>
      </c>
      <c r="Q714" s="470">
        <f>Q715+Q716</f>
        <v>0</v>
      </c>
      <c r="R714" s="470">
        <f>R715+R716</f>
        <v>0</v>
      </c>
      <c r="S714" s="470">
        <f>S715+S716</f>
        <v>0</v>
      </c>
      <c r="T714" s="470">
        <f t="shared" ref="T714:T722" si="178">IF(Q714&gt;0,S714*100/Q714,0)</f>
        <v>0</v>
      </c>
      <c r="U714" s="470">
        <f t="shared" ref="U714:U722" si="179"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469">
        <f t="shared" ref="L715:N716" si="180">L718+L721</f>
        <v>0</v>
      </c>
      <c r="M715" s="83">
        <f t="shared" si="180"/>
        <v>0</v>
      </c>
      <c r="N715" s="83">
        <f t="shared" si="180"/>
        <v>0</v>
      </c>
      <c r="O715" s="83">
        <f t="shared" si="176"/>
        <v>0</v>
      </c>
      <c r="P715" s="83">
        <f t="shared" si="177"/>
        <v>0</v>
      </c>
      <c r="Q715" s="83">
        <f t="shared" ref="Q715:S716" si="181">Q718+Q721</f>
        <v>0</v>
      </c>
      <c r="R715" s="83">
        <f t="shared" si="181"/>
        <v>0</v>
      </c>
      <c r="S715" s="83">
        <f t="shared" si="181"/>
        <v>0</v>
      </c>
      <c r="T715" s="83">
        <f t="shared" si="178"/>
        <v>0</v>
      </c>
      <c r="U715" s="83">
        <f t="shared" si="179"/>
        <v>0</v>
      </c>
    </row>
    <row r="716" spans="1:21" ht="18.75" hidden="1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468">
        <f t="shared" si="180"/>
        <v>0</v>
      </c>
      <c r="M716" s="224">
        <f t="shared" si="180"/>
        <v>0</v>
      </c>
      <c r="N716" s="224">
        <f t="shared" si="180"/>
        <v>0</v>
      </c>
      <c r="O716" s="224">
        <f t="shared" si="176"/>
        <v>0</v>
      </c>
      <c r="P716" s="224">
        <f t="shared" si="177"/>
        <v>0</v>
      </c>
      <c r="Q716" s="224">
        <f t="shared" si="181"/>
        <v>0</v>
      </c>
      <c r="R716" s="224">
        <f t="shared" si="181"/>
        <v>0</v>
      </c>
      <c r="S716" s="224">
        <f t="shared" si="181"/>
        <v>0</v>
      </c>
      <c r="T716" s="224">
        <f t="shared" si="178"/>
        <v>0</v>
      </c>
      <c r="U716" s="224">
        <f t="shared" si="179"/>
        <v>0</v>
      </c>
    </row>
    <row r="717" spans="1:21" ht="19.5" hidden="1" x14ac:dyDescent="0.3">
      <c r="A717" s="128"/>
      <c r="B717" s="158"/>
      <c r="C717" s="158"/>
      <c r="D717" s="494" t="s">
        <v>22</v>
      </c>
      <c r="E717" s="40"/>
      <c r="F717" s="40"/>
      <c r="G717" s="42"/>
      <c r="H717" s="372" t="s">
        <v>14</v>
      </c>
      <c r="I717" s="135"/>
      <c r="J717" s="135"/>
      <c r="K717" s="136"/>
      <c r="L717" s="468">
        <f>L718+L719</f>
        <v>0</v>
      </c>
      <c r="M717" s="224">
        <f>M718+M719</f>
        <v>0</v>
      </c>
      <c r="N717" s="224">
        <f>N718+N719</f>
        <v>0</v>
      </c>
      <c r="O717" s="224">
        <f t="shared" si="176"/>
        <v>0</v>
      </c>
      <c r="P717" s="224">
        <f t="shared" si="177"/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 t="shared" si="178"/>
        <v>0</v>
      </c>
      <c r="U717" s="224">
        <f t="shared" si="179"/>
        <v>0</v>
      </c>
    </row>
    <row r="718" spans="1:21" ht="18.75" hidden="1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469">
        <v>0</v>
      </c>
      <c r="M718" s="83">
        <v>0</v>
      </c>
      <c r="N718" s="83">
        <v>0</v>
      </c>
      <c r="O718" s="83">
        <f t="shared" si="176"/>
        <v>0</v>
      </c>
      <c r="P718" s="83">
        <f t="shared" si="177"/>
        <v>0</v>
      </c>
      <c r="Q718" s="83">
        <v>0</v>
      </c>
      <c r="R718" s="83">
        <v>0</v>
      </c>
      <c r="S718" s="83">
        <v>0</v>
      </c>
      <c r="T718" s="83">
        <f t="shared" si="178"/>
        <v>0</v>
      </c>
      <c r="U718" s="83">
        <f t="shared" si="179"/>
        <v>0</v>
      </c>
    </row>
    <row r="719" spans="1:21" ht="18.75" hidden="1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468">
        <v>0</v>
      </c>
      <c r="M719" s="224">
        <v>0</v>
      </c>
      <c r="N719" s="224">
        <v>0</v>
      </c>
      <c r="O719" s="224">
        <f t="shared" si="176"/>
        <v>0</v>
      </c>
      <c r="P719" s="224">
        <f t="shared" si="177"/>
        <v>0</v>
      </c>
      <c r="Q719" s="224">
        <v>0</v>
      </c>
      <c r="R719" s="224">
        <v>0</v>
      </c>
      <c r="S719" s="224">
        <v>0</v>
      </c>
      <c r="T719" s="224">
        <f t="shared" si="178"/>
        <v>0</v>
      </c>
      <c r="U719" s="224">
        <f t="shared" si="179"/>
        <v>0</v>
      </c>
    </row>
    <row r="720" spans="1:21" ht="19.5" hidden="1" x14ac:dyDescent="0.3">
      <c r="A720" s="128"/>
      <c r="B720" s="158"/>
      <c r="C720" s="158"/>
      <c r="D720" s="494" t="s">
        <v>23</v>
      </c>
      <c r="E720" s="40"/>
      <c r="F720" s="40"/>
      <c r="G720" s="42"/>
      <c r="H720" s="374" t="s">
        <v>14</v>
      </c>
      <c r="I720" s="135"/>
      <c r="J720" s="135"/>
      <c r="K720" s="136"/>
      <c r="L720" s="468">
        <f>L721+L722</f>
        <v>0</v>
      </c>
      <c r="M720" s="224">
        <f>M721+M722</f>
        <v>0</v>
      </c>
      <c r="N720" s="224">
        <f>N721+N722</f>
        <v>0</v>
      </c>
      <c r="O720" s="224">
        <f t="shared" si="176"/>
        <v>0</v>
      </c>
      <c r="P720" s="224">
        <f t="shared" si="177"/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 t="shared" si="178"/>
        <v>0</v>
      </c>
      <c r="U720" s="224">
        <f t="shared" si="179"/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469">
        <v>0</v>
      </c>
      <c r="M721" s="83">
        <v>0</v>
      </c>
      <c r="N721" s="83">
        <v>0</v>
      </c>
      <c r="O721" s="83">
        <f t="shared" si="176"/>
        <v>0</v>
      </c>
      <c r="P721" s="83">
        <f t="shared" si="177"/>
        <v>0</v>
      </c>
      <c r="Q721" s="83">
        <v>0</v>
      </c>
      <c r="R721" s="83">
        <v>0</v>
      </c>
      <c r="S721" s="83">
        <v>0</v>
      </c>
      <c r="T721" s="83">
        <f t="shared" si="178"/>
        <v>0</v>
      </c>
      <c r="U721" s="83">
        <f t="shared" si="179"/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375" t="s">
        <v>14</v>
      </c>
      <c r="I722" s="135"/>
      <c r="J722" s="135"/>
      <c r="K722" s="136"/>
      <c r="L722" s="468">
        <v>0</v>
      </c>
      <c r="M722" s="224">
        <v>0</v>
      </c>
      <c r="N722" s="224">
        <v>0</v>
      </c>
      <c r="O722" s="224">
        <f t="shared" si="176"/>
        <v>0</v>
      </c>
      <c r="P722" s="224">
        <f t="shared" si="177"/>
        <v>0</v>
      </c>
      <c r="Q722" s="224">
        <v>0</v>
      </c>
      <c r="R722" s="224">
        <v>0</v>
      </c>
      <c r="S722" s="224">
        <v>0</v>
      </c>
      <c r="T722" s="224">
        <f t="shared" si="178"/>
        <v>0</v>
      </c>
      <c r="U722" s="224">
        <f t="shared" si="179"/>
        <v>0</v>
      </c>
    </row>
    <row r="723" spans="1:21" ht="19.5" hidden="1" x14ac:dyDescent="0.3">
      <c r="A723" s="138"/>
      <c r="B723" s="139"/>
      <c r="C723" s="314" t="s">
        <v>18</v>
      </c>
      <c r="D723" s="493" t="s">
        <v>38</v>
      </c>
      <c r="E723" s="141"/>
      <c r="F723" s="141"/>
      <c r="G723" s="142"/>
      <c r="H723" s="178"/>
      <c r="I723" s="135"/>
      <c r="J723" s="135"/>
      <c r="K723" s="136"/>
      <c r="L723" s="4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30">
        <v>0</v>
      </c>
      <c r="J724" s="44"/>
      <c r="K724" s="45"/>
      <c r="L724" s="465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29"/>
      <c r="B725" s="2"/>
      <c r="C725" s="2"/>
      <c r="D725" s="1"/>
      <c r="E725" s="431" t="s">
        <v>268</v>
      </c>
      <c r="F725" s="1"/>
      <c r="G725" s="52"/>
      <c r="H725" s="432" t="s">
        <v>46</v>
      </c>
      <c r="I725" s="433">
        <v>0</v>
      </c>
      <c r="J725" s="54"/>
      <c r="K725" s="3"/>
      <c r="L725" s="46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94"/>
      <c r="B726" s="395" t="s">
        <v>269</v>
      </c>
      <c r="C726" s="394"/>
      <c r="D726" s="396"/>
      <c r="E726" s="396"/>
      <c r="F726" s="396"/>
      <c r="G726" s="397"/>
      <c r="H726" s="434" t="s">
        <v>35</v>
      </c>
      <c r="I726" s="475">
        <f ca="1">IFERROR(__xludf.DUMMYFUNCTION("IMPORTRANGE(""https://docs.google.com/spreadsheets/d/1eHaY18a8A9IcSdp1K8H6x8fbOy06t2VsZHhMHf-1x7Y/edit?usp=sharing"",""แผน!GA24"")"),128)</f>
        <v>128</v>
      </c>
      <c r="J726" s="475">
        <f>J742+J746+J749</f>
        <v>125</v>
      </c>
      <c r="K726" s="474">
        <f ca="1">IF(I726&gt;0,J726*100/I726,0)</f>
        <v>97.65625</v>
      </c>
      <c r="L726" s="473"/>
      <c r="M726" s="400"/>
      <c r="N726" s="400"/>
      <c r="O726" s="400"/>
      <c r="P726" s="400"/>
      <c r="Q726" s="400"/>
      <c r="R726" s="400"/>
      <c r="S726" s="400"/>
      <c r="T726" s="400"/>
      <c r="U726" s="400"/>
    </row>
    <row r="727" spans="1:21" ht="19.5" x14ac:dyDescent="0.3">
      <c r="A727" s="436"/>
      <c r="B727" s="394"/>
      <c r="C727" s="394"/>
      <c r="D727" s="396"/>
      <c r="E727" s="396"/>
      <c r="F727" s="396"/>
      <c r="G727" s="397"/>
      <c r="H727" s="434" t="s">
        <v>46</v>
      </c>
      <c r="I727" s="475">
        <f ca="1">IFERROR(__xludf.DUMMYFUNCTION("IMPORTRANGE(""https://docs.google.com/spreadsheets/d/1eHaY18a8A9IcSdp1K8H6x8fbOy06t2VsZHhMHf-1x7Y/edit?usp=sharing"",""แผน!FZ24"")"),1250)</f>
        <v>1250</v>
      </c>
      <c r="J727" s="475">
        <f>J752+J755</f>
        <v>0</v>
      </c>
      <c r="K727" s="474">
        <f ca="1">IF(I727&gt;0,J727*100/I727,0)</f>
        <v>0</v>
      </c>
      <c r="L727" s="47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128"/>
      <c r="B728" s="158"/>
      <c r="C728" s="177" t="s">
        <v>18</v>
      </c>
      <c r="D728" s="821" t="s">
        <v>19</v>
      </c>
      <c r="E728" s="793"/>
      <c r="F728" s="793"/>
      <c r="G728" s="794"/>
      <c r="H728" s="221" t="s">
        <v>14</v>
      </c>
      <c r="I728" s="44"/>
      <c r="J728" s="44"/>
      <c r="K728" s="45"/>
      <c r="L728" s="471">
        <f>L729+L730</f>
        <v>0</v>
      </c>
      <c r="M728" s="470">
        <f>M729+M730</f>
        <v>0</v>
      </c>
      <c r="N728" s="470">
        <f>N729+N730</f>
        <v>0</v>
      </c>
      <c r="O728" s="470">
        <f t="shared" ref="O728:O736" si="182">IF(L728&gt;0,N728*100/L728,0)</f>
        <v>0</v>
      </c>
      <c r="P728" s="470">
        <f t="shared" ref="P728:P736" si="183">IF(M728&gt;0,N728*100/M728,0)</f>
        <v>0</v>
      </c>
      <c r="Q728" s="470">
        <f ca="1">Q729+Q730</f>
        <v>1008470</v>
      </c>
      <c r="R728" s="470">
        <f ca="1">R729+R730</f>
        <v>1008470</v>
      </c>
      <c r="S728" s="470">
        <f ca="1">S729+S730</f>
        <v>102745</v>
      </c>
      <c r="T728" s="470">
        <f t="shared" ref="T728:T736" ca="1" si="184">IF(Q728&gt;0,S728*100/Q728,0)</f>
        <v>10.188205896060369</v>
      </c>
      <c r="U728" s="470">
        <f t="shared" ref="U728:U736" ca="1" si="185">IF(R728&gt;0,S728*100/R728,0)</f>
        <v>10.188205896060369</v>
      </c>
    </row>
    <row r="729" spans="1:21" ht="18.75" hidden="1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469">
        <f t="shared" ref="L729:N730" si="186">L732+L735</f>
        <v>0</v>
      </c>
      <c r="M729" s="83">
        <f t="shared" si="186"/>
        <v>0</v>
      </c>
      <c r="N729" s="83">
        <f t="shared" si="186"/>
        <v>0</v>
      </c>
      <c r="O729" s="83">
        <f t="shared" si="182"/>
        <v>0</v>
      </c>
      <c r="P729" s="83">
        <f t="shared" si="183"/>
        <v>0</v>
      </c>
      <c r="Q729" s="83">
        <f t="shared" ref="Q729:S730" si="187">Q732+Q735</f>
        <v>0</v>
      </c>
      <c r="R729" s="83">
        <f t="shared" si="187"/>
        <v>0</v>
      </c>
      <c r="S729" s="83">
        <f t="shared" si="187"/>
        <v>0</v>
      </c>
      <c r="T729" s="83">
        <f t="shared" si="184"/>
        <v>0</v>
      </c>
      <c r="U729" s="83">
        <f t="shared" si="185"/>
        <v>0</v>
      </c>
    </row>
    <row r="730" spans="1:21" ht="18.75" hidden="1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468">
        <f t="shared" si="186"/>
        <v>0</v>
      </c>
      <c r="M730" s="224">
        <f t="shared" si="186"/>
        <v>0</v>
      </c>
      <c r="N730" s="224">
        <f t="shared" si="186"/>
        <v>0</v>
      </c>
      <c r="O730" s="224">
        <f t="shared" si="182"/>
        <v>0</v>
      </c>
      <c r="P730" s="224">
        <f t="shared" si="183"/>
        <v>0</v>
      </c>
      <c r="Q730" s="224">
        <f t="shared" ca="1" si="187"/>
        <v>1008470</v>
      </c>
      <c r="R730" s="224">
        <f t="shared" ca="1" si="187"/>
        <v>1008470</v>
      </c>
      <c r="S730" s="224">
        <f t="shared" ca="1" si="187"/>
        <v>102745</v>
      </c>
      <c r="T730" s="224">
        <f t="shared" ca="1" si="184"/>
        <v>10.188205896060369</v>
      </c>
      <c r="U730" s="224">
        <f t="shared" ca="1" si="185"/>
        <v>10.188205896060369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468">
        <f>L732+L733</f>
        <v>0</v>
      </c>
      <c r="M731" s="224">
        <f>M732+M733</f>
        <v>0</v>
      </c>
      <c r="N731" s="224">
        <f>N732+N733</f>
        <v>0</v>
      </c>
      <c r="O731" s="224">
        <f t="shared" si="182"/>
        <v>0</v>
      </c>
      <c r="P731" s="224">
        <f t="shared" si="183"/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102745</v>
      </c>
      <c r="T731" s="224">
        <f t="shared" ca="1" si="184"/>
        <v>10.188205896060369</v>
      </c>
      <c r="U731" s="224">
        <f t="shared" ca="1" si="185"/>
        <v>10.188205896060369</v>
      </c>
    </row>
    <row r="732" spans="1:21" ht="18.75" hidden="1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469">
        <v>0</v>
      </c>
      <c r="M732" s="83">
        <v>0</v>
      </c>
      <c r="N732" s="83">
        <v>0</v>
      </c>
      <c r="O732" s="83">
        <f t="shared" si="182"/>
        <v>0</v>
      </c>
      <c r="P732" s="83">
        <f t="shared" si="183"/>
        <v>0</v>
      </c>
      <c r="Q732" s="83">
        <v>0</v>
      </c>
      <c r="R732" s="83">
        <v>0</v>
      </c>
      <c r="S732" s="83">
        <v>0</v>
      </c>
      <c r="T732" s="83">
        <f t="shared" si="184"/>
        <v>0</v>
      </c>
      <c r="U732" s="83">
        <f t="shared" si="185"/>
        <v>0</v>
      </c>
    </row>
    <row r="733" spans="1:21" ht="18.75" hidden="1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468">
        <v>0</v>
      </c>
      <c r="M733" s="224">
        <v>0</v>
      </c>
      <c r="N733" s="224">
        <v>0</v>
      </c>
      <c r="O733" s="224">
        <f t="shared" si="182"/>
        <v>0</v>
      </c>
      <c r="P733" s="224">
        <f t="shared" si="183"/>
        <v>0</v>
      </c>
      <c r="Q733" s="224">
        <f ca="1">IFERROR(__xludf.DUMMYFUNCTION("IMPORTRANGE(""https://docs.google.com/spreadsheets/d/1ItG2mGa2ceCfYo0BwxsXqNm01IGEUdYcSSLTEv9YCik/edit?usp=sharing"",""เบิกจ่ายกองทุน!O24"")"),1008470)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IFERROR(__xludf.DUMMYFUNCTION("IMPORTRANGE(""https://docs.google.com/spreadsheets/d/1ItG2mGa2ceCfYo0BwxsXqNm01IGEUdYcSSLTEv9YCik/edit?usp=sharing"",""เบิกจ่ายกองทุน!P24"")"),1008470)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IFERROR(__xludf.DUMMYFUNCTION("IMPORTRANGE(""https://docs.google.com/spreadsheets/d/1ItG2mGa2ceCfYo0BwxsXqNm01IGEUdYcSSLTEv9YCik/edit?usp=sharing"",""เบิกจ่ายกองทุน!Q24"")"),102745)</f>
        <v>102745</v>
      </c>
      <c r="T733" s="224">
        <f t="shared" ca="1" si="184"/>
        <v>10.188205896060369</v>
      </c>
      <c r="U733" s="224">
        <f t="shared" ca="1" si="185"/>
        <v>10.188205896060369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468">
        <f>L735+L736</f>
        <v>0</v>
      </c>
      <c r="M734" s="224">
        <f>M735+M736</f>
        <v>0</v>
      </c>
      <c r="N734" s="224">
        <f>N735+N736</f>
        <v>0</v>
      </c>
      <c r="O734" s="224">
        <f t="shared" si="182"/>
        <v>0</v>
      </c>
      <c r="P734" s="224">
        <f t="shared" si="183"/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 t="shared" si="184"/>
        <v>0</v>
      </c>
      <c r="U734" s="224">
        <f t="shared" si="185"/>
        <v>0</v>
      </c>
    </row>
    <row r="735" spans="1:21" ht="18.75" hidden="1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469">
        <v>0</v>
      </c>
      <c r="M735" s="83">
        <v>0</v>
      </c>
      <c r="N735" s="83">
        <v>0</v>
      </c>
      <c r="O735" s="83">
        <f t="shared" si="182"/>
        <v>0</v>
      </c>
      <c r="P735" s="83">
        <f t="shared" si="183"/>
        <v>0</v>
      </c>
      <c r="Q735" s="83">
        <v>0</v>
      </c>
      <c r="R735" s="83">
        <v>0</v>
      </c>
      <c r="S735" s="83">
        <v>0</v>
      </c>
      <c r="T735" s="83">
        <f t="shared" si="184"/>
        <v>0</v>
      </c>
      <c r="U735" s="83">
        <f t="shared" si="185"/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468">
        <v>0</v>
      </c>
      <c r="M736" s="224">
        <v>0</v>
      </c>
      <c r="N736" s="224">
        <v>0</v>
      </c>
      <c r="O736" s="224">
        <f t="shared" si="182"/>
        <v>0</v>
      </c>
      <c r="P736" s="224">
        <f t="shared" si="183"/>
        <v>0</v>
      </c>
      <c r="Q736" s="224">
        <v>0</v>
      </c>
      <c r="R736" s="224">
        <v>0</v>
      </c>
      <c r="S736" s="224">
        <v>0</v>
      </c>
      <c r="T736" s="224">
        <f t="shared" si="184"/>
        <v>0</v>
      </c>
      <c r="U736" s="224">
        <f t="shared" si="185"/>
        <v>0</v>
      </c>
    </row>
    <row r="737" spans="1:21" ht="19.5" x14ac:dyDescent="0.3">
      <c r="A737" s="138"/>
      <c r="B737" s="139"/>
      <c r="C737" s="177" t="s">
        <v>18</v>
      </c>
      <c r="D737" s="491" t="s">
        <v>38</v>
      </c>
      <c r="E737" s="203"/>
      <c r="F737" s="141"/>
      <c r="G737" s="142"/>
      <c r="H737" s="178"/>
      <c r="I737" s="44"/>
      <c r="J737" s="44"/>
      <c r="K737" s="45"/>
      <c r="L737" s="465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7" t="s">
        <v>121</v>
      </c>
      <c r="E738" s="139"/>
      <c r="F738" s="139"/>
      <c r="G738" s="143"/>
      <c r="H738" s="180"/>
      <c r="I738" s="44"/>
      <c r="J738" s="44"/>
      <c r="K738" s="45"/>
      <c r="L738" s="465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10" t="s">
        <v>270</v>
      </c>
      <c r="F739" s="139"/>
      <c r="G739" s="143"/>
      <c r="H739" s="180"/>
      <c r="I739" s="44"/>
      <c r="J739" s="44"/>
      <c r="K739" s="45"/>
      <c r="L739" s="465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10" t="s">
        <v>271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IFERROR(__xludf.DUMMYFUNCTION("IMPORTRANGE(""https://docs.google.com/spreadsheets/d/1eHaY18a8A9IcSdp1K8H6x8fbOy06t2VsZHhMHf-1x7Y/edit?usp=sharing"",""แผน!GB24"")"),1000)</f>
        <v>1000</v>
      </c>
      <c r="J740" s="466">
        <v>1000</v>
      </c>
      <c r="K740" s="224">
        <f ca="1">IF(I740&gt;0,J740*100/I740,0)</f>
        <v>100</v>
      </c>
      <c r="L740" s="465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485"/>
      <c r="B741" s="484"/>
      <c r="C741" s="484"/>
      <c r="D741" s="484"/>
      <c r="E741" s="484"/>
      <c r="F741" s="489" t="s">
        <v>306</v>
      </c>
      <c r="G741" s="481"/>
      <c r="H741" s="480" t="s">
        <v>35</v>
      </c>
      <c r="I741" s="479"/>
      <c r="J741" s="478">
        <v>0</v>
      </c>
      <c r="K741" s="476"/>
      <c r="L741" s="477"/>
      <c r="M741" s="476"/>
      <c r="N741" s="476"/>
      <c r="O741" s="476"/>
      <c r="P741" s="476"/>
      <c r="Q741" s="476"/>
      <c r="R741" s="476"/>
      <c r="S741" s="476"/>
      <c r="T741" s="476"/>
      <c r="U741" s="476"/>
    </row>
    <row r="742" spans="1:21" ht="18.75" x14ac:dyDescent="0.25">
      <c r="A742" s="485"/>
      <c r="B742" s="484"/>
      <c r="C742" s="484"/>
      <c r="D742" s="484"/>
      <c r="E742" s="484"/>
      <c r="F742" s="489" t="s">
        <v>305</v>
      </c>
      <c r="G742" s="481"/>
      <c r="H742" s="480" t="s">
        <v>35</v>
      </c>
      <c r="I742" s="487">
        <f ca="1">IFERROR(__xludf.DUMMYFUNCTION("IMPORTRANGE(""https://docs.google.com/spreadsheets/d/1eHaY18a8A9IcSdp1K8H6x8fbOy06t2VsZHhMHf-1x7Y/edit?usp=sharing"",""แผน!GC24"")"),100)</f>
        <v>100</v>
      </c>
      <c r="J742" s="478">
        <v>100</v>
      </c>
      <c r="K742" s="486">
        <f ca="1">IF(I742&gt;0,J742*100/I742,0)</f>
        <v>100</v>
      </c>
      <c r="L742" s="477"/>
      <c r="M742" s="476"/>
      <c r="N742" s="476"/>
      <c r="O742" s="476"/>
      <c r="P742" s="476"/>
      <c r="Q742" s="476"/>
      <c r="R742" s="476"/>
      <c r="S742" s="476"/>
      <c r="T742" s="476"/>
      <c r="U742" s="476"/>
    </row>
    <row r="743" spans="1:21" ht="18.75" x14ac:dyDescent="0.25">
      <c r="A743" s="485"/>
      <c r="B743" s="484"/>
      <c r="C743" s="484"/>
      <c r="D743" s="484"/>
      <c r="E743" s="489" t="s">
        <v>274</v>
      </c>
      <c r="F743" s="484"/>
      <c r="G743" s="481"/>
      <c r="H743" s="488"/>
      <c r="I743" s="479"/>
      <c r="J743" s="479"/>
      <c r="K743" s="476"/>
      <c r="L743" s="477"/>
      <c r="M743" s="476"/>
      <c r="N743" s="476"/>
      <c r="O743" s="476"/>
      <c r="P743" s="476"/>
      <c r="Q743" s="476"/>
      <c r="R743" s="476"/>
      <c r="S743" s="476"/>
      <c r="T743" s="476"/>
      <c r="U743" s="476"/>
    </row>
    <row r="744" spans="1:21" ht="18.75" x14ac:dyDescent="0.25">
      <c r="A744" s="485"/>
      <c r="B744" s="484"/>
      <c r="C744" s="484"/>
      <c r="D744" s="484"/>
      <c r="E744" s="484"/>
      <c r="F744" s="489" t="s">
        <v>271</v>
      </c>
      <c r="G744" s="481"/>
      <c r="H744" s="480" t="s">
        <v>46</v>
      </c>
      <c r="I744" s="487">
        <f ca="1">IFERROR(__xludf.DUMMYFUNCTION("IMPORTRANGE(""https://docs.google.com/spreadsheets/d/1eHaY18a8A9IcSdp1K8H6x8fbOy06t2VsZHhMHf-1x7Y/edit?usp=sharing"",""แผน!GD24"")"),250)</f>
        <v>250</v>
      </c>
      <c r="J744" s="478">
        <v>250</v>
      </c>
      <c r="K744" s="486">
        <f ca="1">IF(I744&gt;0,J744*100/I744,0)</f>
        <v>100</v>
      </c>
      <c r="L744" s="477"/>
      <c r="M744" s="476"/>
      <c r="N744" s="476"/>
      <c r="O744" s="476"/>
      <c r="P744" s="476"/>
      <c r="Q744" s="476"/>
      <c r="R744" s="476"/>
      <c r="S744" s="476"/>
      <c r="T744" s="476"/>
      <c r="U744" s="476"/>
    </row>
    <row r="745" spans="1:21" ht="18.75" x14ac:dyDescent="0.25">
      <c r="A745" s="485"/>
      <c r="B745" s="484"/>
      <c r="C745" s="484"/>
      <c r="D745" s="484"/>
      <c r="E745" s="484"/>
      <c r="F745" s="489" t="s">
        <v>304</v>
      </c>
      <c r="G745" s="481"/>
      <c r="H745" s="480" t="s">
        <v>35</v>
      </c>
      <c r="I745" s="479"/>
      <c r="J745" s="478"/>
      <c r="K745" s="476"/>
      <c r="L745" s="477"/>
      <c r="M745" s="476"/>
      <c r="N745" s="476"/>
      <c r="O745" s="476"/>
      <c r="P745" s="476"/>
      <c r="Q745" s="476"/>
      <c r="R745" s="476"/>
      <c r="S745" s="476"/>
      <c r="T745" s="476"/>
      <c r="U745" s="476"/>
    </row>
    <row r="746" spans="1:21" ht="18.75" x14ac:dyDescent="0.25">
      <c r="A746" s="485"/>
      <c r="B746" s="484"/>
      <c r="C746" s="484"/>
      <c r="D746" s="484"/>
      <c r="E746" s="484"/>
      <c r="F746" s="489" t="s">
        <v>303</v>
      </c>
      <c r="G746" s="481"/>
      <c r="H746" s="480" t="s">
        <v>35</v>
      </c>
      <c r="I746" s="487">
        <f ca="1">IFERROR(__xludf.DUMMYFUNCTION("IMPORTRANGE(""https://docs.google.com/spreadsheets/d/1eHaY18a8A9IcSdp1K8H6x8fbOy06t2VsZHhMHf-1x7Y/edit?usp=sharing"",""แผน!GE24"")"),25)</f>
        <v>25</v>
      </c>
      <c r="J746" s="478">
        <v>25</v>
      </c>
      <c r="K746" s="486">
        <f ca="1">IF(I746&gt;0,J746*100/I746,0)</f>
        <v>100</v>
      </c>
      <c r="L746" s="477"/>
      <c r="M746" s="476"/>
      <c r="N746" s="476"/>
      <c r="O746" s="476"/>
      <c r="P746" s="476"/>
      <c r="Q746" s="476"/>
      <c r="R746" s="476"/>
      <c r="S746" s="476"/>
      <c r="T746" s="476"/>
      <c r="U746" s="476"/>
    </row>
    <row r="747" spans="1:21" ht="18.75" x14ac:dyDescent="0.25">
      <c r="A747" s="485"/>
      <c r="B747" s="484"/>
      <c r="C747" s="484"/>
      <c r="D747" s="484"/>
      <c r="E747" s="489" t="s">
        <v>277</v>
      </c>
      <c r="F747" s="483"/>
      <c r="G747" s="481"/>
      <c r="H747" s="488"/>
      <c r="I747" s="479"/>
      <c r="J747" s="479"/>
      <c r="K747" s="476"/>
      <c r="L747" s="477"/>
      <c r="M747" s="476"/>
      <c r="N747" s="476"/>
      <c r="O747" s="476"/>
      <c r="P747" s="476"/>
      <c r="Q747" s="476"/>
      <c r="R747" s="476"/>
      <c r="S747" s="476"/>
      <c r="T747" s="476"/>
      <c r="U747" s="476"/>
    </row>
    <row r="748" spans="1:21" ht="18.75" x14ac:dyDescent="0.25">
      <c r="A748" s="485"/>
      <c r="B748" s="484"/>
      <c r="C748" s="484"/>
      <c r="D748" s="484"/>
      <c r="E748" s="484"/>
      <c r="F748" s="489" t="s">
        <v>302</v>
      </c>
      <c r="G748" s="481"/>
      <c r="H748" s="480" t="s">
        <v>35</v>
      </c>
      <c r="I748" s="479"/>
      <c r="J748" s="478">
        <v>0</v>
      </c>
      <c r="K748" s="476"/>
      <c r="L748" s="477"/>
      <c r="M748" s="476"/>
      <c r="N748" s="476"/>
      <c r="O748" s="476"/>
      <c r="P748" s="476"/>
      <c r="Q748" s="476"/>
      <c r="R748" s="476"/>
      <c r="S748" s="476"/>
      <c r="T748" s="476"/>
      <c r="U748" s="476"/>
    </row>
    <row r="749" spans="1:21" ht="18.75" x14ac:dyDescent="0.25">
      <c r="A749" s="485"/>
      <c r="B749" s="484"/>
      <c r="C749" s="484"/>
      <c r="D749" s="484"/>
      <c r="E749" s="484"/>
      <c r="F749" s="489" t="s">
        <v>301</v>
      </c>
      <c r="G749" s="481"/>
      <c r="H749" s="480" t="s">
        <v>35</v>
      </c>
      <c r="I749" s="487">
        <f ca="1">IFERROR(__xludf.DUMMYFUNCTION("IMPORTRANGE(""https://docs.google.com/spreadsheets/d/1eHaY18a8A9IcSdp1K8H6x8fbOy06t2VsZHhMHf-1x7Y/edit?usp=sharing"",""แผน!GF24"")"),3)</f>
        <v>3</v>
      </c>
      <c r="J749" s="478">
        <v>0</v>
      </c>
      <c r="K749" s="486">
        <f ca="1">IF(I749&gt;0,J749*100/I749,0)</f>
        <v>0</v>
      </c>
      <c r="L749" s="477"/>
      <c r="M749" s="476"/>
      <c r="N749" s="476"/>
      <c r="O749" s="476"/>
      <c r="P749" s="476"/>
      <c r="Q749" s="476"/>
      <c r="R749" s="476"/>
      <c r="S749" s="476"/>
      <c r="T749" s="476"/>
      <c r="U749" s="476"/>
    </row>
    <row r="750" spans="1:21" ht="19.5" x14ac:dyDescent="0.3">
      <c r="A750" s="485"/>
      <c r="B750" s="484"/>
      <c r="C750" s="484"/>
      <c r="D750" s="490" t="s">
        <v>50</v>
      </c>
      <c r="E750" s="484"/>
      <c r="F750" s="483"/>
      <c r="G750" s="481"/>
      <c r="H750" s="488"/>
      <c r="I750" s="479"/>
      <c r="J750" s="479"/>
      <c r="K750" s="476"/>
      <c r="L750" s="477"/>
      <c r="M750" s="476"/>
      <c r="N750" s="476"/>
      <c r="O750" s="476"/>
      <c r="P750" s="476"/>
      <c r="Q750" s="476"/>
      <c r="R750" s="476"/>
      <c r="S750" s="476"/>
      <c r="T750" s="476"/>
      <c r="U750" s="476"/>
    </row>
    <row r="751" spans="1:21" ht="18.75" x14ac:dyDescent="0.25">
      <c r="A751" s="485"/>
      <c r="B751" s="484"/>
      <c r="C751" s="484"/>
      <c r="D751" s="484"/>
      <c r="E751" s="489" t="s">
        <v>270</v>
      </c>
      <c r="F751" s="483"/>
      <c r="G751" s="481"/>
      <c r="H751" s="488"/>
      <c r="I751" s="479"/>
      <c r="J751" s="479"/>
      <c r="K751" s="476"/>
      <c r="L751" s="477"/>
      <c r="M751" s="476"/>
      <c r="N751" s="476"/>
      <c r="O751" s="476"/>
      <c r="P751" s="476"/>
      <c r="Q751" s="476"/>
      <c r="R751" s="476"/>
      <c r="S751" s="476"/>
      <c r="T751" s="476"/>
      <c r="U751" s="476"/>
    </row>
    <row r="752" spans="1:21" ht="18.75" x14ac:dyDescent="0.25">
      <c r="A752" s="485"/>
      <c r="B752" s="484"/>
      <c r="C752" s="484"/>
      <c r="D752" s="484"/>
      <c r="E752" s="484"/>
      <c r="F752" s="482" t="s">
        <v>300</v>
      </c>
      <c r="G752" s="481"/>
      <c r="H752" s="480" t="s">
        <v>46</v>
      </c>
      <c r="I752" s="487">
        <f ca="1">IFERROR(__xludf.DUMMYFUNCTION("IMPORTRANGE(""https://docs.google.com/spreadsheets/d/1eHaY18a8A9IcSdp1K8H6x8fbOy06t2VsZHhMHf-1x7Y/edit?usp=sharing"",""แผน!GB24"")"),1000)</f>
        <v>1000</v>
      </c>
      <c r="J752" s="478">
        <v>0</v>
      </c>
      <c r="K752" s="486">
        <f ca="1">IF(I752&gt;0,J752*100/I752,0)</f>
        <v>0</v>
      </c>
      <c r="L752" s="477"/>
      <c r="M752" s="476"/>
      <c r="N752" s="476"/>
      <c r="O752" s="476"/>
      <c r="P752" s="476"/>
      <c r="Q752" s="476"/>
      <c r="R752" s="476"/>
      <c r="S752" s="476"/>
      <c r="T752" s="476"/>
      <c r="U752" s="476"/>
    </row>
    <row r="753" spans="1:21" ht="18.75" x14ac:dyDescent="0.25">
      <c r="A753" s="485"/>
      <c r="B753" s="484"/>
      <c r="C753" s="484"/>
      <c r="D753" s="484"/>
      <c r="E753" s="484"/>
      <c r="F753" s="482" t="s">
        <v>299</v>
      </c>
      <c r="G753" s="481"/>
      <c r="H753" s="480" t="s">
        <v>46</v>
      </c>
      <c r="I753" s="479"/>
      <c r="J753" s="478">
        <v>0</v>
      </c>
      <c r="K753" s="476"/>
      <c r="L753" s="477"/>
      <c r="M753" s="476"/>
      <c r="N753" s="476"/>
      <c r="O753" s="476"/>
      <c r="P753" s="476"/>
      <c r="Q753" s="476"/>
      <c r="R753" s="476"/>
      <c r="S753" s="476"/>
      <c r="T753" s="476"/>
      <c r="U753" s="476"/>
    </row>
    <row r="754" spans="1:21" ht="18.75" x14ac:dyDescent="0.25">
      <c r="A754" s="485"/>
      <c r="B754" s="484"/>
      <c r="C754" s="484"/>
      <c r="D754" s="484"/>
      <c r="E754" s="489" t="s">
        <v>274</v>
      </c>
      <c r="F754" s="483"/>
      <c r="G754" s="481"/>
      <c r="H754" s="488"/>
      <c r="I754" s="479"/>
      <c r="J754" s="479"/>
      <c r="K754" s="476"/>
      <c r="L754" s="477"/>
      <c r="M754" s="476"/>
      <c r="N754" s="476"/>
      <c r="O754" s="476"/>
      <c r="P754" s="476"/>
      <c r="Q754" s="476"/>
      <c r="R754" s="476"/>
      <c r="S754" s="476"/>
      <c r="T754" s="476"/>
      <c r="U754" s="476"/>
    </row>
    <row r="755" spans="1:21" ht="18.75" x14ac:dyDescent="0.25">
      <c r="A755" s="485"/>
      <c r="B755" s="484"/>
      <c r="C755" s="484"/>
      <c r="D755" s="484"/>
      <c r="E755" s="483"/>
      <c r="F755" s="482" t="s">
        <v>298</v>
      </c>
      <c r="G755" s="481"/>
      <c r="H755" s="480" t="s">
        <v>46</v>
      </c>
      <c r="I755" s="487">
        <f ca="1">IFERROR(__xludf.DUMMYFUNCTION("IMPORTRANGE(""https://docs.google.com/spreadsheets/d/1eHaY18a8A9IcSdp1K8H6x8fbOy06t2VsZHhMHf-1x7Y/edit?usp=sharing"",""แผน!GD24"")"),250)</f>
        <v>250</v>
      </c>
      <c r="J755" s="478">
        <v>0</v>
      </c>
      <c r="K755" s="486">
        <f ca="1">IF(I755&gt;0,J755*100/I755,0)</f>
        <v>0</v>
      </c>
      <c r="L755" s="477"/>
      <c r="M755" s="476"/>
      <c r="N755" s="476"/>
      <c r="O755" s="476"/>
      <c r="P755" s="476"/>
      <c r="Q755" s="476"/>
      <c r="R755" s="476"/>
      <c r="S755" s="476"/>
      <c r="T755" s="476"/>
      <c r="U755" s="476"/>
    </row>
    <row r="756" spans="1:21" ht="18.75" x14ac:dyDescent="0.25">
      <c r="A756" s="485"/>
      <c r="B756" s="484"/>
      <c r="C756" s="484"/>
      <c r="D756" s="484"/>
      <c r="E756" s="483"/>
      <c r="F756" s="482" t="s">
        <v>297</v>
      </c>
      <c r="G756" s="481"/>
      <c r="H756" s="480" t="s">
        <v>46</v>
      </c>
      <c r="I756" s="479"/>
      <c r="J756" s="478">
        <v>0</v>
      </c>
      <c r="K756" s="476"/>
      <c r="L756" s="477"/>
      <c r="M756" s="476"/>
      <c r="N756" s="476"/>
      <c r="O756" s="476"/>
      <c r="P756" s="476"/>
      <c r="Q756" s="476"/>
      <c r="R756" s="476"/>
      <c r="S756" s="476"/>
      <c r="T756" s="476"/>
      <c r="U756" s="476"/>
    </row>
    <row r="757" spans="1:21" ht="18.75" x14ac:dyDescent="0.25">
      <c r="A757" s="438"/>
      <c r="B757" s="438"/>
      <c r="C757" s="438"/>
      <c r="D757" s="438"/>
      <c r="E757" s="439" t="s">
        <v>284</v>
      </c>
      <c r="F757" s="440"/>
      <c r="G757" s="441"/>
      <c r="H757" s="442" t="s">
        <v>35</v>
      </c>
      <c r="I757" s="443"/>
      <c r="J757" s="444">
        <v>0</v>
      </c>
      <c r="K757" s="445"/>
      <c r="L757" s="445"/>
      <c r="M757" s="445"/>
      <c r="N757" s="445"/>
      <c r="O757" s="445"/>
      <c r="P757" s="445"/>
      <c r="Q757" s="445"/>
      <c r="R757" s="445"/>
      <c r="S757" s="445"/>
      <c r="T757" s="445"/>
      <c r="U757" s="445"/>
    </row>
    <row r="758" spans="1:21" ht="19.5" x14ac:dyDescent="0.3">
      <c r="A758" s="394"/>
      <c r="B758" s="395" t="s">
        <v>285</v>
      </c>
      <c r="C758" s="394"/>
      <c r="D758" s="396"/>
      <c r="E758" s="396"/>
      <c r="F758" s="396"/>
      <c r="G758" s="397"/>
      <c r="H758" s="434" t="s">
        <v>35</v>
      </c>
      <c r="I758" s="475">
        <f ca="1">I772</f>
        <v>70</v>
      </c>
      <c r="J758" s="475">
        <f>J772</f>
        <v>70</v>
      </c>
      <c r="K758" s="474">
        <f ca="1">IF(I758&gt;0,J758*100/I758,0)</f>
        <v>100</v>
      </c>
      <c r="L758" s="47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6"/>
      <c r="B759" s="394"/>
      <c r="C759" s="394"/>
      <c r="D759" s="396"/>
      <c r="E759" s="396"/>
      <c r="F759" s="396"/>
      <c r="G759" s="397"/>
      <c r="H759" s="434" t="s">
        <v>46</v>
      </c>
      <c r="I759" s="475">
        <f ca="1">I774</f>
        <v>140</v>
      </c>
      <c r="J759" s="475">
        <f>J774</f>
        <v>140</v>
      </c>
      <c r="K759" s="474">
        <f ca="1">IF(I759&gt;0,J759*100/I759,0)</f>
        <v>100</v>
      </c>
      <c r="L759" s="47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8"/>
      <c r="C760" s="177" t="s">
        <v>18</v>
      </c>
      <c r="D760" s="821" t="s">
        <v>19</v>
      </c>
      <c r="E760" s="793"/>
      <c r="F760" s="793"/>
      <c r="G760" s="794"/>
      <c r="H760" s="221" t="s">
        <v>14</v>
      </c>
      <c r="I760" s="44"/>
      <c r="J760" s="44"/>
      <c r="K760" s="45"/>
      <c r="L760" s="471">
        <f>L761+L762</f>
        <v>0</v>
      </c>
      <c r="M760" s="470">
        <f>M761+M762</f>
        <v>0</v>
      </c>
      <c r="N760" s="470">
        <f>N761+N762</f>
        <v>0</v>
      </c>
      <c r="O760" s="470">
        <f t="shared" ref="O760:O768" si="188">IF(L760&gt;0,N760*100/L760,0)</f>
        <v>0</v>
      </c>
      <c r="P760" s="470">
        <f t="shared" ref="P760:P768" si="189">IF(M760&gt;0,N760*100/M760,0)</f>
        <v>0</v>
      </c>
      <c r="Q760" s="470">
        <f ca="1">Q761+Q762</f>
        <v>479400</v>
      </c>
      <c r="R760" s="470">
        <f ca="1">R761+R762</f>
        <v>479400</v>
      </c>
      <c r="S760" s="470">
        <f ca="1">S761+S762</f>
        <v>252675</v>
      </c>
      <c r="T760" s="470">
        <f t="shared" ref="T760:T768" ca="1" si="190">IF(Q760&gt;0,S760*100/Q760,0)</f>
        <v>52.70650813516896</v>
      </c>
      <c r="U760" s="470">
        <f t="shared" ref="U760:U768" ca="1" si="191">IF(R760&gt;0,S760*100/R760,0)</f>
        <v>52.70650813516896</v>
      </c>
    </row>
    <row r="761" spans="1:21" ht="18.75" hidden="1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469">
        <f t="shared" ref="L761:N762" si="192">L764+L767</f>
        <v>0</v>
      </c>
      <c r="M761" s="83">
        <f t="shared" si="192"/>
        <v>0</v>
      </c>
      <c r="N761" s="83">
        <f t="shared" si="192"/>
        <v>0</v>
      </c>
      <c r="O761" s="83">
        <f t="shared" si="188"/>
        <v>0</v>
      </c>
      <c r="P761" s="83">
        <f t="shared" si="189"/>
        <v>0</v>
      </c>
      <c r="Q761" s="83">
        <f t="shared" ref="Q761:S762" si="193">Q764+Q767</f>
        <v>0</v>
      </c>
      <c r="R761" s="83">
        <f t="shared" si="193"/>
        <v>0</v>
      </c>
      <c r="S761" s="83">
        <f t="shared" si="193"/>
        <v>0</v>
      </c>
      <c r="T761" s="83">
        <f t="shared" si="190"/>
        <v>0</v>
      </c>
      <c r="U761" s="83">
        <f t="shared" si="191"/>
        <v>0</v>
      </c>
    </row>
    <row r="762" spans="1:21" ht="18.75" hidden="1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468">
        <f t="shared" si="192"/>
        <v>0</v>
      </c>
      <c r="M762" s="224">
        <f t="shared" si="192"/>
        <v>0</v>
      </c>
      <c r="N762" s="224">
        <f t="shared" si="192"/>
        <v>0</v>
      </c>
      <c r="O762" s="224">
        <f t="shared" si="188"/>
        <v>0</v>
      </c>
      <c r="P762" s="224">
        <f t="shared" si="189"/>
        <v>0</v>
      </c>
      <c r="Q762" s="224">
        <f t="shared" ca="1" si="193"/>
        <v>479400</v>
      </c>
      <c r="R762" s="224">
        <f t="shared" ca="1" si="193"/>
        <v>479400</v>
      </c>
      <c r="S762" s="224">
        <f t="shared" ca="1" si="193"/>
        <v>252675</v>
      </c>
      <c r="T762" s="224">
        <f t="shared" ca="1" si="190"/>
        <v>52.70650813516896</v>
      </c>
      <c r="U762" s="224">
        <f t="shared" ca="1" si="191"/>
        <v>52.70650813516896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468">
        <f>L764+L765</f>
        <v>0</v>
      </c>
      <c r="M763" s="224">
        <f>M764+M765</f>
        <v>0</v>
      </c>
      <c r="N763" s="224">
        <f>N764+N765</f>
        <v>0</v>
      </c>
      <c r="O763" s="224">
        <f t="shared" si="188"/>
        <v>0</v>
      </c>
      <c r="P763" s="224">
        <f t="shared" si="189"/>
        <v>0</v>
      </c>
      <c r="Q763" s="224">
        <f ca="1">Q764+Q765</f>
        <v>479400</v>
      </c>
      <c r="R763" s="224">
        <f ca="1">R764+R765</f>
        <v>479400</v>
      </c>
      <c r="S763" s="224">
        <f ca="1">S764+S765</f>
        <v>252675</v>
      </c>
      <c r="T763" s="224">
        <f t="shared" ca="1" si="190"/>
        <v>52.70650813516896</v>
      </c>
      <c r="U763" s="224">
        <f t="shared" ca="1" si="191"/>
        <v>52.70650813516896</v>
      </c>
    </row>
    <row r="764" spans="1:21" ht="18.75" hidden="1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469">
        <v>0</v>
      </c>
      <c r="M764" s="83">
        <v>0</v>
      </c>
      <c r="N764" s="83">
        <v>0</v>
      </c>
      <c r="O764" s="83">
        <f t="shared" si="188"/>
        <v>0</v>
      </c>
      <c r="P764" s="83">
        <f t="shared" si="189"/>
        <v>0</v>
      </c>
      <c r="Q764" s="83">
        <v>0</v>
      </c>
      <c r="R764" s="83">
        <v>0</v>
      </c>
      <c r="S764" s="83">
        <v>0</v>
      </c>
      <c r="T764" s="83">
        <f t="shared" si="190"/>
        <v>0</v>
      </c>
      <c r="U764" s="83">
        <f t="shared" si="191"/>
        <v>0</v>
      </c>
    </row>
    <row r="765" spans="1:21" ht="18.75" hidden="1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468">
        <v>0</v>
      </c>
      <c r="M765" s="224">
        <v>0</v>
      </c>
      <c r="N765" s="224">
        <v>0</v>
      </c>
      <c r="O765" s="224">
        <f t="shared" si="188"/>
        <v>0</v>
      </c>
      <c r="P765" s="224">
        <f t="shared" si="189"/>
        <v>0</v>
      </c>
      <c r="Q765" s="224">
        <f ca="1">IFERROR(__xludf.DUMMYFUNCTION("IMPORTRANGE(""https://docs.google.com/spreadsheets/d/1ItG2mGa2ceCfYo0BwxsXqNm01IGEUdYcSSLTEv9YCik/edit?usp=sharing"",""เบิกจ่ายกองทุน!U24"")"),479400)</f>
        <v>479400</v>
      </c>
      <c r="R765" s="224">
        <f ca="1">IFERROR(__xludf.DUMMYFUNCTION("IMPORTRANGE(""https://docs.google.com/spreadsheets/d/1ItG2mGa2ceCfYo0BwxsXqNm01IGEUdYcSSLTEv9YCik/edit?usp=sharing"",""เบิกจ่ายกองทุน!V24"")"),479400)</f>
        <v>479400</v>
      </c>
      <c r="S765" s="224">
        <f ca="1">IFERROR(__xludf.DUMMYFUNCTION("IMPORTRANGE(""https://docs.google.com/spreadsheets/d/1ItG2mGa2ceCfYo0BwxsXqNm01IGEUdYcSSLTEv9YCik/edit?usp=sharing"",""เบิกจ่ายกองทุน!W24"")"),252675)</f>
        <v>252675</v>
      </c>
      <c r="T765" s="224">
        <f t="shared" ca="1" si="190"/>
        <v>52.70650813516896</v>
      </c>
      <c r="U765" s="224">
        <f t="shared" ca="1" si="191"/>
        <v>52.70650813516896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468">
        <f>L767+L768</f>
        <v>0</v>
      </c>
      <c r="M766" s="224">
        <f>M767+M768</f>
        <v>0</v>
      </c>
      <c r="N766" s="224">
        <f>N767+N768</f>
        <v>0</v>
      </c>
      <c r="O766" s="224">
        <f t="shared" si="188"/>
        <v>0</v>
      </c>
      <c r="P766" s="224">
        <f t="shared" si="189"/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 t="shared" si="190"/>
        <v>0</v>
      </c>
      <c r="U766" s="224">
        <f t="shared" si="191"/>
        <v>0</v>
      </c>
    </row>
    <row r="767" spans="1:21" ht="18.75" hidden="1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469">
        <v>0</v>
      </c>
      <c r="M767" s="83">
        <v>0</v>
      </c>
      <c r="N767" s="83">
        <v>0</v>
      </c>
      <c r="O767" s="83">
        <f t="shared" si="188"/>
        <v>0</v>
      </c>
      <c r="P767" s="83">
        <f t="shared" si="189"/>
        <v>0</v>
      </c>
      <c r="Q767" s="83">
        <v>0</v>
      </c>
      <c r="R767" s="83">
        <v>0</v>
      </c>
      <c r="S767" s="83">
        <v>0</v>
      </c>
      <c r="T767" s="83">
        <f t="shared" si="190"/>
        <v>0</v>
      </c>
      <c r="U767" s="83">
        <f t="shared" si="191"/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468">
        <v>0</v>
      </c>
      <c r="M768" s="224">
        <v>0</v>
      </c>
      <c r="N768" s="224">
        <v>0</v>
      </c>
      <c r="O768" s="224">
        <f t="shared" si="188"/>
        <v>0</v>
      </c>
      <c r="P768" s="224">
        <f t="shared" si="189"/>
        <v>0</v>
      </c>
      <c r="Q768" s="224">
        <v>0</v>
      </c>
      <c r="R768" s="224">
        <v>0</v>
      </c>
      <c r="S768" s="224">
        <v>0</v>
      </c>
      <c r="T768" s="224">
        <f t="shared" si="190"/>
        <v>0</v>
      </c>
      <c r="U768" s="224">
        <f t="shared" si="191"/>
        <v>0</v>
      </c>
    </row>
    <row r="769" spans="1:21" ht="19.5" x14ac:dyDescent="0.3">
      <c r="A769" s="138"/>
      <c r="B769" s="139"/>
      <c r="C769" s="446" t="s">
        <v>18</v>
      </c>
      <c r="D769" s="467" t="s">
        <v>38</v>
      </c>
      <c r="E769" s="203"/>
      <c r="F769" s="141"/>
      <c r="G769" s="142"/>
      <c r="H769" s="178"/>
      <c r="I769" s="44"/>
      <c r="J769" s="44"/>
      <c r="K769" s="45"/>
      <c r="L769" s="465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377" t="s">
        <v>286</v>
      </c>
      <c r="E770" s="139"/>
      <c r="F770" s="145"/>
      <c r="G770" s="143"/>
      <c r="H770" s="375" t="s">
        <v>35</v>
      </c>
      <c r="I770" s="430">
        <f ca="1">IFERROR(__xludf.DUMMYFUNCTION("IMPORTRANGE(""https://docs.google.com/spreadsheets/d/1eHaY18a8A9IcSdp1K8H6x8fbOy06t2VsZHhMHf-1x7Y/edit?usp=sharing"",""แผน!FI24"")"),0)</f>
        <v>0</v>
      </c>
      <c r="J770" s="430">
        <v>0</v>
      </c>
      <c r="K770" s="83">
        <f ca="1">IF(I770&gt;0,J770*100/I770,0)</f>
        <v>0</v>
      </c>
      <c r="L770" s="465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377" t="s">
        <v>287</v>
      </c>
      <c r="E771" s="139"/>
      <c r="F771" s="145"/>
      <c r="G771" s="143"/>
      <c r="H771" s="178"/>
      <c r="I771" s="44"/>
      <c r="J771" s="44"/>
      <c r="K771" s="45"/>
      <c r="L771" s="465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10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IFERROR(__xludf.DUMMYFUNCTION("IMPORTRANGE(""https://docs.google.com/spreadsheets/d/1eHaY18a8A9IcSdp1K8H6x8fbOy06t2VsZHhMHf-1x7Y/edit?usp=sharing"",""แผน!FQ24"")"),70)</f>
        <v>70</v>
      </c>
      <c r="J772" s="466">
        <v>70</v>
      </c>
      <c r="K772" s="224">
        <f ca="1">IF(I772&gt;0,J772*100/I772,0)</f>
        <v>100</v>
      </c>
      <c r="L772" s="465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10" t="s">
        <v>289</v>
      </c>
      <c r="E773" s="139"/>
      <c r="F773" s="145"/>
      <c r="G773" s="143"/>
      <c r="H773" s="178"/>
      <c r="I773" s="44"/>
      <c r="J773" s="44"/>
      <c r="K773" s="45"/>
      <c r="L773" s="465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10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IFERROR(__xludf.DUMMYFUNCTION("IMPORTRANGE(""https://docs.google.com/spreadsheets/d/1eHaY18a8A9IcSdp1K8H6x8fbOy06t2VsZHhMHf-1x7Y/edit?usp=sharing"",""แผน!FR24"")"),140)</f>
        <v>140</v>
      </c>
      <c r="J774" s="466">
        <v>140</v>
      </c>
      <c r="K774" s="224">
        <f ca="1">IF(I774&gt;0,J774*100/I774,0)</f>
        <v>100</v>
      </c>
      <c r="L774" s="465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10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IFERROR(__xludf.DUMMYFUNCTION("IMPORTRANGE(""https://docs.google.com/spreadsheets/d/1eHaY18a8A9IcSdp1K8H6x8fbOy06t2VsZHhMHf-1x7Y/edit?usp=sharing"",""แผน!FS24"")"),140)</f>
        <v>140</v>
      </c>
      <c r="J775" s="466">
        <v>140</v>
      </c>
      <c r="K775" s="45"/>
      <c r="L775" s="465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IFERROR(__xludf.DUMMYFUNCTION("IMPORTRANGE(""https://docs.google.com/spreadsheets/d/1eHaY18a8A9IcSdp1K8H6x8fbOy06t2VsZHhMHf-1x7Y/edit?usp=sharing"",""แผน!FT24"")"),70)</f>
        <v>70</v>
      </c>
      <c r="J776" s="464">
        <v>70</v>
      </c>
      <c r="K776" s="3"/>
      <c r="L776" s="46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462" t="s">
        <v>291</v>
      </c>
      <c r="B777" s="449"/>
      <c r="C777" s="449"/>
      <c r="D777" s="448"/>
      <c r="E777" s="449"/>
      <c r="F777" s="449"/>
      <c r="G777" s="450"/>
      <c r="H777" s="461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2"/>
      <c r="J777" s="453"/>
      <c r="K777" s="454"/>
      <c r="L777" s="454"/>
      <c r="M777" s="454"/>
      <c r="N777" s="454"/>
      <c r="O777" s="454"/>
      <c r="P777" s="454"/>
      <c r="Q777" s="454"/>
      <c r="R777" s="454"/>
      <c r="S777" s="454"/>
      <c r="T777" s="454"/>
      <c r="U777" s="454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IFERROR(__xludf.DUMMYFUNCTION("IMPORTRANGE(""https://docs.google.com/spreadsheets/d/10OvvATaaLtwErnr3qtWFcTmtbfpFEt5Bsqel9sXx0uE/edit?usp=sharing"",""งานกองทุน!D24"")"),3700000)</f>
        <v>3700000</v>
      </c>
      <c r="J778" s="184">
        <f ca="1">IFERROR(__xludf.DUMMYFUNCTION("IMPORTRANGE(""https://docs.google.com/spreadsheets/d/10OvvATaaLtwErnr3qtWFcTmtbfpFEt5Bsqel9sXx0uE/edit?usp=sharing"",""งานกองทุน!F24"")"),1808010.96)</f>
        <v>1808010.96</v>
      </c>
      <c r="K778" s="224">
        <f t="shared" ref="K778:K785" ca="1" si="194">IF(I778&gt;0,J778*100/I778,0)</f>
        <v>48.865161081081084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IFERROR(__xludf.DUMMYFUNCTION("IMPORTRANGE(""https://docs.google.com/spreadsheets/d/10OvvATaaLtwErnr3qtWFcTmtbfpFEt5Bsqel9sXx0uE/edit?usp=sharing"",""งานกองทุน!C24"")"),155)</f>
        <v>155</v>
      </c>
      <c r="J779" s="184">
        <f ca="1">IFERROR(__xludf.DUMMYFUNCTION("IMPORTRANGE(""https://docs.google.com/spreadsheets/d/10OvvATaaLtwErnr3qtWFcTmtbfpFEt5Bsqel9sXx0uE/edit?usp=sharing"",""งานกองทุน!E24"")"),78)</f>
        <v>78</v>
      </c>
      <c r="K779" s="224">
        <f t="shared" ca="1" si="194"/>
        <v>50.322580645161288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IFERROR(__xludf.DUMMYFUNCTION("IMPORTRANGE(""https://docs.google.com/spreadsheets/d/10OvvATaaLtwErnr3qtWFcTmtbfpFEt5Bsqel9sXx0uE/edit?usp=sharing"",""งานกองทุน!I24"")"),537634.68)</f>
        <v>537634.68000000005</v>
      </c>
      <c r="J780" s="184">
        <f ca="1">IFERROR(__xludf.DUMMYFUNCTION("IMPORTRANGE(""https://docs.google.com/spreadsheets/d/10OvvATaaLtwErnr3qtWFcTmtbfpFEt5Bsqel9sXx0uE/edit?usp=sharing"",""งานกองทุน!K24"")"),120311.59)</f>
        <v>120311.59</v>
      </c>
      <c r="K780" s="224">
        <f t="shared" ca="1" si="194"/>
        <v>22.377944443613643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IFERROR(__xludf.DUMMYFUNCTION("IMPORTRANGE(""https://docs.google.com/spreadsheets/d/10OvvATaaLtwErnr3qtWFcTmtbfpFEt5Bsqel9sXx0uE/edit?usp=sharing"",""งานกองทุน!H24"")"),47)</f>
        <v>47</v>
      </c>
      <c r="J781" s="184">
        <f ca="1">IFERROR(__xludf.DUMMYFUNCTION("IMPORTRANGE(""https://docs.google.com/spreadsheets/d/10OvvATaaLtwErnr3qtWFcTmtbfpFEt5Bsqel9sXx0uE/edit?usp=sharing"",""งานกองทุน!J24"")"),34)</f>
        <v>34</v>
      </c>
      <c r="K781" s="224">
        <f t="shared" ca="1" si="194"/>
        <v>72.340425531914889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IFERROR(__xludf.DUMMYFUNCTION("IMPORTRANGE(""https://docs.google.com/spreadsheets/d/10OvvATaaLtwErnr3qtWFcTmtbfpFEt5Bsqel9sXx0uE/edit?usp=sharing"",""งานกองทุน!N24"")"),0)</f>
        <v>0</v>
      </c>
      <c r="J782" s="184">
        <f ca="1">IFERROR(__xludf.DUMMYFUNCTION("IMPORTRANGE(""https://docs.google.com/spreadsheets/d/10OvvATaaLtwErnr3qtWFcTmtbfpFEt5Bsqel9sXx0uE/edit?usp=sharing"",""งานกองทุน!P24"")"),0)</f>
        <v>0</v>
      </c>
      <c r="K782" s="224">
        <f t="shared" ca="1" si="194"/>
        <v>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IFERROR(__xludf.DUMMYFUNCTION("IMPORTRANGE(""https://docs.google.com/spreadsheets/d/10OvvATaaLtwErnr3qtWFcTmtbfpFEt5Bsqel9sXx0uE/edit?usp=sharing"",""งานกองทุน!M24"")"),0)</f>
        <v>0</v>
      </c>
      <c r="J783" s="184">
        <f ca="1">IFERROR(__xludf.DUMMYFUNCTION("IMPORTRANGE(""https://docs.google.com/spreadsheets/d/10OvvATaaLtwErnr3qtWFcTmtbfpFEt5Bsqel9sXx0uE/edit?usp=sharing"",""งานกองทุน!O24"")"),0)</f>
        <v>0</v>
      </c>
      <c r="K783" s="224">
        <f t="shared" ca="1" si="194"/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IFERROR(__xludf.DUMMYFUNCTION("IMPORTRANGE(""https://docs.google.com/spreadsheets/d/10OvvATaaLtwErnr3qtWFcTmtbfpFEt5Bsqel9sXx0uE/edit?usp=sharing"",""งานกองทุน!S24"")"),4648000)</f>
        <v>4648000</v>
      </c>
      <c r="J784" s="184">
        <f ca="1">IFERROR(__xludf.DUMMYFUNCTION("IMPORTRANGE(""https://docs.google.com/spreadsheets/d/10OvvATaaLtwErnr3qtWFcTmtbfpFEt5Bsqel9sXx0uE/edit?usp=sharing"",""งานกองทุน!U24"")"),1061000)</f>
        <v>1061000</v>
      </c>
      <c r="K784" s="224">
        <f t="shared" ca="1" si="194"/>
        <v>22.827022375215147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IFERROR(__xludf.DUMMYFUNCTION("IMPORTRANGE(""https://docs.google.com/spreadsheets/d/10OvvATaaLtwErnr3qtWFcTmtbfpFEt5Bsqel9sXx0uE/edit?usp=sharing"",""งานกองทุน!R24"")"),166)</f>
        <v>166</v>
      </c>
      <c r="J785" s="188">
        <f ca="1">IFERROR(__xludf.DUMMYFUNCTION("IMPORTRANGE(""https://docs.google.com/spreadsheets/d/10OvvATaaLtwErnr3qtWFcTmtbfpFEt5Bsqel9sXx0uE/edit?usp=sharing"",""งานกองทุน!T24"")"),43)</f>
        <v>43</v>
      </c>
      <c r="K785" s="455">
        <f t="shared" ca="1" si="194"/>
        <v>25.903614457831324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460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4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4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horizontalDpi="4294967293" verticalDpi="4294967293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14422-2EFB-4893-9097-A0855984E55F}">
  <sheetPr>
    <outlinePr summaryBelow="0" summaryRight="0"/>
  </sheetPr>
  <dimension ref="A1:U789"/>
  <sheetViews>
    <sheetView tabSelected="1" view="pageBreakPreview" zoomScale="60" zoomScaleNormal="70" workbookViewId="0">
      <pane xSplit="8" ySplit="6" topLeftCell="I7" activePane="bottomRight" state="frozen"/>
      <selection activeCell="N28" sqref="N28"/>
      <selection pane="topRight" activeCell="N28" sqref="N28"/>
      <selection pane="bottomLeft" activeCell="N28" sqref="N28"/>
      <selection pane="bottomRight" activeCell="N28" sqref="N2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7109375" bestFit="1" customWidth="1"/>
    <col min="10" max="10" width="14.28515625" bestFit="1" customWidth="1"/>
    <col min="11" max="11" width="12.42578125" bestFit="1" customWidth="1"/>
    <col min="12" max="14" width="21" bestFit="1" customWidth="1"/>
    <col min="15" max="15" width="20.140625" bestFit="1" customWidth="1"/>
    <col min="16" max="16" width="22" bestFit="1" customWidth="1"/>
    <col min="17" max="18" width="21" bestFit="1" customWidth="1"/>
    <col min="19" max="19" width="18.57031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815" t="s">
        <v>0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5"/>
      <c r="T1" s="815"/>
      <c r="U1" s="815"/>
    </row>
    <row r="2" spans="1:21" ht="19.5" x14ac:dyDescent="0.3">
      <c r="A2" s="815" t="s">
        <v>328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</row>
    <row r="3" spans="1:21" ht="19.5" x14ac:dyDescent="0.3">
      <c r="A3" s="815" t="s">
        <v>335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709"/>
      <c r="L4" s="816" t="s">
        <v>2</v>
      </c>
      <c r="M4" s="800"/>
      <c r="N4" s="800"/>
      <c r="O4" s="800"/>
      <c r="P4" s="801"/>
      <c r="Q4" s="817" t="s">
        <v>3</v>
      </c>
      <c r="R4" s="800"/>
      <c r="S4" s="800"/>
      <c r="T4" s="800"/>
      <c r="U4" s="801"/>
    </row>
    <row r="5" spans="1:21" ht="19.5" x14ac:dyDescent="0.3">
      <c r="A5" s="822" t="s">
        <v>4</v>
      </c>
      <c r="B5" s="797"/>
      <c r="C5" s="797"/>
      <c r="D5" s="797"/>
      <c r="E5" s="797"/>
      <c r="F5" s="797"/>
      <c r="G5" s="798"/>
      <c r="H5" s="789" t="s">
        <v>5</v>
      </c>
      <c r="I5" s="814" t="s">
        <v>6</v>
      </c>
      <c r="J5" s="800"/>
      <c r="K5" s="801"/>
      <c r="L5" s="818" t="s">
        <v>7</v>
      </c>
      <c r="M5" s="801"/>
      <c r="N5" s="807" t="s">
        <v>8</v>
      </c>
      <c r="O5" s="800"/>
      <c r="P5" s="801"/>
      <c r="Q5" s="808" t="s">
        <v>7</v>
      </c>
      <c r="R5" s="801"/>
      <c r="S5" s="807" t="s">
        <v>8</v>
      </c>
      <c r="T5" s="800"/>
      <c r="U5" s="801"/>
    </row>
    <row r="6" spans="1:21" ht="19.5" x14ac:dyDescent="0.3">
      <c r="A6" s="799"/>
      <c r="B6" s="800"/>
      <c r="C6" s="800"/>
      <c r="D6" s="800"/>
      <c r="E6" s="800"/>
      <c r="F6" s="800"/>
      <c r="G6" s="801"/>
      <c r="H6" s="788"/>
      <c r="I6" s="6" t="s">
        <v>9</v>
      </c>
      <c r="J6" s="7" t="s">
        <v>10</v>
      </c>
      <c r="K6" s="6" t="s">
        <v>11</v>
      </c>
      <c r="L6" s="706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823"/>
      <c r="B7" s="800"/>
      <c r="C7" s="800"/>
      <c r="D7" s="800"/>
      <c r="E7" s="800"/>
      <c r="F7" s="800"/>
      <c r="G7" s="801"/>
      <c r="H7" s="14"/>
      <c r="I7" s="15"/>
      <c r="J7" s="15"/>
      <c r="K7" s="16"/>
      <c r="L7" s="580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571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71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71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71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71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71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71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71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580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803" t="s">
        <v>309</v>
      </c>
      <c r="B17" s="800"/>
      <c r="C17" s="800"/>
      <c r="D17" s="800"/>
      <c r="E17" s="800"/>
      <c r="F17" s="800"/>
      <c r="G17" s="801"/>
      <c r="H17" s="23"/>
      <c r="I17" s="24"/>
      <c r="J17" s="24"/>
      <c r="K17" s="25"/>
      <c r="L17" s="705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704">
        <f ca="1">L19+L20</f>
        <v>1421235</v>
      </c>
      <c r="M18" s="664">
        <f ca="1">M19+M20</f>
        <v>1476437</v>
      </c>
      <c r="N18" s="664">
        <f ca="1">N19+N20</f>
        <v>1043492.6900000001</v>
      </c>
      <c r="O18" s="664">
        <f t="shared" ref="O18:O26" ca="1" si="0">IF(L18&gt;0,N18*100/L18,0)</f>
        <v>73.42154464251162</v>
      </c>
      <c r="P18" s="664">
        <f t="shared" ref="P18:P26" ca="1" si="1">IF(M18&gt;0,N18*100/M18,0)</f>
        <v>70.676411523146598</v>
      </c>
      <c r="Q18" s="664">
        <f ca="1">Q19+Q20</f>
        <v>1341278.3900000001</v>
      </c>
      <c r="R18" s="664">
        <f ca="1">R19+R20</f>
        <v>1347278</v>
      </c>
      <c r="S18" s="664">
        <f ca="1">S19+S20</f>
        <v>442485</v>
      </c>
      <c r="T18" s="664">
        <f t="shared" ref="T18:T26" ca="1" si="2">IF(Q18&gt;0,S18*100/Q18,0)</f>
        <v>32.989795653085856</v>
      </c>
      <c r="U18" s="664">
        <f t="shared" ref="U18:U26" ca="1" si="3">IF(R18&gt;0,S18*100/R18,0)</f>
        <v>32.842887659414018</v>
      </c>
    </row>
    <row r="19" spans="1:21" ht="18.75" hidden="1" x14ac:dyDescent="0.25">
      <c r="A19" s="26"/>
      <c r="B19" s="27"/>
      <c r="C19" s="27"/>
      <c r="D19" s="27"/>
      <c r="E19" s="703" t="s">
        <v>20</v>
      </c>
      <c r="F19" s="27"/>
      <c r="G19" s="30"/>
      <c r="H19" s="702" t="s">
        <v>14</v>
      </c>
      <c r="I19" s="32"/>
      <c r="J19" s="32"/>
      <c r="K19" s="33"/>
      <c r="L19" s="701">
        <f t="shared" ref="L19:N20" si="4">L22+L25</f>
        <v>0</v>
      </c>
      <c r="M19" s="700">
        <f t="shared" si="4"/>
        <v>0</v>
      </c>
      <c r="N19" s="700">
        <f t="shared" si="4"/>
        <v>0</v>
      </c>
      <c r="O19" s="700">
        <f t="shared" si="0"/>
        <v>0</v>
      </c>
      <c r="P19" s="700">
        <f t="shared" si="1"/>
        <v>0</v>
      </c>
      <c r="Q19" s="700">
        <f t="shared" ref="Q19:S20" si="5">Q22+Q25</f>
        <v>0</v>
      </c>
      <c r="R19" s="700">
        <f t="shared" si="5"/>
        <v>0</v>
      </c>
      <c r="S19" s="700">
        <f t="shared" si="5"/>
        <v>0</v>
      </c>
      <c r="T19" s="700">
        <f t="shared" si="2"/>
        <v>0</v>
      </c>
      <c r="U19" s="700">
        <f t="shared" si="3"/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699">
        <f t="shared" ca="1" si="4"/>
        <v>1421235</v>
      </c>
      <c r="M20" s="698">
        <f t="shared" ca="1" si="4"/>
        <v>1476437</v>
      </c>
      <c r="N20" s="698">
        <f t="shared" ca="1" si="4"/>
        <v>1043492.6900000001</v>
      </c>
      <c r="O20" s="698">
        <f t="shared" ca="1" si="0"/>
        <v>73.42154464251162</v>
      </c>
      <c r="P20" s="698">
        <f t="shared" ca="1" si="1"/>
        <v>70.676411523146598</v>
      </c>
      <c r="Q20" s="698">
        <f t="shared" ca="1" si="5"/>
        <v>1341278.3900000001</v>
      </c>
      <c r="R20" s="698">
        <f t="shared" ca="1" si="5"/>
        <v>1347278</v>
      </c>
      <c r="S20" s="698">
        <f t="shared" ca="1" si="5"/>
        <v>442485</v>
      </c>
      <c r="T20" s="698">
        <f t="shared" ca="1" si="2"/>
        <v>32.989795653085856</v>
      </c>
      <c r="U20" s="698">
        <f t="shared" ca="1" si="3"/>
        <v>32.842887659414018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468">
        <f ca="1">L22+L23</f>
        <v>1421235</v>
      </c>
      <c r="M21" s="224">
        <f ca="1">M22+M23</f>
        <v>1476437</v>
      </c>
      <c r="N21" s="224">
        <f ca="1">N22+N23</f>
        <v>1043492.6900000001</v>
      </c>
      <c r="O21" s="224">
        <f t="shared" ca="1" si="0"/>
        <v>73.42154464251162</v>
      </c>
      <c r="P21" s="224">
        <f t="shared" ca="1" si="1"/>
        <v>70.676411523146598</v>
      </c>
      <c r="Q21" s="224">
        <f ca="1">Q22+Q23</f>
        <v>1341278.3900000001</v>
      </c>
      <c r="R21" s="224">
        <f ca="1">R22+R23</f>
        <v>1347278</v>
      </c>
      <c r="S21" s="224">
        <f ca="1">S22+S23</f>
        <v>442485</v>
      </c>
      <c r="T21" s="224">
        <f t="shared" ca="1" si="2"/>
        <v>32.989795653085856</v>
      </c>
      <c r="U21" s="224">
        <f t="shared" ca="1" si="3"/>
        <v>32.842887659414018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674" t="s">
        <v>14</v>
      </c>
      <c r="I22" s="44"/>
      <c r="J22" s="44"/>
      <c r="K22" s="45"/>
      <c r="L22" s="469">
        <f t="shared" ref="L22:N23" si="6">L48+L63+L76+L98+L129+L143+L161+L190+L177+L270+L286+L307+L324+L337+L360+L517</f>
        <v>0</v>
      </c>
      <c r="M22" s="83">
        <f t="shared" si="6"/>
        <v>0</v>
      </c>
      <c r="N22" s="83">
        <f t="shared" si="6"/>
        <v>0</v>
      </c>
      <c r="O22" s="83">
        <f t="shared" si="0"/>
        <v>0</v>
      </c>
      <c r="P22" s="83">
        <f t="shared" si="1"/>
        <v>0</v>
      </c>
      <c r="Q22" s="83">
        <f t="shared" ref="Q22:S23" si="7">Q76+Q98+Q121+Q143+Q161+Q177+Q190+Q270+Q286+Q307+Q337+Q379+Q396+Q417+Q497+Q603+Q620+Q646+Q694+Q718+Q732+Q764</f>
        <v>0</v>
      </c>
      <c r="R22" s="83">
        <f t="shared" si="7"/>
        <v>0</v>
      </c>
      <c r="S22" s="83">
        <f t="shared" si="7"/>
        <v>0</v>
      </c>
      <c r="T22" s="83">
        <f t="shared" si="2"/>
        <v>0</v>
      </c>
      <c r="U22" s="83">
        <f t="shared" si="3"/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468">
        <f t="shared" ca="1" si="6"/>
        <v>1421235</v>
      </c>
      <c r="M23" s="224">
        <f t="shared" ca="1" si="6"/>
        <v>1476437</v>
      </c>
      <c r="N23" s="224">
        <f t="shared" ca="1" si="6"/>
        <v>1043492.6900000001</v>
      </c>
      <c r="O23" s="224">
        <f t="shared" ca="1" si="0"/>
        <v>73.42154464251162</v>
      </c>
      <c r="P23" s="224">
        <f t="shared" ca="1" si="1"/>
        <v>70.676411523146598</v>
      </c>
      <c r="Q23" s="224">
        <f t="shared" ca="1" si="7"/>
        <v>1341278.3900000001</v>
      </c>
      <c r="R23" s="224">
        <f t="shared" ca="1" si="7"/>
        <v>1347278</v>
      </c>
      <c r="S23" s="224">
        <f t="shared" ca="1" si="7"/>
        <v>442485</v>
      </c>
      <c r="T23" s="224">
        <f t="shared" ca="1" si="2"/>
        <v>32.989795653085856</v>
      </c>
      <c r="U23" s="224">
        <f t="shared" ca="1" si="3"/>
        <v>32.842887659414018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468">
        <f ca="1">L25+L26</f>
        <v>0</v>
      </c>
      <c r="M24" s="224">
        <f ca="1">M25+M26</f>
        <v>0</v>
      </c>
      <c r="N24" s="224">
        <f ca="1">N25+N26</f>
        <v>0</v>
      </c>
      <c r="O24" s="224">
        <f t="shared" ca="1" si="0"/>
        <v>0</v>
      </c>
      <c r="P24" s="224">
        <f t="shared" ca="1" si="1"/>
        <v>0</v>
      </c>
      <c r="Q24" s="224">
        <f>Q25+Q26</f>
        <v>0</v>
      </c>
      <c r="R24" s="224">
        <f>R25+R26</f>
        <v>0</v>
      </c>
      <c r="S24" s="224">
        <f>S25+S26</f>
        <v>0</v>
      </c>
      <c r="T24" s="224">
        <f t="shared" si="2"/>
        <v>0</v>
      </c>
      <c r="U24" s="224">
        <f t="shared" si="3"/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674" t="s">
        <v>14</v>
      </c>
      <c r="I25" s="44"/>
      <c r="J25" s="44"/>
      <c r="K25" s="45"/>
      <c r="L25" s="469">
        <f t="shared" ref="L25:N26" si="8">L51+L66+L79+L101+L132+L146+L164+L193+L180+L273+L289+L310+L327+L340+L363+L520</f>
        <v>0</v>
      </c>
      <c r="M25" s="83">
        <f t="shared" si="8"/>
        <v>0</v>
      </c>
      <c r="N25" s="83">
        <f t="shared" si="8"/>
        <v>0</v>
      </c>
      <c r="O25" s="83">
        <f t="shared" si="0"/>
        <v>0</v>
      </c>
      <c r="P25" s="83">
        <f t="shared" si="1"/>
        <v>0</v>
      </c>
      <c r="Q25" s="83">
        <f t="shared" ref="Q25:S26" si="9">Q79+Q101+Q124+Q146+Q164+Q180+Q193+Q273+Q289+Q310+Q340+Q382+Q399+Q420+Q500+Q606+Q623+Q649+Q697+Q721+Q735+Q767</f>
        <v>0</v>
      </c>
      <c r="R25" s="83">
        <f t="shared" si="9"/>
        <v>0</v>
      </c>
      <c r="S25" s="83">
        <f t="shared" si="9"/>
        <v>0</v>
      </c>
      <c r="T25" s="83">
        <f t="shared" si="2"/>
        <v>0</v>
      </c>
      <c r="U25" s="83">
        <f t="shared" si="3"/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468">
        <f t="shared" ca="1" si="8"/>
        <v>0</v>
      </c>
      <c r="M26" s="224">
        <f t="shared" ca="1" si="8"/>
        <v>0</v>
      </c>
      <c r="N26" s="224">
        <f t="shared" ca="1" si="8"/>
        <v>0</v>
      </c>
      <c r="O26" s="224">
        <f t="shared" ca="1" si="0"/>
        <v>0</v>
      </c>
      <c r="P26" s="224">
        <f t="shared" ca="1" si="1"/>
        <v>0</v>
      </c>
      <c r="Q26" s="83">
        <f t="shared" si="9"/>
        <v>0</v>
      </c>
      <c r="R26" s="83">
        <f t="shared" si="9"/>
        <v>0</v>
      </c>
      <c r="S26" s="83">
        <f t="shared" si="9"/>
        <v>0</v>
      </c>
      <c r="T26" s="224">
        <f t="shared" si="2"/>
        <v>0</v>
      </c>
      <c r="U26" s="224">
        <f t="shared" si="3"/>
        <v>0</v>
      </c>
    </row>
    <row r="27" spans="1:21" ht="18.75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465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674" t="s">
        <v>14</v>
      </c>
      <c r="I28" s="44"/>
      <c r="J28" s="44"/>
      <c r="K28" s="45"/>
      <c r="L28" s="465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463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823"/>
      <c r="B30" s="800"/>
      <c r="C30" s="800"/>
      <c r="D30" s="800"/>
      <c r="E30" s="800"/>
      <c r="F30" s="800"/>
      <c r="G30" s="801"/>
      <c r="H30" s="14"/>
      <c r="I30" s="15"/>
      <c r="J30" s="15"/>
      <c r="K30" s="16"/>
      <c r="L30" s="580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571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7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71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7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7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7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7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71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580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697">
        <f ca="1">L44+L59+L72+L94+L125+L139+L157+L173+L186+L266+L282+L303+L320+L333+L356</f>
        <v>1421235</v>
      </c>
      <c r="M40" s="696">
        <f ca="1">M44+M59+M72+M94+M125+M139+M157+M173+M186+M266+M282+M303+M320+M333+M356</f>
        <v>1476437</v>
      </c>
      <c r="N40" s="696">
        <f ca="1">N44+N59+N72+N94+N125+N139+N157+N173+N186+N266+N282+N303+N320+N333+N356</f>
        <v>1043492.6900000001</v>
      </c>
      <c r="O40" s="696">
        <f ca="1">IF(L40&gt;0,N40*100/L40,0)</f>
        <v>73.42154464251162</v>
      </c>
      <c r="P40" s="696">
        <f ca="1">IF(M40&gt;0,N40*100/M40,0)</f>
        <v>70.676411523146598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695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571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694" t="s">
        <v>19</v>
      </c>
      <c r="E44" s="71"/>
      <c r="F44" s="71"/>
      <c r="G44" s="74"/>
      <c r="H44" s="75" t="s">
        <v>14</v>
      </c>
      <c r="I44" s="76"/>
      <c r="J44" s="76"/>
      <c r="K44" s="77"/>
      <c r="L44" s="693">
        <f ca="1">L45+L46</f>
        <v>127750</v>
      </c>
      <c r="M44" s="692">
        <f ca="1">M45+M46</f>
        <v>140252</v>
      </c>
      <c r="N44" s="692">
        <f ca="1">N45+N46</f>
        <v>87647</v>
      </c>
      <c r="O44" s="692">
        <f t="shared" ref="O44:O52" ca="1" si="10">IF(L44&gt;0,N44*100/L44,0)</f>
        <v>68.608219178082194</v>
      </c>
      <c r="P44" s="692">
        <f t="shared" ref="P44:P52" ca="1" si="11">IF(M44&gt;0,N44*100/M44,0)</f>
        <v>62.492513475743664</v>
      </c>
      <c r="Q44" s="692">
        <f>Q45+Q46</f>
        <v>0</v>
      </c>
      <c r="R44" s="692">
        <f>R45+R46</f>
        <v>0</v>
      </c>
      <c r="S44" s="692">
        <f>S45+S46</f>
        <v>0</v>
      </c>
      <c r="T44" s="692">
        <f t="shared" ref="T44:T52" si="12">IF(Q44&gt;0,S44*100/Q44,0)</f>
        <v>0</v>
      </c>
      <c r="U44" s="692">
        <f t="shared" ref="U44:U52" si="13">IF(R44&gt;0,S44*100/R44,0)</f>
        <v>0</v>
      </c>
    </row>
    <row r="45" spans="1:21" ht="18.75" hidden="1" x14ac:dyDescent="0.25">
      <c r="A45" s="70"/>
      <c r="B45" s="71"/>
      <c r="C45" s="71"/>
      <c r="D45" s="71"/>
      <c r="E45" s="691" t="s">
        <v>20</v>
      </c>
      <c r="F45" s="71"/>
      <c r="G45" s="74"/>
      <c r="H45" s="690" t="s">
        <v>14</v>
      </c>
      <c r="I45" s="76"/>
      <c r="J45" s="76"/>
      <c r="K45" s="77"/>
      <c r="L45" s="689">
        <f t="shared" ref="L45:N46" si="14">L48+L51</f>
        <v>0</v>
      </c>
      <c r="M45" s="688">
        <f t="shared" si="14"/>
        <v>0</v>
      </c>
      <c r="N45" s="688">
        <f t="shared" si="14"/>
        <v>0</v>
      </c>
      <c r="O45" s="688">
        <f t="shared" si="10"/>
        <v>0</v>
      </c>
      <c r="P45" s="688">
        <f t="shared" si="11"/>
        <v>0</v>
      </c>
      <c r="Q45" s="688">
        <f t="shared" ref="Q45:S46" si="15">Q48+Q51</f>
        <v>0</v>
      </c>
      <c r="R45" s="688">
        <f t="shared" si="15"/>
        <v>0</v>
      </c>
      <c r="S45" s="688">
        <f t="shared" si="15"/>
        <v>0</v>
      </c>
      <c r="T45" s="688">
        <f t="shared" si="12"/>
        <v>0</v>
      </c>
      <c r="U45" s="688">
        <f t="shared" si="13"/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687">
        <f t="shared" ca="1" si="14"/>
        <v>127750</v>
      </c>
      <c r="M46" s="686">
        <f t="shared" ca="1" si="14"/>
        <v>140252</v>
      </c>
      <c r="N46" s="686">
        <f t="shared" ca="1" si="14"/>
        <v>87647</v>
      </c>
      <c r="O46" s="686">
        <f t="shared" ca="1" si="10"/>
        <v>68.608219178082194</v>
      </c>
      <c r="P46" s="686">
        <f t="shared" ca="1" si="11"/>
        <v>62.492513475743664</v>
      </c>
      <c r="Q46" s="686">
        <f t="shared" si="15"/>
        <v>0</v>
      </c>
      <c r="R46" s="686">
        <f t="shared" si="15"/>
        <v>0</v>
      </c>
      <c r="S46" s="686">
        <f t="shared" si="15"/>
        <v>0</v>
      </c>
      <c r="T46" s="686">
        <f t="shared" si="12"/>
        <v>0</v>
      </c>
      <c r="U46" s="686">
        <f t="shared" si="13"/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468">
        <f ca="1">L48+L49</f>
        <v>127750</v>
      </c>
      <c r="M47" s="224">
        <f ca="1">M48+M49</f>
        <v>140252</v>
      </c>
      <c r="N47" s="224">
        <f ca="1">N48+N49</f>
        <v>87647</v>
      </c>
      <c r="O47" s="224">
        <f t="shared" ca="1" si="10"/>
        <v>68.608219178082194</v>
      </c>
      <c r="P47" s="224">
        <f t="shared" ca="1" si="11"/>
        <v>62.492513475743664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 t="shared" si="12"/>
        <v>0</v>
      </c>
      <c r="U47" s="224">
        <f t="shared" si="13"/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674" t="s">
        <v>14</v>
      </c>
      <c r="I48" s="44"/>
      <c r="J48" s="44"/>
      <c r="K48" s="45"/>
      <c r="L48" s="469">
        <v>0</v>
      </c>
      <c r="M48" s="83">
        <v>0</v>
      </c>
      <c r="N48" s="83">
        <v>0</v>
      </c>
      <c r="O48" s="83">
        <f t="shared" si="10"/>
        <v>0</v>
      </c>
      <c r="P48" s="83">
        <f t="shared" si="11"/>
        <v>0</v>
      </c>
      <c r="Q48" s="83">
        <v>0</v>
      </c>
      <c r="R48" s="83">
        <v>0</v>
      </c>
      <c r="S48" s="83">
        <v>0</v>
      </c>
      <c r="T48" s="83">
        <f t="shared" si="12"/>
        <v>0</v>
      </c>
      <c r="U48" s="83">
        <f t="shared" si="13"/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468">
        <f ca="1">IFERROR(__xludf.DUMMYFUNCTION("IMPORTRANGE(""https://docs.google.com/spreadsheets/d/1-uDff_7J0KD5mKrp0Vvzr7lt3OU09vwQwhkpOPPYv2Y/edit?usp=sharing"",""งบพรบ!P25"")"),127750)</f>
        <v>127750</v>
      </c>
      <c r="M49" s="224">
        <f ca="1">IFERROR(__xludf.DUMMYFUNCTION("IMPORTRANGE(""https://docs.google.com/spreadsheets/d/1-uDff_7J0KD5mKrp0Vvzr7lt3OU09vwQwhkpOPPYv2Y/edit?usp=sharing"",""งบพรบ!V25"")"),140252)</f>
        <v>140252</v>
      </c>
      <c r="N49" s="224">
        <f ca="1">IFERROR(__xludf.DUMMYFUNCTION("IMPORTRANGE(""https://docs.google.com/spreadsheets/d/1-uDff_7J0KD5mKrp0Vvzr7lt3OU09vwQwhkpOPPYv2Y/edit?usp=sharing"",""งบพรบ!Y25"")"),87647)</f>
        <v>87647</v>
      </c>
      <c r="O49" s="224">
        <f t="shared" ca="1" si="10"/>
        <v>68.608219178082194</v>
      </c>
      <c r="P49" s="224">
        <f t="shared" ca="1" si="11"/>
        <v>62.492513475743664</v>
      </c>
      <c r="Q49" s="224">
        <v>0</v>
      </c>
      <c r="R49" s="224">
        <v>0</v>
      </c>
      <c r="S49" s="224">
        <v>0</v>
      </c>
      <c r="T49" s="224">
        <f t="shared" si="12"/>
        <v>0</v>
      </c>
      <c r="U49" s="224">
        <f t="shared" si="13"/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468">
        <f ca="1">L51+L52</f>
        <v>0</v>
      </c>
      <c r="M50" s="224">
        <f ca="1">M51+M52</f>
        <v>0</v>
      </c>
      <c r="N50" s="224">
        <f ca="1">N51+N52</f>
        <v>0</v>
      </c>
      <c r="O50" s="224">
        <f t="shared" ca="1" si="10"/>
        <v>0</v>
      </c>
      <c r="P50" s="224">
        <f t="shared" ca="1" si="11"/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 t="shared" si="12"/>
        <v>0</v>
      </c>
      <c r="U50" s="224">
        <f t="shared" si="13"/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674" t="s">
        <v>14</v>
      </c>
      <c r="I51" s="44"/>
      <c r="J51" s="44"/>
      <c r="K51" s="45"/>
      <c r="L51" s="469">
        <v>0</v>
      </c>
      <c r="M51" s="83">
        <v>0</v>
      </c>
      <c r="N51" s="83">
        <v>0</v>
      </c>
      <c r="O51" s="83">
        <f t="shared" si="10"/>
        <v>0</v>
      </c>
      <c r="P51" s="83">
        <f t="shared" si="11"/>
        <v>0</v>
      </c>
      <c r="Q51" s="83">
        <v>0</v>
      </c>
      <c r="R51" s="83">
        <v>0</v>
      </c>
      <c r="S51" s="83">
        <v>0</v>
      </c>
      <c r="T51" s="83">
        <f t="shared" si="12"/>
        <v>0</v>
      </c>
      <c r="U51" s="83">
        <f t="shared" si="13"/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468">
        <f ca="1">IFERROR(__xludf.DUMMYFUNCTION("IMPORTRANGE(""https://docs.google.com/spreadsheets/d/1-uDff_7J0KD5mKrp0Vvzr7lt3OU09vwQwhkpOPPYv2Y/edit?usp=sharing"",""งบพรบ!S25"")"),0)</f>
        <v>0</v>
      </c>
      <c r="M52" s="224">
        <f ca="1">IFERROR(__xludf.DUMMYFUNCTION("IMPORTRANGE(""https://docs.google.com/spreadsheets/d/1-uDff_7J0KD5mKrp0Vvzr7lt3OU09vwQwhkpOPPYv2Y/edit?usp=sharing"",""งบพรบ!W25"")"),0)</f>
        <v>0</v>
      </c>
      <c r="N52" s="224">
        <f ca="1">IFERROR(__xludf.DUMMYFUNCTION("IMPORTRANGE(""https://docs.google.com/spreadsheets/d/1-uDff_7J0KD5mKrp0Vvzr7lt3OU09vwQwhkpOPPYv2Y/edit?usp=sharing"",""งบพรบ!Z25"")"),0)</f>
        <v>0</v>
      </c>
      <c r="O52" s="224">
        <f t="shared" ca="1" si="10"/>
        <v>0</v>
      </c>
      <c r="P52" s="224">
        <f t="shared" ca="1" si="11"/>
        <v>0</v>
      </c>
      <c r="Q52" s="224">
        <v>0</v>
      </c>
      <c r="R52" s="224">
        <v>0</v>
      </c>
      <c r="S52" s="224">
        <v>0</v>
      </c>
      <c r="T52" s="224">
        <f t="shared" si="12"/>
        <v>0</v>
      </c>
      <c r="U52" s="224">
        <f t="shared" si="13"/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465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674" t="s">
        <v>14</v>
      </c>
      <c r="I54" s="44"/>
      <c r="J54" s="44"/>
      <c r="K54" s="45"/>
      <c r="L54" s="465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463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804" t="s">
        <v>28</v>
      </c>
      <c r="B56" s="800"/>
      <c r="C56" s="800"/>
      <c r="D56" s="800"/>
      <c r="E56" s="800"/>
      <c r="F56" s="800"/>
      <c r="G56" s="80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805" t="s">
        <v>29</v>
      </c>
      <c r="C57" s="793"/>
      <c r="D57" s="793"/>
      <c r="E57" s="793"/>
      <c r="F57" s="793"/>
      <c r="G57" s="794"/>
      <c r="H57" s="89"/>
      <c r="I57" s="90"/>
      <c r="J57" s="90"/>
      <c r="K57" s="91"/>
      <c r="L57" s="68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8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8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82">
        <f ca="1">L60+L61</f>
        <v>456500</v>
      </c>
      <c r="M59" s="681">
        <f ca="1">M60+M61</f>
        <v>456500</v>
      </c>
      <c r="N59" s="681">
        <f ca="1">N60+N61</f>
        <v>531397.73</v>
      </c>
      <c r="O59" s="681">
        <f t="shared" ref="O59:O67" ca="1" si="16">IF(L59&gt;0,N59*100/L59,0)</f>
        <v>116.40695071193866</v>
      </c>
      <c r="P59" s="681">
        <f t="shared" ref="P59:P67" ca="1" si="17">IF(M59&gt;0,N59*100/M59,0)</f>
        <v>116.40695071193866</v>
      </c>
      <c r="Q59" s="681">
        <f>Q60+Q61</f>
        <v>0</v>
      </c>
      <c r="R59" s="681">
        <f>R60+R61</f>
        <v>0</v>
      </c>
      <c r="S59" s="681">
        <f>S60+S61</f>
        <v>0</v>
      </c>
      <c r="T59" s="681">
        <f t="shared" ref="T59:T67" si="18">IF(Q59&gt;0,S59*100/Q59,0)</f>
        <v>0</v>
      </c>
      <c r="U59" s="681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80" t="s">
        <v>20</v>
      </c>
      <c r="F60" s="99"/>
      <c r="G60" s="102"/>
      <c r="H60" s="679" t="s">
        <v>14</v>
      </c>
      <c r="I60" s="104"/>
      <c r="J60" s="104"/>
      <c r="K60" s="105"/>
      <c r="L60" s="678">
        <f t="shared" ref="L60:N61" si="20">L63+L66</f>
        <v>0</v>
      </c>
      <c r="M60" s="677">
        <f t="shared" si="20"/>
        <v>0</v>
      </c>
      <c r="N60" s="677">
        <f t="shared" si="20"/>
        <v>0</v>
      </c>
      <c r="O60" s="677">
        <f t="shared" si="16"/>
        <v>0</v>
      </c>
      <c r="P60" s="677">
        <f t="shared" si="17"/>
        <v>0</v>
      </c>
      <c r="Q60" s="677">
        <f t="shared" ref="Q60:S61" si="21">Q63+Q66</f>
        <v>0</v>
      </c>
      <c r="R60" s="677">
        <f t="shared" si="21"/>
        <v>0</v>
      </c>
      <c r="S60" s="677">
        <f t="shared" si="21"/>
        <v>0</v>
      </c>
      <c r="T60" s="677">
        <f t="shared" si="18"/>
        <v>0</v>
      </c>
      <c r="U60" s="677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76">
        <f t="shared" ca="1" si="20"/>
        <v>456500</v>
      </c>
      <c r="M61" s="675">
        <f t="shared" ca="1" si="20"/>
        <v>456500</v>
      </c>
      <c r="N61" s="675">
        <f t="shared" ca="1" si="20"/>
        <v>531397.73</v>
      </c>
      <c r="O61" s="675">
        <f t="shared" ca="1" si="16"/>
        <v>116.40695071193866</v>
      </c>
      <c r="P61" s="675">
        <f t="shared" ca="1" si="17"/>
        <v>116.40695071193866</v>
      </c>
      <c r="Q61" s="675">
        <f t="shared" si="21"/>
        <v>0</v>
      </c>
      <c r="R61" s="675">
        <f t="shared" si="21"/>
        <v>0</v>
      </c>
      <c r="S61" s="675">
        <f t="shared" si="21"/>
        <v>0</v>
      </c>
      <c r="T61" s="675">
        <f t="shared" si="18"/>
        <v>0</v>
      </c>
      <c r="U61" s="675">
        <f t="shared" si="19"/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468">
        <f ca="1">L63+L64</f>
        <v>456500</v>
      </c>
      <c r="M62" s="224">
        <f ca="1">M63+M64</f>
        <v>456500</v>
      </c>
      <c r="N62" s="224">
        <f ca="1">N63+N64</f>
        <v>531397.73</v>
      </c>
      <c r="O62" s="224">
        <f t="shared" ca="1" si="16"/>
        <v>116.40695071193866</v>
      </c>
      <c r="P62" s="224">
        <f t="shared" ca="1" si="17"/>
        <v>116.40695071193866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 t="shared" si="18"/>
        <v>0</v>
      </c>
      <c r="U62" s="224">
        <f t="shared" si="19"/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674" t="s">
        <v>14</v>
      </c>
      <c r="I63" s="44"/>
      <c r="J63" s="44"/>
      <c r="K63" s="45"/>
      <c r="L63" s="469">
        <v>0</v>
      </c>
      <c r="M63" s="83">
        <v>0</v>
      </c>
      <c r="N63" s="83">
        <v>0</v>
      </c>
      <c r="O63" s="83">
        <f t="shared" si="16"/>
        <v>0</v>
      </c>
      <c r="P63" s="83">
        <f t="shared" si="17"/>
        <v>0</v>
      </c>
      <c r="Q63" s="83">
        <v>0</v>
      </c>
      <c r="R63" s="83">
        <v>0</v>
      </c>
      <c r="S63" s="83">
        <v>0</v>
      </c>
      <c r="T63" s="83">
        <f t="shared" si="18"/>
        <v>0</v>
      </c>
      <c r="U63" s="83">
        <f t="shared" si="19"/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468">
        <f ca="1">IFERROR(__xludf.DUMMYFUNCTION("IMPORTRANGE(""https://docs.google.com/spreadsheets/d/1-uDff_7J0KD5mKrp0Vvzr7lt3OU09vwQwhkpOPPYv2Y/edit?usp=sharing"",""งบพรบ!AC25"")"),456500)</f>
        <v>456500</v>
      </c>
      <c r="M64" s="224">
        <f ca="1">IFERROR(__xludf.DUMMYFUNCTION("IMPORTRANGE(""https://docs.google.com/spreadsheets/d/1-uDff_7J0KD5mKrp0Vvzr7lt3OU09vwQwhkpOPPYv2Y/edit?usp=sharing"",""งบพรบ!AH25"")"),456500)</f>
        <v>456500</v>
      </c>
      <c r="N64" s="224">
        <f ca="1">IFERROR(__xludf.DUMMYFUNCTION("IMPORTRANGE(""https://docs.google.com/spreadsheets/d/1-uDff_7J0KD5mKrp0Vvzr7lt3OU09vwQwhkpOPPYv2Y/edit?usp=sharing"",""งบพรบ!AJ25"")"),531397.73)</f>
        <v>531397.73</v>
      </c>
      <c r="O64" s="224">
        <f t="shared" ca="1" si="16"/>
        <v>116.40695071193866</v>
      </c>
      <c r="P64" s="224">
        <f t="shared" ca="1" si="17"/>
        <v>116.40695071193866</v>
      </c>
      <c r="Q64" s="224">
        <v>0</v>
      </c>
      <c r="R64" s="224">
        <v>0</v>
      </c>
      <c r="S64" s="224">
        <v>0</v>
      </c>
      <c r="T64" s="224">
        <f t="shared" si="18"/>
        <v>0</v>
      </c>
      <c r="U64" s="224">
        <f t="shared" si="19"/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468">
        <f ca="1">L66+L67</f>
        <v>0</v>
      </c>
      <c r="M65" s="224">
        <f ca="1">M66+M67</f>
        <v>0</v>
      </c>
      <c r="N65" s="224">
        <f ca="1">N66+N67</f>
        <v>0</v>
      </c>
      <c r="O65" s="224">
        <f t="shared" ca="1" si="16"/>
        <v>0</v>
      </c>
      <c r="P65" s="224">
        <f t="shared" ca="1" si="17"/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 t="shared" si="18"/>
        <v>0</v>
      </c>
      <c r="U65" s="224">
        <f t="shared" si="19"/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674" t="s">
        <v>14</v>
      </c>
      <c r="I66" s="44"/>
      <c r="J66" s="44"/>
      <c r="K66" s="45"/>
      <c r="L66" s="469">
        <v>0</v>
      </c>
      <c r="M66" s="83">
        <v>0</v>
      </c>
      <c r="N66" s="83">
        <v>0</v>
      </c>
      <c r="O66" s="83">
        <f t="shared" si="16"/>
        <v>0</v>
      </c>
      <c r="P66" s="83">
        <f t="shared" si="17"/>
        <v>0</v>
      </c>
      <c r="Q66" s="83">
        <v>0</v>
      </c>
      <c r="R66" s="83">
        <v>0</v>
      </c>
      <c r="S66" s="83">
        <v>0</v>
      </c>
      <c r="T66" s="83">
        <f t="shared" si="18"/>
        <v>0</v>
      </c>
      <c r="U66" s="83">
        <f t="shared" si="19"/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673">
        <f ca="1">IFERROR(__xludf.DUMMYFUNCTION("IMPORTRANGE(""https://docs.google.com/spreadsheets/d/1-uDff_7J0KD5mKrp0Vvzr7lt3OU09vwQwhkpOPPYv2Y/edit?usp=sharing"",""งบพรบ!AF25"")"),0)</f>
        <v>0</v>
      </c>
      <c r="M67" s="455">
        <f ca="1">IFERROR(__xludf.DUMMYFUNCTION("IMPORTRANGE(""https://docs.google.com/spreadsheets/d/1-uDff_7J0KD5mKrp0Vvzr7lt3OU09vwQwhkpOPPYv2Y/edit?usp=sharing"",""งบพรบ!AI25"")"),0)</f>
        <v>0</v>
      </c>
      <c r="N67" s="455">
        <f ca="1">IFERROR(__xludf.DUMMYFUNCTION("IMPORTRANGE(""https://docs.google.com/spreadsheets/d/1-uDff_7J0KD5mKrp0Vvzr7lt3OU09vwQwhkpOPPYv2Y/edit?usp=sharing"",""งบพรบ!AK25"")"),0)</f>
        <v>0</v>
      </c>
      <c r="O67" s="455">
        <f t="shared" ca="1" si="16"/>
        <v>0</v>
      </c>
      <c r="P67" s="455">
        <f t="shared" ca="1" si="17"/>
        <v>0</v>
      </c>
      <c r="Q67" s="455">
        <v>0</v>
      </c>
      <c r="R67" s="455">
        <v>0</v>
      </c>
      <c r="S67" s="455">
        <v>0</v>
      </c>
      <c r="T67" s="455">
        <f t="shared" si="18"/>
        <v>0</v>
      </c>
      <c r="U67" s="455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7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665">
        <f ca="1">I82</f>
        <v>0</v>
      </c>
      <c r="J70" s="665">
        <f>J82</f>
        <v>0</v>
      </c>
      <c r="K70" s="664">
        <f ca="1">IF(I70&gt;0,J70*100/I70,0)</f>
        <v>0</v>
      </c>
      <c r="L70" s="510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hidden="1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665">
        <f ca="1">I83</f>
        <v>0</v>
      </c>
      <c r="J71" s="665">
        <f>J83</f>
        <v>0</v>
      </c>
      <c r="K71" s="664">
        <f ca="1">IF(I71&gt;0,J71*100/I71,0)</f>
        <v>0</v>
      </c>
      <c r="L71" s="510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8"/>
      <c r="B72" s="40"/>
      <c r="C72" s="129" t="s">
        <v>18</v>
      </c>
      <c r="D72" s="472" t="s">
        <v>19</v>
      </c>
      <c r="E72" s="40"/>
      <c r="F72" s="40"/>
      <c r="G72" s="42"/>
      <c r="H72" s="131" t="s">
        <v>14</v>
      </c>
      <c r="I72" s="44"/>
      <c r="J72" s="44"/>
      <c r="K72" s="45"/>
      <c r="L72" s="471">
        <f ca="1">L73+L74</f>
        <v>0</v>
      </c>
      <c r="M72" s="470">
        <f ca="1">M73+M74</f>
        <v>0</v>
      </c>
      <c r="N72" s="470">
        <f ca="1">N73+N74</f>
        <v>0</v>
      </c>
      <c r="O72" s="470">
        <f t="shared" ref="O72:O80" ca="1" si="22">IF(L72&gt;0,N72*100/L72,0)</f>
        <v>0</v>
      </c>
      <c r="P72" s="470">
        <f t="shared" ref="P72:P80" ca="1" si="23">IF(M72&gt;0,N72*100/M72,0)</f>
        <v>0</v>
      </c>
      <c r="Q72" s="470">
        <f ca="1">Q73+Q74</f>
        <v>0</v>
      </c>
      <c r="R72" s="470">
        <f ca="1">R73+R74</f>
        <v>0</v>
      </c>
      <c r="S72" s="470">
        <f ca="1">S73+S74</f>
        <v>0</v>
      </c>
      <c r="T72" s="470">
        <f t="shared" ref="T72:T80" ca="1" si="24">IF(Q72&gt;0,S72*100/Q72,0)</f>
        <v>0</v>
      </c>
      <c r="U72" s="470">
        <f t="shared" ref="U72:U80" ca="1" si="25">IF(R72&gt;0,S72*100/R72,0)</f>
        <v>0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469">
        <f t="shared" ref="L73:N74" si="26">L76+L79</f>
        <v>0</v>
      </c>
      <c r="M73" s="83">
        <f t="shared" si="26"/>
        <v>0</v>
      </c>
      <c r="N73" s="83">
        <f t="shared" si="26"/>
        <v>0</v>
      </c>
      <c r="O73" s="83">
        <f t="shared" si="22"/>
        <v>0</v>
      </c>
      <c r="P73" s="83">
        <f t="shared" si="23"/>
        <v>0</v>
      </c>
      <c r="Q73" s="83">
        <f t="shared" ref="Q73:S74" si="27">Q76+Q79</f>
        <v>0</v>
      </c>
      <c r="R73" s="83">
        <f t="shared" si="27"/>
        <v>0</v>
      </c>
      <c r="S73" s="83">
        <f t="shared" si="27"/>
        <v>0</v>
      </c>
      <c r="T73" s="83">
        <f t="shared" si="24"/>
        <v>0</v>
      </c>
      <c r="U73" s="83">
        <f t="shared" si="25"/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468">
        <f t="shared" ca="1" si="26"/>
        <v>0</v>
      </c>
      <c r="M74" s="224">
        <f t="shared" ca="1" si="26"/>
        <v>0</v>
      </c>
      <c r="N74" s="224">
        <f t="shared" ca="1" si="26"/>
        <v>0</v>
      </c>
      <c r="O74" s="224">
        <f t="shared" ca="1" si="22"/>
        <v>0</v>
      </c>
      <c r="P74" s="224">
        <f t="shared" ca="1" si="23"/>
        <v>0</v>
      </c>
      <c r="Q74" s="224">
        <f t="shared" ca="1" si="27"/>
        <v>0</v>
      </c>
      <c r="R74" s="224">
        <f t="shared" ca="1" si="27"/>
        <v>0</v>
      </c>
      <c r="S74" s="224">
        <f t="shared" ca="1" si="27"/>
        <v>0</v>
      </c>
      <c r="T74" s="224">
        <f t="shared" ca="1" si="24"/>
        <v>0</v>
      </c>
      <c r="U74" s="224">
        <f t="shared" ca="1" si="25"/>
        <v>0</v>
      </c>
    </row>
    <row r="75" spans="1:21" ht="18.75" hidden="1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468">
        <f ca="1">L76+L77</f>
        <v>0</v>
      </c>
      <c r="M75" s="224">
        <f ca="1">M76+M77</f>
        <v>0</v>
      </c>
      <c r="N75" s="224">
        <f ca="1">N76+N77</f>
        <v>0</v>
      </c>
      <c r="O75" s="224">
        <f t="shared" ca="1" si="22"/>
        <v>0</v>
      </c>
      <c r="P75" s="224">
        <f t="shared" ca="1" si="23"/>
        <v>0</v>
      </c>
      <c r="Q75" s="224">
        <f ca="1">Q76+Q77</f>
        <v>0</v>
      </c>
      <c r="R75" s="224">
        <f ca="1">R76+R77</f>
        <v>0</v>
      </c>
      <c r="S75" s="224">
        <f ca="1">S76+S77</f>
        <v>0</v>
      </c>
      <c r="T75" s="224">
        <f t="shared" ca="1" si="24"/>
        <v>0</v>
      </c>
      <c r="U75" s="224">
        <f t="shared" ca="1" si="25"/>
        <v>0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469">
        <v>0</v>
      </c>
      <c r="M76" s="83">
        <v>0</v>
      </c>
      <c r="N76" s="83">
        <v>0</v>
      </c>
      <c r="O76" s="83">
        <f t="shared" si="22"/>
        <v>0</v>
      </c>
      <c r="P76" s="83">
        <f t="shared" si="23"/>
        <v>0</v>
      </c>
      <c r="Q76" s="83">
        <v>0</v>
      </c>
      <c r="R76" s="83">
        <v>0</v>
      </c>
      <c r="S76" s="83">
        <v>0</v>
      </c>
      <c r="T76" s="83">
        <f t="shared" si="24"/>
        <v>0</v>
      </c>
      <c r="U76" s="83">
        <f t="shared" si="25"/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468">
        <f ca="1">IFERROR(__xludf.DUMMYFUNCTION("IMPORTRANGE(""https://docs.google.com/spreadsheets/d/1-uDff_7J0KD5mKrp0Vvzr7lt3OU09vwQwhkpOPPYv2Y/edit?usp=sharing"",""งบพรบ!AM25"")"),0)</f>
        <v>0</v>
      </c>
      <c r="M77" s="224">
        <f ca="1">IFERROR(__xludf.DUMMYFUNCTION("IMPORTRANGE(""https://docs.google.com/spreadsheets/d/1-uDff_7J0KD5mKrp0Vvzr7lt3OU09vwQwhkpOPPYv2Y/edit?usp=sharing"",""งบพรบ!AR25"")"),0)</f>
        <v>0</v>
      </c>
      <c r="N77" s="224">
        <f ca="1">IFERROR(__xludf.DUMMYFUNCTION("IMPORTRANGE(""https://docs.google.com/spreadsheets/d/1-uDff_7J0KD5mKrp0Vvzr7lt3OU09vwQwhkpOPPYv2Y/edit?usp=sharing"",""งบพรบ!AT25"")"),0)</f>
        <v>0</v>
      </c>
      <c r="O77" s="224">
        <f t="shared" ca="1" si="22"/>
        <v>0</v>
      </c>
      <c r="P77" s="224">
        <f t="shared" ca="1" si="23"/>
        <v>0</v>
      </c>
      <c r="Q77" s="224">
        <f ca="1">IFERROR(__xludf.DUMMYFUNCTION("IMPORTRANGE(""https://docs.google.com/spreadsheets/d/1ItG2mGa2ceCfYo0BwxsXqNm01IGEUdYcSSLTEv9YCik/edit?usp=sharing"",""เบิกจ่ายกองทุน!AS25"")"),0)</f>
        <v>0</v>
      </c>
      <c r="R77" s="224">
        <f ca="1">IFERROR(__xludf.DUMMYFUNCTION("IMPORTRANGE(""https://docs.google.com/spreadsheets/d/1ItG2mGa2ceCfYo0BwxsXqNm01IGEUdYcSSLTEv9YCik/edit?usp=sharing"",""เบิกจ่ายกองทุน!AT25"")"),0)</f>
        <v>0</v>
      </c>
      <c r="S77" s="224">
        <f ca="1">IFERROR(__xludf.DUMMYFUNCTION("IMPORTRANGE(""https://docs.google.com/spreadsheets/d/1ItG2mGa2ceCfYo0BwxsXqNm01IGEUdYcSSLTEv9YCik/edit?usp=sharing"",""เบิกจ่ายกองทุน!AU25"")"),0)</f>
        <v>0</v>
      </c>
      <c r="T77" s="224">
        <f t="shared" ca="1" si="24"/>
        <v>0</v>
      </c>
      <c r="U77" s="224">
        <f t="shared" ca="1" si="25"/>
        <v>0</v>
      </c>
    </row>
    <row r="78" spans="1:21" ht="18.75" hidden="1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468">
        <f ca="1">L79+L80</f>
        <v>0</v>
      </c>
      <c r="M78" s="224">
        <f ca="1">M79+M80</f>
        <v>0</v>
      </c>
      <c r="N78" s="224">
        <f ca="1">N79+N80</f>
        <v>0</v>
      </c>
      <c r="O78" s="224">
        <f t="shared" ca="1" si="22"/>
        <v>0</v>
      </c>
      <c r="P78" s="224">
        <f t="shared" ca="1" si="23"/>
        <v>0</v>
      </c>
      <c r="Q78" s="224">
        <f>Q79+Q80</f>
        <v>0</v>
      </c>
      <c r="R78" s="224">
        <f>R79+R80</f>
        <v>0</v>
      </c>
      <c r="S78" s="224">
        <f>S79+S80</f>
        <v>0</v>
      </c>
      <c r="T78" s="224">
        <f t="shared" si="24"/>
        <v>0</v>
      </c>
      <c r="U78" s="224">
        <f t="shared" si="25"/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469">
        <v>0</v>
      </c>
      <c r="M79" s="224">
        <v>0</v>
      </c>
      <c r="N79" s="224">
        <v>0</v>
      </c>
      <c r="O79" s="83">
        <f t="shared" si="22"/>
        <v>0</v>
      </c>
      <c r="P79" s="83">
        <f t="shared" si="23"/>
        <v>0</v>
      </c>
      <c r="Q79" s="83">
        <v>0</v>
      </c>
      <c r="R79" s="224">
        <v>0</v>
      </c>
      <c r="S79" s="224">
        <v>0</v>
      </c>
      <c r="T79" s="83">
        <f t="shared" si="24"/>
        <v>0</v>
      </c>
      <c r="U79" s="83">
        <f t="shared" si="25"/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468">
        <f ca="1">IFERROR(__xludf.DUMMYFUNCTION("IMPORTRANGE(""https://docs.google.com/spreadsheets/d/1-uDff_7J0KD5mKrp0Vvzr7lt3OU09vwQwhkpOPPYv2Y/edit?usp=sharing"",""งบพรบ!AP25"")"),0)</f>
        <v>0</v>
      </c>
      <c r="M80" s="224">
        <f ca="1">IFERROR(__xludf.DUMMYFUNCTION("IMPORTRANGE(""https://docs.google.com/spreadsheets/d/1-uDff_7J0KD5mKrp0Vvzr7lt3OU09vwQwhkpOPPYv2Y/edit?usp=sharing"",""งบพรบ!AS25"")"),0)</f>
        <v>0</v>
      </c>
      <c r="N80" s="224">
        <f ca="1">IFERROR(__xludf.DUMMYFUNCTION("IMPORTRANGE(""https://docs.google.com/spreadsheets/d/1-uDff_7J0KD5mKrp0Vvzr7lt3OU09vwQwhkpOPPYv2Y/edit?usp=sharing"",""งบพรบ!AU25"")"),0)</f>
        <v>0</v>
      </c>
      <c r="O80" s="224">
        <f t="shared" ca="1" si="22"/>
        <v>0</v>
      </c>
      <c r="P80" s="224">
        <f t="shared" ca="1" si="23"/>
        <v>0</v>
      </c>
      <c r="Q80" s="224">
        <v>0</v>
      </c>
      <c r="R80" s="224">
        <v>0</v>
      </c>
      <c r="S80" s="224">
        <v>0</v>
      </c>
      <c r="T80" s="224">
        <f t="shared" si="24"/>
        <v>0</v>
      </c>
      <c r="U80" s="224">
        <f t="shared" si="25"/>
        <v>0</v>
      </c>
    </row>
    <row r="81" spans="1:21" ht="19.5" hidden="1" x14ac:dyDescent="0.3">
      <c r="A81" s="138"/>
      <c r="B81" s="139"/>
      <c r="C81" s="129" t="s">
        <v>18</v>
      </c>
      <c r="D81" s="498" t="s">
        <v>38</v>
      </c>
      <c r="E81" s="141"/>
      <c r="F81" s="141"/>
      <c r="G81" s="142"/>
      <c r="H81" s="143"/>
      <c r="I81" s="135"/>
      <c r="J81" s="135"/>
      <c r="K81" s="136"/>
      <c r="L81" s="4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ca="1">I84+I86+I88</f>
        <v>0</v>
      </c>
      <c r="J82" s="328">
        <f>J84+J86+J88</f>
        <v>0</v>
      </c>
      <c r="K82" s="582">
        <f t="shared" ref="K82:K90" ca="1" si="28">IF(I82&gt;0,J82*100/I82,0)</f>
        <v>0</v>
      </c>
      <c r="L82" s="4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ca="1">I85+I87+I89</f>
        <v>0</v>
      </c>
      <c r="J83" s="328">
        <f>J85+J87+J89</f>
        <v>0</v>
      </c>
      <c r="K83" s="582">
        <f t="shared" ca="1" si="28"/>
        <v>0</v>
      </c>
      <c r="L83" s="4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581">
        <f ca="1">IFERROR(__xludf.DUMMYFUNCTION("IMPORTRANGE(""https://docs.google.com/spreadsheets/d/1eHaY18a8A9IcSdp1K8H6x8fbOy06t2VsZHhMHf-1x7Y/edit?usp=sharing"",""แผน!H25"")"),0)</f>
        <v>0</v>
      </c>
      <c r="J84" s="466">
        <v>0</v>
      </c>
      <c r="K84" s="497">
        <f t="shared" ca="1" si="28"/>
        <v>0</v>
      </c>
      <c r="L84" s="4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581">
        <f ca="1">IFERROR(__xludf.DUMMYFUNCTION("IMPORTRANGE(""https://docs.google.com/spreadsheets/d/1eHaY18a8A9IcSdp1K8H6x8fbOy06t2VsZHhMHf-1x7Y/edit?usp=sharing"",""แผน!I25"")"),0)</f>
        <v>0</v>
      </c>
      <c r="J85" s="466">
        <v>0</v>
      </c>
      <c r="K85" s="497">
        <f t="shared" ca="1" si="28"/>
        <v>0</v>
      </c>
      <c r="L85" s="4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581">
        <f ca="1">IFERROR(__xludf.DUMMYFUNCTION("IMPORTRANGE(""https://docs.google.com/spreadsheets/d/1eHaY18a8A9IcSdp1K8H6x8fbOy06t2VsZHhMHf-1x7Y/edit?usp=sharing"",""แผน!F25"")"),0)</f>
        <v>0</v>
      </c>
      <c r="J86" s="466">
        <v>0</v>
      </c>
      <c r="K86" s="497">
        <f t="shared" ca="1" si="28"/>
        <v>0</v>
      </c>
      <c r="L86" s="4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581">
        <f ca="1">IFERROR(__xludf.DUMMYFUNCTION("IMPORTRANGE(""https://docs.google.com/spreadsheets/d/1eHaY18a8A9IcSdp1K8H6x8fbOy06t2VsZHhMHf-1x7Y/edit?usp=sharing"",""แผน!G25"")"),0)</f>
        <v>0</v>
      </c>
      <c r="J87" s="466">
        <v>0</v>
      </c>
      <c r="K87" s="497">
        <f t="shared" ca="1" si="28"/>
        <v>0</v>
      </c>
      <c r="L87" s="4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581">
        <f ca="1">IFERROR(__xludf.DUMMYFUNCTION("IMPORTRANGE(""https://docs.google.com/spreadsheets/d/1eHaY18a8A9IcSdp1K8H6x8fbOy06t2VsZHhMHf-1x7Y/edit?usp=sharing"",""แผน!D25"")"),0)</f>
        <v>0</v>
      </c>
      <c r="J88" s="466">
        <v>0</v>
      </c>
      <c r="K88" s="497">
        <f t="shared" ca="1" si="28"/>
        <v>0</v>
      </c>
      <c r="L88" s="4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581">
        <f ca="1">IFERROR(__xludf.DUMMYFUNCTION("IMPORTRANGE(""https://docs.google.com/spreadsheets/d/1eHaY18a8A9IcSdp1K8H6x8fbOy06t2VsZHhMHf-1x7Y/edit?usp=sharing"",""แผน!E25"")"),0)</f>
        <v>0</v>
      </c>
      <c r="J89" s="466">
        <v>0</v>
      </c>
      <c r="K89" s="497">
        <f t="shared" ca="1" si="28"/>
        <v>0</v>
      </c>
      <c r="L89" s="4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581">
        <f ca="1">IFERROR(__xludf.DUMMYFUNCTION("IMPORTRANGE(""https://docs.google.com/spreadsheets/d/1eHaY18a8A9IcSdp1K8H6x8fbOy06t2VsZHhMHf-1x7Y/edit?usp=sharing"",""แผน!J25"")"),0)</f>
        <v>0</v>
      </c>
      <c r="J90" s="466">
        <v>0</v>
      </c>
      <c r="K90" s="497">
        <f t="shared" ca="1" si="28"/>
        <v>0</v>
      </c>
      <c r="L90" s="4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7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665">
        <f ca="1">I108</f>
        <v>60</v>
      </c>
      <c r="J92" s="665">
        <f>J108</f>
        <v>0</v>
      </c>
      <c r="K92" s="664">
        <f ca="1">IF(I92&gt;0,J92*100/I92,0)</f>
        <v>0</v>
      </c>
      <c r="L92" s="510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665">
        <f ca="1">I109</f>
        <v>20</v>
      </c>
      <c r="J93" s="665">
        <f>J109</f>
        <v>0</v>
      </c>
      <c r="K93" s="664">
        <f ca="1">IF(I93&gt;0,J93*100/I93,0)</f>
        <v>0</v>
      </c>
      <c r="L93" s="510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129" t="s">
        <v>18</v>
      </c>
      <c r="D94" s="472" t="s">
        <v>19</v>
      </c>
      <c r="E94" s="40"/>
      <c r="F94" s="40"/>
      <c r="G94" s="42"/>
      <c r="H94" s="131" t="s">
        <v>14</v>
      </c>
      <c r="I94" s="44"/>
      <c r="J94" s="44"/>
      <c r="K94" s="45"/>
      <c r="L94" s="471">
        <f ca="1">L95+L96</f>
        <v>0</v>
      </c>
      <c r="M94" s="470">
        <f ca="1">M95+M96</f>
        <v>0</v>
      </c>
      <c r="N94" s="470">
        <f ca="1">N95+N96</f>
        <v>0</v>
      </c>
      <c r="O94" s="470">
        <f t="shared" ref="O94:O102" ca="1" si="29">IF(L94&gt;0,N94*100/L94,0)</f>
        <v>0</v>
      </c>
      <c r="P94" s="470">
        <f t="shared" ref="P94:P102" ca="1" si="30">IF(M94&gt;0,N94*100/M94,0)</f>
        <v>0</v>
      </c>
      <c r="Q94" s="470">
        <f ca="1">Q95+Q96</f>
        <v>170160</v>
      </c>
      <c r="R94" s="470">
        <f ca="1">R95+R96</f>
        <v>170160</v>
      </c>
      <c r="S94" s="470">
        <f ca="1">S95+S96</f>
        <v>0</v>
      </c>
      <c r="T94" s="470">
        <f t="shared" ref="T94:T102" ca="1" si="31">IF(Q94&gt;0,S94*100/Q94,0)</f>
        <v>0</v>
      </c>
      <c r="U94" s="470">
        <f t="shared" ref="U94:U102" ca="1" si="32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469">
        <f t="shared" ref="L95:N96" si="33">L98+L101</f>
        <v>0</v>
      </c>
      <c r="M95" s="83">
        <f t="shared" si="33"/>
        <v>0</v>
      </c>
      <c r="N95" s="83">
        <f t="shared" si="33"/>
        <v>0</v>
      </c>
      <c r="O95" s="83">
        <f t="shared" si="29"/>
        <v>0</v>
      </c>
      <c r="P95" s="83">
        <f t="shared" si="30"/>
        <v>0</v>
      </c>
      <c r="Q95" s="83">
        <f t="shared" ref="Q95:S96" si="34">Q98+Q101</f>
        <v>0</v>
      </c>
      <c r="R95" s="83">
        <f t="shared" si="34"/>
        <v>0</v>
      </c>
      <c r="S95" s="83">
        <f t="shared" si="34"/>
        <v>0</v>
      </c>
      <c r="T95" s="83">
        <f t="shared" si="31"/>
        <v>0</v>
      </c>
      <c r="U95" s="83">
        <f t="shared" si="32"/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468">
        <f t="shared" ca="1" si="33"/>
        <v>0</v>
      </c>
      <c r="M96" s="224">
        <f t="shared" ca="1" si="33"/>
        <v>0</v>
      </c>
      <c r="N96" s="224">
        <f t="shared" ca="1" si="33"/>
        <v>0</v>
      </c>
      <c r="O96" s="224">
        <f t="shared" ca="1" si="29"/>
        <v>0</v>
      </c>
      <c r="P96" s="224">
        <f t="shared" ca="1" si="30"/>
        <v>0</v>
      </c>
      <c r="Q96" s="224">
        <f t="shared" ca="1" si="34"/>
        <v>170160</v>
      </c>
      <c r="R96" s="224">
        <f t="shared" ca="1" si="34"/>
        <v>170160</v>
      </c>
      <c r="S96" s="224">
        <f t="shared" ca="1" si="34"/>
        <v>0</v>
      </c>
      <c r="T96" s="224">
        <f t="shared" ca="1" si="31"/>
        <v>0</v>
      </c>
      <c r="U96" s="224">
        <f t="shared" ca="1" si="32"/>
        <v>0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468">
        <f ca="1">L98+L99</f>
        <v>0</v>
      </c>
      <c r="M97" s="224">
        <f ca="1">M98+M99</f>
        <v>0</v>
      </c>
      <c r="N97" s="224">
        <f ca="1">N98+N99</f>
        <v>0</v>
      </c>
      <c r="O97" s="224">
        <f t="shared" ca="1" si="29"/>
        <v>0</v>
      </c>
      <c r="P97" s="224">
        <f t="shared" ca="1" si="30"/>
        <v>0</v>
      </c>
      <c r="Q97" s="224">
        <f ca="1">Q98+Q99</f>
        <v>170160</v>
      </c>
      <c r="R97" s="224">
        <f ca="1">R98+R99</f>
        <v>170160</v>
      </c>
      <c r="S97" s="224">
        <f ca="1">S98+S99</f>
        <v>0</v>
      </c>
      <c r="T97" s="224">
        <f t="shared" ca="1" si="31"/>
        <v>0</v>
      </c>
      <c r="U97" s="224">
        <f t="shared" ca="1" si="32"/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469">
        <v>0</v>
      </c>
      <c r="M98" s="83">
        <v>0</v>
      </c>
      <c r="N98" s="83">
        <v>0</v>
      </c>
      <c r="O98" s="83">
        <f t="shared" si="29"/>
        <v>0</v>
      </c>
      <c r="P98" s="83">
        <f t="shared" si="30"/>
        <v>0</v>
      </c>
      <c r="Q98" s="83">
        <v>0</v>
      </c>
      <c r="R98" s="83">
        <v>0</v>
      </c>
      <c r="S98" s="83">
        <v>0</v>
      </c>
      <c r="T98" s="83">
        <f t="shared" si="31"/>
        <v>0</v>
      </c>
      <c r="U98" s="83">
        <f t="shared" si="32"/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468">
        <f ca="1">IFERROR(__xludf.DUMMYFUNCTION("IMPORTRANGE(""https://docs.google.com/spreadsheets/d/1-uDff_7J0KD5mKrp0Vvzr7lt3OU09vwQwhkpOPPYv2Y/edit?usp=sharing"",""งบพรบ!AW25"")"),0)</f>
        <v>0</v>
      </c>
      <c r="M99" s="224">
        <f ca="1">IFERROR(__xludf.DUMMYFUNCTION("IMPORTRANGE(""https://docs.google.com/spreadsheets/d/1-uDff_7J0KD5mKrp0Vvzr7lt3OU09vwQwhkpOPPYv2Y/edit?usp=sharing"",""งบพรบ!BB25"")"),0)</f>
        <v>0</v>
      </c>
      <c r="N99" s="224">
        <f ca="1">IFERROR(__xludf.DUMMYFUNCTION("IMPORTRANGE(""https://docs.google.com/spreadsheets/d/1-uDff_7J0KD5mKrp0Vvzr7lt3OU09vwQwhkpOPPYv2Y/edit?usp=sharing"",""งบพรบ!BD25"")"),0)</f>
        <v>0</v>
      </c>
      <c r="O99" s="224">
        <f t="shared" ca="1" si="29"/>
        <v>0</v>
      </c>
      <c r="P99" s="224">
        <f t="shared" ca="1" si="30"/>
        <v>0</v>
      </c>
      <c r="Q99" s="224">
        <f ca="1">IFERROR(__xludf.DUMMYFUNCTION("IMPORTRANGE(""https://docs.google.com/spreadsheets/d/1ItG2mGa2ceCfYo0BwxsXqNm01IGEUdYcSSLTEv9YCik/edit?usp=sharing"",""เบิกจ่ายกองทุน!AD25"")"),170160)</f>
        <v>170160</v>
      </c>
      <c r="R99" s="224">
        <f ca="1">IFERROR(__xludf.DUMMYFUNCTION("IMPORTRANGE(""https://docs.google.com/spreadsheets/d/1ItG2mGa2ceCfYo0BwxsXqNm01IGEUdYcSSLTEv9YCik/edit?usp=sharing"",""เบิกจ่ายกองทุน!AE25"")"),170160)</f>
        <v>170160</v>
      </c>
      <c r="S99" s="224">
        <f ca="1">IFERROR(__xludf.DUMMYFUNCTION("IMPORTRANGE(""https://docs.google.com/spreadsheets/d/1ItG2mGa2ceCfYo0BwxsXqNm01IGEUdYcSSLTEv9YCik/edit?usp=sharing"",""เบิกจ่ายกองทุน!AF25"")"),0)</f>
        <v>0</v>
      </c>
      <c r="T99" s="224">
        <f t="shared" ca="1" si="31"/>
        <v>0</v>
      </c>
      <c r="U99" s="224">
        <f t="shared" ca="1" si="32"/>
        <v>0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468">
        <f ca="1">L101+L102</f>
        <v>0</v>
      </c>
      <c r="M100" s="224">
        <f ca="1">M101+M102</f>
        <v>0</v>
      </c>
      <c r="N100" s="224">
        <f ca="1">N101+N102</f>
        <v>0</v>
      </c>
      <c r="O100" s="224">
        <f t="shared" ca="1" si="29"/>
        <v>0</v>
      </c>
      <c r="P100" s="224">
        <f t="shared" ca="1" si="30"/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 t="shared" si="31"/>
        <v>0</v>
      </c>
      <c r="U100" s="224">
        <f t="shared" si="32"/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469">
        <v>0</v>
      </c>
      <c r="M101" s="83">
        <v>0</v>
      </c>
      <c r="N101" s="83">
        <v>0</v>
      </c>
      <c r="O101" s="83">
        <f t="shared" si="29"/>
        <v>0</v>
      </c>
      <c r="P101" s="83">
        <f t="shared" si="30"/>
        <v>0</v>
      </c>
      <c r="Q101" s="83">
        <v>0</v>
      </c>
      <c r="R101" s="83">
        <v>0</v>
      </c>
      <c r="S101" s="83">
        <v>0</v>
      </c>
      <c r="T101" s="83">
        <f t="shared" si="31"/>
        <v>0</v>
      </c>
      <c r="U101" s="83">
        <f t="shared" si="32"/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468">
        <f ca="1">IFERROR(__xludf.DUMMYFUNCTION("IMPORTRANGE(""https://docs.google.com/spreadsheets/d/1-uDff_7J0KD5mKrp0Vvzr7lt3OU09vwQwhkpOPPYv2Y/edit?usp=sharing"",""งบพรบ!AZ25"")"),0)</f>
        <v>0</v>
      </c>
      <c r="M102" s="224">
        <f ca="1">IFERROR(__xludf.DUMMYFUNCTION("IMPORTRANGE(""https://docs.google.com/spreadsheets/d/1-uDff_7J0KD5mKrp0Vvzr7lt3OU09vwQwhkpOPPYv2Y/edit?usp=sharing"",""งบพรบ!BC25"")"),0)</f>
        <v>0</v>
      </c>
      <c r="N102" s="224">
        <f ca="1">IFERROR(__xludf.DUMMYFUNCTION("IMPORTRANGE(""https://docs.google.com/spreadsheets/d/1-uDff_7J0KD5mKrp0Vvzr7lt3OU09vwQwhkpOPPYv2Y/edit?usp=sharing"",""งบพรบ!BE25"")"),0)</f>
        <v>0</v>
      </c>
      <c r="O102" s="224">
        <f t="shared" ca="1" si="29"/>
        <v>0</v>
      </c>
      <c r="P102" s="224">
        <f t="shared" ca="1" si="30"/>
        <v>0</v>
      </c>
      <c r="Q102" s="224">
        <v>0</v>
      </c>
      <c r="R102" s="224">
        <v>0</v>
      </c>
      <c r="S102" s="224">
        <v>0</v>
      </c>
      <c r="T102" s="224">
        <f t="shared" si="31"/>
        <v>0</v>
      </c>
      <c r="U102" s="224">
        <f t="shared" si="32"/>
        <v>0</v>
      </c>
    </row>
    <row r="103" spans="1:21" ht="19.5" x14ac:dyDescent="0.3">
      <c r="A103" s="138"/>
      <c r="B103" s="139"/>
      <c r="C103" s="129" t="s">
        <v>18</v>
      </c>
      <c r="D103" s="498" t="s">
        <v>38</v>
      </c>
      <c r="E103" s="141"/>
      <c r="F103" s="141"/>
      <c r="G103" s="142"/>
      <c r="H103" s="143"/>
      <c r="I103" s="135"/>
      <c r="J103" s="44"/>
      <c r="K103" s="45"/>
      <c r="L103" s="465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571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571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571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465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IFERROR(__xludf.DUMMYFUNCTION("IMPORTRANGE(""https://docs.google.com/spreadsheets/d/1eHaY18a8A9IcSdp1K8H6x8fbOy06t2VsZHhMHf-1x7Y/edit?usp=sharing"",""แผน!N25"")"),60)</f>
        <v>60</v>
      </c>
      <c r="J108" s="466">
        <v>0</v>
      </c>
      <c r="K108" s="224">
        <f ca="1">IF(I108&gt;0,J108*100/I108,0)</f>
        <v>0</v>
      </c>
      <c r="L108" s="465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IFERROR(__xludf.DUMMYFUNCTION("IMPORTRANGE(""https://docs.google.com/spreadsheets/d/1eHaY18a8A9IcSdp1K8H6x8fbOy06t2VsZHhMHf-1x7Y/edit?usp=sharing"",""แผน!O25"")"),20)</f>
        <v>20</v>
      </c>
      <c r="J109" s="466">
        <v>0</v>
      </c>
      <c r="K109" s="224">
        <f ca="1">IF(I109&gt;0,J109*100/I109,0)</f>
        <v>0</v>
      </c>
      <c r="L109" s="465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571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571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571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749"/>
      <c r="B113" s="438"/>
      <c r="C113" s="438"/>
      <c r="D113" s="748" t="s">
        <v>50</v>
      </c>
      <c r="E113" s="440"/>
      <c r="F113" s="440"/>
      <c r="G113" s="441"/>
      <c r="H113" s="747" t="s">
        <v>46</v>
      </c>
      <c r="I113" s="746">
        <f ca="1">IFERROR(__xludf.DUMMYFUNCTION("IMPORTRANGE(""https://docs.google.com/spreadsheets/d/1eHaY18a8A9IcSdp1K8H6x8fbOy06t2VsZHhMHf-1x7Y/edit?usp=sharing"",""แผน!N25"")"),60)</f>
        <v>60</v>
      </c>
      <c r="J113" s="444">
        <v>0</v>
      </c>
      <c r="K113" s="591">
        <f ca="1">IF(I113&gt;0,J113*100/I113,0)</f>
        <v>0</v>
      </c>
      <c r="L113" s="656"/>
      <c r="M113" s="656"/>
      <c r="N113" s="656"/>
      <c r="O113" s="445"/>
      <c r="P113" s="445"/>
      <c r="Q113" s="656"/>
      <c r="R113" s="656"/>
      <c r="S113" s="656"/>
      <c r="T113" s="445"/>
      <c r="U113" s="445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581">
        <f ca="1">IFERROR(__xludf.DUMMYFUNCTION("IMPORTRANGE(""https://docs.google.com/spreadsheets/d/1eHaY18a8A9IcSdp1K8H6x8fbOy06t2VsZHhMHf-1x7Y/edit?usp=sharing"",""แผน!O25"")"),20)</f>
        <v>20</v>
      </c>
      <c r="J114" s="466">
        <v>0</v>
      </c>
      <c r="K114" s="224">
        <f ca="1">IF(I114&gt;0,J114*100/I114,0)</f>
        <v>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671" t="s">
        <v>51</v>
      </c>
      <c r="B115" s="668"/>
      <c r="C115" s="670"/>
      <c r="D115" s="669"/>
      <c r="E115" s="669"/>
      <c r="F115" s="669"/>
      <c r="G115" s="669"/>
      <c r="H115" s="668"/>
      <c r="I115" s="667"/>
      <c r="J115" s="667"/>
      <c r="K115" s="66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665">
        <f ca="1">I127</f>
        <v>20</v>
      </c>
      <c r="J116" s="665">
        <f>J127</f>
        <v>20</v>
      </c>
      <c r="K116" s="664">
        <f ca="1">IF(I116&gt;0,J116*100/I116,0)</f>
        <v>100</v>
      </c>
      <c r="L116" s="510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472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471">
        <f ca="1">L118+L119</f>
        <v>0</v>
      </c>
      <c r="M117" s="470">
        <f ca="1">M118+M119</f>
        <v>0</v>
      </c>
      <c r="N117" s="470">
        <f ca="1">N118+N119</f>
        <v>0</v>
      </c>
      <c r="O117" s="470">
        <f t="shared" ref="O117:O125" ca="1" si="35">IF(L117&gt;0,N117*100/L117,0)</f>
        <v>0</v>
      </c>
      <c r="P117" s="470">
        <f t="shared" ref="P117:P125" ca="1" si="36">IF(M117&gt;0,N117*100/M117,0)</f>
        <v>0</v>
      </c>
      <c r="Q117" s="470">
        <f ca="1">Q118+Q119</f>
        <v>209360</v>
      </c>
      <c r="R117" s="470">
        <f ca="1">R118+R119</f>
        <v>209360</v>
      </c>
      <c r="S117" s="470">
        <f ca="1">S118+S119</f>
        <v>84825</v>
      </c>
      <c r="T117" s="470">
        <f t="shared" ref="T117:T125" ca="1" si="37">IF(Q117&gt;0,S117*100/Q117,0)</f>
        <v>40.516335498662592</v>
      </c>
      <c r="U117" s="470">
        <f t="shared" ref="U117:U125" ca="1" si="38">IF(R117&gt;0,S117*100/R117,0)</f>
        <v>40.516335498662592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469">
        <f t="shared" ref="L118:N119" si="39">L121+L124</f>
        <v>0</v>
      </c>
      <c r="M118" s="83">
        <f t="shared" si="39"/>
        <v>0</v>
      </c>
      <c r="N118" s="83">
        <f t="shared" si="39"/>
        <v>0</v>
      </c>
      <c r="O118" s="83">
        <f t="shared" si="35"/>
        <v>0</v>
      </c>
      <c r="P118" s="83">
        <f t="shared" si="36"/>
        <v>0</v>
      </c>
      <c r="Q118" s="83">
        <f t="shared" ref="Q118:S119" si="40">Q121+Q124</f>
        <v>0</v>
      </c>
      <c r="R118" s="83">
        <f t="shared" si="40"/>
        <v>0</v>
      </c>
      <c r="S118" s="83">
        <f t="shared" si="40"/>
        <v>0</v>
      </c>
      <c r="T118" s="83">
        <f t="shared" si="37"/>
        <v>0</v>
      </c>
      <c r="U118" s="83">
        <f t="shared" si="38"/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468">
        <f t="shared" ca="1" si="39"/>
        <v>0</v>
      </c>
      <c r="M119" s="224">
        <f t="shared" ca="1" si="39"/>
        <v>0</v>
      </c>
      <c r="N119" s="224">
        <f t="shared" ca="1" si="39"/>
        <v>0</v>
      </c>
      <c r="O119" s="224">
        <f t="shared" ca="1" si="35"/>
        <v>0</v>
      </c>
      <c r="P119" s="224">
        <f t="shared" ca="1" si="36"/>
        <v>0</v>
      </c>
      <c r="Q119" s="224">
        <f t="shared" ca="1" si="40"/>
        <v>209360</v>
      </c>
      <c r="R119" s="224">
        <f t="shared" ca="1" si="40"/>
        <v>209360</v>
      </c>
      <c r="S119" s="224">
        <f t="shared" ca="1" si="40"/>
        <v>84825</v>
      </c>
      <c r="T119" s="224">
        <f t="shared" ca="1" si="37"/>
        <v>40.516335498662592</v>
      </c>
      <c r="U119" s="224">
        <f t="shared" ca="1" si="38"/>
        <v>40.516335498662592</v>
      </c>
    </row>
    <row r="120" spans="1:21" ht="18.75" x14ac:dyDescent="0.25">
      <c r="A120" s="128"/>
      <c r="B120" s="158"/>
      <c r="C120" s="174"/>
      <c r="D120" s="53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468">
        <f ca="1">L121+L122</f>
        <v>0</v>
      </c>
      <c r="M120" s="224">
        <f ca="1">M121+M122</f>
        <v>0</v>
      </c>
      <c r="N120" s="224">
        <f ca="1">N121+N122</f>
        <v>0</v>
      </c>
      <c r="O120" s="224">
        <f t="shared" ca="1" si="35"/>
        <v>0</v>
      </c>
      <c r="P120" s="224">
        <f t="shared" ca="1" si="36"/>
        <v>0</v>
      </c>
      <c r="Q120" s="224">
        <f ca="1">Q121+Q122</f>
        <v>209360</v>
      </c>
      <c r="R120" s="224">
        <f ca="1">R121+R122</f>
        <v>209360</v>
      </c>
      <c r="S120" s="224">
        <f ca="1">S121+S122</f>
        <v>84825</v>
      </c>
      <c r="T120" s="224">
        <f t="shared" ca="1" si="37"/>
        <v>40.516335498662592</v>
      </c>
      <c r="U120" s="224">
        <f t="shared" ca="1" si="38"/>
        <v>40.516335498662592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469">
        <v>0</v>
      </c>
      <c r="M121" s="83">
        <v>0</v>
      </c>
      <c r="N121" s="83">
        <v>0</v>
      </c>
      <c r="O121" s="83">
        <f t="shared" si="35"/>
        <v>0</v>
      </c>
      <c r="P121" s="83">
        <f t="shared" si="36"/>
        <v>0</v>
      </c>
      <c r="Q121" s="83">
        <v>0</v>
      </c>
      <c r="R121" s="83">
        <v>0</v>
      </c>
      <c r="S121" s="83">
        <v>0</v>
      </c>
      <c r="T121" s="83">
        <f t="shared" si="37"/>
        <v>0</v>
      </c>
      <c r="U121" s="83">
        <f t="shared" si="38"/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468">
        <f ca="1">IFERROR(__xludf.DUMMYFUNCTION("IMPORTRANGE(""https://docs.google.com/spreadsheets/d/1-uDff_7J0KD5mKrp0Vvzr7lt3OU09vwQwhkpOPPYv2Y/edit?usp=sharing"",""งบพรบ!BG25"")"),0)</f>
        <v>0</v>
      </c>
      <c r="M122" s="224">
        <f ca="1">IFERROR(__xludf.DUMMYFUNCTION("IMPORTRANGE(""https://docs.google.com/spreadsheets/d/1-uDff_7J0KD5mKrp0Vvzr7lt3OU09vwQwhkpOPPYv2Y/edit?usp=sharing"",""งบพรบ!BL25"")"),0)</f>
        <v>0</v>
      </c>
      <c r="N122" s="224">
        <f ca="1">IFERROR(__xludf.DUMMYFUNCTION("IMPORTRANGE(""https://docs.google.com/spreadsheets/d/1-uDff_7J0KD5mKrp0Vvzr7lt3OU09vwQwhkpOPPYv2Y/edit?usp=sharing"",""งบพรบ!BN25"")"),0)</f>
        <v>0</v>
      </c>
      <c r="O122" s="224">
        <f t="shared" ca="1" si="35"/>
        <v>0</v>
      </c>
      <c r="P122" s="224">
        <f t="shared" ca="1" si="36"/>
        <v>0</v>
      </c>
      <c r="Q122" s="224">
        <f ca="1">IFERROR(__xludf.DUMMYFUNCTION("IMPORTRANGE(""https://docs.google.com/spreadsheets/d/1ItG2mGa2ceCfYo0BwxsXqNm01IGEUdYcSSLTEv9YCik/edit?usp=sharing"",""เบิกจ่ายกองทุน!R25"")"),209360)</f>
        <v>209360</v>
      </c>
      <c r="R122" s="224">
        <f ca="1">IFERROR(__xludf.DUMMYFUNCTION("IMPORTRANGE(""https://docs.google.com/spreadsheets/d/1ItG2mGa2ceCfYo0BwxsXqNm01IGEUdYcSSLTEv9YCik/edit?usp=sharing"",""เบิกจ่ายกองทุน!S25"")"),209360)</f>
        <v>209360</v>
      </c>
      <c r="S122" s="224">
        <f ca="1">IFERROR(__xludf.DUMMYFUNCTION("IMPORTRANGE(""https://docs.google.com/spreadsheets/d/1ItG2mGa2ceCfYo0BwxsXqNm01IGEUdYcSSLTEv9YCik/edit?usp=sharing"",""เบิกจ่ายกองทุน!T25"")"),84825)</f>
        <v>84825</v>
      </c>
      <c r="T122" s="224">
        <f t="shared" ca="1" si="37"/>
        <v>40.516335498662592</v>
      </c>
      <c r="U122" s="224">
        <f t="shared" ca="1" si="38"/>
        <v>40.516335498662592</v>
      </c>
    </row>
    <row r="123" spans="1:21" ht="18.75" x14ac:dyDescent="0.25">
      <c r="A123" s="128"/>
      <c r="B123" s="40"/>
      <c r="C123" s="174"/>
      <c r="D123" s="53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468">
        <f ca="1">L124+L125</f>
        <v>0</v>
      </c>
      <c r="M123" s="224">
        <f ca="1">M124+M125</f>
        <v>0</v>
      </c>
      <c r="N123" s="224">
        <f ca="1">N124+N125</f>
        <v>0</v>
      </c>
      <c r="O123" s="224">
        <f t="shared" ca="1" si="35"/>
        <v>0</v>
      </c>
      <c r="P123" s="224">
        <f t="shared" ca="1" si="36"/>
        <v>0</v>
      </c>
      <c r="Q123" s="224">
        <f>Q124+Q125</f>
        <v>0</v>
      </c>
      <c r="R123" s="224">
        <f>R124+R125</f>
        <v>0</v>
      </c>
      <c r="S123" s="224">
        <f>S124+S125</f>
        <v>0</v>
      </c>
      <c r="T123" s="224">
        <f t="shared" si="37"/>
        <v>0</v>
      </c>
      <c r="U123" s="224">
        <f t="shared" si="38"/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469">
        <v>0</v>
      </c>
      <c r="M124" s="83">
        <v>0</v>
      </c>
      <c r="N124" s="83">
        <v>0</v>
      </c>
      <c r="O124" s="83">
        <f t="shared" si="35"/>
        <v>0</v>
      </c>
      <c r="P124" s="83">
        <f t="shared" si="36"/>
        <v>0</v>
      </c>
      <c r="Q124" s="83">
        <v>0</v>
      </c>
      <c r="R124" s="83">
        <v>0</v>
      </c>
      <c r="S124" s="83">
        <v>0</v>
      </c>
      <c r="T124" s="83">
        <f t="shared" si="37"/>
        <v>0</v>
      </c>
      <c r="U124" s="83">
        <f t="shared" si="38"/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468">
        <f ca="1">IFERROR(__xludf.DUMMYFUNCTION("IMPORTRANGE(""https://docs.google.com/spreadsheets/d/1-uDff_7J0KD5mKrp0Vvzr7lt3OU09vwQwhkpOPPYv2Y/edit?usp=sharing"",""งบพรบ!BJ25"")"),0)</f>
        <v>0</v>
      </c>
      <c r="M125" s="224">
        <f ca="1">IFERROR(__xludf.DUMMYFUNCTION("IMPORTRANGE(""https://docs.google.com/spreadsheets/d/1-uDff_7J0KD5mKrp0Vvzr7lt3OU09vwQwhkpOPPYv2Y/edit?usp=sharing"",""งบพรบ!BM25"")"),0)</f>
        <v>0</v>
      </c>
      <c r="N125" s="224">
        <f ca="1">IFERROR(__xludf.DUMMYFUNCTION("IMPORTRANGE(""https://docs.google.com/spreadsheets/d/1-uDff_7J0KD5mKrp0Vvzr7lt3OU09vwQwhkpOPPYv2Y/edit?usp=sharing"",""งบพรบ!BO25"")"),0)</f>
        <v>0</v>
      </c>
      <c r="O125" s="224">
        <f t="shared" ca="1" si="35"/>
        <v>0</v>
      </c>
      <c r="P125" s="224">
        <f t="shared" ca="1" si="36"/>
        <v>0</v>
      </c>
      <c r="Q125" s="224">
        <v>0</v>
      </c>
      <c r="R125" s="224">
        <v>0</v>
      </c>
      <c r="S125" s="224">
        <v>0</v>
      </c>
      <c r="T125" s="224">
        <f t="shared" si="37"/>
        <v>0</v>
      </c>
      <c r="U125" s="224">
        <f t="shared" si="38"/>
        <v>0</v>
      </c>
    </row>
    <row r="126" spans="1:21" ht="19.5" x14ac:dyDescent="0.3">
      <c r="A126" s="138"/>
      <c r="B126" s="139"/>
      <c r="C126" s="177" t="s">
        <v>18</v>
      </c>
      <c r="D126" s="498" t="s">
        <v>38</v>
      </c>
      <c r="E126" s="141"/>
      <c r="F126" s="141"/>
      <c r="G126" s="142"/>
      <c r="H126" s="178"/>
      <c r="I126" s="44"/>
      <c r="J126" s="44"/>
      <c r="K126" s="45"/>
      <c r="L126" s="465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IFERROR(__xludf.DUMMYFUNCTION("IMPORTRANGE(""https://docs.google.com/spreadsheets/d/1eHaY18a8A9IcSdp1K8H6x8fbOy06t2VsZHhMHf-1x7Y/edit?usp=sharing"",""แผน!FF25"")"),20)</f>
        <v>20</v>
      </c>
      <c r="J127" s="466">
        <v>20</v>
      </c>
      <c r="K127" s="224">
        <f ca="1">IF(I127&gt;0,J127*100/I127,0)</f>
        <v>100</v>
      </c>
      <c r="L127" s="465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IFERROR(__xludf.DUMMYFUNCTION("IMPORTRANGE(""https://docs.google.com/spreadsheets/d/1eHaY18a8A9IcSdp1K8H6x8fbOy06t2VsZHhMHf-1x7Y/edit?usp=sharing"",""แผน!FG25"")"),0)</f>
        <v>0</v>
      </c>
      <c r="J128" s="466">
        <v>1</v>
      </c>
      <c r="K128" s="224">
        <f ca="1">IF(I128&gt;0,J128*100/I128,0)</f>
        <v>0</v>
      </c>
      <c r="L128" s="465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IFERROR(__xludf.DUMMYFUNCTION("IMPORTRANGE(""https://docs.google.com/spreadsheets/d/1eHaY18a8A9IcSdp1K8H6x8fbOy06t2VsZHhMHf-1x7Y/edit?usp=sharing"",""แผน!FH25"")"),20)</f>
        <v>20</v>
      </c>
      <c r="J129" s="466">
        <v>0</v>
      </c>
      <c r="K129" s="224">
        <f ca="1">IF(I129&gt;0,J129*100/I129,0)</f>
        <v>0</v>
      </c>
      <c r="L129" s="465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IFERROR(__xludf.DUMMYFUNCTION("IMPORTRANGE(""https://docs.google.com/spreadsheets/d/1eHaY18a8A9IcSdp1K8H6x8fbOy06t2VsZHhMHf-1x7Y/edit?usp=sharing"",""แผน!FI25"")"),0)</f>
        <v>0</v>
      </c>
      <c r="J130" s="466">
        <v>0</v>
      </c>
      <c r="K130" s="224">
        <f ca="1">IF(I130&gt;0,J130*100/I130,0)</f>
        <v>0</v>
      </c>
      <c r="L130" s="465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465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465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57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hidden="1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10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hidden="1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665">
        <f ca="1">I154</f>
        <v>0</v>
      </c>
      <c r="J136" s="665">
        <f>J154</f>
        <v>0</v>
      </c>
      <c r="K136" s="664">
        <f ca="1">IF(I136&gt;0,J136*100/I136,0)</f>
        <v>0</v>
      </c>
      <c r="L136" s="510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665">
        <f ca="1">I152</f>
        <v>0</v>
      </c>
      <c r="J137" s="665">
        <f>J152</f>
        <v>0</v>
      </c>
      <c r="K137" s="664">
        <f ca="1">IF(I137&gt;0,J137*100/I137,0)</f>
        <v>0</v>
      </c>
      <c r="L137" s="510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665">
        <f ca="1">I153</f>
        <v>0</v>
      </c>
      <c r="J138" s="665">
        <f>J153</f>
        <v>0</v>
      </c>
      <c r="K138" s="664">
        <f ca="1">IF(I138&gt;0,J138*100/I138,0)</f>
        <v>0</v>
      </c>
      <c r="L138" s="510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8"/>
      <c r="B139" s="40"/>
      <c r="C139" s="129" t="s">
        <v>18</v>
      </c>
      <c r="D139" s="472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471">
        <f ca="1">L140+L141</f>
        <v>0</v>
      </c>
      <c r="M139" s="470">
        <f ca="1">M140+M141</f>
        <v>0</v>
      </c>
      <c r="N139" s="470">
        <f ca="1">N140+N141</f>
        <v>0</v>
      </c>
      <c r="O139" s="470">
        <f t="shared" ref="O139:O147" ca="1" si="41">IF(L139&gt;0,N139*100/L139,0)</f>
        <v>0</v>
      </c>
      <c r="P139" s="470">
        <f t="shared" ref="P139:P147" ca="1" si="42">IF(M139&gt;0,N139*100/M139,0)</f>
        <v>0</v>
      </c>
      <c r="Q139" s="470">
        <f ca="1">Q140+Q141</f>
        <v>0</v>
      </c>
      <c r="R139" s="470">
        <f ca="1">R140+R141</f>
        <v>0</v>
      </c>
      <c r="S139" s="470">
        <f ca="1">S140+S141</f>
        <v>0</v>
      </c>
      <c r="T139" s="470">
        <f t="shared" ref="T139:T147" ca="1" si="43">IF(Q139&gt;0,S139*100/Q139,0)</f>
        <v>0</v>
      </c>
      <c r="U139" s="470">
        <f t="shared" ref="U139:U147" ca="1" si="44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469">
        <f t="shared" ref="L140:N141" si="45">L143+L146</f>
        <v>0</v>
      </c>
      <c r="M140" s="83">
        <f t="shared" si="45"/>
        <v>0</v>
      </c>
      <c r="N140" s="83">
        <f t="shared" si="45"/>
        <v>0</v>
      </c>
      <c r="O140" s="83">
        <f t="shared" si="41"/>
        <v>0</v>
      </c>
      <c r="P140" s="83">
        <f t="shared" si="42"/>
        <v>0</v>
      </c>
      <c r="Q140" s="83">
        <f t="shared" ref="Q140:S141" si="46">Q143+Q146</f>
        <v>0</v>
      </c>
      <c r="R140" s="83">
        <f t="shared" si="46"/>
        <v>0</v>
      </c>
      <c r="S140" s="83">
        <f t="shared" si="46"/>
        <v>0</v>
      </c>
      <c r="T140" s="83">
        <f t="shared" si="43"/>
        <v>0</v>
      </c>
      <c r="U140" s="83">
        <f t="shared" si="44"/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468">
        <f t="shared" ca="1" si="45"/>
        <v>0</v>
      </c>
      <c r="M141" s="224">
        <f t="shared" ca="1" si="45"/>
        <v>0</v>
      </c>
      <c r="N141" s="224">
        <f t="shared" ca="1" si="45"/>
        <v>0</v>
      </c>
      <c r="O141" s="224">
        <f t="shared" ca="1" si="41"/>
        <v>0</v>
      </c>
      <c r="P141" s="224">
        <f t="shared" ca="1" si="42"/>
        <v>0</v>
      </c>
      <c r="Q141" s="224">
        <f t="shared" ca="1" si="46"/>
        <v>0</v>
      </c>
      <c r="R141" s="224">
        <f t="shared" ca="1" si="46"/>
        <v>0</v>
      </c>
      <c r="S141" s="224">
        <f t="shared" ca="1" si="46"/>
        <v>0</v>
      </c>
      <c r="T141" s="224">
        <f t="shared" ca="1" si="43"/>
        <v>0</v>
      </c>
      <c r="U141" s="224">
        <f t="shared" ca="1" si="44"/>
        <v>0</v>
      </c>
    </row>
    <row r="142" spans="1:21" ht="18.75" hidden="1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468">
        <f ca="1">L143+L144</f>
        <v>0</v>
      </c>
      <c r="M142" s="224">
        <f ca="1">M143+M144</f>
        <v>0</v>
      </c>
      <c r="N142" s="224">
        <f ca="1">N143+N144</f>
        <v>0</v>
      </c>
      <c r="O142" s="224">
        <f t="shared" ca="1" si="41"/>
        <v>0</v>
      </c>
      <c r="P142" s="224">
        <f t="shared" ca="1" si="42"/>
        <v>0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t="shared" ca="1" si="43"/>
        <v>0</v>
      </c>
      <c r="U142" s="224">
        <f t="shared" ca="1" si="44"/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469">
        <v>0</v>
      </c>
      <c r="M143" s="83">
        <v>0</v>
      </c>
      <c r="N143" s="83">
        <v>0</v>
      </c>
      <c r="O143" s="83">
        <f t="shared" si="41"/>
        <v>0</v>
      </c>
      <c r="P143" s="83">
        <f t="shared" si="42"/>
        <v>0</v>
      </c>
      <c r="Q143" s="83">
        <v>0</v>
      </c>
      <c r="R143" s="83">
        <v>0</v>
      </c>
      <c r="S143" s="83">
        <v>0</v>
      </c>
      <c r="T143" s="83">
        <f t="shared" si="43"/>
        <v>0</v>
      </c>
      <c r="U143" s="83">
        <f t="shared" si="44"/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468">
        <f ca="1">IFERROR(__xludf.DUMMYFUNCTION("IMPORTRANGE(""https://docs.google.com/spreadsheets/d/1-uDff_7J0KD5mKrp0Vvzr7lt3OU09vwQwhkpOPPYv2Y/edit?usp=sharing"",""งบพรบ!BQ25"")"),0)</f>
        <v>0</v>
      </c>
      <c r="M144" s="224">
        <f ca="1">IFERROR(__xludf.DUMMYFUNCTION("IMPORTRANGE(""https://docs.google.com/spreadsheets/d/1-uDff_7J0KD5mKrp0Vvzr7lt3OU09vwQwhkpOPPYv2Y/edit?usp=sharing"",""งบพรบ!BV25"")"),0)</f>
        <v>0</v>
      </c>
      <c r="N144" s="224">
        <f ca="1">IFERROR(__xludf.DUMMYFUNCTION("IMPORTRANGE(""https://docs.google.com/spreadsheets/d/1-uDff_7J0KD5mKrp0Vvzr7lt3OU09vwQwhkpOPPYv2Y/edit?usp=sharing"",""งบพรบ!BX25"")"),0)</f>
        <v>0</v>
      </c>
      <c r="O144" s="224">
        <f t="shared" ca="1" si="41"/>
        <v>0</v>
      </c>
      <c r="P144" s="224">
        <f t="shared" ca="1" si="42"/>
        <v>0</v>
      </c>
      <c r="Q144" s="224">
        <f ca="1">IFERROR(__xludf.DUMMYFUNCTION("IMPORTRANGE(""https://docs.google.com/spreadsheets/d/1ItG2mGa2ceCfYo0BwxsXqNm01IGEUdYcSSLTEv9YCik/edit?usp=sharing"",""เบิกจ่ายกองทุน!BB25"")"),0)</f>
        <v>0</v>
      </c>
      <c r="R144" s="224">
        <f ca="1">IFERROR(__xludf.DUMMYFUNCTION("IMPORTRANGE(""https://docs.google.com/spreadsheets/d/1ItG2mGa2ceCfYo0BwxsXqNm01IGEUdYcSSLTEv9YCik/edit?usp=sharing"",""เบิกจ่ายกองทุน!BC25"")"),0)</f>
        <v>0</v>
      </c>
      <c r="S144" s="224">
        <f ca="1">IFERROR(__xludf.DUMMYFUNCTION("IMPORTRANGE(""https://docs.google.com/spreadsheets/d/1ItG2mGa2ceCfYo0BwxsXqNm01IGEUdYcSSLTEv9YCik/edit?usp=sharing"",""เบิกจ่ายกองทุน!BD25"")"),0)</f>
        <v>0</v>
      </c>
      <c r="T144" s="224">
        <f t="shared" ca="1" si="43"/>
        <v>0</v>
      </c>
      <c r="U144" s="224">
        <f t="shared" ca="1" si="44"/>
        <v>0</v>
      </c>
    </row>
    <row r="145" spans="1:21" ht="18.75" hidden="1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468">
        <f ca="1">L146+L147</f>
        <v>0</v>
      </c>
      <c r="M145" s="224">
        <f ca="1">M146+M147</f>
        <v>0</v>
      </c>
      <c r="N145" s="224">
        <f ca="1">N146+N147</f>
        <v>0</v>
      </c>
      <c r="O145" s="224">
        <f t="shared" ca="1" si="41"/>
        <v>0</v>
      </c>
      <c r="P145" s="224">
        <f t="shared" ca="1" si="42"/>
        <v>0</v>
      </c>
      <c r="Q145" s="224">
        <f>Q146+Q147</f>
        <v>0</v>
      </c>
      <c r="R145" s="224">
        <f>R146+R147</f>
        <v>0</v>
      </c>
      <c r="S145" s="224">
        <f>S146+S147</f>
        <v>0</v>
      </c>
      <c r="T145" s="224">
        <f t="shared" si="43"/>
        <v>0</v>
      </c>
      <c r="U145" s="224">
        <f t="shared" si="44"/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469">
        <v>0</v>
      </c>
      <c r="M146" s="83">
        <v>0</v>
      </c>
      <c r="N146" s="83">
        <v>0</v>
      </c>
      <c r="O146" s="83">
        <f t="shared" si="41"/>
        <v>0</v>
      </c>
      <c r="P146" s="83">
        <f t="shared" si="42"/>
        <v>0</v>
      </c>
      <c r="Q146" s="83">
        <v>0</v>
      </c>
      <c r="R146" s="83">
        <v>0</v>
      </c>
      <c r="S146" s="83">
        <v>0</v>
      </c>
      <c r="T146" s="83">
        <f t="shared" si="43"/>
        <v>0</v>
      </c>
      <c r="U146" s="83">
        <f t="shared" si="44"/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468">
        <f ca="1">IFERROR(__xludf.DUMMYFUNCTION("IMPORTRANGE(""https://docs.google.com/spreadsheets/d/1-uDff_7J0KD5mKrp0Vvzr7lt3OU09vwQwhkpOPPYv2Y/edit?usp=sharing"",""งบพรบ!BT25"")"),0)</f>
        <v>0</v>
      </c>
      <c r="M147" s="224">
        <f ca="1">IFERROR(__xludf.DUMMYFUNCTION("IMPORTRANGE(""https://docs.google.com/spreadsheets/d/1-uDff_7J0KD5mKrp0Vvzr7lt3OU09vwQwhkpOPPYv2Y/edit?usp=sharing"",""งบพรบ!BW25"")"),0)</f>
        <v>0</v>
      </c>
      <c r="N147" s="224">
        <f ca="1">IFERROR(__xludf.DUMMYFUNCTION("IMPORTRANGE(""https://docs.google.com/spreadsheets/d/1-uDff_7J0KD5mKrp0Vvzr7lt3OU09vwQwhkpOPPYv2Y/edit?usp=sharing"",""งบพรบ!BY25"")"),0)</f>
        <v>0</v>
      </c>
      <c r="O147" s="224">
        <f t="shared" ca="1" si="41"/>
        <v>0</v>
      </c>
      <c r="P147" s="224">
        <f t="shared" ca="1" si="42"/>
        <v>0</v>
      </c>
      <c r="Q147" s="224">
        <v>0</v>
      </c>
      <c r="R147" s="224">
        <v>0</v>
      </c>
      <c r="S147" s="224">
        <v>0</v>
      </c>
      <c r="T147" s="224">
        <f t="shared" si="43"/>
        <v>0</v>
      </c>
      <c r="U147" s="224">
        <f t="shared" si="44"/>
        <v>0</v>
      </c>
    </row>
    <row r="148" spans="1:21" ht="19.5" hidden="1" x14ac:dyDescent="0.3">
      <c r="A148" s="138"/>
      <c r="B148" s="139"/>
      <c r="C148" s="129" t="s">
        <v>18</v>
      </c>
      <c r="D148" s="498" t="s">
        <v>38</v>
      </c>
      <c r="E148" s="141"/>
      <c r="F148" s="141"/>
      <c r="G148" s="142"/>
      <c r="H148" s="178"/>
      <c r="I148" s="44"/>
      <c r="J148" s="44"/>
      <c r="K148" s="45"/>
      <c r="L148" s="465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hidden="1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466">
        <v>0</v>
      </c>
      <c r="K149" s="45"/>
      <c r="L149" s="465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hidden="1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IFERROR(__xludf.DUMMYFUNCTION("IMPORTRANGE(""https://docs.google.com/spreadsheets/d/1eHaY18a8A9IcSdp1K8H6x8fbOy06t2VsZHhMHf-1x7Y/edit?usp=sharing"",""แผน!U25"")"),0)</f>
        <v>0</v>
      </c>
      <c r="J150" s="466">
        <v>0</v>
      </c>
      <c r="K150" s="224">
        <f ca="1">IF(I150&gt;0,J150*100/I150,0)</f>
        <v>0</v>
      </c>
      <c r="L150" s="465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hidden="1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IFERROR(__xludf.DUMMYFUNCTION("IMPORTRANGE(""https://docs.google.com/spreadsheets/d/1eHaY18a8A9IcSdp1K8H6x8fbOy06t2VsZHhMHf-1x7Y/edit?usp=sharing"",""แผน!V25"")"),0)</f>
        <v>0</v>
      </c>
      <c r="J151" s="466">
        <v>0</v>
      </c>
      <c r="K151" s="224">
        <f ca="1">IF(I151&gt;0,J151*100/I151,0)</f>
        <v>0</v>
      </c>
      <c r="L151" s="465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hidden="1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IFERROR(__xludf.DUMMYFUNCTION("IMPORTRANGE(""https://docs.google.com/spreadsheets/d/1eHaY18a8A9IcSdp1K8H6x8fbOy06t2VsZHhMHf-1x7Y/edit?usp=sharing"",""แผน!W25"")"),0)</f>
        <v>0</v>
      </c>
      <c r="J152" s="466">
        <v>0</v>
      </c>
      <c r="K152" s="224">
        <f ca="1">IF(I152&gt;0,J152*100/I152,0)</f>
        <v>0</v>
      </c>
      <c r="L152" s="465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hidden="1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IFERROR(__xludf.DUMMYFUNCTION("IMPORTRANGE(""https://docs.google.com/spreadsheets/d/1eHaY18a8A9IcSdp1K8H6x8fbOy06t2VsZHhMHf-1x7Y/edit?usp=sharing"",""แผน!X25"")"),0)</f>
        <v>0</v>
      </c>
      <c r="J153" s="466">
        <v>0</v>
      </c>
      <c r="K153" s="224">
        <f ca="1">IF(I153&gt;0,J153*100/I153,0)</f>
        <v>0</v>
      </c>
      <c r="L153" s="465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IFERROR(__xludf.DUMMYFUNCTION("IMPORTRANGE(""https://docs.google.com/spreadsheets/d/1eHaY18a8A9IcSdp1K8H6x8fbOy06t2VsZHhMHf-1x7Y/edit?usp=sharing"",""แผน!Y25"")"),0)</f>
        <v>0</v>
      </c>
      <c r="J154" s="466">
        <v>0</v>
      </c>
      <c r="K154" s="224">
        <f ca="1">IF(I154&gt;0,J154*100/I154,0)</f>
        <v>0</v>
      </c>
      <c r="L154" s="465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665">
        <f ca="1">I167</f>
        <v>15</v>
      </c>
      <c r="J156" s="665">
        <f>J167</f>
        <v>15</v>
      </c>
      <c r="K156" s="664">
        <f ca="1">IF(I156&gt;0,J156*100/I156,0)</f>
        <v>100</v>
      </c>
      <c r="L156" s="510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129" t="s">
        <v>18</v>
      </c>
      <c r="D157" s="472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471">
        <f ca="1">L158+L159</f>
        <v>3000</v>
      </c>
      <c r="M157" s="470">
        <f ca="1">M158+M159</f>
        <v>5610</v>
      </c>
      <c r="N157" s="470">
        <f ca="1">N158+N159</f>
        <v>3534</v>
      </c>
      <c r="O157" s="470">
        <f t="shared" ref="O157:O165" ca="1" si="47">IF(L157&gt;0,N157*100/L157,0)</f>
        <v>117.8</v>
      </c>
      <c r="P157" s="470">
        <f t="shared" ref="P157:P165" ca="1" si="48">IF(M157&gt;0,N157*100/M157,0)</f>
        <v>62.99465240641711</v>
      </c>
      <c r="Q157" s="470">
        <f ca="1">Q158+Q159</f>
        <v>0</v>
      </c>
      <c r="R157" s="470">
        <f ca="1">R158+R159</f>
        <v>0</v>
      </c>
      <c r="S157" s="470">
        <f ca="1">S158+S159</f>
        <v>0</v>
      </c>
      <c r="T157" s="470">
        <f t="shared" ref="T157:T165" ca="1" si="49">IF(Q157&gt;0,S157*100/Q157,0)</f>
        <v>0</v>
      </c>
      <c r="U157" s="470">
        <f t="shared" ref="U157:U165" ca="1" si="50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469">
        <f t="shared" ref="L158:N159" si="51">L161+L164</f>
        <v>0</v>
      </c>
      <c r="M158" s="83">
        <f t="shared" si="51"/>
        <v>0</v>
      </c>
      <c r="N158" s="83">
        <f t="shared" si="51"/>
        <v>0</v>
      </c>
      <c r="O158" s="83">
        <f t="shared" si="47"/>
        <v>0</v>
      </c>
      <c r="P158" s="83">
        <f t="shared" si="48"/>
        <v>0</v>
      </c>
      <c r="Q158" s="83">
        <f t="shared" ref="Q158:S159" si="52">Q161+Q164</f>
        <v>0</v>
      </c>
      <c r="R158" s="83">
        <f t="shared" si="52"/>
        <v>0</v>
      </c>
      <c r="S158" s="83">
        <f t="shared" si="52"/>
        <v>0</v>
      </c>
      <c r="T158" s="83">
        <f t="shared" si="49"/>
        <v>0</v>
      </c>
      <c r="U158" s="83">
        <f t="shared" si="50"/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468">
        <f t="shared" ca="1" si="51"/>
        <v>3000</v>
      </c>
      <c r="M159" s="224">
        <f t="shared" ca="1" si="51"/>
        <v>5610</v>
      </c>
      <c r="N159" s="224">
        <f t="shared" ca="1" si="51"/>
        <v>3534</v>
      </c>
      <c r="O159" s="224">
        <f t="shared" ca="1" si="47"/>
        <v>117.8</v>
      </c>
      <c r="P159" s="224">
        <f t="shared" ca="1" si="48"/>
        <v>62.99465240641711</v>
      </c>
      <c r="Q159" s="224">
        <f t="shared" ca="1" si="52"/>
        <v>0</v>
      </c>
      <c r="R159" s="224">
        <f t="shared" ca="1" si="52"/>
        <v>0</v>
      </c>
      <c r="S159" s="224">
        <f t="shared" ca="1" si="52"/>
        <v>0</v>
      </c>
      <c r="T159" s="224">
        <f t="shared" ca="1" si="49"/>
        <v>0</v>
      </c>
      <c r="U159" s="224">
        <f t="shared" ca="1" si="50"/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468">
        <f ca="1">L161+L162</f>
        <v>3000</v>
      </c>
      <c r="M160" s="224">
        <f ca="1">M161+M162</f>
        <v>5610</v>
      </c>
      <c r="N160" s="224">
        <f ca="1">N161+N162</f>
        <v>3534</v>
      </c>
      <c r="O160" s="224">
        <f t="shared" ca="1" si="47"/>
        <v>117.8</v>
      </c>
      <c r="P160" s="224">
        <f t="shared" ca="1" si="48"/>
        <v>62.99465240641711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t="shared" ca="1" si="49"/>
        <v>0</v>
      </c>
      <c r="U160" s="224">
        <f t="shared" ca="1" si="50"/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469">
        <v>0</v>
      </c>
      <c r="M161" s="83">
        <v>0</v>
      </c>
      <c r="N161" s="83">
        <v>0</v>
      </c>
      <c r="O161" s="83">
        <f t="shared" si="47"/>
        <v>0</v>
      </c>
      <c r="P161" s="83">
        <f t="shared" si="48"/>
        <v>0</v>
      </c>
      <c r="Q161" s="83">
        <v>0</v>
      </c>
      <c r="R161" s="83">
        <v>0</v>
      </c>
      <c r="S161" s="83">
        <v>0</v>
      </c>
      <c r="T161" s="83">
        <f t="shared" si="49"/>
        <v>0</v>
      </c>
      <c r="U161" s="83">
        <f t="shared" si="50"/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468">
        <f ca="1">IFERROR(__xludf.DUMMYFUNCTION("IMPORTRANGE(""https://docs.google.com/spreadsheets/d/1-uDff_7J0KD5mKrp0Vvzr7lt3OU09vwQwhkpOPPYv2Y/edit?usp=sharing"",""งบพรบ!CA25"")"),3000)</f>
        <v>3000</v>
      </c>
      <c r="M162" s="224">
        <f ca="1">IFERROR(__xludf.DUMMYFUNCTION("IMPORTRANGE(""https://docs.google.com/spreadsheets/d/1-uDff_7J0KD5mKrp0Vvzr7lt3OU09vwQwhkpOPPYv2Y/edit?usp=sharing"",""งบพรบ!CF25"")"),5610)</f>
        <v>5610</v>
      </c>
      <c r="N162" s="224">
        <f ca="1">IFERROR(__xludf.DUMMYFUNCTION("IMPORTRANGE(""https://docs.google.com/spreadsheets/d/1-uDff_7J0KD5mKrp0Vvzr7lt3OU09vwQwhkpOPPYv2Y/edit?usp=sharing"",""งบพรบ!CH25"")"),3534)</f>
        <v>3534</v>
      </c>
      <c r="O162" s="224">
        <f t="shared" ca="1" si="47"/>
        <v>117.8</v>
      </c>
      <c r="P162" s="224">
        <f t="shared" ca="1" si="48"/>
        <v>62.99465240641711</v>
      </c>
      <c r="Q162" s="224">
        <f ca="1">IFERROR(__xludf.DUMMYFUNCTION("IMPORTRANGE(""https://docs.google.com/spreadsheets/d/1ItG2mGa2ceCfYo0BwxsXqNm01IGEUdYcSSLTEv9YCik/edit?usp=sharing"",""เบิกจ่ายกองทุน!AG25"")"),0)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IFERROR(__xludf.DUMMYFUNCTION("IMPORTRANGE(""https://docs.google.com/spreadsheets/d/1ItG2mGa2ceCfYo0BwxsXqNm01IGEUdYcSSLTEv9YCik/edit?usp=sharing"",""เบิกจ่ายกองทุน!AH25"")"),0)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IFERROR(__xludf.DUMMYFUNCTION("IMPORTRANGE(""https://docs.google.com/spreadsheets/d/1ItG2mGa2ceCfYo0BwxsXqNm01IGEUdYcSSLTEv9YCik/edit?usp=sharing"",""เบิกจ่ายกองทุน!AI25"")"),0)</f>
        <v>0</v>
      </c>
      <c r="T162" s="224">
        <f t="shared" ca="1" si="49"/>
        <v>0</v>
      </c>
      <c r="U162" s="224">
        <f t="shared" ca="1" si="50"/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468">
        <f ca="1">L164+L165</f>
        <v>0</v>
      </c>
      <c r="M163" s="224">
        <f ca="1">M164+M165</f>
        <v>0</v>
      </c>
      <c r="N163" s="224">
        <f ca="1">N164+N165</f>
        <v>0</v>
      </c>
      <c r="O163" s="224">
        <f t="shared" ca="1" si="47"/>
        <v>0</v>
      </c>
      <c r="P163" s="224">
        <f t="shared" ca="1" si="48"/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 t="shared" si="49"/>
        <v>0</v>
      </c>
      <c r="U163" s="224">
        <f t="shared" si="50"/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469">
        <v>0</v>
      </c>
      <c r="M164" s="83">
        <v>0</v>
      </c>
      <c r="N164" s="83">
        <v>0</v>
      </c>
      <c r="O164" s="83">
        <f t="shared" si="47"/>
        <v>0</v>
      </c>
      <c r="P164" s="83">
        <f t="shared" si="48"/>
        <v>0</v>
      </c>
      <c r="Q164" s="83">
        <v>0</v>
      </c>
      <c r="R164" s="83">
        <v>0</v>
      </c>
      <c r="S164" s="83">
        <v>0</v>
      </c>
      <c r="T164" s="83">
        <f t="shared" si="49"/>
        <v>0</v>
      </c>
      <c r="U164" s="83">
        <f t="shared" si="50"/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468">
        <f ca="1">IFERROR(__xludf.DUMMYFUNCTION("IMPORTRANGE(""https://docs.google.com/spreadsheets/d/1-uDff_7J0KD5mKrp0Vvzr7lt3OU09vwQwhkpOPPYv2Y/edit?usp=sharing"",""งบพรบ!CD25"")"),0)</f>
        <v>0</v>
      </c>
      <c r="M165" s="224">
        <f ca="1">IFERROR(__xludf.DUMMYFUNCTION("IMPORTRANGE(""https://docs.google.com/spreadsheets/d/1-uDff_7J0KD5mKrp0Vvzr7lt3OU09vwQwhkpOPPYv2Y/edit?usp=sharing"",""งบพรบ!CG25"")"),0)</f>
        <v>0</v>
      </c>
      <c r="N165" s="224">
        <f ca="1">IFERROR(__xludf.DUMMYFUNCTION("IMPORTRANGE(""https://docs.google.com/spreadsheets/d/1-uDff_7J0KD5mKrp0Vvzr7lt3OU09vwQwhkpOPPYv2Y/edit?usp=sharing"",""งบพรบ!CI25"")"),0)</f>
        <v>0</v>
      </c>
      <c r="O165" s="224">
        <f t="shared" ca="1" si="47"/>
        <v>0</v>
      </c>
      <c r="P165" s="224">
        <f t="shared" ca="1" si="48"/>
        <v>0</v>
      </c>
      <c r="Q165" s="224">
        <v>0</v>
      </c>
      <c r="R165" s="224">
        <v>0</v>
      </c>
      <c r="S165" s="224">
        <v>0</v>
      </c>
      <c r="T165" s="224">
        <f t="shared" si="49"/>
        <v>0</v>
      </c>
      <c r="U165" s="224">
        <f t="shared" si="50"/>
        <v>0</v>
      </c>
    </row>
    <row r="166" spans="1:21" ht="19.5" x14ac:dyDescent="0.3">
      <c r="A166" s="138"/>
      <c r="B166" s="139"/>
      <c r="C166" s="129" t="s">
        <v>18</v>
      </c>
      <c r="D166" s="498" t="s">
        <v>38</v>
      </c>
      <c r="E166" s="141"/>
      <c r="F166" s="141"/>
      <c r="G166" s="142"/>
      <c r="H166" s="178"/>
      <c r="I166" s="44"/>
      <c r="J166" s="44"/>
      <c r="K166" s="45"/>
      <c r="L166" s="465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IFERROR(__xludf.DUMMYFUNCTION("IMPORTRANGE(""https://docs.google.com/spreadsheets/d/1eHaY18a8A9IcSdp1K8H6x8fbOy06t2VsZHhMHf-1x7Y/edit?usp=sharing"",""แผน!Z25"")"),15)</f>
        <v>15</v>
      </c>
      <c r="J167" s="466">
        <v>15</v>
      </c>
      <c r="K167" s="224">
        <f ca="1">IF(I167&gt;0,J167*100/I167,0)</f>
        <v>100</v>
      </c>
      <c r="L167" s="465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375" t="s">
        <v>35</v>
      </c>
      <c r="I168" s="430">
        <f ca="1">I167</f>
        <v>15</v>
      </c>
      <c r="J168" s="525">
        <v>0</v>
      </c>
      <c r="K168" s="83">
        <f ca="1">IF(I168&gt;0,J168*100/I168,0)</f>
        <v>0</v>
      </c>
      <c r="L168" s="465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31" t="s">
        <v>71</v>
      </c>
      <c r="E169" s="1"/>
      <c r="F169" s="1"/>
      <c r="G169" s="52"/>
      <c r="H169" s="663" t="s">
        <v>35</v>
      </c>
      <c r="I169" s="433">
        <f ca="1">I167</f>
        <v>15</v>
      </c>
      <c r="J169" s="522">
        <v>0</v>
      </c>
      <c r="K169" s="521">
        <f ca="1">IF(I169&gt;0,J169*100/I169,0)</f>
        <v>0</v>
      </c>
      <c r="L169" s="46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662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661">
        <f ca="1">I183+I184</f>
        <v>7</v>
      </c>
      <c r="J172" s="661">
        <f>J183+J184</f>
        <v>7</v>
      </c>
      <c r="K172" s="660">
        <f ca="1">IF(I172&gt;0,J172*100/I172,0)</f>
        <v>100</v>
      </c>
      <c r="L172" s="659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472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471">
        <f ca="1">L174+L175</f>
        <v>19590</v>
      </c>
      <c r="M173" s="470">
        <f ca="1">M174+M175</f>
        <v>39980</v>
      </c>
      <c r="N173" s="470">
        <f ca="1">N174+N175</f>
        <v>37402</v>
      </c>
      <c r="O173" s="470">
        <f t="shared" ref="O173:O181" ca="1" si="53">IF(L173&gt;0,N173*100/L173,0)</f>
        <v>190.92394078611537</v>
      </c>
      <c r="P173" s="470">
        <f t="shared" ref="P173:P181" ca="1" si="54">IF(M173&gt;0,N173*100/M173,0)</f>
        <v>93.551775887943975</v>
      </c>
      <c r="Q173" s="470">
        <f ca="1">Q174+Q175</f>
        <v>0</v>
      </c>
      <c r="R173" s="470">
        <f ca="1">R174+R175</f>
        <v>0</v>
      </c>
      <c r="S173" s="470">
        <f ca="1">S174+S175</f>
        <v>0</v>
      </c>
      <c r="T173" s="470">
        <f t="shared" ref="T173:T181" ca="1" si="55">IF(Q173&gt;0,S173*100/Q173,0)</f>
        <v>0</v>
      </c>
      <c r="U173" s="470">
        <f t="shared" ref="U173:U181" ca="1" si="56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469">
        <f t="shared" ref="L174:N175" si="57">L177+L180</f>
        <v>0</v>
      </c>
      <c r="M174" s="83">
        <f t="shared" si="57"/>
        <v>0</v>
      </c>
      <c r="N174" s="83">
        <f t="shared" si="57"/>
        <v>0</v>
      </c>
      <c r="O174" s="83">
        <f t="shared" si="53"/>
        <v>0</v>
      </c>
      <c r="P174" s="83">
        <f t="shared" si="54"/>
        <v>0</v>
      </c>
      <c r="Q174" s="83">
        <f t="shared" ref="Q174:S175" si="58">Q177+Q180</f>
        <v>0</v>
      </c>
      <c r="R174" s="83">
        <f t="shared" si="58"/>
        <v>0</v>
      </c>
      <c r="S174" s="83">
        <f t="shared" si="58"/>
        <v>0</v>
      </c>
      <c r="T174" s="83">
        <f t="shared" si="55"/>
        <v>0</v>
      </c>
      <c r="U174" s="83">
        <f t="shared" si="56"/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468">
        <f t="shared" ca="1" si="57"/>
        <v>19590</v>
      </c>
      <c r="M175" s="224">
        <f t="shared" ca="1" si="57"/>
        <v>39980</v>
      </c>
      <c r="N175" s="224">
        <f t="shared" ca="1" si="57"/>
        <v>37402</v>
      </c>
      <c r="O175" s="224">
        <f t="shared" ca="1" si="53"/>
        <v>190.92394078611537</v>
      </c>
      <c r="P175" s="224">
        <f t="shared" ca="1" si="54"/>
        <v>93.551775887943975</v>
      </c>
      <c r="Q175" s="224">
        <f t="shared" ca="1" si="58"/>
        <v>0</v>
      </c>
      <c r="R175" s="224">
        <f t="shared" ca="1" si="58"/>
        <v>0</v>
      </c>
      <c r="S175" s="224">
        <f t="shared" ca="1" si="58"/>
        <v>0</v>
      </c>
      <c r="T175" s="224">
        <f t="shared" ca="1" si="55"/>
        <v>0</v>
      </c>
      <c r="U175" s="224">
        <f t="shared" ca="1" si="56"/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468">
        <f ca="1">L177+L178</f>
        <v>19590</v>
      </c>
      <c r="M176" s="224">
        <f ca="1">M177+M178</f>
        <v>39980</v>
      </c>
      <c r="N176" s="224">
        <f ca="1">N177+N178</f>
        <v>37402</v>
      </c>
      <c r="O176" s="224">
        <f t="shared" ca="1" si="53"/>
        <v>190.92394078611537</v>
      </c>
      <c r="P176" s="224">
        <f t="shared" ca="1" si="54"/>
        <v>93.551775887943975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t="shared" ca="1" si="55"/>
        <v>0</v>
      </c>
      <c r="U176" s="224">
        <f t="shared" ca="1" si="56"/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469">
        <v>0</v>
      </c>
      <c r="M177" s="83">
        <v>0</v>
      </c>
      <c r="N177" s="83">
        <v>0</v>
      </c>
      <c r="O177" s="83">
        <f t="shared" si="53"/>
        <v>0</v>
      </c>
      <c r="P177" s="83">
        <f t="shared" si="54"/>
        <v>0</v>
      </c>
      <c r="Q177" s="83">
        <v>0</v>
      </c>
      <c r="R177" s="83">
        <v>0</v>
      </c>
      <c r="S177" s="83">
        <v>0</v>
      </c>
      <c r="T177" s="83">
        <f t="shared" si="55"/>
        <v>0</v>
      </c>
      <c r="U177" s="83">
        <f t="shared" si="56"/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468">
        <f ca="1">IFERROR(__xludf.DUMMYFUNCTION("IMPORTRANGE(""https://docs.google.com/spreadsheets/d/1-uDff_7J0KD5mKrp0Vvzr7lt3OU09vwQwhkpOPPYv2Y/edit?usp=sharing"",""งบพรบ!CK25"")"),19590)</f>
        <v>19590</v>
      </c>
      <c r="M178" s="224">
        <f ca="1">IFERROR(__xludf.DUMMYFUNCTION("IMPORTRANGE(""https://docs.google.com/spreadsheets/d/1-uDff_7J0KD5mKrp0Vvzr7lt3OU09vwQwhkpOPPYv2Y/edit?usp=sharing"",""งบพรบ!CP25"")"),39980)</f>
        <v>39980</v>
      </c>
      <c r="N178" s="224">
        <f ca="1">IFERROR(__xludf.DUMMYFUNCTION("IMPORTRANGE(""https://docs.google.com/spreadsheets/d/1-uDff_7J0KD5mKrp0Vvzr7lt3OU09vwQwhkpOPPYv2Y/edit?usp=sharing"",""งบพรบ!CR25"")"),37402)</f>
        <v>37402</v>
      </c>
      <c r="O178" s="224">
        <f t="shared" ca="1" si="53"/>
        <v>190.92394078611537</v>
      </c>
      <c r="P178" s="224">
        <f t="shared" ca="1" si="54"/>
        <v>93.551775887943975</v>
      </c>
      <c r="Q178" s="224">
        <f ca="1">IFERROR(__xludf.DUMMYFUNCTION("IMPORTRANGE(""https://docs.google.com/spreadsheets/d/1ItG2mGa2ceCfYo0BwxsXqNm01IGEUdYcSSLTEv9YCik/edit?usp=sharing"",""เบิกจ่ายกองทุน!BE25"")"),0)</f>
        <v>0</v>
      </c>
      <c r="R178" s="224">
        <f ca="1">IFERROR(__xludf.DUMMYFUNCTION("IMPORTRANGE(""https://docs.google.com/spreadsheets/d/1ItG2mGa2ceCfYo0BwxsXqNm01IGEUdYcSSLTEv9YCik/edit?usp=sharing"",""เบิกจ่ายกองทุน!BF25"")"),0)</f>
        <v>0</v>
      </c>
      <c r="S178" s="224">
        <f ca="1">IFERROR(__xludf.DUMMYFUNCTION("IMPORTRANGE(""https://docs.google.com/spreadsheets/d/1ItG2mGa2ceCfYo0BwxsXqNm01IGEUdYcSSLTEv9YCik/edit?usp=sharing"",""เบิกจ่ายกองทุน!BG25"")"),0)</f>
        <v>0</v>
      </c>
      <c r="T178" s="224">
        <f t="shared" ca="1" si="55"/>
        <v>0</v>
      </c>
      <c r="U178" s="224">
        <f t="shared" ca="1" si="56"/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468">
        <f ca="1">L180+L181</f>
        <v>0</v>
      </c>
      <c r="M179" s="224">
        <f ca="1">M180+M181</f>
        <v>0</v>
      </c>
      <c r="N179" s="224">
        <f ca="1">N180+N181</f>
        <v>0</v>
      </c>
      <c r="O179" s="224">
        <f t="shared" ca="1" si="53"/>
        <v>0</v>
      </c>
      <c r="P179" s="224">
        <f t="shared" ca="1" si="54"/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 t="shared" si="55"/>
        <v>0</v>
      </c>
      <c r="U179" s="224">
        <f t="shared" si="56"/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469">
        <v>0</v>
      </c>
      <c r="M180" s="83">
        <v>0</v>
      </c>
      <c r="N180" s="83">
        <v>0</v>
      </c>
      <c r="O180" s="83">
        <f t="shared" si="53"/>
        <v>0</v>
      </c>
      <c r="P180" s="83">
        <f t="shared" si="54"/>
        <v>0</v>
      </c>
      <c r="Q180" s="83">
        <v>0</v>
      </c>
      <c r="R180" s="83">
        <v>0</v>
      </c>
      <c r="S180" s="83">
        <v>0</v>
      </c>
      <c r="T180" s="83">
        <f t="shared" si="55"/>
        <v>0</v>
      </c>
      <c r="U180" s="83">
        <f t="shared" si="56"/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468">
        <f ca="1">IFERROR(__xludf.DUMMYFUNCTION("IMPORTRANGE(""https://docs.google.com/spreadsheets/d/1-uDff_7J0KD5mKrp0Vvzr7lt3OU09vwQwhkpOPPYv2Y/edit?usp=sharing"",""งบพรบ!CN25"")"),0)</f>
        <v>0</v>
      </c>
      <c r="M181" s="224">
        <f ca="1">IFERROR(__xludf.DUMMYFUNCTION("IMPORTRANGE(""https://docs.google.com/spreadsheets/d/1-uDff_7J0KD5mKrp0Vvzr7lt3OU09vwQwhkpOPPYv2Y/edit?usp=sharing"",""งบพรบ!CQ25"")"),0)</f>
        <v>0</v>
      </c>
      <c r="N181" s="224">
        <f ca="1">IFERROR(__xludf.DUMMYFUNCTION("IMPORTRANGE(""https://docs.google.com/spreadsheets/d/1-uDff_7J0KD5mKrp0Vvzr7lt3OU09vwQwhkpOPPYv2Y/edit?usp=sharing"",""งบพรบ!CS25"")"),0)</f>
        <v>0</v>
      </c>
      <c r="O181" s="224">
        <f t="shared" ca="1" si="53"/>
        <v>0</v>
      </c>
      <c r="P181" s="224">
        <f t="shared" ca="1" si="54"/>
        <v>0</v>
      </c>
      <c r="Q181" s="224">
        <v>0</v>
      </c>
      <c r="R181" s="224">
        <v>0</v>
      </c>
      <c r="S181" s="224">
        <v>0</v>
      </c>
      <c r="T181" s="224">
        <f t="shared" si="55"/>
        <v>0</v>
      </c>
      <c r="U181" s="224">
        <f t="shared" si="56"/>
        <v>0</v>
      </c>
    </row>
    <row r="182" spans="1:21" ht="19.5" x14ac:dyDescent="0.3">
      <c r="A182" s="138"/>
      <c r="B182" s="139"/>
      <c r="C182" s="129" t="s">
        <v>18</v>
      </c>
      <c r="D182" s="498" t="s">
        <v>38</v>
      </c>
      <c r="E182" s="141"/>
      <c r="F182" s="141"/>
      <c r="G182" s="142"/>
      <c r="H182" s="178"/>
      <c r="I182" s="44"/>
      <c r="J182" s="44"/>
      <c r="K182" s="45"/>
      <c r="L182" s="465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IFERROR(__xludf.DUMMYFUNCTION("IMPORTRANGE(""https://docs.google.com/spreadsheets/d/1eHaY18a8A9IcSdp1K8H6x8fbOy06t2VsZHhMHf-1x7Y/edit?usp=sharing"",""แผน!AA25"")"),7)</f>
        <v>7</v>
      </c>
      <c r="J183" s="466">
        <v>7</v>
      </c>
      <c r="K183" s="224">
        <f ca="1">IF(I183&gt;0,J183*100/I183,0)</f>
        <v>100</v>
      </c>
      <c r="L183" s="465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14" t="s">
        <v>76</v>
      </c>
      <c r="E184" s="40"/>
      <c r="F184" s="40"/>
      <c r="G184" s="42"/>
      <c r="H184" s="526" t="s">
        <v>35</v>
      </c>
      <c r="I184" s="430">
        <v>0</v>
      </c>
      <c r="J184" s="430">
        <v>0</v>
      </c>
      <c r="K184" s="83">
        <f>IF(I184&gt;0,J184*100/I184,0)</f>
        <v>0</v>
      </c>
      <c r="L184" s="465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661">
        <f ca="1">I230+I231</f>
        <v>0</v>
      </c>
      <c r="J185" s="661">
        <f>J230+J231</f>
        <v>0</v>
      </c>
      <c r="K185" s="660">
        <f ca="1">IF(I185&gt;0,J185*100/I185,0)</f>
        <v>0</v>
      </c>
      <c r="L185" s="659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472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471">
        <f ca="1">L187+L188</f>
        <v>122500</v>
      </c>
      <c r="M186" s="470">
        <f ca="1">M187+M188</f>
        <v>132200</v>
      </c>
      <c r="N186" s="470">
        <f ca="1">N187+N188</f>
        <v>69881</v>
      </c>
      <c r="O186" s="470">
        <f t="shared" ref="O186:O194" ca="1" si="59">IF(L186&gt;0,N186*100/L186,0)</f>
        <v>57.045714285714283</v>
      </c>
      <c r="P186" s="470">
        <f t="shared" ref="P186:P194" ca="1" si="60">IF(M186&gt;0,N186*100/M186,0)</f>
        <v>52.860060514372165</v>
      </c>
      <c r="Q186" s="470">
        <f ca="1">Q187+Q188</f>
        <v>14000</v>
      </c>
      <c r="R186" s="470">
        <f ca="1">R187+R188</f>
        <v>20000</v>
      </c>
      <c r="S186" s="470">
        <f ca="1">S187+S188</f>
        <v>0</v>
      </c>
      <c r="T186" s="470">
        <f t="shared" ref="T186:T194" ca="1" si="61">IF(Q186&gt;0,S186*100/Q186,0)</f>
        <v>0</v>
      </c>
      <c r="U186" s="470">
        <f t="shared" ref="U186:U194" ca="1" si="62">IF(R186&gt;0,S186*100/R186,0)</f>
        <v>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469">
        <f t="shared" ref="L187:N188" si="63">L190+L193</f>
        <v>0</v>
      </c>
      <c r="M187" s="83">
        <f t="shared" si="63"/>
        <v>0</v>
      </c>
      <c r="N187" s="83">
        <f t="shared" si="63"/>
        <v>0</v>
      </c>
      <c r="O187" s="83">
        <f t="shared" si="59"/>
        <v>0</v>
      </c>
      <c r="P187" s="83">
        <f t="shared" si="60"/>
        <v>0</v>
      </c>
      <c r="Q187" s="83">
        <f t="shared" ref="Q187:S188" si="64">Q190+Q193</f>
        <v>0</v>
      </c>
      <c r="R187" s="83">
        <f t="shared" si="64"/>
        <v>0</v>
      </c>
      <c r="S187" s="83">
        <f t="shared" si="64"/>
        <v>0</v>
      </c>
      <c r="T187" s="83">
        <f t="shared" si="61"/>
        <v>0</v>
      </c>
      <c r="U187" s="83">
        <f t="shared" si="62"/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468">
        <f t="shared" ca="1" si="63"/>
        <v>122500</v>
      </c>
      <c r="M188" s="224">
        <f t="shared" ca="1" si="63"/>
        <v>132200</v>
      </c>
      <c r="N188" s="224">
        <f t="shared" ca="1" si="63"/>
        <v>69881</v>
      </c>
      <c r="O188" s="224">
        <f t="shared" ca="1" si="59"/>
        <v>57.045714285714283</v>
      </c>
      <c r="P188" s="224">
        <f t="shared" ca="1" si="60"/>
        <v>52.860060514372165</v>
      </c>
      <c r="Q188" s="224">
        <f t="shared" ca="1" si="64"/>
        <v>14000</v>
      </c>
      <c r="R188" s="224">
        <f t="shared" ca="1" si="64"/>
        <v>20000</v>
      </c>
      <c r="S188" s="224">
        <f t="shared" ca="1" si="64"/>
        <v>0</v>
      </c>
      <c r="T188" s="224">
        <f t="shared" ca="1" si="61"/>
        <v>0</v>
      </c>
      <c r="U188" s="224">
        <f t="shared" ca="1" si="62"/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468">
        <f ca="1">L190+L191</f>
        <v>122500</v>
      </c>
      <c r="M189" s="224">
        <f ca="1">M190+M191</f>
        <v>132200</v>
      </c>
      <c r="N189" s="224">
        <f ca="1">N190+N191</f>
        <v>69881</v>
      </c>
      <c r="O189" s="224">
        <f t="shared" ca="1" si="59"/>
        <v>57.045714285714283</v>
      </c>
      <c r="P189" s="224">
        <f t="shared" ca="1" si="60"/>
        <v>52.860060514372165</v>
      </c>
      <c r="Q189" s="224">
        <f ca="1">Q190+Q191</f>
        <v>14000</v>
      </c>
      <c r="R189" s="224">
        <f ca="1">R190+R191</f>
        <v>20000</v>
      </c>
      <c r="S189" s="224">
        <f ca="1">S190+S191</f>
        <v>0</v>
      </c>
      <c r="T189" s="224">
        <f t="shared" ca="1" si="61"/>
        <v>0</v>
      </c>
      <c r="U189" s="224">
        <f t="shared" ca="1" si="62"/>
        <v>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469">
        <v>0</v>
      </c>
      <c r="M190" s="83">
        <v>0</v>
      </c>
      <c r="N190" s="83">
        <v>0</v>
      </c>
      <c r="O190" s="83">
        <f t="shared" si="59"/>
        <v>0</v>
      </c>
      <c r="P190" s="83">
        <f t="shared" si="60"/>
        <v>0</v>
      </c>
      <c r="Q190" s="83">
        <v>0</v>
      </c>
      <c r="R190" s="83">
        <v>0</v>
      </c>
      <c r="S190" s="83">
        <v>0</v>
      </c>
      <c r="T190" s="83">
        <f t="shared" si="61"/>
        <v>0</v>
      </c>
      <c r="U190" s="83">
        <f t="shared" si="62"/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468">
        <f ca="1">IFERROR(__xludf.DUMMYFUNCTION("IMPORTRANGE(""https://docs.google.com/spreadsheets/d/1-uDff_7J0KD5mKrp0Vvzr7lt3OU09vwQwhkpOPPYv2Y/edit?usp=sharing"",""งบพรบ!CU25"")"),122500)</f>
        <v>122500</v>
      </c>
      <c r="M191" s="224">
        <f ca="1">IFERROR(__xludf.DUMMYFUNCTION("IMPORTRANGE(""https://docs.google.com/spreadsheets/d/1-uDff_7J0KD5mKrp0Vvzr7lt3OU09vwQwhkpOPPYv2Y/edit?usp=sharing"",""งบพรบ!CZ25"")"),132200)</f>
        <v>132200</v>
      </c>
      <c r="N191" s="224">
        <f ca="1">IFERROR(__xludf.DUMMYFUNCTION("IMPORTRANGE(""https://docs.google.com/spreadsheets/d/1-uDff_7J0KD5mKrp0Vvzr7lt3OU09vwQwhkpOPPYv2Y/edit?usp=sharing"",""งบพรบ!DB25"")"),69881)</f>
        <v>69881</v>
      </c>
      <c r="O191" s="224">
        <f t="shared" ca="1" si="59"/>
        <v>57.045714285714283</v>
      </c>
      <c r="P191" s="224">
        <f t="shared" ca="1" si="60"/>
        <v>52.860060514372165</v>
      </c>
      <c r="Q191" s="224">
        <f ca="1">IFERROR(__xludf.DUMMYFUNCTION("IMPORTRANGE(""https://docs.google.com/spreadsheets/d/1ItG2mGa2ceCfYo0BwxsXqNm01IGEUdYcSSLTEv9YCik/edit?usp=sharing"",""เบิกจ่ายกองทุน!AV25"")"),14000)</f>
        <v>14000</v>
      </c>
      <c r="R191" s="224">
        <f ca="1">IFERROR(__xludf.DUMMYFUNCTION("IMPORTRANGE(""https://docs.google.com/spreadsheets/d/1ItG2mGa2ceCfYo0BwxsXqNm01IGEUdYcSSLTEv9YCik/edit?usp=sharing"",""เบิกจ่ายกองทุน!AW25"")"),20000)</f>
        <v>20000</v>
      </c>
      <c r="S191" s="224">
        <f ca="1">IFERROR(__xludf.DUMMYFUNCTION("IMPORTRANGE(""https://docs.google.com/spreadsheets/d/1ItG2mGa2ceCfYo0BwxsXqNm01IGEUdYcSSLTEv9YCik/edit?usp=sharing"",""เบิกจ่ายกองทุน!AX25"")"),0)</f>
        <v>0</v>
      </c>
      <c r="T191" s="224">
        <f t="shared" ca="1" si="61"/>
        <v>0</v>
      </c>
      <c r="U191" s="224">
        <f t="shared" ca="1" si="62"/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468">
        <f ca="1">L193+L194</f>
        <v>0</v>
      </c>
      <c r="M192" s="224">
        <f ca="1">M193+M194</f>
        <v>0</v>
      </c>
      <c r="N192" s="224">
        <f ca="1">N193+N194</f>
        <v>0</v>
      </c>
      <c r="O192" s="224">
        <f t="shared" ca="1" si="59"/>
        <v>0</v>
      </c>
      <c r="P192" s="224">
        <f t="shared" ca="1" si="60"/>
        <v>0</v>
      </c>
      <c r="Q192" s="224">
        <f>Q193+Q194</f>
        <v>0</v>
      </c>
      <c r="R192" s="224">
        <f>R193+R194</f>
        <v>0</v>
      </c>
      <c r="S192" s="224">
        <f>S193+S194</f>
        <v>0</v>
      </c>
      <c r="T192" s="224">
        <f t="shared" si="61"/>
        <v>0</v>
      </c>
      <c r="U192" s="224">
        <f t="shared" si="62"/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469">
        <v>0</v>
      </c>
      <c r="M193" s="83">
        <v>0</v>
      </c>
      <c r="N193" s="83">
        <v>0</v>
      </c>
      <c r="O193" s="83">
        <f t="shared" si="59"/>
        <v>0</v>
      </c>
      <c r="P193" s="83">
        <f t="shared" si="60"/>
        <v>0</v>
      </c>
      <c r="Q193" s="83">
        <v>0</v>
      </c>
      <c r="R193" s="83">
        <v>0</v>
      </c>
      <c r="S193" s="83">
        <v>0</v>
      </c>
      <c r="T193" s="83">
        <f t="shared" si="61"/>
        <v>0</v>
      </c>
      <c r="U193" s="83">
        <f t="shared" si="62"/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468">
        <f ca="1">IFERROR(__xludf.DUMMYFUNCTION("IMPORTRANGE(""https://docs.google.com/spreadsheets/d/1-uDff_7J0KD5mKrp0Vvzr7lt3OU09vwQwhkpOPPYv2Y/edit?usp=sharing"",""งบพรบ!CX25"")"),0)</f>
        <v>0</v>
      </c>
      <c r="M194" s="224">
        <f ca="1">IFERROR(__xludf.DUMMYFUNCTION("IMPORTRANGE(""https://docs.google.com/spreadsheets/d/1-uDff_7J0KD5mKrp0Vvzr7lt3OU09vwQwhkpOPPYv2Y/edit?usp=sharing"",""งบพรบ!DA25"")"),0)</f>
        <v>0</v>
      </c>
      <c r="N194" s="224">
        <f ca="1">IFERROR(__xludf.DUMMYFUNCTION("IMPORTRANGE(""https://docs.google.com/spreadsheets/d/1-uDff_7J0KD5mKrp0Vvzr7lt3OU09vwQwhkpOPPYv2Y/edit?usp=sharing"",""งบพรบ!DC25"")"),0)</f>
        <v>0</v>
      </c>
      <c r="O194" s="224">
        <f t="shared" ca="1" si="59"/>
        <v>0</v>
      </c>
      <c r="P194" s="224">
        <f t="shared" ca="1" si="60"/>
        <v>0</v>
      </c>
      <c r="Q194" s="224">
        <v>0</v>
      </c>
      <c r="R194" s="224">
        <v>0</v>
      </c>
      <c r="S194" s="224">
        <v>0</v>
      </c>
      <c r="T194" s="224">
        <f t="shared" si="61"/>
        <v>0</v>
      </c>
      <c r="U194" s="224">
        <f t="shared" si="62"/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ca="1">I198</f>
        <v>4</v>
      </c>
      <c r="J195" s="303">
        <f>J198</f>
        <v>2</v>
      </c>
      <c r="K195" s="304">
        <f ca="1">IF(I195&gt;0,J195*100/I195,0)</f>
        <v>50</v>
      </c>
      <c r="L195" s="557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654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471">
        <f ca="1">IFERROR(__xludf.DUMMYFUNCTION("IMPORTRANGE(""https://docs.google.com/spreadsheets/d/1eHaY18a8A9IcSdp1K8H6x8fbOy06t2VsZHhMHf-1x7Y/edit?usp=sharing"",""แผน!AB25"")"),6000)</f>
        <v>6000</v>
      </c>
      <c r="M196" s="45"/>
      <c r="N196" s="658">
        <v>2080</v>
      </c>
      <c r="O196" s="470">
        <f ca="1">IF(L196&gt;0,N196*100/L196,0)</f>
        <v>34.666666666666664</v>
      </c>
      <c r="P196" s="47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498" t="s">
        <v>38</v>
      </c>
      <c r="E197" s="141"/>
      <c r="F197" s="141"/>
      <c r="G197" s="142"/>
      <c r="H197" s="143"/>
      <c r="I197" s="44"/>
      <c r="J197" s="44"/>
      <c r="K197" s="45"/>
      <c r="L197" s="465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IFERROR(__xludf.DUMMYFUNCTION("IMPORTRANGE(""https://docs.google.com/spreadsheets/d/1eHaY18a8A9IcSdp1K8H6x8fbOy06t2VsZHhMHf-1x7Y/edit?usp=sharing"",""แผน!AE25"")"),4)</f>
        <v>4</v>
      </c>
      <c r="J198" s="466">
        <v>2</v>
      </c>
      <c r="K198" s="224">
        <f ca="1">IF(I198&gt;0,J198*100/I198,0)</f>
        <v>50</v>
      </c>
      <c r="L198" s="465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76</v>
      </c>
      <c r="K199" s="45"/>
      <c r="L199" s="465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466">
        <v>26</v>
      </c>
      <c r="K200" s="45"/>
      <c r="L200" s="465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466">
        <v>50</v>
      </c>
      <c r="K201" s="45"/>
      <c r="L201" s="465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ca="1">I209</f>
        <v>2</v>
      </c>
      <c r="J202" s="303">
        <f>J209</f>
        <v>1</v>
      </c>
      <c r="K202" s="304">
        <f ca="1">IF(I202&gt;0,J202*100/I202,0)</f>
        <v>50</v>
      </c>
      <c r="L202" s="557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654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471">
        <f ca="1">L204+L205+L206+L207</f>
        <v>13000</v>
      </c>
      <c r="M203" s="45"/>
      <c r="N203" s="470">
        <f>N204+N205+N206+N207</f>
        <v>8000</v>
      </c>
      <c r="O203" s="470">
        <f ca="1">IF(L203&gt;0,N203*100/L203,0)</f>
        <v>61.53846153846154</v>
      </c>
      <c r="P203" s="470">
        <f>IF(M203&gt;0,N203*100/M203,0)</f>
        <v>0</v>
      </c>
      <c r="Q203" s="657">
        <f ca="1">Q204+Q205+Q206+Q207</f>
        <v>14000</v>
      </c>
      <c r="R203" s="656"/>
      <c r="S203" s="655">
        <f>S204+S205+S206+S207</f>
        <v>0</v>
      </c>
      <c r="T203" s="655">
        <f ca="1">IF(Q203&gt;0,S203*100/Q203,0)</f>
        <v>0</v>
      </c>
      <c r="U203" s="655">
        <f>IF(R203&gt;0,S203*100/R203,0)</f>
        <v>0</v>
      </c>
    </row>
    <row r="204" spans="1:21" ht="18.75" x14ac:dyDescent="0.25">
      <c r="A204" s="128"/>
      <c r="B204" s="158"/>
      <c r="C204" s="40"/>
      <c r="D204" s="653" t="s">
        <v>311</v>
      </c>
      <c r="E204" s="40"/>
      <c r="F204" s="40"/>
      <c r="G204" s="42"/>
      <c r="H204" s="134" t="s">
        <v>14</v>
      </c>
      <c r="I204" s="135"/>
      <c r="J204" s="135"/>
      <c r="K204" s="136"/>
      <c r="L204" s="468">
        <f ca="1">IFERROR(__xludf.DUMMYFUNCTION("IMPORTRANGE(""https://docs.google.com/spreadsheets/d/1eHaY18a8A9IcSdp1K8H6x8fbOy06t2VsZHhMHf-1x7Y/edit?usp=sharing"",""แผน!AG25"")"),1000)</f>
        <v>1000</v>
      </c>
      <c r="M204" s="45"/>
      <c r="N204" s="644">
        <v>0</v>
      </c>
      <c r="O204" s="136"/>
      <c r="P204" s="45"/>
      <c r="Q204" s="468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307</v>
      </c>
      <c r="E205" s="40"/>
      <c r="F205" s="40"/>
      <c r="G205" s="42"/>
      <c r="H205" s="43" t="s">
        <v>14</v>
      </c>
      <c r="I205" s="44"/>
      <c r="J205" s="44"/>
      <c r="K205" s="45"/>
      <c r="L205" s="468">
        <f ca="1">IFERROR(__xludf.DUMMYFUNCTION("IMPORTRANGE(""https://docs.google.com/spreadsheets/d/1eHaY18a8A9IcSdp1K8H6x8fbOy06t2VsZHhMHf-1x7Y/edit?usp=sharing"",""แผน!AH25"")"),0)</f>
        <v>0</v>
      </c>
      <c r="M205" s="45"/>
      <c r="N205" s="644">
        <v>0</v>
      </c>
      <c r="O205" s="136"/>
      <c r="P205" s="45"/>
      <c r="Q205" s="468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468">
        <f ca="1">IFERROR(__xludf.DUMMYFUNCTION("IMPORTRANGE(""https://docs.google.com/spreadsheets/d/1eHaY18a8A9IcSdp1K8H6x8fbOy06t2VsZHhMHf-1x7Y/edit?usp=sharing"",""แผน!AI25"")"),8000)</f>
        <v>8000</v>
      </c>
      <c r="M206" s="45"/>
      <c r="N206" s="644">
        <v>8000</v>
      </c>
      <c r="O206" s="136"/>
      <c r="P206" s="45"/>
      <c r="Q206" s="468">
        <f ca="1">IFERROR(__xludf.DUMMYFUNCTION("IMPORTRANGE(""https://docs.google.com/spreadsheets/d/1eHaY18a8A9IcSdp1K8H6x8fbOy06t2VsZHhMHf-1x7Y/edit?usp=sharing"",""แผน!LV25"")"),14000)</f>
        <v>14000</v>
      </c>
      <c r="R206" s="45"/>
      <c r="S206" s="644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468">
        <f ca="1">IFERROR(__xludf.DUMMYFUNCTION("IMPORTRANGE(""https://docs.google.com/spreadsheets/d/1eHaY18a8A9IcSdp1K8H6x8fbOy06t2VsZHhMHf-1x7Y/edit?usp=sharing"",""แผน!AJ25"")"),4000)</f>
        <v>4000</v>
      </c>
      <c r="M207" s="45"/>
      <c r="N207" s="644">
        <v>0</v>
      </c>
      <c r="O207" s="136"/>
      <c r="P207" s="45"/>
      <c r="Q207" s="468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498" t="s">
        <v>38</v>
      </c>
      <c r="E208" s="141"/>
      <c r="F208" s="141"/>
      <c r="G208" s="142"/>
      <c r="H208" s="143"/>
      <c r="I208" s="135"/>
      <c r="J208" s="135"/>
      <c r="K208" s="136"/>
      <c r="L208" s="492"/>
      <c r="M208" s="136"/>
      <c r="N208" s="136"/>
      <c r="O208" s="136"/>
      <c r="P208" s="136"/>
      <c r="Q208" s="4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IFERROR(__xludf.DUMMYFUNCTION("IMPORTRANGE(""https://docs.google.com/spreadsheets/d/1eHaY18a8A9IcSdp1K8H6x8fbOy06t2VsZHhMHf-1x7Y/edit?usp=sharing"",""แผน!AK25"")"),2)</f>
        <v>2</v>
      </c>
      <c r="J209" s="466">
        <v>1</v>
      </c>
      <c r="K209" s="497">
        <f ca="1">IF(I209&gt;0,J209*100/I209,0)</f>
        <v>50</v>
      </c>
      <c r="L209" s="465"/>
      <c r="M209" s="45"/>
      <c r="N209" s="45"/>
      <c r="O209" s="45"/>
      <c r="P209" s="45"/>
      <c r="Q209" s="465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465"/>
      <c r="M210" s="45"/>
      <c r="N210" s="45"/>
      <c r="O210" s="45"/>
      <c r="P210" s="45"/>
      <c r="Q210" s="46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IFERROR(__xludf.DUMMYFUNCTION("IMPORTRANGE(""https://docs.google.com/spreadsheets/d/1eHaY18a8A9IcSdp1K8H6x8fbOy06t2VsZHhMHf-1x7Y/edit?usp=sharing"",""แผน!JX25"")"),1)</f>
        <v>1</v>
      </c>
      <c r="J211" s="466">
        <v>1</v>
      </c>
      <c r="K211" s="497">
        <f ca="1">IF(I211&gt;0,J211*100/I211,0)</f>
        <v>100</v>
      </c>
      <c r="L211" s="465"/>
      <c r="M211" s="45"/>
      <c r="N211" s="45"/>
      <c r="O211" s="45"/>
      <c r="P211" s="45"/>
      <c r="Q211" s="46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IFERROR(__xludf.DUMMYFUNCTION("IMPORTRANGE(""https://docs.google.com/spreadsheets/d/1eHaY18a8A9IcSdp1K8H6x8fbOy06t2VsZHhMHf-1x7Y/edit?usp=sharing"",""แผน!JY25"")"),0)</f>
        <v>0</v>
      </c>
      <c r="J212" s="466">
        <v>0</v>
      </c>
      <c r="K212" s="497">
        <f ca="1">IF(I212&gt;0,J212*100/I212,0)</f>
        <v>0</v>
      </c>
      <c r="L212" s="465"/>
      <c r="M212" s="45"/>
      <c r="N212" s="45"/>
      <c r="O212" s="45"/>
      <c r="P212" s="45"/>
      <c r="Q212" s="465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ca="1">I220</f>
        <v>0</v>
      </c>
      <c r="J213" s="303">
        <f>J220</f>
        <v>0</v>
      </c>
      <c r="K213" s="304">
        <f ca="1">IF(I213&gt;0,J213*100/I213,0)</f>
        <v>0</v>
      </c>
      <c r="L213" s="557"/>
      <c r="M213" s="219"/>
      <c r="N213" s="219"/>
      <c r="O213" s="219"/>
      <c r="P213" s="219"/>
      <c r="Q213" s="557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654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471">
        <f ca="1">L215+L216+L217</f>
        <v>0</v>
      </c>
      <c r="M214" s="45"/>
      <c r="N214" s="470">
        <f>N215+N216+N217</f>
        <v>0</v>
      </c>
      <c r="O214" s="470">
        <f ca="1">IF(L214&gt;0,N214*100/L214,0)</f>
        <v>0</v>
      </c>
      <c r="P214" s="470">
        <f>IF(M214&gt;0,N214*100/M214,0)</f>
        <v>0</v>
      </c>
      <c r="Q214" s="471">
        <f ca="1">Q215+Q216+Q217</f>
        <v>0</v>
      </c>
      <c r="R214" s="45"/>
      <c r="S214" s="470">
        <f>S215+S216+S217</f>
        <v>0</v>
      </c>
      <c r="T214" s="470">
        <f ca="1">IF(Q214&gt;0,S214*100/Q214,0)</f>
        <v>0</v>
      </c>
      <c r="U214" s="470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468">
        <f ca="1">IFERROR(__xludf.DUMMYFUNCTION("IMPORTRANGE(""https://docs.google.com/spreadsheets/d/1eHaY18a8A9IcSdp1K8H6x8fbOy06t2VsZHhMHf-1x7Y/edit?usp=sharing"",""แผน!AM25"")"),0)</f>
        <v>0</v>
      </c>
      <c r="M215" s="45"/>
      <c r="N215" s="644">
        <v>0</v>
      </c>
      <c r="O215" s="136"/>
      <c r="P215" s="45"/>
      <c r="Q215" s="468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468">
        <f ca="1">IFERROR(__xludf.DUMMYFUNCTION("IMPORTRANGE(""https://docs.google.com/spreadsheets/d/1eHaY18a8A9IcSdp1K8H6x8fbOy06t2VsZHhMHf-1x7Y/edit?usp=sharing"",""แผน!AN25"")"),0)</f>
        <v>0</v>
      </c>
      <c r="M216" s="45"/>
      <c r="N216" s="644">
        <v>0</v>
      </c>
      <c r="O216" s="136"/>
      <c r="P216" s="45"/>
      <c r="Q216" s="468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468">
        <f ca="1">IFERROR(__xludf.DUMMYFUNCTION("IMPORTRANGE(""https://docs.google.com/spreadsheets/d/1eHaY18a8A9IcSdp1K8H6x8fbOy06t2VsZHhMHf-1x7Y/edit?usp=sharing"",""แผน!AO25"")"),0)</f>
        <v>0</v>
      </c>
      <c r="M217" s="45"/>
      <c r="N217" s="644">
        <v>0</v>
      </c>
      <c r="O217" s="136"/>
      <c r="P217" s="45"/>
      <c r="Q217" s="468">
        <f ca="1">IFERROR(__xludf.DUMMYFUNCTION("IMPORTRANGE(""https://docs.google.com/spreadsheets/d/1eHaY18a8A9IcSdp1K8H6x8fbOy06t2VsZHhMHf-1x7Y/edit?usp=sharing"",""แผน!LY25"")"),0)</f>
        <v>0</v>
      </c>
      <c r="R217" s="45"/>
      <c r="S217" s="644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498" t="s">
        <v>38</v>
      </c>
      <c r="E218" s="141"/>
      <c r="F218" s="141"/>
      <c r="G218" s="142"/>
      <c r="H218" s="143"/>
      <c r="I218" s="135"/>
      <c r="J218" s="44"/>
      <c r="K218" s="45"/>
      <c r="L218" s="465"/>
      <c r="M218" s="45"/>
      <c r="N218" s="45"/>
      <c r="O218" s="136"/>
      <c r="P218" s="136"/>
      <c r="Q218" s="465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IFERROR(__xludf.DUMMYFUNCTION("IMPORTRANGE(""https://docs.google.com/spreadsheets/d/1eHaY18a8A9IcSdp1K8H6x8fbOy06t2VsZHhMHf-1x7Y/edit?usp=sharing"",""แผน!AP25"")"),0)</f>
        <v>0</v>
      </c>
      <c r="J219" s="466">
        <v>0</v>
      </c>
      <c r="K219" s="224">
        <f ca="1">IF(I219&gt;0,J219*100/I219,0)</f>
        <v>0</v>
      </c>
      <c r="L219" s="465"/>
      <c r="M219" s="45"/>
      <c r="N219" s="45"/>
      <c r="O219" s="45"/>
      <c r="P219" s="45"/>
      <c r="Q219" s="465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IFERROR(__xludf.DUMMYFUNCTION("IMPORTRANGE(""https://docs.google.com/spreadsheets/d/1eHaY18a8A9IcSdp1K8H6x8fbOy06t2VsZHhMHf-1x7Y/edit?usp=sharing"",""แผน!AP25"")"),0)</f>
        <v>0</v>
      </c>
      <c r="J220" s="466">
        <v>0</v>
      </c>
      <c r="K220" s="224">
        <f ca="1">IF(I220&gt;0,J220*100/I220,0)</f>
        <v>0</v>
      </c>
      <c r="L220" s="465"/>
      <c r="M220" s="45"/>
      <c r="N220" s="45"/>
      <c r="O220" s="45"/>
      <c r="P220" s="45"/>
      <c r="Q220" s="465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ca="1">I229</f>
        <v>100000</v>
      </c>
      <c r="J221" s="303">
        <f>J229</f>
        <v>0</v>
      </c>
      <c r="K221" s="304">
        <f ca="1">IF(I221&gt;0,J221*100/I221,0)</f>
        <v>0</v>
      </c>
      <c r="L221" s="557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654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471">
        <f ca="1">L223+L224+L225</f>
        <v>12500</v>
      </c>
      <c r="M222" s="45"/>
      <c r="N222" s="470">
        <f>N223+N224+N225</f>
        <v>0</v>
      </c>
      <c r="O222" s="470">
        <f ca="1">IF(L222&gt;0,N222*100/L222,0)</f>
        <v>0</v>
      </c>
      <c r="P222" s="47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653" t="s">
        <v>308</v>
      </c>
      <c r="E223" s="40"/>
      <c r="F223" s="40"/>
      <c r="G223" s="42"/>
      <c r="H223" s="134" t="s">
        <v>14</v>
      </c>
      <c r="I223" s="135"/>
      <c r="J223" s="135"/>
      <c r="K223" s="136"/>
      <c r="L223" s="468">
        <f ca="1">IFERROR(__xludf.DUMMYFUNCTION("IMPORTRANGE(""https://docs.google.com/spreadsheets/d/1eHaY18a8A9IcSdp1K8H6x8fbOy06t2VsZHhMHf-1x7Y/edit?usp=sharing"",""แผน!AR25"")"),2500)</f>
        <v>2500</v>
      </c>
      <c r="M223" s="45"/>
      <c r="N223" s="644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307</v>
      </c>
      <c r="E224" s="40"/>
      <c r="F224" s="40"/>
      <c r="G224" s="42"/>
      <c r="H224" s="134" t="s">
        <v>14</v>
      </c>
      <c r="I224" s="44"/>
      <c r="J224" s="44"/>
      <c r="K224" s="45"/>
      <c r="L224" s="468">
        <f ca="1">IFERROR(__xludf.DUMMYFUNCTION("IMPORTRANGE(""https://docs.google.com/spreadsheets/d/1eHaY18a8A9IcSdp1K8H6x8fbOy06t2VsZHhMHf-1x7Y/edit?usp=sharing"",""แผน!AS25"")"),10000)</f>
        <v>10000</v>
      </c>
      <c r="M224" s="45"/>
      <c r="N224" s="644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468">
        <f ca="1">IFERROR(__xludf.DUMMYFUNCTION("IMPORTRANGE(""https://docs.google.com/spreadsheets/d/1eHaY18a8A9IcSdp1K8H6x8fbOy06t2VsZHhMHf-1x7Y/edit?usp=sharing"",""แผน!AT25"")"),0)</f>
        <v>0</v>
      </c>
      <c r="M225" s="45"/>
      <c r="N225" s="644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498" t="s">
        <v>38</v>
      </c>
      <c r="E226" s="141"/>
      <c r="F226" s="141"/>
      <c r="G226" s="142"/>
      <c r="H226" s="143"/>
      <c r="I226" s="135"/>
      <c r="J226" s="135"/>
      <c r="K226" s="136"/>
      <c r="L226" s="4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4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IFERROR(__xludf.DUMMYFUNCTION("IMPORTRANGE(""https://docs.google.com/spreadsheets/d/1eHaY18a8A9IcSdp1K8H6x8fbOy06t2VsZHhMHf-1x7Y/edit?usp=sharing"",""แผน!AV25"")"),100000)</f>
        <v>100000</v>
      </c>
      <c r="J228" s="466">
        <v>0</v>
      </c>
      <c r="K228" s="497">
        <f ca="1">IF(I228&gt;0,J228*100/I228,0)</f>
        <v>0</v>
      </c>
      <c r="L228" s="4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IFERROR(__xludf.DUMMYFUNCTION("IMPORTRANGE(""https://docs.google.com/spreadsheets/d/1eHaY18a8A9IcSdp1K8H6x8fbOy06t2VsZHhMHf-1x7Y/edit?usp=sharing"",""แผน!AV25"")"),100000)</f>
        <v>100000</v>
      </c>
      <c r="J229" s="466">
        <v>0</v>
      </c>
      <c r="K229" s="497">
        <f ca="1">IF(I229&gt;0,J229*100/I229,0)</f>
        <v>0</v>
      </c>
      <c r="L229" s="465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IFERROR(__xludf.DUMMYFUNCTION("IMPORTRANGE(""https://docs.google.com/spreadsheets/d/1eHaY18a8A9IcSdp1K8H6x8fbOy06t2VsZHhMHf-1x7Y/edit?usp=sharing"",""แผน!AU25"")"),0)</f>
        <v>0</v>
      </c>
      <c r="J230" s="466">
        <v>0</v>
      </c>
      <c r="K230" s="497">
        <f ca="1">IF(I230&gt;0,J230*100/I230,0)</f>
        <v>0</v>
      </c>
      <c r="L230" s="465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3">
        <f ca="1">I242+I253</f>
        <v>0</v>
      </c>
      <c r="J231" s="303">
        <f>J242+J253</f>
        <v>0</v>
      </c>
      <c r="K231" s="304">
        <f ca="1">IF(I231&gt;0,J231*100/I231,0)</f>
        <v>0</v>
      </c>
      <c r="L231" s="557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472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652">
        <f ca="1">L243+L254</f>
        <v>0</v>
      </c>
      <c r="M232" s="45"/>
      <c r="N232" s="651">
        <f>N243+N254</f>
        <v>0</v>
      </c>
      <c r="O232" s="45"/>
      <c r="P232" s="45"/>
      <c r="Q232" s="45"/>
      <c r="R232" s="45"/>
      <c r="S232" s="45"/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469">
        <f ca="1">L244+L255</f>
        <v>0</v>
      </c>
      <c r="M233" s="45"/>
      <c r="N233" s="83">
        <f>N244+N255</f>
        <v>0</v>
      </c>
      <c r="O233" s="45"/>
      <c r="P233" s="45"/>
      <c r="Q233" s="713">
        <v>0</v>
      </c>
      <c r="R233" s="712">
        <v>0</v>
      </c>
      <c r="S233" s="712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469">
        <f ca="1">L245+L256</f>
        <v>0</v>
      </c>
      <c r="M234" s="45"/>
      <c r="N234" s="83">
        <f>N245+N256</f>
        <v>0</v>
      </c>
      <c r="O234" s="45"/>
      <c r="P234" s="45"/>
      <c r="Q234" s="711">
        <v>0</v>
      </c>
      <c r="R234" s="710">
        <v>0</v>
      </c>
      <c r="S234" s="710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469">
        <f ca="1">L246+L257</f>
        <v>0</v>
      </c>
      <c r="M235" s="45"/>
      <c r="N235" s="83">
        <f>N246+N257</f>
        <v>0</v>
      </c>
      <c r="O235" s="45"/>
      <c r="P235" s="45"/>
      <c r="Q235" s="711">
        <v>0</v>
      </c>
      <c r="R235" s="710">
        <v>0</v>
      </c>
      <c r="S235" s="710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469">
        <f ca="1">L247+L258</f>
        <v>0</v>
      </c>
      <c r="M236" s="45"/>
      <c r="N236" s="83">
        <f>N247+N258</f>
        <v>0</v>
      </c>
      <c r="O236" s="45"/>
      <c r="P236" s="45"/>
      <c r="Q236" s="711">
        <v>0</v>
      </c>
      <c r="R236" s="710">
        <v>0</v>
      </c>
      <c r="S236" s="710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498" t="s">
        <v>38</v>
      </c>
      <c r="E237" s="141"/>
      <c r="F237" s="141"/>
      <c r="G237" s="142"/>
      <c r="H237" s="143"/>
      <c r="I237" s="135"/>
      <c r="J237" s="44"/>
      <c r="K237" s="45"/>
      <c r="L237" s="465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465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465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465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465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649" t="s">
        <v>111</v>
      </c>
      <c r="D242" s="214"/>
      <c r="E242" s="214"/>
      <c r="F242" s="214"/>
      <c r="G242" s="215"/>
      <c r="H242" s="648" t="s">
        <v>35</v>
      </c>
      <c r="I242" s="647">
        <f ca="1">I249</f>
        <v>0</v>
      </c>
      <c r="J242" s="647">
        <f>J249</f>
        <v>0</v>
      </c>
      <c r="K242" s="646">
        <f ca="1">IF(I242&gt;0,J242*100/I242,0)</f>
        <v>0</v>
      </c>
      <c r="L242" s="557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527" t="s">
        <v>18</v>
      </c>
      <c r="D243" s="494" t="s">
        <v>19</v>
      </c>
      <c r="E243" s="40"/>
      <c r="F243" s="40"/>
      <c r="G243" s="42"/>
      <c r="H243" s="372" t="s">
        <v>14</v>
      </c>
      <c r="I243" s="135"/>
      <c r="J243" s="135"/>
      <c r="K243" s="136"/>
      <c r="L243" s="471">
        <f ca="1">L244+L245+L246+L247</f>
        <v>0</v>
      </c>
      <c r="M243" s="45"/>
      <c r="N243" s="470">
        <f>N244+N245+N246+N247</f>
        <v>0</v>
      </c>
      <c r="O243" s="470">
        <f ca="1">IF(L243&gt;0,N243*100/L243,0)</f>
        <v>0</v>
      </c>
      <c r="P243" s="470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468">
        <f ca="1">IFERROR(__xludf.DUMMYFUNCTION("IMPORTRANGE(""https://docs.google.com/spreadsheets/d/1eHaY18a8A9IcSdp1K8H6x8fbOy06t2VsZHhMHf-1x7Y/edit?usp=sharing"",""แผน!AX25"")"),0)</f>
        <v>0</v>
      </c>
      <c r="M244" s="45"/>
      <c r="N244" s="644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468">
        <f ca="1">IFERROR(__xludf.DUMMYFUNCTION("IMPORTRANGE(""https://docs.google.com/spreadsheets/d/1eHaY18a8A9IcSdp1K8H6x8fbOy06t2VsZHhMHf-1x7Y/edit?usp=sharing"",""แผน!AY25"")"),0)</f>
        <v>0</v>
      </c>
      <c r="M245" s="45"/>
      <c r="N245" s="644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468">
        <f ca="1">IFERROR(__xludf.DUMMYFUNCTION("IMPORTRANGE(""https://docs.google.com/spreadsheets/d/1eHaY18a8A9IcSdp1K8H6x8fbOy06t2VsZHhMHf-1x7Y/edit?usp=sharing"",""แผน!AZ25"")"),0)</f>
        <v>0</v>
      </c>
      <c r="M246" s="45"/>
      <c r="N246" s="644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468">
        <f ca="1">IFERROR(__xludf.DUMMYFUNCTION("IMPORTRANGE(""https://docs.google.com/spreadsheets/d/1eHaY18a8A9IcSdp1K8H6x8fbOy06t2VsZHhMHf-1x7Y/edit?usp=sharing"",""แผน!BA25"")"),0)</f>
        <v>0</v>
      </c>
      <c r="M247" s="45"/>
      <c r="N247" s="644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643" t="s">
        <v>18</v>
      </c>
      <c r="D248" s="509" t="s">
        <v>38</v>
      </c>
      <c r="E248" s="141"/>
      <c r="F248" s="141"/>
      <c r="G248" s="142"/>
      <c r="H248" s="143"/>
      <c r="I248" s="135"/>
      <c r="J248" s="44"/>
      <c r="K248" s="45"/>
      <c r="L248" s="465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640" t="s">
        <v>35</v>
      </c>
      <c r="I249" s="430">
        <f ca="1">IFERROR(__xludf.DUMMYFUNCTION("IMPORTRANGE(""https://docs.google.com/spreadsheets/d/1eHaY18a8A9IcSdp1K8H6x8fbOy06t2VsZHhMHf-1x7Y/edit?usp=sharing"",""แผน!BG25"")"),0)</f>
        <v>0</v>
      </c>
      <c r="J249" s="525">
        <v>0</v>
      </c>
      <c r="K249" s="83">
        <f ca="1">IF(I249&gt;0,J249*100/I249,0)</f>
        <v>0</v>
      </c>
      <c r="L249" s="465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642" t="s">
        <v>43</v>
      </c>
      <c r="E250" s="145"/>
      <c r="F250" s="145"/>
      <c r="G250" s="143"/>
      <c r="H250" s="143"/>
      <c r="I250" s="44"/>
      <c r="J250" s="44"/>
      <c r="K250" s="45"/>
      <c r="L250" s="465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1" t="s">
        <v>109</v>
      </c>
      <c r="F251" s="145"/>
      <c r="G251" s="143"/>
      <c r="H251" s="640" t="s">
        <v>35</v>
      </c>
      <c r="I251" s="430">
        <v>0</v>
      </c>
      <c r="J251" s="525">
        <v>0</v>
      </c>
      <c r="K251" s="83">
        <f>IF(I251&gt;0,J251*100/I251,0)</f>
        <v>0</v>
      </c>
      <c r="L251" s="465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641" t="s">
        <v>110</v>
      </c>
      <c r="F252" s="145"/>
      <c r="G252" s="143"/>
      <c r="H252" s="640" t="s">
        <v>61</v>
      </c>
      <c r="I252" s="430">
        <v>0</v>
      </c>
      <c r="J252" s="525">
        <v>0</v>
      </c>
      <c r="K252" s="83">
        <f>IF(I252&gt;0,J252*100/I252,0)</f>
        <v>0</v>
      </c>
      <c r="L252" s="465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649" t="s">
        <v>112</v>
      </c>
      <c r="D253" s="214"/>
      <c r="E253" s="214"/>
      <c r="F253" s="214"/>
      <c r="G253" s="215"/>
      <c r="H253" s="648" t="s">
        <v>35</v>
      </c>
      <c r="I253" s="647">
        <f ca="1">I260</f>
        <v>0</v>
      </c>
      <c r="J253" s="647">
        <f>J260</f>
        <v>0</v>
      </c>
      <c r="K253" s="646">
        <f ca="1">IF(I253&gt;0,J253*100/I253,0)</f>
        <v>0</v>
      </c>
      <c r="L253" s="557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527" t="s">
        <v>18</v>
      </c>
      <c r="D254" s="645" t="s">
        <v>19</v>
      </c>
      <c r="E254" s="40"/>
      <c r="F254" s="40"/>
      <c r="G254" s="42"/>
      <c r="H254" s="372" t="s">
        <v>14</v>
      </c>
      <c r="I254" s="135"/>
      <c r="J254" s="135"/>
      <c r="K254" s="136"/>
      <c r="L254" s="471">
        <f ca="1">L255+L256+L257+L258</f>
        <v>0</v>
      </c>
      <c r="M254" s="45"/>
      <c r="N254" s="470">
        <f>N255+N256+N257+N258</f>
        <v>0</v>
      </c>
      <c r="O254" s="470">
        <f ca="1">IF(L254&gt;0,N254*100/L254,0)</f>
        <v>0</v>
      </c>
      <c r="P254" s="470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468">
        <f ca="1">IFERROR(__xludf.DUMMYFUNCTION("IMPORTRANGE(""https://docs.google.com/spreadsheets/d/1eHaY18a8A9IcSdp1K8H6x8fbOy06t2VsZHhMHf-1x7Y/edit?usp=sharing"",""แผน!BB25"")"),0)</f>
        <v>0</v>
      </c>
      <c r="M255" s="45"/>
      <c r="N255" s="644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468">
        <f ca="1">IFERROR(__xludf.DUMMYFUNCTION("IMPORTRANGE(""https://docs.google.com/spreadsheets/d/1eHaY18a8A9IcSdp1K8H6x8fbOy06t2VsZHhMHf-1x7Y/edit?usp=sharing"",""แผน!BC25"")"),0)</f>
        <v>0</v>
      </c>
      <c r="M256" s="45"/>
      <c r="N256" s="644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468">
        <f ca="1">IFERROR(__xludf.DUMMYFUNCTION("IMPORTRANGE(""https://docs.google.com/spreadsheets/d/1eHaY18a8A9IcSdp1K8H6x8fbOy06t2VsZHhMHf-1x7Y/edit?usp=sharing"",""แผน!BD25"")"),0)</f>
        <v>0</v>
      </c>
      <c r="M257" s="45"/>
      <c r="N257" s="644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468">
        <f ca="1">IFERROR(__xludf.DUMMYFUNCTION("IMPORTRANGE(""https://docs.google.com/spreadsheets/d/1eHaY18a8A9IcSdp1K8H6x8fbOy06t2VsZHhMHf-1x7Y/edit?usp=sharing"",""แผน!BE25"")"),0)</f>
        <v>0</v>
      </c>
      <c r="M258" s="45"/>
      <c r="N258" s="644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643" t="s">
        <v>18</v>
      </c>
      <c r="D259" s="509" t="s">
        <v>38</v>
      </c>
      <c r="E259" s="141"/>
      <c r="F259" s="141"/>
      <c r="G259" s="142"/>
      <c r="H259" s="143"/>
      <c r="I259" s="135"/>
      <c r="J259" s="44"/>
      <c r="K259" s="45"/>
      <c r="L259" s="465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640" t="s">
        <v>35</v>
      </c>
      <c r="I260" s="430">
        <f ca="1">IFERROR(__xludf.DUMMYFUNCTION("IMPORTRANGE(""https://docs.google.com/spreadsheets/d/1eHaY18a8A9IcSdp1K8H6x8fbOy06t2VsZHhMHf-1x7Y/edit?usp=sharing"",""แผน!BH25"")"),0)</f>
        <v>0</v>
      </c>
      <c r="J260" s="525">
        <v>0</v>
      </c>
      <c r="K260" s="83">
        <f ca="1">IF(I260&gt;0,J260*100/I260,0)</f>
        <v>0</v>
      </c>
      <c r="L260" s="465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642" t="s">
        <v>43</v>
      </c>
      <c r="E261" s="145"/>
      <c r="F261" s="145"/>
      <c r="G261" s="143"/>
      <c r="H261" s="143"/>
      <c r="I261" s="44"/>
      <c r="J261" s="44"/>
      <c r="K261" s="45"/>
      <c r="L261" s="465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1" t="s">
        <v>109</v>
      </c>
      <c r="F262" s="145"/>
      <c r="G262" s="143"/>
      <c r="H262" s="640" t="s">
        <v>35</v>
      </c>
      <c r="I262" s="44"/>
      <c r="J262" s="525">
        <v>0</v>
      </c>
      <c r="K262" s="83">
        <f>IF(I262&gt;0,J262*100/I262,0)</f>
        <v>0</v>
      </c>
      <c r="L262" s="465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641" t="s">
        <v>110</v>
      </c>
      <c r="F263" s="145"/>
      <c r="G263" s="143"/>
      <c r="H263" s="640" t="s">
        <v>61</v>
      </c>
      <c r="I263" s="44"/>
      <c r="J263" s="525">
        <v>0</v>
      </c>
      <c r="K263" s="83">
        <f>IF(I263&gt;0,J263*100/I263,0)</f>
        <v>0</v>
      </c>
      <c r="L263" s="465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639" t="s">
        <v>113</v>
      </c>
      <c r="B264" s="638"/>
      <c r="C264" s="638"/>
      <c r="D264" s="637"/>
      <c r="E264" s="637"/>
      <c r="F264" s="637"/>
      <c r="G264" s="636"/>
      <c r="H264" s="636"/>
      <c r="I264" s="635"/>
      <c r="J264" s="635"/>
      <c r="K264" s="633"/>
      <c r="L264" s="634"/>
      <c r="M264" s="633"/>
      <c r="N264" s="633"/>
      <c r="O264" s="633"/>
      <c r="P264" s="633"/>
      <c r="Q264" s="633"/>
      <c r="R264" s="633"/>
      <c r="S264" s="633"/>
      <c r="T264" s="633"/>
      <c r="U264" s="633"/>
    </row>
    <row r="265" spans="1:21" ht="19.5" x14ac:dyDescent="0.3">
      <c r="A265" s="632"/>
      <c r="B265" s="631" t="s">
        <v>114</v>
      </c>
      <c r="C265" s="630"/>
      <c r="D265" s="603"/>
      <c r="E265" s="603"/>
      <c r="F265" s="603"/>
      <c r="G265" s="602"/>
      <c r="H265" s="629" t="s">
        <v>35</v>
      </c>
      <c r="I265" s="628">
        <f ca="1">I276</f>
        <v>20</v>
      </c>
      <c r="J265" s="628">
        <f>J276</f>
        <v>20</v>
      </c>
      <c r="K265" s="627">
        <f ca="1">IF(I265&gt;0,J265*100/I265,0)</f>
        <v>100</v>
      </c>
      <c r="L265" s="626"/>
      <c r="M265" s="625"/>
      <c r="N265" s="625"/>
      <c r="O265" s="625"/>
      <c r="P265" s="625"/>
      <c r="Q265" s="625"/>
      <c r="R265" s="625"/>
      <c r="S265" s="625"/>
      <c r="T265" s="625"/>
      <c r="U265" s="625"/>
    </row>
    <row r="266" spans="1:21" ht="19.5" x14ac:dyDescent="0.3">
      <c r="A266" s="610"/>
      <c r="B266" s="609"/>
      <c r="C266" s="624" t="s">
        <v>18</v>
      </c>
      <c r="D266" s="623" t="s">
        <v>19</v>
      </c>
      <c r="E266" s="609"/>
      <c r="F266" s="609"/>
      <c r="G266" s="608"/>
      <c r="H266" s="622" t="s">
        <v>14</v>
      </c>
      <c r="I266" s="479"/>
      <c r="J266" s="479"/>
      <c r="K266" s="476"/>
      <c r="L266" s="621">
        <f ca="1">L267+L268</f>
        <v>0</v>
      </c>
      <c r="M266" s="620">
        <f ca="1">M267+M268</f>
        <v>5000</v>
      </c>
      <c r="N266" s="620">
        <f ca="1">N267+N268</f>
        <v>0</v>
      </c>
      <c r="O266" s="620">
        <f t="shared" ref="O266:O274" ca="1" si="65">IF(L266&gt;0,N266*100/L266,0)</f>
        <v>0</v>
      </c>
      <c r="P266" s="620">
        <f t="shared" ref="P266:P274" ca="1" si="66">IF(M266&gt;0,N266*100/M266,0)</f>
        <v>0</v>
      </c>
      <c r="Q266" s="620">
        <f ca="1">Q267+Q268</f>
        <v>47880</v>
      </c>
      <c r="R266" s="620">
        <f ca="1">R267+R268</f>
        <v>47880</v>
      </c>
      <c r="S266" s="620">
        <f ca="1">S267+S268</f>
        <v>41240</v>
      </c>
      <c r="T266" s="620">
        <f t="shared" ref="T266:T274" ca="1" si="67">IF(Q266&gt;0,S266*100/Q266,0)</f>
        <v>86.131996658312445</v>
      </c>
      <c r="U266" s="620">
        <f t="shared" ref="U266:U274" ca="1" si="68">IF(R266&gt;0,S266*100/R266,0)</f>
        <v>86.131996658312445</v>
      </c>
    </row>
    <row r="267" spans="1:21" ht="18.75" hidden="1" x14ac:dyDescent="0.25">
      <c r="A267" s="615"/>
      <c r="B267" s="614"/>
      <c r="C267" s="614"/>
      <c r="D267" s="614"/>
      <c r="E267" s="156" t="s">
        <v>20</v>
      </c>
      <c r="F267" s="614"/>
      <c r="G267" s="613"/>
      <c r="H267" s="157" t="s">
        <v>14</v>
      </c>
      <c r="I267" s="619"/>
      <c r="J267" s="619"/>
      <c r="K267" s="618"/>
      <c r="L267" s="469">
        <f t="shared" ref="L267:N268" si="69">L270+L273</f>
        <v>0</v>
      </c>
      <c r="M267" s="83">
        <f t="shared" si="69"/>
        <v>0</v>
      </c>
      <c r="N267" s="83">
        <f t="shared" si="69"/>
        <v>0</v>
      </c>
      <c r="O267" s="83">
        <f t="shared" si="65"/>
        <v>0</v>
      </c>
      <c r="P267" s="83">
        <f t="shared" si="66"/>
        <v>0</v>
      </c>
      <c r="Q267" s="83">
        <f t="shared" ref="Q267:S268" si="70">Q270+Q273</f>
        <v>0</v>
      </c>
      <c r="R267" s="83">
        <f t="shared" si="70"/>
        <v>0</v>
      </c>
      <c r="S267" s="83">
        <f t="shared" si="70"/>
        <v>0</v>
      </c>
      <c r="T267" s="83">
        <f t="shared" si="67"/>
        <v>0</v>
      </c>
      <c r="U267" s="83">
        <f t="shared" si="68"/>
        <v>0</v>
      </c>
    </row>
    <row r="268" spans="1:21" ht="18.75" hidden="1" x14ac:dyDescent="0.25">
      <c r="A268" s="610"/>
      <c r="B268" s="609"/>
      <c r="C268" s="609"/>
      <c r="D268" s="609"/>
      <c r="E268" s="605" t="s">
        <v>21</v>
      </c>
      <c r="F268" s="609"/>
      <c r="G268" s="608"/>
      <c r="H268" s="480" t="s">
        <v>14</v>
      </c>
      <c r="I268" s="479"/>
      <c r="J268" s="479"/>
      <c r="K268" s="476"/>
      <c r="L268" s="606">
        <f t="shared" ca="1" si="69"/>
        <v>0</v>
      </c>
      <c r="M268" s="486">
        <f t="shared" ca="1" si="69"/>
        <v>5000</v>
      </c>
      <c r="N268" s="486">
        <f t="shared" ca="1" si="69"/>
        <v>0</v>
      </c>
      <c r="O268" s="486">
        <f t="shared" ca="1" si="65"/>
        <v>0</v>
      </c>
      <c r="P268" s="486">
        <f t="shared" ca="1" si="66"/>
        <v>0</v>
      </c>
      <c r="Q268" s="486">
        <f t="shared" ca="1" si="70"/>
        <v>47880</v>
      </c>
      <c r="R268" s="486">
        <f t="shared" ca="1" si="70"/>
        <v>47880</v>
      </c>
      <c r="S268" s="486">
        <f t="shared" ca="1" si="70"/>
        <v>41240</v>
      </c>
      <c r="T268" s="486">
        <f t="shared" ca="1" si="67"/>
        <v>86.131996658312445</v>
      </c>
      <c r="U268" s="486">
        <f t="shared" ca="1" si="68"/>
        <v>86.131996658312445</v>
      </c>
    </row>
    <row r="269" spans="1:21" ht="18.75" x14ac:dyDescent="0.25">
      <c r="A269" s="610"/>
      <c r="B269" s="609"/>
      <c r="C269" s="609"/>
      <c r="D269" s="616" t="s">
        <v>22</v>
      </c>
      <c r="E269" s="609"/>
      <c r="F269" s="609"/>
      <c r="G269" s="608"/>
      <c r="H269" s="617" t="s">
        <v>14</v>
      </c>
      <c r="I269" s="601"/>
      <c r="J269" s="601"/>
      <c r="K269" s="599"/>
      <c r="L269" s="606">
        <f ca="1">L270+L271</f>
        <v>0</v>
      </c>
      <c r="M269" s="486">
        <f ca="1">M270+M271</f>
        <v>5000</v>
      </c>
      <c r="N269" s="486">
        <f ca="1">N270+N271</f>
        <v>0</v>
      </c>
      <c r="O269" s="486">
        <f t="shared" ca="1" si="65"/>
        <v>0</v>
      </c>
      <c r="P269" s="486">
        <f t="shared" ca="1" si="66"/>
        <v>0</v>
      </c>
      <c r="Q269" s="486">
        <f ca="1">Q270+Q271</f>
        <v>47880</v>
      </c>
      <c r="R269" s="486">
        <f ca="1">R270+R271</f>
        <v>47880</v>
      </c>
      <c r="S269" s="486">
        <f ca="1">S270+S271</f>
        <v>41240</v>
      </c>
      <c r="T269" s="486">
        <f t="shared" ca="1" si="67"/>
        <v>86.131996658312445</v>
      </c>
      <c r="U269" s="486">
        <f t="shared" ca="1" si="68"/>
        <v>86.131996658312445</v>
      </c>
    </row>
    <row r="270" spans="1:21" ht="18.75" hidden="1" x14ac:dyDescent="0.25">
      <c r="A270" s="615"/>
      <c r="B270" s="614"/>
      <c r="C270" s="614"/>
      <c r="D270" s="614"/>
      <c r="E270" s="156" t="s">
        <v>36</v>
      </c>
      <c r="F270" s="614"/>
      <c r="G270" s="613"/>
      <c r="H270" s="159" t="s">
        <v>14</v>
      </c>
      <c r="I270" s="612"/>
      <c r="J270" s="612"/>
      <c r="K270" s="611"/>
      <c r="L270" s="469">
        <v>0</v>
      </c>
      <c r="M270" s="83">
        <v>0</v>
      </c>
      <c r="N270" s="83">
        <v>0</v>
      </c>
      <c r="O270" s="83">
        <f t="shared" si="65"/>
        <v>0</v>
      </c>
      <c r="P270" s="83">
        <f t="shared" si="66"/>
        <v>0</v>
      </c>
      <c r="Q270" s="83">
        <v>0</v>
      </c>
      <c r="R270" s="83">
        <v>0</v>
      </c>
      <c r="S270" s="83">
        <v>0</v>
      </c>
      <c r="T270" s="83">
        <f t="shared" si="67"/>
        <v>0</v>
      </c>
      <c r="U270" s="83">
        <f t="shared" si="68"/>
        <v>0</v>
      </c>
    </row>
    <row r="271" spans="1:21" ht="18.75" hidden="1" x14ac:dyDescent="0.25">
      <c r="A271" s="610"/>
      <c r="B271" s="609"/>
      <c r="C271" s="609"/>
      <c r="D271" s="609"/>
      <c r="E271" s="605" t="s">
        <v>37</v>
      </c>
      <c r="F271" s="609"/>
      <c r="G271" s="608"/>
      <c r="H271" s="617" t="s">
        <v>14</v>
      </c>
      <c r="I271" s="601"/>
      <c r="J271" s="601"/>
      <c r="K271" s="599"/>
      <c r="L271" s="606">
        <f ca="1">IFERROR(__xludf.DUMMYFUNCTION("IMPORTRANGE(""https://docs.google.com/spreadsheets/d/1-uDff_7J0KD5mKrp0Vvzr7lt3OU09vwQwhkpOPPYv2Y/edit?usp=sharing"",""งบพรบ!DE25"")"),0)</f>
        <v>0</v>
      </c>
      <c r="M271" s="486">
        <f ca="1">IFERROR(__xludf.DUMMYFUNCTION("IMPORTRANGE(""https://docs.google.com/spreadsheets/d/1-uDff_7J0KD5mKrp0Vvzr7lt3OU09vwQwhkpOPPYv2Y/edit?usp=sharing"",""งบพรบ!DJ25"")"),5000)</f>
        <v>5000</v>
      </c>
      <c r="N271" s="486">
        <f ca="1">IFERROR(__xludf.DUMMYFUNCTION("IMPORTRANGE(""https://docs.google.com/spreadsheets/d/1-uDff_7J0KD5mKrp0Vvzr7lt3OU09vwQwhkpOPPYv2Y/edit?usp=sharing"",""งบพรบ!DL25"")"),0)</f>
        <v>0</v>
      </c>
      <c r="O271" s="486">
        <f t="shared" ca="1" si="65"/>
        <v>0</v>
      </c>
      <c r="P271" s="486">
        <f t="shared" ca="1" si="66"/>
        <v>0</v>
      </c>
      <c r="Q271" s="486">
        <f ca="1">IFERROR(__xludf.DUMMYFUNCTION("IMPORTRANGE(""https://docs.google.com/spreadsheets/d/1ItG2mGa2ceCfYo0BwxsXqNm01IGEUdYcSSLTEv9YCik/edit?usp=sharing"",""เบิกจ่ายกองทุน!AJ25"")"),47880)</f>
        <v>47880</v>
      </c>
      <c r="R271" s="486">
        <f ca="1">IFERROR(__xludf.DUMMYFUNCTION("IMPORTRANGE(""https://docs.google.com/spreadsheets/d/1ItG2mGa2ceCfYo0BwxsXqNm01IGEUdYcSSLTEv9YCik/edit?usp=sharing"",""เบิกจ่ายกองทุน!AK25"")"),47880)</f>
        <v>47880</v>
      </c>
      <c r="S271" s="486">
        <f ca="1">IFERROR(__xludf.DUMMYFUNCTION("IMPORTRANGE(""https://docs.google.com/spreadsheets/d/1ItG2mGa2ceCfYo0BwxsXqNm01IGEUdYcSSLTEv9YCik/edit?usp=sharing"",""เบิกจ่ายกองทุน!AL25"")"),41240)</f>
        <v>41240</v>
      </c>
      <c r="T271" s="486">
        <f t="shared" ca="1" si="67"/>
        <v>86.131996658312445</v>
      </c>
      <c r="U271" s="486">
        <f t="shared" ca="1" si="68"/>
        <v>86.131996658312445</v>
      </c>
    </row>
    <row r="272" spans="1:21" ht="18.75" x14ac:dyDescent="0.25">
      <c r="A272" s="610"/>
      <c r="B272" s="609"/>
      <c r="C272" s="609"/>
      <c r="D272" s="616" t="s">
        <v>23</v>
      </c>
      <c r="E272" s="609"/>
      <c r="F272" s="609"/>
      <c r="G272" s="608"/>
      <c r="H272" s="607" t="s">
        <v>14</v>
      </c>
      <c r="I272" s="601"/>
      <c r="J272" s="601"/>
      <c r="K272" s="599"/>
      <c r="L272" s="606">
        <f ca="1">L273+L274</f>
        <v>0</v>
      </c>
      <c r="M272" s="486">
        <f ca="1">M273+M274</f>
        <v>0</v>
      </c>
      <c r="N272" s="486">
        <f ca="1">N273+N274</f>
        <v>0</v>
      </c>
      <c r="O272" s="486">
        <f t="shared" ca="1" si="65"/>
        <v>0</v>
      </c>
      <c r="P272" s="486">
        <f t="shared" ca="1" si="66"/>
        <v>0</v>
      </c>
      <c r="Q272" s="486">
        <f>Q273+Q274</f>
        <v>0</v>
      </c>
      <c r="R272" s="486">
        <f>R273+R274</f>
        <v>0</v>
      </c>
      <c r="S272" s="486">
        <f>S273+S274</f>
        <v>0</v>
      </c>
      <c r="T272" s="486">
        <f t="shared" si="67"/>
        <v>0</v>
      </c>
      <c r="U272" s="486">
        <f t="shared" si="68"/>
        <v>0</v>
      </c>
    </row>
    <row r="273" spans="1:21" ht="18.75" hidden="1" x14ac:dyDescent="0.25">
      <c r="A273" s="615"/>
      <c r="B273" s="614"/>
      <c r="C273" s="614"/>
      <c r="D273" s="614"/>
      <c r="E273" s="156" t="s">
        <v>20</v>
      </c>
      <c r="F273" s="614"/>
      <c r="G273" s="613"/>
      <c r="H273" s="159" t="s">
        <v>14</v>
      </c>
      <c r="I273" s="612"/>
      <c r="J273" s="612"/>
      <c r="K273" s="611"/>
      <c r="L273" s="469">
        <v>0</v>
      </c>
      <c r="M273" s="83">
        <v>0</v>
      </c>
      <c r="N273" s="83">
        <v>0</v>
      </c>
      <c r="O273" s="83">
        <f t="shared" si="65"/>
        <v>0</v>
      </c>
      <c r="P273" s="83">
        <f t="shared" si="66"/>
        <v>0</v>
      </c>
      <c r="Q273" s="83">
        <v>0</v>
      </c>
      <c r="R273" s="83">
        <v>0</v>
      </c>
      <c r="S273" s="83">
        <v>0</v>
      </c>
      <c r="T273" s="83">
        <f t="shared" si="67"/>
        <v>0</v>
      </c>
      <c r="U273" s="83">
        <f t="shared" si="68"/>
        <v>0</v>
      </c>
    </row>
    <row r="274" spans="1:21" ht="18.75" hidden="1" x14ac:dyDescent="0.25">
      <c r="A274" s="610"/>
      <c r="B274" s="609"/>
      <c r="C274" s="609"/>
      <c r="D274" s="609"/>
      <c r="E274" s="605" t="s">
        <v>21</v>
      </c>
      <c r="F274" s="609"/>
      <c r="G274" s="608"/>
      <c r="H274" s="607" t="s">
        <v>14</v>
      </c>
      <c r="I274" s="601"/>
      <c r="J274" s="601"/>
      <c r="K274" s="599"/>
      <c r="L274" s="606">
        <f ca="1">IFERROR(__xludf.DUMMYFUNCTION("IMPORTRANGE(""https://docs.google.com/spreadsheets/d/1-uDff_7J0KD5mKrp0Vvzr7lt3OU09vwQwhkpOPPYv2Y/edit?usp=sharing"",""งบพรบ!DH25"")"),0)</f>
        <v>0</v>
      </c>
      <c r="M274" s="486">
        <f ca="1">IFERROR(__xludf.DUMMYFUNCTION("IMPORTRANGE(""https://docs.google.com/spreadsheets/d/1-uDff_7J0KD5mKrp0Vvzr7lt3OU09vwQwhkpOPPYv2Y/edit?usp=sharing"",""งบพรบ!DK25"")"),0)</f>
        <v>0</v>
      </c>
      <c r="N274" s="486">
        <f ca="1">IFERROR(__xludf.DUMMYFUNCTION("IMPORTRANGE(""https://docs.google.com/spreadsheets/d/1-uDff_7J0KD5mKrp0Vvzr7lt3OU09vwQwhkpOPPYv2Y/edit?usp=sharing"",""งบพรบ!DM25"")"),0)</f>
        <v>0</v>
      </c>
      <c r="O274" s="486">
        <f t="shared" ca="1" si="65"/>
        <v>0</v>
      </c>
      <c r="P274" s="486">
        <f t="shared" ca="1" si="66"/>
        <v>0</v>
      </c>
      <c r="Q274" s="486">
        <v>0</v>
      </c>
      <c r="R274" s="486">
        <v>0</v>
      </c>
      <c r="S274" s="486">
        <v>0</v>
      </c>
      <c r="T274" s="486">
        <f t="shared" si="67"/>
        <v>0</v>
      </c>
      <c r="U274" s="486">
        <f t="shared" si="68"/>
        <v>0</v>
      </c>
    </row>
    <row r="275" spans="1:21" ht="19.5" x14ac:dyDescent="0.3">
      <c r="A275" s="485"/>
      <c r="B275" s="484"/>
      <c r="C275" s="605" t="s">
        <v>18</v>
      </c>
      <c r="D275" s="604" t="s">
        <v>38</v>
      </c>
      <c r="E275" s="603"/>
      <c r="F275" s="603"/>
      <c r="G275" s="602"/>
      <c r="H275" s="481"/>
      <c r="I275" s="601"/>
      <c r="J275" s="601"/>
      <c r="K275" s="599"/>
      <c r="L275" s="600"/>
      <c r="M275" s="599"/>
      <c r="N275" s="599"/>
      <c r="O275" s="599"/>
      <c r="P275" s="599"/>
      <c r="Q275" s="599"/>
      <c r="R275" s="599"/>
      <c r="S275" s="599"/>
      <c r="T275" s="599"/>
      <c r="U275" s="599"/>
    </row>
    <row r="276" spans="1:21" ht="18.75" x14ac:dyDescent="0.25">
      <c r="A276" s="598"/>
      <c r="B276" s="597"/>
      <c r="C276" s="597"/>
      <c r="D276" s="596" t="s">
        <v>115</v>
      </c>
      <c r="E276" s="595"/>
      <c r="F276" s="595"/>
      <c r="G276" s="594"/>
      <c r="H276" s="593" t="s">
        <v>35</v>
      </c>
      <c r="I276" s="592">
        <f ca="1">IFERROR(__xludf.DUMMYFUNCTION("IMPORTRANGE(""https://docs.google.com/spreadsheets/d/1eHaY18a8A9IcSdp1K8H6x8fbOy06t2VsZHhMHf-1x7Y/edit?usp=sharing"",""แผน!EC25"")"),20)</f>
        <v>20</v>
      </c>
      <c r="J276" s="444">
        <v>20</v>
      </c>
      <c r="K276" s="591">
        <f ca="1">IF(I276&gt;0,J276*100/I276,0)</f>
        <v>100</v>
      </c>
      <c r="L276" s="465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590" t="s">
        <v>116</v>
      </c>
      <c r="E277" s="252"/>
      <c r="F277" s="252"/>
      <c r="G277" s="253"/>
      <c r="H277" s="589" t="s">
        <v>35</v>
      </c>
      <c r="I277" s="433">
        <v>0</v>
      </c>
      <c r="J277" s="433">
        <v>0</v>
      </c>
      <c r="K277" s="588">
        <v>0</v>
      </c>
      <c r="L277" s="587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58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585">
        <f ca="1">I293</f>
        <v>10</v>
      </c>
      <c r="J280" s="585">
        <f>J293</f>
        <v>10</v>
      </c>
      <c r="K280" s="584">
        <f ca="1">IF(I280&gt;0,J280*100/I280,0)</f>
        <v>100</v>
      </c>
      <c r="L280" s="583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585">
        <f ca="1">I292</f>
        <v>100</v>
      </c>
      <c r="J281" s="585">
        <f>J292</f>
        <v>100</v>
      </c>
      <c r="K281" s="584">
        <f ca="1">IF(I281&gt;0,J281*100/I281,0)</f>
        <v>100</v>
      </c>
      <c r="L281" s="583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472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471">
        <f ca="1">L283+L284</f>
        <v>140120</v>
      </c>
      <c r="M282" s="470">
        <f ca="1">M283+M284</f>
        <v>140120</v>
      </c>
      <c r="N282" s="470">
        <f ca="1">N283+N284</f>
        <v>111911.16</v>
      </c>
      <c r="O282" s="470">
        <f t="shared" ref="O282:O290" ca="1" si="71">IF(L282&gt;0,N282*100/L282,0)</f>
        <v>79.868084499000858</v>
      </c>
      <c r="P282" s="470">
        <f t="shared" ref="P282:P290" ca="1" si="72">IF(M282&gt;0,N282*100/M282,0)</f>
        <v>79.868084499000858</v>
      </c>
      <c r="Q282" s="470">
        <f>Q283+Q284</f>
        <v>0</v>
      </c>
      <c r="R282" s="470">
        <f>R283+R284</f>
        <v>0</v>
      </c>
      <c r="S282" s="470">
        <f>S283+S284</f>
        <v>0</v>
      </c>
      <c r="T282" s="470">
        <f t="shared" ref="T282:T290" si="73">IF(Q282&gt;0,S282*100/Q282,0)</f>
        <v>0</v>
      </c>
      <c r="U282" s="470">
        <f t="shared" ref="U282:U290" si="74"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469">
        <f t="shared" ref="L283:N284" si="75">L286+L289</f>
        <v>0</v>
      </c>
      <c r="M283" s="83">
        <f t="shared" si="75"/>
        <v>0</v>
      </c>
      <c r="N283" s="83">
        <f t="shared" si="75"/>
        <v>0</v>
      </c>
      <c r="O283" s="83">
        <f t="shared" si="71"/>
        <v>0</v>
      </c>
      <c r="P283" s="83">
        <f t="shared" si="72"/>
        <v>0</v>
      </c>
      <c r="Q283" s="83">
        <f t="shared" ref="Q283:S284" si="76">Q286+Q289</f>
        <v>0</v>
      </c>
      <c r="R283" s="83">
        <f t="shared" si="76"/>
        <v>0</v>
      </c>
      <c r="S283" s="83">
        <f t="shared" si="76"/>
        <v>0</v>
      </c>
      <c r="T283" s="83">
        <f t="shared" si="73"/>
        <v>0</v>
      </c>
      <c r="U283" s="83">
        <f t="shared" si="74"/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468">
        <f t="shared" ca="1" si="75"/>
        <v>140120</v>
      </c>
      <c r="M284" s="224">
        <f t="shared" ca="1" si="75"/>
        <v>140120</v>
      </c>
      <c r="N284" s="224">
        <f t="shared" ca="1" si="75"/>
        <v>111911.16</v>
      </c>
      <c r="O284" s="224">
        <f t="shared" ca="1" si="71"/>
        <v>79.868084499000858</v>
      </c>
      <c r="P284" s="224">
        <f t="shared" ca="1" si="72"/>
        <v>79.868084499000858</v>
      </c>
      <c r="Q284" s="224">
        <f t="shared" si="76"/>
        <v>0</v>
      </c>
      <c r="R284" s="224">
        <f t="shared" si="76"/>
        <v>0</v>
      </c>
      <c r="S284" s="224">
        <f t="shared" si="76"/>
        <v>0</v>
      </c>
      <c r="T284" s="224">
        <f t="shared" si="73"/>
        <v>0</v>
      </c>
      <c r="U284" s="224">
        <f t="shared" si="74"/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468">
        <f ca="1">L286+L287</f>
        <v>140120</v>
      </c>
      <c r="M285" s="224">
        <f ca="1">M286+M287</f>
        <v>140120</v>
      </c>
      <c r="N285" s="224">
        <f ca="1">N286+N287</f>
        <v>111911.16</v>
      </c>
      <c r="O285" s="224">
        <f t="shared" ca="1" si="71"/>
        <v>79.868084499000858</v>
      </c>
      <c r="P285" s="224">
        <f t="shared" ca="1" si="72"/>
        <v>79.868084499000858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 t="shared" si="73"/>
        <v>0</v>
      </c>
      <c r="U285" s="224">
        <f t="shared" si="74"/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469">
        <v>0</v>
      </c>
      <c r="M286" s="83">
        <v>0</v>
      </c>
      <c r="N286" s="83">
        <v>0</v>
      </c>
      <c r="O286" s="83">
        <f t="shared" si="71"/>
        <v>0</v>
      </c>
      <c r="P286" s="83">
        <f t="shared" si="72"/>
        <v>0</v>
      </c>
      <c r="Q286" s="83">
        <v>0</v>
      </c>
      <c r="R286" s="83">
        <v>0</v>
      </c>
      <c r="S286" s="83">
        <v>0</v>
      </c>
      <c r="T286" s="83">
        <f t="shared" si="73"/>
        <v>0</v>
      </c>
      <c r="U286" s="83">
        <f t="shared" si="74"/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468">
        <f ca="1">IFERROR(__xludf.DUMMYFUNCTION("IMPORTRANGE(""https://docs.google.com/spreadsheets/d/1-uDff_7J0KD5mKrp0Vvzr7lt3OU09vwQwhkpOPPYv2Y/edit?usp=sharing"",""งบพรบ!DO25"")"),140120)</f>
        <v>140120</v>
      </c>
      <c r="M287" s="224">
        <f ca="1">IFERROR(__xludf.DUMMYFUNCTION("IMPORTRANGE(""https://docs.google.com/spreadsheets/d/1-uDff_7J0KD5mKrp0Vvzr7lt3OU09vwQwhkpOPPYv2Y/edit?usp=sharing"",""งบพรบ!DT25"")"),140120)</f>
        <v>140120</v>
      </c>
      <c r="N287" s="224">
        <f ca="1">IFERROR(__xludf.DUMMYFUNCTION("IMPORTRANGE(""https://docs.google.com/spreadsheets/d/1-uDff_7J0KD5mKrp0Vvzr7lt3OU09vwQwhkpOPPYv2Y/edit?usp=sharing"",""งบพรบ!DV25"")"),111911.16)</f>
        <v>111911.16</v>
      </c>
      <c r="O287" s="224">
        <f t="shared" ca="1" si="71"/>
        <v>79.868084499000858</v>
      </c>
      <c r="P287" s="224">
        <f t="shared" ca="1" si="72"/>
        <v>79.868084499000858</v>
      </c>
      <c r="Q287" s="224">
        <v>0</v>
      </c>
      <c r="R287" s="224">
        <v>0</v>
      </c>
      <c r="S287" s="224">
        <v>0</v>
      </c>
      <c r="T287" s="83">
        <f t="shared" si="73"/>
        <v>0</v>
      </c>
      <c r="U287" s="83">
        <f t="shared" si="74"/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468">
        <f ca="1">L289+L290</f>
        <v>0</v>
      </c>
      <c r="M288" s="224">
        <f ca="1">M289+M290</f>
        <v>0</v>
      </c>
      <c r="N288" s="224">
        <f ca="1">N289+N290</f>
        <v>0</v>
      </c>
      <c r="O288" s="224">
        <f t="shared" ca="1" si="71"/>
        <v>0</v>
      </c>
      <c r="P288" s="224">
        <f t="shared" ca="1" si="72"/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 t="shared" si="73"/>
        <v>0</v>
      </c>
      <c r="U288" s="224">
        <f t="shared" si="74"/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469">
        <v>0</v>
      </c>
      <c r="M289" s="83">
        <v>0</v>
      </c>
      <c r="N289" s="83">
        <v>0</v>
      </c>
      <c r="O289" s="83">
        <f t="shared" si="71"/>
        <v>0</v>
      </c>
      <c r="P289" s="83">
        <f t="shared" si="72"/>
        <v>0</v>
      </c>
      <c r="Q289" s="83">
        <v>0</v>
      </c>
      <c r="R289" s="83">
        <v>0</v>
      </c>
      <c r="S289" s="83">
        <v>0</v>
      </c>
      <c r="T289" s="83">
        <f t="shared" si="73"/>
        <v>0</v>
      </c>
      <c r="U289" s="83">
        <f t="shared" si="74"/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468">
        <f ca="1">IFERROR(__xludf.DUMMYFUNCTION("IMPORTRANGE(""https://docs.google.com/spreadsheets/d/1-uDff_7J0KD5mKrp0Vvzr7lt3OU09vwQwhkpOPPYv2Y/edit?usp=sharing"",""งบพรบ!DR25"")"),0)</f>
        <v>0</v>
      </c>
      <c r="M290" s="224">
        <f ca="1">IFERROR(__xludf.DUMMYFUNCTION("IMPORTRANGE(""https://docs.google.com/spreadsheets/d/1-uDff_7J0KD5mKrp0Vvzr7lt3OU09vwQwhkpOPPYv2Y/edit?usp=sharing"",""งบพรบ!DU25"")"),0)</f>
        <v>0</v>
      </c>
      <c r="N290" s="224">
        <f ca="1">IFERROR(__xludf.DUMMYFUNCTION("IMPORTRANGE(""https://docs.google.com/spreadsheets/d/1-uDff_7J0KD5mKrp0Vvzr7lt3OU09vwQwhkpOPPYv2Y/edit?usp=sharing"",""งบพรบ!DW25"")"),0)</f>
        <v>0</v>
      </c>
      <c r="O290" s="224">
        <f t="shared" ca="1" si="71"/>
        <v>0</v>
      </c>
      <c r="P290" s="224">
        <f t="shared" ca="1" si="72"/>
        <v>0</v>
      </c>
      <c r="Q290" s="224">
        <v>0</v>
      </c>
      <c r="R290" s="224">
        <v>0</v>
      </c>
      <c r="S290" s="224">
        <v>0</v>
      </c>
      <c r="T290" s="224">
        <f t="shared" si="73"/>
        <v>0</v>
      </c>
      <c r="U290" s="224">
        <f t="shared" si="74"/>
        <v>0</v>
      </c>
    </row>
    <row r="291" spans="1:21" ht="19.5" x14ac:dyDescent="0.3">
      <c r="A291" s="138"/>
      <c r="B291" s="139"/>
      <c r="C291" s="129" t="s">
        <v>18</v>
      </c>
      <c r="D291" s="498" t="s">
        <v>38</v>
      </c>
      <c r="E291" s="141"/>
      <c r="F291" s="141"/>
      <c r="G291" s="142"/>
      <c r="H291" s="143"/>
      <c r="I291" s="135"/>
      <c r="J291" s="135"/>
      <c r="K291" s="136"/>
      <c r="L291" s="4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IFERROR(__xludf.DUMMYFUNCTION("IMPORTRANGE(""https://docs.google.com/spreadsheets/d/1eHaY18a8A9IcSdp1K8H6x8fbOy06t2VsZHhMHf-1x7Y/edit?usp=sharing"",""แผน!EE25"")"),100)</f>
        <v>100</v>
      </c>
      <c r="J292" s="466">
        <v>100</v>
      </c>
      <c r="K292" s="497">
        <f ca="1">IF(I292&gt;0,J292*100/I292,0)</f>
        <v>100</v>
      </c>
      <c r="L292" s="4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IFERROR(__xludf.DUMMYFUNCTION("IMPORTRANGE(""https://docs.google.com/spreadsheets/d/1eHaY18a8A9IcSdp1K8H6x8fbOy06t2VsZHhMHf-1x7Y/edit?usp=sharing"",""แผน!ED25"")"),10)</f>
        <v>10</v>
      </c>
      <c r="J293" s="328">
        <f>J296</f>
        <v>10</v>
      </c>
      <c r="K293" s="582">
        <f ca="1">IF(I293&gt;0,J293*100/I293,0)</f>
        <v>100</v>
      </c>
      <c r="L293" s="4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4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581">
        <f ca="1">IFERROR(__xludf.DUMMYFUNCTION("IMPORTRANGE(""https://docs.google.com/spreadsheets/d/1eHaY18a8A9IcSdp1K8H6x8fbOy06t2VsZHhMHf-1x7Y/edit?usp=sharing"",""แผน!ED25"")"),10)</f>
        <v>10</v>
      </c>
      <c r="J295" s="466">
        <v>21</v>
      </c>
      <c r="K295" s="497">
        <f ca="1">IF(I295&gt;0,J295*100/I295,0)</f>
        <v>210</v>
      </c>
      <c r="L295" s="4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581">
        <f ca="1">IFERROR(__xludf.DUMMYFUNCTION("IMPORTRANGE(""https://docs.google.com/spreadsheets/d/1eHaY18a8A9IcSdp1K8H6x8fbOy06t2VsZHhMHf-1x7Y/edit?usp=sharing"",""แผน!ED25"")"),10)</f>
        <v>10</v>
      </c>
      <c r="J296" s="466">
        <v>10</v>
      </c>
      <c r="K296" s="497">
        <f ca="1">IF(I296&gt;0,J296*100/I296,0)</f>
        <v>100</v>
      </c>
      <c r="L296" s="4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571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hidden="1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571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580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57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541">
        <f ca="1">I314</f>
        <v>25</v>
      </c>
      <c r="J302" s="541">
        <f>J314</f>
        <v>0</v>
      </c>
      <c r="K302" s="540">
        <f ca="1">IF(I302&gt;0,J302*100/I302,0)</f>
        <v>0</v>
      </c>
      <c r="L302" s="539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472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471">
        <f ca="1">L304+L305</f>
        <v>0</v>
      </c>
      <c r="M303" s="470">
        <f ca="1">M304+M305</f>
        <v>0</v>
      </c>
      <c r="N303" s="470">
        <f ca="1">N304+N305</f>
        <v>0</v>
      </c>
      <c r="O303" s="470">
        <f t="shared" ref="O303:O311" ca="1" si="77">IF(L303&gt;0,N303*100/L303,0)</f>
        <v>0</v>
      </c>
      <c r="P303" s="470">
        <f t="shared" ref="P303:P311" ca="1" si="78">IF(M303&gt;0,N303*100/M303,0)</f>
        <v>0</v>
      </c>
      <c r="Q303" s="470">
        <f ca="1">Q304+Q305</f>
        <v>228095.39</v>
      </c>
      <c r="R303" s="470">
        <f ca="1">R304+R305</f>
        <v>228095</v>
      </c>
      <c r="S303" s="470">
        <f ca="1">S304+S305</f>
        <v>0</v>
      </c>
      <c r="T303" s="470">
        <f t="shared" ref="T303:T311" ca="1" si="79">IF(Q303&gt;0,S303*100/Q303,0)</f>
        <v>0</v>
      </c>
      <c r="U303" s="470">
        <f t="shared" ref="U303:U311" ca="1" si="80">IF(R303&gt;0,S303*100/R303,0)</f>
        <v>0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469">
        <f t="shared" ref="L304:N305" si="81">L307+L310</f>
        <v>0</v>
      </c>
      <c r="M304" s="83">
        <f t="shared" si="81"/>
        <v>0</v>
      </c>
      <c r="N304" s="83">
        <f t="shared" si="81"/>
        <v>0</v>
      </c>
      <c r="O304" s="83">
        <f t="shared" si="77"/>
        <v>0</v>
      </c>
      <c r="P304" s="83">
        <f t="shared" si="78"/>
        <v>0</v>
      </c>
      <c r="Q304" s="83">
        <f t="shared" ref="Q304:S305" si="82">Q307+Q310</f>
        <v>0</v>
      </c>
      <c r="R304" s="83">
        <f t="shared" si="82"/>
        <v>0</v>
      </c>
      <c r="S304" s="83">
        <f t="shared" si="82"/>
        <v>0</v>
      </c>
      <c r="T304" s="83">
        <f t="shared" si="79"/>
        <v>0</v>
      </c>
      <c r="U304" s="83">
        <f t="shared" si="80"/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468">
        <f t="shared" ca="1" si="81"/>
        <v>0</v>
      </c>
      <c r="M305" s="224">
        <f t="shared" ca="1" si="81"/>
        <v>0</v>
      </c>
      <c r="N305" s="224">
        <f t="shared" ca="1" si="81"/>
        <v>0</v>
      </c>
      <c r="O305" s="224">
        <f t="shared" ca="1" si="77"/>
        <v>0</v>
      </c>
      <c r="P305" s="224">
        <f t="shared" ca="1" si="78"/>
        <v>0</v>
      </c>
      <c r="Q305" s="224">
        <f t="shared" ca="1" si="82"/>
        <v>228095.39</v>
      </c>
      <c r="R305" s="224">
        <f t="shared" ca="1" si="82"/>
        <v>228095</v>
      </c>
      <c r="S305" s="224">
        <f t="shared" ca="1" si="82"/>
        <v>0</v>
      </c>
      <c r="T305" s="224">
        <f t="shared" ca="1" si="79"/>
        <v>0</v>
      </c>
      <c r="U305" s="224">
        <f t="shared" ca="1" si="80"/>
        <v>0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468">
        <f ca="1">L307+L308</f>
        <v>0</v>
      </c>
      <c r="M306" s="224">
        <f ca="1">M307+M308</f>
        <v>0</v>
      </c>
      <c r="N306" s="224">
        <f ca="1">N307+N308</f>
        <v>0</v>
      </c>
      <c r="O306" s="224">
        <f t="shared" ca="1" si="77"/>
        <v>0</v>
      </c>
      <c r="P306" s="224">
        <f t="shared" ca="1" si="78"/>
        <v>0</v>
      </c>
      <c r="Q306" s="224">
        <f ca="1">Q307+Q308</f>
        <v>228095.39</v>
      </c>
      <c r="R306" s="224">
        <f ca="1">R307+R308</f>
        <v>228095</v>
      </c>
      <c r="S306" s="224">
        <f ca="1">S307+S308</f>
        <v>0</v>
      </c>
      <c r="T306" s="224">
        <f t="shared" ca="1" si="79"/>
        <v>0</v>
      </c>
      <c r="U306" s="224">
        <f t="shared" ca="1" si="80"/>
        <v>0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469">
        <v>0</v>
      </c>
      <c r="M307" s="83">
        <v>0</v>
      </c>
      <c r="N307" s="83">
        <v>0</v>
      </c>
      <c r="O307" s="83">
        <f t="shared" si="77"/>
        <v>0</v>
      </c>
      <c r="P307" s="83">
        <f t="shared" si="78"/>
        <v>0</v>
      </c>
      <c r="Q307" s="83">
        <v>0</v>
      </c>
      <c r="R307" s="83">
        <v>0</v>
      </c>
      <c r="S307" s="83">
        <v>0</v>
      </c>
      <c r="T307" s="83">
        <f t="shared" si="79"/>
        <v>0</v>
      </c>
      <c r="U307" s="83">
        <f t="shared" si="80"/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468">
        <f ca="1">IFERROR(__xludf.DUMMYFUNCTION("IMPORTRANGE(""https://docs.google.com/spreadsheets/d/1-uDff_7J0KD5mKrp0Vvzr7lt3OU09vwQwhkpOPPYv2Y/edit?usp=sharing"",""งบพรบ!DY25"")"),0)</f>
        <v>0</v>
      </c>
      <c r="M308" s="224">
        <f ca="1">IFERROR(__xludf.DUMMYFUNCTION("IMPORTRANGE(""https://docs.google.com/spreadsheets/d/1-uDff_7J0KD5mKrp0Vvzr7lt3OU09vwQwhkpOPPYv2Y/edit?usp=sharing"",""งบพรบ!ED25"")"),0)</f>
        <v>0</v>
      </c>
      <c r="N308" s="224">
        <f ca="1">IFERROR(__xludf.DUMMYFUNCTION("IMPORTRANGE(""https://docs.google.com/spreadsheets/d/1-uDff_7J0KD5mKrp0Vvzr7lt3OU09vwQwhkpOPPYv2Y/edit?usp=sharing"",""งบพรบ!EF25"")"),0)</f>
        <v>0</v>
      </c>
      <c r="O308" s="224">
        <f t="shared" ca="1" si="77"/>
        <v>0</v>
      </c>
      <c r="P308" s="224">
        <f t="shared" ca="1" si="78"/>
        <v>0</v>
      </c>
      <c r="Q308" s="224">
        <f ca="1">IFERROR(__xludf.DUMMYFUNCTION("IMPORTRANGE(""https://docs.google.com/spreadsheets/d/1ItG2mGa2ceCfYo0BwxsXqNm01IGEUdYcSSLTEv9YCik/edit?usp=sharing"",""เบิกจ่ายกองทุน!AP25"")"),228095.39)</f>
        <v>228095.39</v>
      </c>
      <c r="R308" s="224">
        <f ca="1">IFERROR(__xludf.DUMMYFUNCTION("IMPORTRANGE(""https://docs.google.com/spreadsheets/d/1ItG2mGa2ceCfYo0BwxsXqNm01IGEUdYcSSLTEv9YCik/edit?usp=sharing"",""เบิกจ่ายกองทุน!AQ25"")"),228095)</f>
        <v>228095</v>
      </c>
      <c r="S308" s="224">
        <f ca="1">IFERROR(__xludf.DUMMYFUNCTION("IMPORTRANGE(""https://docs.google.com/spreadsheets/d/1ItG2mGa2ceCfYo0BwxsXqNm01IGEUdYcSSLTEv9YCik/edit?usp=sharing"",""เบิกจ่ายกองทุน!AR25"")"),0)</f>
        <v>0</v>
      </c>
      <c r="T308" s="224">
        <f t="shared" ca="1" si="79"/>
        <v>0</v>
      </c>
      <c r="U308" s="224">
        <f t="shared" ca="1" si="80"/>
        <v>0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468">
        <f ca="1">L310+L311</f>
        <v>0</v>
      </c>
      <c r="M309" s="224">
        <f ca="1">M310+M311</f>
        <v>0</v>
      </c>
      <c r="N309" s="224">
        <f ca="1">N310+N311</f>
        <v>0</v>
      </c>
      <c r="O309" s="224">
        <f t="shared" ca="1" si="77"/>
        <v>0</v>
      </c>
      <c r="P309" s="224">
        <f t="shared" ca="1" si="78"/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 t="shared" si="79"/>
        <v>0</v>
      </c>
      <c r="U309" s="224">
        <f t="shared" si="80"/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469">
        <v>0</v>
      </c>
      <c r="M310" s="83">
        <v>0</v>
      </c>
      <c r="N310" s="83">
        <v>0</v>
      </c>
      <c r="O310" s="83">
        <f t="shared" si="77"/>
        <v>0</v>
      </c>
      <c r="P310" s="83">
        <f t="shared" si="78"/>
        <v>0</v>
      </c>
      <c r="Q310" s="83">
        <v>0</v>
      </c>
      <c r="R310" s="83">
        <v>0</v>
      </c>
      <c r="S310" s="83">
        <v>0</v>
      </c>
      <c r="T310" s="83">
        <f t="shared" si="79"/>
        <v>0</v>
      </c>
      <c r="U310" s="83">
        <f t="shared" si="80"/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468">
        <f ca="1">IFERROR(__xludf.DUMMYFUNCTION("IMPORTRANGE(""https://docs.google.com/spreadsheets/d/1-uDff_7J0KD5mKrp0Vvzr7lt3OU09vwQwhkpOPPYv2Y/edit?usp=sharing"",""งบพรบ!EB25"")"),0)</f>
        <v>0</v>
      </c>
      <c r="M311" s="224">
        <f ca="1">IFERROR(__xludf.DUMMYFUNCTION("IMPORTRANGE(""https://docs.google.com/spreadsheets/d/1-uDff_7J0KD5mKrp0Vvzr7lt3OU09vwQwhkpOPPYv2Y/edit?usp=sharing"",""งบพรบ!EE25"")"),0)</f>
        <v>0</v>
      </c>
      <c r="N311" s="224">
        <f ca="1">IFERROR(__xludf.DUMMYFUNCTION("IMPORTRANGE(""https://docs.google.com/spreadsheets/d/1-uDff_7J0KD5mKrp0Vvzr7lt3OU09vwQwhkpOPPYv2Y/edit?usp=sharing"",""งบพรบ!EG25"")"),0)</f>
        <v>0</v>
      </c>
      <c r="O311" s="224">
        <f t="shared" ca="1" si="77"/>
        <v>0</v>
      </c>
      <c r="P311" s="224">
        <f t="shared" ca="1" si="78"/>
        <v>0</v>
      </c>
      <c r="Q311" s="224">
        <v>0</v>
      </c>
      <c r="R311" s="224">
        <v>0</v>
      </c>
      <c r="S311" s="224">
        <v>0</v>
      </c>
      <c r="T311" s="224">
        <f t="shared" si="79"/>
        <v>0</v>
      </c>
      <c r="U311" s="224">
        <f t="shared" si="80"/>
        <v>0</v>
      </c>
    </row>
    <row r="312" spans="1:21" ht="19.5" x14ac:dyDescent="0.3">
      <c r="A312" s="138"/>
      <c r="B312" s="139"/>
      <c r="C312" s="129" t="s">
        <v>18</v>
      </c>
      <c r="D312" s="498" t="s">
        <v>38</v>
      </c>
      <c r="E312" s="141"/>
      <c r="F312" s="141"/>
      <c r="G312" s="142"/>
      <c r="H312" s="143"/>
      <c r="I312" s="44"/>
      <c r="J312" s="44"/>
      <c r="K312" s="45"/>
      <c r="L312" s="465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579"/>
      <c r="E313" s="18"/>
      <c r="F313" s="18"/>
      <c r="G313" s="19"/>
      <c r="H313" s="19"/>
      <c r="I313" s="20"/>
      <c r="J313" s="577"/>
      <c r="K313" s="21"/>
      <c r="L313" s="571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IFERROR(__xludf.DUMMYFUNCTION("IMPORTRANGE(""https://docs.google.com/spreadsheets/d/1eHaY18a8A9IcSdp1K8H6x8fbOy06t2VsZHhMHf-1x7Y/edit?usp=sharing"",""แผน!EF25"")"),25)</f>
        <v>25</v>
      </c>
      <c r="J314" s="466">
        <v>0</v>
      </c>
      <c r="K314" s="224">
        <f ca="1">IF(I314&gt;0,J314*100/I314,0)</f>
        <v>0</v>
      </c>
      <c r="L314" s="465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579"/>
      <c r="E315" s="18"/>
      <c r="F315" s="18"/>
      <c r="G315" s="19"/>
      <c r="H315" s="578"/>
      <c r="I315" s="577"/>
      <c r="J315" s="577"/>
      <c r="K315" s="576"/>
      <c r="L315" s="571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579"/>
      <c r="E316" s="18"/>
      <c r="F316" s="18"/>
      <c r="G316" s="19"/>
      <c r="H316" s="578"/>
      <c r="I316" s="577"/>
      <c r="J316" s="577"/>
      <c r="K316" s="576"/>
      <c r="L316" s="571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575"/>
      <c r="E317" s="18"/>
      <c r="F317" s="18"/>
      <c r="G317" s="19"/>
      <c r="H317" s="574"/>
      <c r="I317" s="573"/>
      <c r="J317" s="573"/>
      <c r="K317" s="572"/>
      <c r="L317" s="571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57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hidden="1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541">
        <f ca="1">I330</f>
        <v>0</v>
      </c>
      <c r="J319" s="541">
        <f>J330</f>
        <v>0</v>
      </c>
      <c r="K319" s="540">
        <f ca="1">IF(I319&gt;0,J319*100/I319,0)</f>
        <v>0</v>
      </c>
      <c r="L319" s="539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hidden="1" x14ac:dyDescent="0.3">
      <c r="A320" s="128"/>
      <c r="B320" s="40"/>
      <c r="C320" s="129" t="s">
        <v>18</v>
      </c>
      <c r="D320" s="472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471">
        <f ca="1">L321+L322</f>
        <v>0</v>
      </c>
      <c r="M320" s="470">
        <f ca="1">M321+M322</f>
        <v>0</v>
      </c>
      <c r="N320" s="470">
        <f ca="1">N321+N322</f>
        <v>0</v>
      </c>
      <c r="O320" s="470">
        <f t="shared" ref="O320:O328" ca="1" si="83">IF(L320&gt;0,N320*100/L320,0)</f>
        <v>0</v>
      </c>
      <c r="P320" s="470">
        <f t="shared" ref="P320:P328" ca="1" si="84">IF(M320&gt;0,N320*100/M320,0)</f>
        <v>0</v>
      </c>
      <c r="Q320" s="470">
        <f>Q321+Q322</f>
        <v>0</v>
      </c>
      <c r="R320" s="470">
        <f>R321+R322</f>
        <v>0</v>
      </c>
      <c r="S320" s="470">
        <f>S321+S322</f>
        <v>0</v>
      </c>
      <c r="T320" s="470">
        <f t="shared" ref="T320:T328" si="85">IF(Q320&gt;0,S320*100/Q320,0)</f>
        <v>0</v>
      </c>
      <c r="U320" s="470">
        <f t="shared" ref="U320:U328" si="86"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469">
        <f t="shared" ref="L321:N322" si="87">L324+L327</f>
        <v>0</v>
      </c>
      <c r="M321" s="83">
        <f t="shared" si="87"/>
        <v>0</v>
      </c>
      <c r="N321" s="83">
        <f t="shared" si="87"/>
        <v>0</v>
      </c>
      <c r="O321" s="83">
        <f t="shared" si="83"/>
        <v>0</v>
      </c>
      <c r="P321" s="83">
        <f t="shared" si="84"/>
        <v>0</v>
      </c>
      <c r="Q321" s="83">
        <f t="shared" ref="Q321:S322" si="88">Q324+Q327</f>
        <v>0</v>
      </c>
      <c r="R321" s="83">
        <f t="shared" si="88"/>
        <v>0</v>
      </c>
      <c r="S321" s="83">
        <f t="shared" si="88"/>
        <v>0</v>
      </c>
      <c r="T321" s="83">
        <f t="shared" si="85"/>
        <v>0</v>
      </c>
      <c r="U321" s="83">
        <f t="shared" si="86"/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468">
        <f t="shared" ca="1" si="87"/>
        <v>0</v>
      </c>
      <c r="M322" s="224">
        <f t="shared" ca="1" si="87"/>
        <v>0</v>
      </c>
      <c r="N322" s="224">
        <f t="shared" ca="1" si="87"/>
        <v>0</v>
      </c>
      <c r="O322" s="224">
        <f t="shared" ca="1" si="83"/>
        <v>0</v>
      </c>
      <c r="P322" s="224">
        <f t="shared" ca="1" si="84"/>
        <v>0</v>
      </c>
      <c r="Q322" s="224">
        <f t="shared" si="88"/>
        <v>0</v>
      </c>
      <c r="R322" s="224">
        <f t="shared" si="88"/>
        <v>0</v>
      </c>
      <c r="S322" s="224">
        <f t="shared" si="88"/>
        <v>0</v>
      </c>
      <c r="T322" s="224">
        <f t="shared" si="85"/>
        <v>0</v>
      </c>
      <c r="U322" s="224">
        <f t="shared" si="86"/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468">
        <f ca="1">L324+L325</f>
        <v>0</v>
      </c>
      <c r="M323" s="224">
        <f ca="1">M324+M325</f>
        <v>0</v>
      </c>
      <c r="N323" s="224">
        <f ca="1">N324+N325</f>
        <v>0</v>
      </c>
      <c r="O323" s="224">
        <f t="shared" ca="1" si="83"/>
        <v>0</v>
      </c>
      <c r="P323" s="224">
        <f t="shared" ca="1" si="84"/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 t="shared" si="85"/>
        <v>0</v>
      </c>
      <c r="U323" s="224">
        <f t="shared" si="86"/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469">
        <v>0</v>
      </c>
      <c r="M324" s="83">
        <v>0</v>
      </c>
      <c r="N324" s="83">
        <v>0</v>
      </c>
      <c r="O324" s="83">
        <f t="shared" si="83"/>
        <v>0</v>
      </c>
      <c r="P324" s="83">
        <f t="shared" si="84"/>
        <v>0</v>
      </c>
      <c r="Q324" s="83">
        <v>0</v>
      </c>
      <c r="R324" s="83">
        <v>0</v>
      </c>
      <c r="S324" s="83">
        <v>0</v>
      </c>
      <c r="T324" s="83">
        <f t="shared" si="85"/>
        <v>0</v>
      </c>
      <c r="U324" s="83">
        <f t="shared" si="86"/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468">
        <f ca="1">IFERROR(__xludf.DUMMYFUNCTION("IMPORTRANGE(""https://docs.google.com/spreadsheets/d/1-uDff_7J0KD5mKrp0Vvzr7lt3OU09vwQwhkpOPPYv2Y/edit?usp=sharing"",""งบพรบ!EI25"")"),0)</f>
        <v>0</v>
      </c>
      <c r="M325" s="224">
        <f ca="1">IFERROR(__xludf.DUMMYFUNCTION("IMPORTRANGE(""https://docs.google.com/spreadsheets/d/1-uDff_7J0KD5mKrp0Vvzr7lt3OU09vwQwhkpOPPYv2Y/edit?usp=sharing"",""งบพรบ!EN25"")"),0)</f>
        <v>0</v>
      </c>
      <c r="N325" s="224">
        <f ca="1">IFERROR(__xludf.DUMMYFUNCTION("IMPORTRANGE(""https://docs.google.com/spreadsheets/d/1-uDff_7J0KD5mKrp0Vvzr7lt3OU09vwQwhkpOPPYv2Y/edit?usp=sharing"",""งบพรบ!EP25"")"),0)</f>
        <v>0</v>
      </c>
      <c r="O325" s="224">
        <f t="shared" ca="1" si="83"/>
        <v>0</v>
      </c>
      <c r="P325" s="224">
        <f t="shared" ca="1" si="84"/>
        <v>0</v>
      </c>
      <c r="Q325" s="224">
        <v>0</v>
      </c>
      <c r="R325" s="224">
        <v>0</v>
      </c>
      <c r="S325" s="224">
        <v>0</v>
      </c>
      <c r="T325" s="224">
        <f t="shared" si="85"/>
        <v>0</v>
      </c>
      <c r="U325" s="224">
        <f t="shared" si="86"/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468">
        <f ca="1">L327+L328</f>
        <v>0</v>
      </c>
      <c r="M326" s="224">
        <f ca="1">M327+M328</f>
        <v>0</v>
      </c>
      <c r="N326" s="224">
        <f ca="1">N327+N328</f>
        <v>0</v>
      </c>
      <c r="O326" s="224">
        <f t="shared" ca="1" si="83"/>
        <v>0</v>
      </c>
      <c r="P326" s="224">
        <f t="shared" ca="1" si="84"/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 t="shared" si="85"/>
        <v>0</v>
      </c>
      <c r="U326" s="224">
        <f t="shared" si="86"/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469">
        <v>0</v>
      </c>
      <c r="M327" s="83">
        <v>0</v>
      </c>
      <c r="N327" s="83">
        <v>0</v>
      </c>
      <c r="O327" s="83">
        <f t="shared" si="83"/>
        <v>0</v>
      </c>
      <c r="P327" s="83">
        <f t="shared" si="84"/>
        <v>0</v>
      </c>
      <c r="Q327" s="83">
        <v>0</v>
      </c>
      <c r="R327" s="83">
        <v>0</v>
      </c>
      <c r="S327" s="83">
        <v>0</v>
      </c>
      <c r="T327" s="83">
        <f t="shared" si="85"/>
        <v>0</v>
      </c>
      <c r="U327" s="83">
        <f t="shared" si="86"/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468">
        <f ca="1">IFERROR(__xludf.DUMMYFUNCTION("IMPORTRANGE(""https://docs.google.com/spreadsheets/d/1-uDff_7J0KD5mKrp0Vvzr7lt3OU09vwQwhkpOPPYv2Y/edit?usp=sharing"",""งบพรบ!EL25"")"),0)</f>
        <v>0</v>
      </c>
      <c r="M328" s="224">
        <f ca="1">IFERROR(__xludf.DUMMYFUNCTION("IMPORTRANGE(""https://docs.google.com/spreadsheets/d/1-uDff_7J0KD5mKrp0Vvzr7lt3OU09vwQwhkpOPPYv2Y/edit?usp=sharing"",""งบพรบ!EO25"")"),0)</f>
        <v>0</v>
      </c>
      <c r="N328" s="224">
        <f ca="1">IFERROR(__xludf.DUMMYFUNCTION("IMPORTRANGE(""https://docs.google.com/spreadsheets/d/1-uDff_7J0KD5mKrp0Vvzr7lt3OU09vwQwhkpOPPYv2Y/edit?usp=sharing"",""งบพรบ!EQ25"")"),0)</f>
        <v>0</v>
      </c>
      <c r="O328" s="224">
        <f t="shared" ca="1" si="83"/>
        <v>0</v>
      </c>
      <c r="P328" s="224">
        <f t="shared" ca="1" si="84"/>
        <v>0</v>
      </c>
      <c r="Q328" s="224">
        <v>0</v>
      </c>
      <c r="R328" s="224">
        <v>0</v>
      </c>
      <c r="S328" s="224">
        <v>0</v>
      </c>
      <c r="T328" s="224">
        <f t="shared" si="85"/>
        <v>0</v>
      </c>
      <c r="U328" s="224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8" t="s">
        <v>38</v>
      </c>
      <c r="E329" s="141"/>
      <c r="F329" s="141"/>
      <c r="G329" s="142"/>
      <c r="H329" s="143"/>
      <c r="I329" s="135"/>
      <c r="J329" s="44"/>
      <c r="K329" s="45"/>
      <c r="L329" s="465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IFERROR(__xludf.DUMMYFUNCTION("IMPORTRANGE(""https://docs.google.com/spreadsheets/d/1eHaY18a8A9IcSdp1K8H6x8fbOy06t2VsZHhMHf-1x7Y/edit?usp=sharing"",""แผน!EJ25"")"),0)</f>
        <v>0</v>
      </c>
      <c r="J330" s="466">
        <v>0</v>
      </c>
      <c r="K330" s="224">
        <f ca="1">IF(I330&gt;0,J330*100/I330,0)</f>
        <v>0</v>
      </c>
      <c r="L330" s="465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57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569">
        <f ca="1">I344</f>
        <v>260</v>
      </c>
      <c r="J332" s="568">
        <f ca="1">J344+J347+J348+J349+J353</f>
        <v>1218</v>
      </c>
      <c r="K332" s="567">
        <f ca="1">IF(I332&gt;0,J332*100/I332,0)</f>
        <v>468.46153846153845</v>
      </c>
      <c r="L332" s="539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472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471">
        <f ca="1">L334+L335</f>
        <v>105000</v>
      </c>
      <c r="M333" s="470">
        <f ca="1">M334+M335</f>
        <v>110000</v>
      </c>
      <c r="N333" s="470">
        <f ca="1">N334+N335</f>
        <v>79661.8</v>
      </c>
      <c r="O333" s="470">
        <f t="shared" ref="O333:O341" ca="1" si="89">IF(L333&gt;0,N333*100/L333,0)</f>
        <v>75.868380952380946</v>
      </c>
      <c r="P333" s="470">
        <f t="shared" ref="P333:P341" ca="1" si="90">IF(M333&gt;0,N333*100/M333,0)</f>
        <v>72.419818181818187</v>
      </c>
      <c r="Q333" s="470">
        <f>Q334+Q335</f>
        <v>0</v>
      </c>
      <c r="R333" s="470">
        <f>R334+R335</f>
        <v>0</v>
      </c>
      <c r="S333" s="470">
        <f>S334+S335</f>
        <v>0</v>
      </c>
      <c r="T333" s="470">
        <f t="shared" ref="T333:T341" si="91">IF(Q333&gt;0,S333*100/Q333,0)</f>
        <v>0</v>
      </c>
      <c r="U333" s="470">
        <f t="shared" ref="U333:U341" si="92"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469">
        <f t="shared" ref="L334:N335" si="93">L337+L340</f>
        <v>0</v>
      </c>
      <c r="M334" s="83">
        <f t="shared" si="93"/>
        <v>0</v>
      </c>
      <c r="N334" s="83">
        <f t="shared" si="93"/>
        <v>0</v>
      </c>
      <c r="O334" s="83">
        <f t="shared" si="89"/>
        <v>0</v>
      </c>
      <c r="P334" s="83">
        <f t="shared" si="90"/>
        <v>0</v>
      </c>
      <c r="Q334" s="83">
        <f t="shared" ref="Q334:S335" si="94">Q337+Q340</f>
        <v>0</v>
      </c>
      <c r="R334" s="83">
        <f t="shared" si="94"/>
        <v>0</v>
      </c>
      <c r="S334" s="83">
        <f t="shared" si="94"/>
        <v>0</v>
      </c>
      <c r="T334" s="83">
        <f t="shared" si="91"/>
        <v>0</v>
      </c>
      <c r="U334" s="83">
        <f t="shared" si="92"/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468">
        <f t="shared" ca="1" si="93"/>
        <v>105000</v>
      </c>
      <c r="M335" s="224">
        <f t="shared" ca="1" si="93"/>
        <v>110000</v>
      </c>
      <c r="N335" s="224">
        <f t="shared" ca="1" si="93"/>
        <v>79661.8</v>
      </c>
      <c r="O335" s="224">
        <f t="shared" ca="1" si="89"/>
        <v>75.868380952380946</v>
      </c>
      <c r="P335" s="224">
        <f t="shared" ca="1" si="90"/>
        <v>72.419818181818187</v>
      </c>
      <c r="Q335" s="224">
        <f t="shared" si="94"/>
        <v>0</v>
      </c>
      <c r="R335" s="224">
        <f t="shared" si="94"/>
        <v>0</v>
      </c>
      <c r="S335" s="224">
        <f t="shared" si="94"/>
        <v>0</v>
      </c>
      <c r="T335" s="224">
        <f t="shared" si="91"/>
        <v>0</v>
      </c>
      <c r="U335" s="224">
        <f t="shared" si="92"/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468">
        <f ca="1">L337+L338</f>
        <v>105000</v>
      </c>
      <c r="M336" s="224">
        <f ca="1">M337+M338</f>
        <v>110000</v>
      </c>
      <c r="N336" s="224">
        <f ca="1">N337+N338</f>
        <v>79661.8</v>
      </c>
      <c r="O336" s="224">
        <f t="shared" ca="1" si="89"/>
        <v>75.868380952380946</v>
      </c>
      <c r="P336" s="224">
        <f t="shared" ca="1" si="90"/>
        <v>72.419818181818187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 t="shared" si="91"/>
        <v>0</v>
      </c>
      <c r="U336" s="224">
        <f t="shared" si="92"/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469">
        <v>0</v>
      </c>
      <c r="M337" s="83">
        <v>0</v>
      </c>
      <c r="N337" s="83">
        <v>0</v>
      </c>
      <c r="O337" s="83">
        <f t="shared" si="89"/>
        <v>0</v>
      </c>
      <c r="P337" s="83">
        <f t="shared" si="90"/>
        <v>0</v>
      </c>
      <c r="Q337" s="83">
        <v>0</v>
      </c>
      <c r="R337" s="83">
        <v>0</v>
      </c>
      <c r="S337" s="83">
        <v>0</v>
      </c>
      <c r="T337" s="83">
        <f t="shared" si="91"/>
        <v>0</v>
      </c>
      <c r="U337" s="83">
        <f t="shared" si="92"/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468">
        <f ca="1">IFERROR(__xludf.DUMMYFUNCTION("IMPORTRANGE(""https://docs.google.com/spreadsheets/d/1-uDff_7J0KD5mKrp0Vvzr7lt3OU09vwQwhkpOPPYv2Y/edit?usp=sharing"",""งบพรบ!ES25"")"),105000)</f>
        <v>105000</v>
      </c>
      <c r="M338" s="224">
        <f ca="1">IFERROR(__xludf.DUMMYFUNCTION("IMPORTRANGE(""https://docs.google.com/spreadsheets/d/1-uDff_7J0KD5mKrp0Vvzr7lt3OU09vwQwhkpOPPYv2Y/edit?usp=sharing"",""งบพรบ!EX25"")"),110000)</f>
        <v>110000</v>
      </c>
      <c r="N338" s="224">
        <f ca="1">IFERROR(__xludf.DUMMYFUNCTION("IMPORTRANGE(""https://docs.google.com/spreadsheets/d/1-uDff_7J0KD5mKrp0Vvzr7lt3OU09vwQwhkpOPPYv2Y/edit?usp=sharing"",""งบพรบ!EZ25"")"),79661.8)</f>
        <v>79661.8</v>
      </c>
      <c r="O338" s="224">
        <f t="shared" ca="1" si="89"/>
        <v>75.868380952380946</v>
      </c>
      <c r="P338" s="224">
        <f t="shared" ca="1" si="90"/>
        <v>72.419818181818187</v>
      </c>
      <c r="Q338" s="224">
        <v>0</v>
      </c>
      <c r="R338" s="224">
        <v>0</v>
      </c>
      <c r="S338" s="224">
        <v>0</v>
      </c>
      <c r="T338" s="224">
        <f t="shared" si="91"/>
        <v>0</v>
      </c>
      <c r="U338" s="224">
        <f t="shared" si="92"/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468">
        <f ca="1">L340+L341</f>
        <v>0</v>
      </c>
      <c r="M339" s="224">
        <f ca="1">M340+M341</f>
        <v>0</v>
      </c>
      <c r="N339" s="224">
        <f ca="1">N340+N341</f>
        <v>0</v>
      </c>
      <c r="O339" s="224">
        <f t="shared" ca="1" si="89"/>
        <v>0</v>
      </c>
      <c r="P339" s="224">
        <f t="shared" ca="1" si="90"/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 t="shared" si="91"/>
        <v>0</v>
      </c>
      <c r="U339" s="224">
        <f t="shared" si="92"/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469">
        <v>0</v>
      </c>
      <c r="M340" s="83">
        <v>0</v>
      </c>
      <c r="N340" s="83">
        <v>0</v>
      </c>
      <c r="O340" s="83">
        <f t="shared" si="89"/>
        <v>0</v>
      </c>
      <c r="P340" s="83">
        <f t="shared" si="90"/>
        <v>0</v>
      </c>
      <c r="Q340" s="83">
        <v>0</v>
      </c>
      <c r="R340" s="83">
        <v>0</v>
      </c>
      <c r="S340" s="83">
        <v>0</v>
      </c>
      <c r="T340" s="83">
        <f t="shared" si="91"/>
        <v>0</v>
      </c>
      <c r="U340" s="83">
        <f t="shared" si="92"/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468">
        <f ca="1">IFERROR(__xludf.DUMMYFUNCTION("IMPORTRANGE(""https://docs.google.com/spreadsheets/d/1-uDff_7J0KD5mKrp0Vvzr7lt3OU09vwQwhkpOPPYv2Y/edit?usp=sharing"",""งบพรบ!EV25"")"),0)</f>
        <v>0</v>
      </c>
      <c r="M341" s="224">
        <f ca="1">IFERROR(__xludf.DUMMYFUNCTION("IMPORTRANGE(""https://docs.google.com/spreadsheets/d/1-uDff_7J0KD5mKrp0Vvzr7lt3OU09vwQwhkpOPPYv2Y/edit?usp=sharing"",""งบพรบ!EY25"")"),0)</f>
        <v>0</v>
      </c>
      <c r="N341" s="224">
        <f ca="1">IFERROR(__xludf.DUMMYFUNCTION("IMPORTRANGE(""https://docs.google.com/spreadsheets/d/1-uDff_7J0KD5mKrp0Vvzr7lt3OU09vwQwhkpOPPYv2Y/edit?usp=sharing"",""งบพรบ!FA25"")"),0)</f>
        <v>0</v>
      </c>
      <c r="O341" s="224">
        <f t="shared" ca="1" si="89"/>
        <v>0</v>
      </c>
      <c r="P341" s="224">
        <f t="shared" ca="1" si="90"/>
        <v>0</v>
      </c>
      <c r="Q341" s="224">
        <v>0</v>
      </c>
      <c r="R341" s="224">
        <v>0</v>
      </c>
      <c r="S341" s="224">
        <v>0</v>
      </c>
      <c r="T341" s="224">
        <f t="shared" si="91"/>
        <v>0</v>
      </c>
      <c r="U341" s="224">
        <f t="shared" si="92"/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465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566"/>
      <c r="B343" s="563"/>
      <c r="C343" s="565"/>
      <c r="D343" s="563"/>
      <c r="E343" s="564" t="s">
        <v>137</v>
      </c>
      <c r="F343" s="563"/>
      <c r="G343" s="562"/>
      <c r="H343" s="561" t="s">
        <v>35</v>
      </c>
      <c r="I343" s="560">
        <v>0</v>
      </c>
      <c r="J343" s="560">
        <f ca="1">J344+J347+J348+J349</f>
        <v>142</v>
      </c>
      <c r="K343" s="559">
        <v>0</v>
      </c>
      <c r="L343" s="557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IFERROR(__xludf.DUMMYFUNCTION("IMPORTRANGE(""https://docs.google.com/spreadsheets/d/1eHaY18a8A9IcSdp1K8H6x8fbOy06t2VsZHhMHf-1x7Y/edit?usp=sharing"",""แผน!EK25"")"),260)</f>
        <v>260</v>
      </c>
      <c r="J344" s="184">
        <f ca="1">IFERROR(__xludf.DUMMYFUNCTION("IMPORTRANGE(""https://docs.google.com/spreadsheets/d/1awYsYK3VOup2i3Pq_Yjnu8DRu_mYwSBnCR2QPthd0rU/edit?usp=sharing"",""ศูนย์ยกเว้นโฉนด!D25"")"),42)</f>
        <v>42</v>
      </c>
      <c r="K344" s="224">
        <f ca="1">IF(I344&gt;0,J344*100/I344,0)</f>
        <v>16.153846153846153</v>
      </c>
      <c r="L344" s="465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465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IFERROR(__xludf.DUMMYFUNCTION("IMPORTRANGE(""https://docs.google.com/spreadsheets/d/1eHaY18a8A9IcSdp1K8H6x8fbOy06t2VsZHhMHf-1x7Y/edit?usp=sharing"",""แผน!EL25"")"),4)</f>
        <v>4</v>
      </c>
      <c r="J346" s="184">
        <f ca="1">IFERROR(__xludf.DUMMYFUNCTION("IMPORTRANGE(""https://docs.google.com/spreadsheets/d/1awYsYK3VOup2i3Pq_Yjnu8DRu_mYwSBnCR2QPthd0rU/edit?usp=sharing"",""ศูนย์รวม!E25"")"),2)</f>
        <v>2</v>
      </c>
      <c r="K346" s="224">
        <f ca="1">IF(I346&gt;0,J346*100/I346,0)</f>
        <v>50</v>
      </c>
      <c r="L346" s="465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IFERROR(__xludf.DUMMYFUNCTION("IMPORTRANGE(""https://docs.google.com/spreadsheets/d/1awYsYK3VOup2i3Pq_Yjnu8DRu_mYwSBnCR2QPthd0rU/edit?usp=sharing"",""ศูนย์ยกเว้นโฉนด!F25"")"),37)</f>
        <v>37</v>
      </c>
      <c r="K347" s="45"/>
      <c r="L347" s="465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IFERROR(__xludf.DUMMYFUNCTION("IMPORTRANGE(""https://docs.google.com/spreadsheets/d/1awYsYK3VOup2i3Pq_Yjnu8DRu_mYwSBnCR2QPthd0rU/edit?usp=sharing"",""ศูนย์ยกเว้นโฉนด!G25"")"),4)</f>
        <v>4</v>
      </c>
      <c r="K348" s="45"/>
      <c r="L348" s="465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IFERROR(__xludf.DUMMYFUNCTION("IMPORTRANGE(""https://docs.google.com/spreadsheets/d/1awYsYK3VOup2i3Pq_Yjnu8DRu_mYwSBnCR2QPthd0rU/edit?usp=sharing"",""ศูนย์ยกเว้นโฉนด!H25"")"),59)</f>
        <v>59</v>
      </c>
      <c r="K349" s="45"/>
      <c r="L349" s="465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0"/>
      <c r="F350" s="40"/>
      <c r="G350" s="42"/>
      <c r="H350" s="180"/>
      <c r="I350" s="44"/>
      <c r="J350" s="44"/>
      <c r="K350" s="45"/>
      <c r="L350" s="465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558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1078</v>
      </c>
      <c r="K351" s="304">
        <v>0</v>
      </c>
      <c r="L351" s="557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IFERROR(__xludf.DUMMYFUNCTION("IMPORTRANGE(""https://docs.google.com/spreadsheets/d/1awYsYK3VOup2i3Pq_Yjnu8DRu_mYwSBnCR2QPthd0rU/edit?usp=sharing"",""โฉนดM3!G25"")"),2)</f>
        <v>2</v>
      </c>
      <c r="K352" s="45"/>
      <c r="L352" s="465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IFERROR(__xludf.DUMMYFUNCTION("IMPORTRANGE(""https://docs.google.com/spreadsheets/d/1awYsYK3VOup2i3Pq_Yjnu8DRu_mYwSBnCR2QPthd0rU/edit?usp=sharing"",""โฉนดM3!H25"")"),1076)</f>
        <v>1076</v>
      </c>
      <c r="K353" s="45"/>
      <c r="L353" s="465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0"/>
      <c r="F354" s="40"/>
      <c r="G354" s="42"/>
      <c r="H354" s="180"/>
      <c r="I354" s="44"/>
      <c r="J354" s="44"/>
      <c r="K354" s="45"/>
      <c r="L354" s="465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539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472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471">
        <f ca="1">L357+L358</f>
        <v>446775</v>
      </c>
      <c r="M356" s="470">
        <f ca="1">M357+M358</f>
        <v>446775</v>
      </c>
      <c r="N356" s="470">
        <f ca="1">N357+N358</f>
        <v>122058</v>
      </c>
      <c r="O356" s="470">
        <f t="shared" ref="O356:O364" ca="1" si="95">IF(L356&gt;0,N356*100/L356,0)</f>
        <v>27.319791841530972</v>
      </c>
      <c r="P356" s="470">
        <f t="shared" ref="P356:P364" ca="1" si="96">IF(M356&gt;0,N356*100/M356,0)</f>
        <v>27.319791841530972</v>
      </c>
      <c r="Q356" s="470">
        <f>Q357+Q358</f>
        <v>0</v>
      </c>
      <c r="R356" s="470">
        <f>R357+R358</f>
        <v>0</v>
      </c>
      <c r="S356" s="470">
        <f>S357+S358</f>
        <v>0</v>
      </c>
      <c r="T356" s="470">
        <f t="shared" ref="T356:T364" si="97">IF(Q356&gt;0,S356*100/Q356,0)</f>
        <v>0</v>
      </c>
      <c r="U356" s="470">
        <f t="shared" ref="U356:U364" si="98"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469">
        <f t="shared" ref="L357:N358" si="99">L360+L363</f>
        <v>0</v>
      </c>
      <c r="M357" s="83">
        <f t="shared" si="99"/>
        <v>0</v>
      </c>
      <c r="N357" s="83">
        <f t="shared" si="99"/>
        <v>0</v>
      </c>
      <c r="O357" s="83">
        <f t="shared" si="95"/>
        <v>0</v>
      </c>
      <c r="P357" s="83">
        <f t="shared" si="96"/>
        <v>0</v>
      </c>
      <c r="Q357" s="83">
        <f t="shared" ref="Q357:S358" si="100">Q360+Q363</f>
        <v>0</v>
      </c>
      <c r="R357" s="83">
        <f t="shared" si="100"/>
        <v>0</v>
      </c>
      <c r="S357" s="83">
        <f t="shared" si="100"/>
        <v>0</v>
      </c>
      <c r="T357" s="83">
        <f t="shared" si="97"/>
        <v>0</v>
      </c>
      <c r="U357" s="83">
        <f t="shared" si="98"/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468">
        <f t="shared" ca="1" si="99"/>
        <v>446775</v>
      </c>
      <c r="M358" s="224">
        <f t="shared" ca="1" si="99"/>
        <v>446775</v>
      </c>
      <c r="N358" s="224">
        <f t="shared" ca="1" si="99"/>
        <v>122058</v>
      </c>
      <c r="O358" s="224">
        <f t="shared" ca="1" si="95"/>
        <v>27.319791841530972</v>
      </c>
      <c r="P358" s="224">
        <f t="shared" ca="1" si="96"/>
        <v>27.319791841530972</v>
      </c>
      <c r="Q358" s="224">
        <f t="shared" si="100"/>
        <v>0</v>
      </c>
      <c r="R358" s="224">
        <f t="shared" si="100"/>
        <v>0</v>
      </c>
      <c r="S358" s="224">
        <f t="shared" si="100"/>
        <v>0</v>
      </c>
      <c r="T358" s="224">
        <f t="shared" si="97"/>
        <v>0</v>
      </c>
      <c r="U358" s="224">
        <f t="shared" si="98"/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468">
        <f ca="1">L360+L361</f>
        <v>446775</v>
      </c>
      <c r="M359" s="224">
        <f ca="1">M360+M361</f>
        <v>446775</v>
      </c>
      <c r="N359" s="224">
        <f ca="1">N360+N361</f>
        <v>122058</v>
      </c>
      <c r="O359" s="224">
        <f t="shared" ca="1" si="95"/>
        <v>27.319791841530972</v>
      </c>
      <c r="P359" s="224">
        <f t="shared" ca="1" si="96"/>
        <v>27.319791841530972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 t="shared" si="97"/>
        <v>0</v>
      </c>
      <c r="U359" s="224">
        <f t="shared" si="98"/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469">
        <v>0</v>
      </c>
      <c r="M360" s="83">
        <v>0</v>
      </c>
      <c r="N360" s="83">
        <v>0</v>
      </c>
      <c r="O360" s="83">
        <f t="shared" si="95"/>
        <v>0</v>
      </c>
      <c r="P360" s="83">
        <f t="shared" si="96"/>
        <v>0</v>
      </c>
      <c r="Q360" s="83">
        <v>0</v>
      </c>
      <c r="R360" s="83">
        <v>0</v>
      </c>
      <c r="S360" s="83">
        <v>0</v>
      </c>
      <c r="T360" s="83">
        <f t="shared" si="97"/>
        <v>0</v>
      </c>
      <c r="U360" s="83">
        <f t="shared" si="98"/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468">
        <f ca="1">IFERROR(__xludf.DUMMYFUNCTION("IMPORTRANGE(""https://docs.google.com/spreadsheets/d/1-uDff_7J0KD5mKrp0Vvzr7lt3OU09vwQwhkpOPPYv2Y/edit?usp=sharing"",""งบพรบ!FC25"")"),446775)</f>
        <v>446775</v>
      </c>
      <c r="M361" s="224">
        <f ca="1">IFERROR(__xludf.DUMMYFUNCTION("IMPORTRANGE(""https://docs.google.com/spreadsheets/d/1-uDff_7J0KD5mKrp0Vvzr7lt3OU09vwQwhkpOPPYv2Y/edit?usp=sharing"",""งบพรบ!FH25"")"),446775)</f>
        <v>446775</v>
      </c>
      <c r="N361" s="224">
        <f ca="1">IFERROR(__xludf.DUMMYFUNCTION("IMPORTRANGE(""https://docs.google.com/spreadsheets/d/1-uDff_7J0KD5mKrp0Vvzr7lt3OU09vwQwhkpOPPYv2Y/edit?usp=sharing"",""งบพรบ!FJ25"")"),122058)</f>
        <v>122058</v>
      </c>
      <c r="O361" s="224">
        <f t="shared" ca="1" si="95"/>
        <v>27.319791841530972</v>
      </c>
      <c r="P361" s="224">
        <f t="shared" ca="1" si="96"/>
        <v>27.319791841530972</v>
      </c>
      <c r="Q361" s="224">
        <v>0</v>
      </c>
      <c r="R361" s="224">
        <v>0</v>
      </c>
      <c r="S361" s="224">
        <v>0</v>
      </c>
      <c r="T361" s="224">
        <f t="shared" si="97"/>
        <v>0</v>
      </c>
      <c r="U361" s="224">
        <f t="shared" si="98"/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468">
        <f ca="1">L363+L364</f>
        <v>0</v>
      </c>
      <c r="M362" s="224">
        <f ca="1">M363+M364</f>
        <v>0</v>
      </c>
      <c r="N362" s="224">
        <f ca="1">N363+N364</f>
        <v>0</v>
      </c>
      <c r="O362" s="224">
        <f t="shared" ca="1" si="95"/>
        <v>0</v>
      </c>
      <c r="P362" s="224">
        <f t="shared" ca="1" si="96"/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 t="shared" si="97"/>
        <v>0</v>
      </c>
      <c r="U362" s="224">
        <f t="shared" si="98"/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469">
        <v>0</v>
      </c>
      <c r="M363" s="83">
        <v>0</v>
      </c>
      <c r="N363" s="83">
        <v>0</v>
      </c>
      <c r="O363" s="83">
        <f t="shared" si="95"/>
        <v>0</v>
      </c>
      <c r="P363" s="83">
        <f t="shared" si="96"/>
        <v>0</v>
      </c>
      <c r="Q363" s="83">
        <v>0</v>
      </c>
      <c r="R363" s="83">
        <v>0</v>
      </c>
      <c r="S363" s="83">
        <v>0</v>
      </c>
      <c r="T363" s="83">
        <f t="shared" si="97"/>
        <v>0</v>
      </c>
      <c r="U363" s="83">
        <f t="shared" si="98"/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468">
        <f ca="1">IFERROR(__xludf.DUMMYFUNCTION("IMPORTRANGE(""https://docs.google.com/spreadsheets/d/1-uDff_7J0KD5mKrp0Vvzr7lt3OU09vwQwhkpOPPYv2Y/edit?usp=sharing"",""งบพรบ!FF25"")"),0)</f>
        <v>0</v>
      </c>
      <c r="M364" s="224">
        <f ca="1">IFERROR(__xludf.DUMMYFUNCTION("IMPORTRANGE(""https://docs.google.com/spreadsheets/d/1-uDff_7J0KD5mKrp0Vvzr7lt3OU09vwQwhkpOPPYv2Y/edit?usp=sharing"",""งบพรบ!FI25"")"),0)</f>
        <v>0</v>
      </c>
      <c r="N364" s="224">
        <f ca="1">IFERROR(__xludf.DUMMYFUNCTION("IMPORTRANGE(""https://docs.google.com/spreadsheets/d/1-uDff_7J0KD5mKrp0Vvzr7lt3OU09vwQwhkpOPPYv2Y/edit?usp=sharing"",""งบพรบ!FK25"")"),0)</f>
        <v>0</v>
      </c>
      <c r="O364" s="224">
        <f t="shared" ca="1" si="95"/>
        <v>0</v>
      </c>
      <c r="P364" s="224">
        <f t="shared" ca="1" si="96"/>
        <v>0</v>
      </c>
      <c r="Q364" s="224">
        <v>0</v>
      </c>
      <c r="R364" s="224">
        <v>0</v>
      </c>
      <c r="S364" s="224">
        <v>0</v>
      </c>
      <c r="T364" s="224">
        <f t="shared" si="97"/>
        <v>0</v>
      </c>
      <c r="U364" s="224">
        <f t="shared" si="98"/>
        <v>0</v>
      </c>
    </row>
    <row r="365" spans="1:21" ht="19.5" x14ac:dyDescent="0.3">
      <c r="A365" s="211"/>
      <c r="B365" s="212"/>
      <c r="C365" s="214"/>
      <c r="D365" s="558" t="s">
        <v>149</v>
      </c>
      <c r="E365" s="214"/>
      <c r="F365" s="214"/>
      <c r="G365" s="215"/>
      <c r="H365" s="223" t="s">
        <v>35</v>
      </c>
      <c r="I365" s="303">
        <f ca="1">I371</f>
        <v>59</v>
      </c>
      <c r="J365" s="303">
        <f ca="1">J371</f>
        <v>12</v>
      </c>
      <c r="K365" s="304">
        <f ca="1">IF(I365&gt;0,J365*100/I365,0)</f>
        <v>20.338983050847457</v>
      </c>
      <c r="L365" s="557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498" t="s">
        <v>38</v>
      </c>
      <c r="E366" s="141"/>
      <c r="F366" s="141"/>
      <c r="G366" s="142"/>
      <c r="H366" s="143"/>
      <c r="I366" s="44"/>
      <c r="J366" s="44"/>
      <c r="K366" s="45"/>
      <c r="L366" s="4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IFERROR(__xludf.DUMMYFUNCTION("IMPORTRANGE(""https://docs.google.com/spreadsheets/d/1tdoBKaGub7dwA3U6UFTqxio9LNnvDCQjHKmttSEBsFQ/edit?usp=sharing"",""จัดที่ดิน!AB25"")"),3)</f>
        <v>3</v>
      </c>
      <c r="K367" s="224">
        <f t="shared" ref="K367:K372" si="101">IF(I367&gt;0,J367*100/I367,0)</f>
        <v>0</v>
      </c>
      <c r="L367" s="4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IFERROR(__xludf.DUMMYFUNCTION("IMPORTRANGE(""https://docs.google.com/spreadsheets/d/1eHaY18a8A9IcSdp1K8H6x8fbOy06t2VsZHhMHf-1x7Y/edit?usp=sharing"",""แผน!EW25"")"),115)</f>
        <v>115</v>
      </c>
      <c r="J368" s="556">
        <f ca="1">IFERROR(__xludf.DUMMYFUNCTION("IMPORTRANGE(""https://docs.google.com/spreadsheets/d/1tdoBKaGub7dwA3U6UFTqxio9LNnvDCQjHKmttSEBsFQ/edit?usp=sharing"",""จัดที่ดิน!AC25"")"),3.73)</f>
        <v>3.73</v>
      </c>
      <c r="K368" s="224">
        <f t="shared" ca="1" si="101"/>
        <v>3.2434782608695651</v>
      </c>
      <c r="L368" s="4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IFERROR(__xludf.DUMMYFUNCTION("IMPORTRANGE(""https://docs.google.com/spreadsheets/d/1eHaY18a8A9IcSdp1K8H6x8fbOy06t2VsZHhMHf-1x7Y/edit?usp=sharing"",""แผน!EX25"")"),59)</f>
        <v>59</v>
      </c>
      <c r="J369" s="184">
        <f ca="1">IFERROR(__xludf.DUMMYFUNCTION("IMPORTRANGE(""https://docs.google.com/spreadsheets/d/1tdoBKaGub7dwA3U6UFTqxio9LNnvDCQjHKmttSEBsFQ/edit?usp=sharing"",""จัดที่ดิน!AD25"")"),12)</f>
        <v>12</v>
      </c>
      <c r="K369" s="224">
        <f t="shared" ca="1" si="101"/>
        <v>20.338983050847457</v>
      </c>
      <c r="L369" s="4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556">
        <f ca="1">IFERROR(__xludf.DUMMYFUNCTION("IMPORTRANGE(""https://docs.google.com/spreadsheets/d/1tdoBKaGub7dwA3U6UFTqxio9LNnvDCQjHKmttSEBsFQ/edit?usp=sharing"",""จัดที่ดิน!AE25"")"),45.27)</f>
        <v>45.27</v>
      </c>
      <c r="K370" s="224">
        <f t="shared" si="101"/>
        <v>0</v>
      </c>
      <c r="L370" s="4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IFERROR(__xludf.DUMMYFUNCTION("IMPORTRANGE(""https://docs.google.com/spreadsheets/d/1eHaY18a8A9IcSdp1K8H6x8fbOy06t2VsZHhMHf-1x7Y/edit?usp=sharing"",""แผน!EY25"")"),59)</f>
        <v>59</v>
      </c>
      <c r="J371" s="184">
        <f ca="1">IFERROR(__xludf.DUMMYFUNCTION("IMPORTRANGE(""https://docs.google.com/spreadsheets/d/1tdoBKaGub7dwA3U6UFTqxio9LNnvDCQjHKmttSEBsFQ/edit?usp=sharing"",""จัดที่ดิน!AF25"")"),12)</f>
        <v>12</v>
      </c>
      <c r="K371" s="224">
        <f t="shared" ca="1" si="101"/>
        <v>20.338983050847457</v>
      </c>
      <c r="L371" s="4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556">
        <f ca="1">IFERROR(__xludf.DUMMYFUNCTION("IMPORTRANGE(""https://docs.google.com/spreadsheets/d/1tdoBKaGub7dwA3U6UFTqxio9LNnvDCQjHKmttSEBsFQ/edit?usp=sharing"",""จัดที่ดิน!AG25"")"),44.31)</f>
        <v>44.31</v>
      </c>
      <c r="K372" s="224">
        <f t="shared" si="101"/>
        <v>0</v>
      </c>
      <c r="L372" s="4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2"/>
      <c r="H373" s="52"/>
      <c r="I373" s="54"/>
      <c r="J373" s="54"/>
      <c r="K373" s="3"/>
      <c r="L373" s="46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hidden="1" x14ac:dyDescent="0.3">
      <c r="A374" s="555"/>
      <c r="B374" s="554" t="s">
        <v>153</v>
      </c>
      <c r="C374" s="553"/>
      <c r="D374" s="552"/>
      <c r="E374" s="551"/>
      <c r="F374" s="551"/>
      <c r="G374" s="550"/>
      <c r="H374" s="549" t="s">
        <v>46</v>
      </c>
      <c r="I374" s="548">
        <f ca="1">I385</f>
        <v>0</v>
      </c>
      <c r="J374" s="548">
        <f>J385</f>
        <v>0</v>
      </c>
      <c r="K374" s="547">
        <f ca="1">IF(I374&gt;0,J374*100/I374,0)</f>
        <v>0</v>
      </c>
      <c r="L374" s="539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hidden="1" x14ac:dyDescent="0.3">
      <c r="A375" s="128"/>
      <c r="B375" s="158"/>
      <c r="C375" s="161" t="s">
        <v>18</v>
      </c>
      <c r="D375" s="544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471">
        <f>L376+L377</f>
        <v>0</v>
      </c>
      <c r="M375" s="470">
        <f>M376+M377</f>
        <v>0</v>
      </c>
      <c r="N375" s="470">
        <f>N376+N377</f>
        <v>0</v>
      </c>
      <c r="O375" s="470">
        <f t="shared" ref="O375:O383" si="102">IF(L375&gt;0,N375*100/L375,0)</f>
        <v>0</v>
      </c>
      <c r="P375" s="470">
        <f t="shared" ref="P375:P383" si="103">IF(M375&gt;0,N375*100/M375,0)</f>
        <v>0</v>
      </c>
      <c r="Q375" s="470">
        <f ca="1">Q376+Q377</f>
        <v>0</v>
      </c>
      <c r="R375" s="470">
        <f ca="1">R376+R377</f>
        <v>0</v>
      </c>
      <c r="S375" s="470">
        <f ca="1">S376+S377</f>
        <v>0</v>
      </c>
      <c r="T375" s="470">
        <f t="shared" ref="T375:T383" ca="1" si="104">IF(Q375&gt;0,S375*100/Q375,0)</f>
        <v>0</v>
      </c>
      <c r="U375" s="470">
        <f t="shared" ref="U375:U383" ca="1" si="105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469">
        <f t="shared" ref="L376:N377" si="106">L379+L382</f>
        <v>0</v>
      </c>
      <c r="M376" s="83">
        <f t="shared" si="106"/>
        <v>0</v>
      </c>
      <c r="N376" s="83">
        <f t="shared" si="106"/>
        <v>0</v>
      </c>
      <c r="O376" s="83">
        <f t="shared" si="102"/>
        <v>0</v>
      </c>
      <c r="P376" s="83">
        <f t="shared" si="103"/>
        <v>0</v>
      </c>
      <c r="Q376" s="83">
        <f t="shared" ref="Q376:S377" si="107">Q379+Q382</f>
        <v>0</v>
      </c>
      <c r="R376" s="83">
        <f t="shared" si="107"/>
        <v>0</v>
      </c>
      <c r="S376" s="83">
        <f t="shared" si="107"/>
        <v>0</v>
      </c>
      <c r="T376" s="83">
        <f t="shared" si="104"/>
        <v>0</v>
      </c>
      <c r="U376" s="83">
        <f t="shared" si="105"/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468">
        <f t="shared" si="106"/>
        <v>0</v>
      </c>
      <c r="M377" s="224">
        <f t="shared" si="106"/>
        <v>0</v>
      </c>
      <c r="N377" s="224">
        <f t="shared" si="106"/>
        <v>0</v>
      </c>
      <c r="O377" s="224">
        <f t="shared" si="102"/>
        <v>0</v>
      </c>
      <c r="P377" s="224">
        <f t="shared" si="103"/>
        <v>0</v>
      </c>
      <c r="Q377" s="224">
        <f t="shared" ca="1" si="107"/>
        <v>0</v>
      </c>
      <c r="R377" s="224">
        <f t="shared" ca="1" si="107"/>
        <v>0</v>
      </c>
      <c r="S377" s="224">
        <f t="shared" ca="1" si="107"/>
        <v>0</v>
      </c>
      <c r="T377" s="224">
        <f t="shared" ca="1" si="104"/>
        <v>0</v>
      </c>
      <c r="U377" s="224">
        <f t="shared" ca="1" si="105"/>
        <v>0</v>
      </c>
    </row>
    <row r="378" spans="1:21" ht="18.75" hidden="1" x14ac:dyDescent="0.25">
      <c r="A378" s="128"/>
      <c r="B378" s="158"/>
      <c r="C378" s="158"/>
      <c r="D378" s="53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468">
        <f>L379+L380</f>
        <v>0</v>
      </c>
      <c r="M378" s="224">
        <f>M379+M380</f>
        <v>0</v>
      </c>
      <c r="N378" s="224">
        <f>N379+N380</f>
        <v>0</v>
      </c>
      <c r="O378" s="224">
        <f t="shared" si="102"/>
        <v>0</v>
      </c>
      <c r="P378" s="224">
        <f t="shared" si="103"/>
        <v>0</v>
      </c>
      <c r="Q378" s="224">
        <f ca="1">Q379+Q380</f>
        <v>0</v>
      </c>
      <c r="R378" s="224">
        <f ca="1">R379+R380</f>
        <v>0</v>
      </c>
      <c r="S378" s="224">
        <f ca="1">S379+S380</f>
        <v>0</v>
      </c>
      <c r="T378" s="224">
        <f t="shared" ca="1" si="104"/>
        <v>0</v>
      </c>
      <c r="U378" s="224">
        <f t="shared" ca="1" si="105"/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469">
        <v>0</v>
      </c>
      <c r="M379" s="83">
        <v>0</v>
      </c>
      <c r="N379" s="83">
        <v>0</v>
      </c>
      <c r="O379" s="83">
        <f t="shared" si="102"/>
        <v>0</v>
      </c>
      <c r="P379" s="83">
        <f t="shared" si="103"/>
        <v>0</v>
      </c>
      <c r="Q379" s="83">
        <v>0</v>
      </c>
      <c r="R379" s="83">
        <v>0</v>
      </c>
      <c r="S379" s="83">
        <v>0</v>
      </c>
      <c r="T379" s="83">
        <f t="shared" si="104"/>
        <v>0</v>
      </c>
      <c r="U379" s="83">
        <f t="shared" si="105"/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468">
        <v>0</v>
      </c>
      <c r="M380" s="224">
        <v>0</v>
      </c>
      <c r="N380" s="224">
        <v>0</v>
      </c>
      <c r="O380" s="224">
        <f t="shared" si="102"/>
        <v>0</v>
      </c>
      <c r="P380" s="224">
        <f t="shared" si="103"/>
        <v>0</v>
      </c>
      <c r="Q380" s="224">
        <f ca="1">IFERROR(__xludf.DUMMYFUNCTION("IMPORTRANGE(""https://docs.google.com/spreadsheets/d/1ItG2mGa2ceCfYo0BwxsXqNm01IGEUdYcSSLTEv9YCik/edit?usp=sharing"",""เบิกจ่ายกองทุน!AY25"")"),0)</f>
        <v>0</v>
      </c>
      <c r="R380" s="224">
        <f ca="1">IFERROR(__xludf.DUMMYFUNCTION("IMPORTRANGE(""https://docs.google.com/spreadsheets/d/1ItG2mGa2ceCfYo0BwxsXqNm01IGEUdYcSSLTEv9YCik/edit?usp=sharing"",""เบิกจ่ายกองทุน!AZ25"")"),0)</f>
        <v>0</v>
      </c>
      <c r="S380" s="224">
        <f ca="1">IFERROR(__xludf.DUMMYFUNCTION("IMPORTRANGE(""https://docs.google.com/spreadsheets/d/1ItG2mGa2ceCfYo0BwxsXqNm01IGEUdYcSSLTEv9YCik/edit?usp=sharing"",""เบิกจ่ายกองทุน!BA25"")"),0)</f>
        <v>0</v>
      </c>
      <c r="T380" s="224">
        <f t="shared" ca="1" si="104"/>
        <v>0</v>
      </c>
      <c r="U380" s="224">
        <f t="shared" ca="1" si="105"/>
        <v>0</v>
      </c>
    </row>
    <row r="381" spans="1:21" ht="18.75" hidden="1" x14ac:dyDescent="0.25">
      <c r="A381" s="128"/>
      <c r="B381" s="158"/>
      <c r="C381" s="158"/>
      <c r="D381" s="53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468">
        <f>L382+L383</f>
        <v>0</v>
      </c>
      <c r="M381" s="224">
        <f>M382+M383</f>
        <v>0</v>
      </c>
      <c r="N381" s="224">
        <f>N382+N383</f>
        <v>0</v>
      </c>
      <c r="O381" s="224">
        <f t="shared" si="102"/>
        <v>0</v>
      </c>
      <c r="P381" s="224">
        <f t="shared" si="103"/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 t="shared" si="104"/>
        <v>0</v>
      </c>
      <c r="U381" s="224">
        <f t="shared" si="105"/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469">
        <v>0</v>
      </c>
      <c r="M382" s="83">
        <v>0</v>
      </c>
      <c r="N382" s="83">
        <v>0</v>
      </c>
      <c r="O382" s="83">
        <f t="shared" si="102"/>
        <v>0</v>
      </c>
      <c r="P382" s="83">
        <f t="shared" si="103"/>
        <v>0</v>
      </c>
      <c r="Q382" s="83">
        <v>0</v>
      </c>
      <c r="R382" s="83">
        <v>0</v>
      </c>
      <c r="S382" s="83">
        <v>0</v>
      </c>
      <c r="T382" s="83">
        <f t="shared" si="104"/>
        <v>0</v>
      </c>
      <c r="U382" s="83">
        <f t="shared" si="105"/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468">
        <v>0</v>
      </c>
      <c r="M383" s="224">
        <v>0</v>
      </c>
      <c r="N383" s="224">
        <v>0</v>
      </c>
      <c r="O383" s="224">
        <f t="shared" si="102"/>
        <v>0</v>
      </c>
      <c r="P383" s="224">
        <f t="shared" si="103"/>
        <v>0</v>
      </c>
      <c r="Q383" s="224">
        <v>0</v>
      </c>
      <c r="R383" s="224">
        <v>0</v>
      </c>
      <c r="S383" s="224">
        <v>0</v>
      </c>
      <c r="T383" s="224">
        <f t="shared" si="104"/>
        <v>0</v>
      </c>
      <c r="U383" s="224">
        <f t="shared" si="105"/>
        <v>0</v>
      </c>
    </row>
    <row r="384" spans="1:21" ht="19.5" hidden="1" x14ac:dyDescent="0.3">
      <c r="A384" s="138"/>
      <c r="B384" s="139"/>
      <c r="C384" s="161" t="s">
        <v>18</v>
      </c>
      <c r="D384" s="491" t="s">
        <v>38</v>
      </c>
      <c r="E384" s="141"/>
      <c r="F384" s="141"/>
      <c r="G384" s="142"/>
      <c r="H384" s="178"/>
      <c r="I384" s="135"/>
      <c r="J384" s="44"/>
      <c r="K384" s="45"/>
      <c r="L384" s="465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hidden="1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184">
        <f ca="1">IFERROR(__xludf.DUMMYFUNCTION("IMPORTRANGE(""https://docs.google.com/spreadsheets/d/1eHaY18a8A9IcSdp1K8H6x8fbOy06t2VsZHhMHf-1x7Y/edit?usp=sharing"",""แผน!JQ25"")"),0)</f>
        <v>0</v>
      </c>
      <c r="J385" s="184">
        <v>0</v>
      </c>
      <c r="K385" s="224">
        <f ca="1">IF(I385&gt;0,J385*100/I385,0)</f>
        <v>0</v>
      </c>
      <c r="L385" s="465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hidden="1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IFERROR(__xludf.DUMMYFUNCTION("IMPORTRANGE(""https://docs.google.com/spreadsheets/d/1eHaY18a8A9IcSdp1K8H6x8fbOy06t2VsZHhMHf-1x7Y/edit?usp=sharing"",""แผน!JQ25"")"),0)</f>
        <v>0</v>
      </c>
      <c r="J386" s="184">
        <v>0</v>
      </c>
      <c r="K386" s="224">
        <f ca="1">IF(I386&gt;0,J386*100/I386,0)</f>
        <v>0</v>
      </c>
      <c r="L386" s="465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hidden="1" x14ac:dyDescent="0.25">
      <c r="A387" s="158"/>
      <c r="B387" s="158"/>
      <c r="C387" s="158"/>
      <c r="D387" s="158"/>
      <c r="E387" s="314" t="s">
        <v>155</v>
      </c>
      <c r="F387" s="158"/>
      <c r="G387" s="180"/>
      <c r="H387" s="157" t="s">
        <v>34</v>
      </c>
      <c r="I387" s="430">
        <v>0</v>
      </c>
      <c r="J387" s="430">
        <v>0</v>
      </c>
      <c r="K387" s="83">
        <f>IF(I387&gt;0,J387*100/I387,0)</f>
        <v>0</v>
      </c>
      <c r="L387" s="465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hidden="1" x14ac:dyDescent="0.25">
      <c r="A388" s="158"/>
      <c r="B388" s="158"/>
      <c r="C388" s="158"/>
      <c r="D388" s="158"/>
      <c r="E388" s="158"/>
      <c r="F388" s="158"/>
      <c r="G388" s="180"/>
      <c r="H388" s="157" t="s">
        <v>46</v>
      </c>
      <c r="I388" s="430">
        <v>0</v>
      </c>
      <c r="J388" s="430">
        <v>0</v>
      </c>
      <c r="K388" s="83">
        <f>IF(I388&gt;0,J388*100/I388,0)</f>
        <v>0</v>
      </c>
      <c r="L388" s="465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11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16"/>
      <c r="B390" s="316"/>
      <c r="C390" s="316"/>
      <c r="D390" s="316"/>
      <c r="E390" s="316"/>
      <c r="F390" s="316"/>
      <c r="G390" s="317"/>
      <c r="H390" s="317"/>
      <c r="I390" s="318"/>
      <c r="J390" s="318"/>
      <c r="K390" s="319"/>
      <c r="L390" s="496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hidden="1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>I402</f>
        <v>0</v>
      </c>
      <c r="J391" s="307">
        <f>J402</f>
        <v>0</v>
      </c>
      <c r="K391" s="540">
        <f>IF(I391&gt;0,J391*100/I391,0)</f>
        <v>0</v>
      </c>
      <c r="L391" s="539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hidden="1" x14ac:dyDescent="0.3">
      <c r="A392" s="128"/>
      <c r="B392" s="158"/>
      <c r="C392" s="161" t="s">
        <v>18</v>
      </c>
      <c r="D392" s="54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471">
        <f>L393+L394</f>
        <v>0</v>
      </c>
      <c r="M392" s="470">
        <f>M393+M394</f>
        <v>0</v>
      </c>
      <c r="N392" s="470">
        <f>N393+N394</f>
        <v>0</v>
      </c>
      <c r="O392" s="470">
        <f t="shared" ref="O392:O400" si="108">IF(L392&gt;0,N392*100/L392,0)</f>
        <v>0</v>
      </c>
      <c r="P392" s="470">
        <f t="shared" ref="P392:P400" si="109">IF(M392&gt;0,N392*100/M392,0)</f>
        <v>0</v>
      </c>
      <c r="Q392" s="470">
        <f>Q393+Q394</f>
        <v>0</v>
      </c>
      <c r="R392" s="470">
        <f>R393+R394</f>
        <v>0</v>
      </c>
      <c r="S392" s="470">
        <f>S393+S394</f>
        <v>0</v>
      </c>
      <c r="T392" s="470">
        <f t="shared" ref="T392:T400" si="110">IF(Q392&gt;0,S392*100/Q392,0)</f>
        <v>0</v>
      </c>
      <c r="U392" s="470">
        <f t="shared" ref="U392:U400" si="11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469">
        <f t="shared" ref="L393:N394" si="112">L396+L399</f>
        <v>0</v>
      </c>
      <c r="M393" s="83">
        <f t="shared" si="112"/>
        <v>0</v>
      </c>
      <c r="N393" s="83">
        <f t="shared" si="112"/>
        <v>0</v>
      </c>
      <c r="O393" s="83">
        <f t="shared" si="108"/>
        <v>0</v>
      </c>
      <c r="P393" s="83">
        <f t="shared" si="109"/>
        <v>0</v>
      </c>
      <c r="Q393" s="83">
        <f t="shared" ref="Q393:S394" si="113">Q396+Q399</f>
        <v>0</v>
      </c>
      <c r="R393" s="83">
        <f t="shared" si="113"/>
        <v>0</v>
      </c>
      <c r="S393" s="83">
        <f t="shared" si="113"/>
        <v>0</v>
      </c>
      <c r="T393" s="83">
        <f t="shared" si="110"/>
        <v>0</v>
      </c>
      <c r="U393" s="83">
        <f t="shared" si="111"/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468">
        <f t="shared" si="112"/>
        <v>0</v>
      </c>
      <c r="M394" s="224">
        <f t="shared" si="112"/>
        <v>0</v>
      </c>
      <c r="N394" s="224">
        <f t="shared" si="112"/>
        <v>0</v>
      </c>
      <c r="O394" s="224">
        <f t="shared" si="108"/>
        <v>0</v>
      </c>
      <c r="P394" s="224">
        <f t="shared" si="109"/>
        <v>0</v>
      </c>
      <c r="Q394" s="224">
        <f t="shared" si="113"/>
        <v>0</v>
      </c>
      <c r="R394" s="224">
        <f t="shared" si="113"/>
        <v>0</v>
      </c>
      <c r="S394" s="224">
        <f t="shared" si="113"/>
        <v>0</v>
      </c>
      <c r="T394" s="224">
        <f t="shared" si="110"/>
        <v>0</v>
      </c>
      <c r="U394" s="224">
        <f t="shared" si="111"/>
        <v>0</v>
      </c>
    </row>
    <row r="395" spans="1:21" ht="18.75" hidden="1" x14ac:dyDescent="0.25">
      <c r="A395" s="128"/>
      <c r="B395" s="158"/>
      <c r="C395" s="158"/>
      <c r="D395" s="53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468">
        <f>L396+L397</f>
        <v>0</v>
      </c>
      <c r="M395" s="224">
        <f>M396+M397</f>
        <v>0</v>
      </c>
      <c r="N395" s="224">
        <f>N396+N397</f>
        <v>0</v>
      </c>
      <c r="O395" s="224">
        <f t="shared" si="108"/>
        <v>0</v>
      </c>
      <c r="P395" s="224">
        <f t="shared" si="109"/>
        <v>0</v>
      </c>
      <c r="Q395" s="224">
        <f>Q396+Q397</f>
        <v>0</v>
      </c>
      <c r="R395" s="224">
        <f>R396+R397</f>
        <v>0</v>
      </c>
      <c r="S395" s="224">
        <f>S396+S397</f>
        <v>0</v>
      </c>
      <c r="T395" s="224">
        <f t="shared" si="110"/>
        <v>0</v>
      </c>
      <c r="U395" s="224">
        <f t="shared" si="111"/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469">
        <v>0</v>
      </c>
      <c r="M396" s="83">
        <v>0</v>
      </c>
      <c r="N396" s="83">
        <v>0</v>
      </c>
      <c r="O396" s="83">
        <f t="shared" si="108"/>
        <v>0</v>
      </c>
      <c r="P396" s="83">
        <f t="shared" si="109"/>
        <v>0</v>
      </c>
      <c r="Q396" s="83">
        <v>0</v>
      </c>
      <c r="R396" s="83">
        <v>0</v>
      </c>
      <c r="S396" s="83">
        <v>0</v>
      </c>
      <c r="T396" s="83">
        <f t="shared" si="110"/>
        <v>0</v>
      </c>
      <c r="U396" s="83">
        <f t="shared" si="111"/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468">
        <v>0</v>
      </c>
      <c r="M397" s="224">
        <v>0</v>
      </c>
      <c r="N397" s="224">
        <v>0</v>
      </c>
      <c r="O397" s="224">
        <f t="shared" si="108"/>
        <v>0</v>
      </c>
      <c r="P397" s="224">
        <f t="shared" si="109"/>
        <v>0</v>
      </c>
      <c r="Q397" s="224">
        <v>0</v>
      </c>
      <c r="R397" s="224">
        <v>0</v>
      </c>
      <c r="S397" s="224">
        <v>0</v>
      </c>
      <c r="T397" s="224">
        <f t="shared" si="110"/>
        <v>0</v>
      </c>
      <c r="U397" s="224">
        <f t="shared" si="111"/>
        <v>0</v>
      </c>
    </row>
    <row r="398" spans="1:21" ht="18.75" hidden="1" x14ac:dyDescent="0.25">
      <c r="A398" s="128"/>
      <c r="B398" s="158"/>
      <c r="C398" s="158"/>
      <c r="D398" s="53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468">
        <f>L399+L400</f>
        <v>0</v>
      </c>
      <c r="M398" s="224">
        <f>M399+M400</f>
        <v>0</v>
      </c>
      <c r="N398" s="224">
        <f>N399+N400</f>
        <v>0</v>
      </c>
      <c r="O398" s="224">
        <f t="shared" si="108"/>
        <v>0</v>
      </c>
      <c r="P398" s="224">
        <f t="shared" si="109"/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 t="shared" si="110"/>
        <v>0</v>
      </c>
      <c r="U398" s="224">
        <f t="shared" si="111"/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469">
        <v>0</v>
      </c>
      <c r="M399" s="83">
        <v>0</v>
      </c>
      <c r="N399" s="83">
        <v>0</v>
      </c>
      <c r="O399" s="83">
        <f t="shared" si="108"/>
        <v>0</v>
      </c>
      <c r="P399" s="83">
        <f t="shared" si="109"/>
        <v>0</v>
      </c>
      <c r="Q399" s="83">
        <v>0</v>
      </c>
      <c r="R399" s="83">
        <v>0</v>
      </c>
      <c r="S399" s="83">
        <v>0</v>
      </c>
      <c r="T399" s="83">
        <f t="shared" si="110"/>
        <v>0</v>
      </c>
      <c r="U399" s="83">
        <f t="shared" si="111"/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468">
        <v>0</v>
      </c>
      <c r="M400" s="224">
        <v>0</v>
      </c>
      <c r="N400" s="224">
        <v>0</v>
      </c>
      <c r="O400" s="224">
        <f t="shared" si="108"/>
        <v>0</v>
      </c>
      <c r="P400" s="224">
        <f t="shared" si="109"/>
        <v>0</v>
      </c>
      <c r="Q400" s="224">
        <v>0</v>
      </c>
      <c r="R400" s="224">
        <v>0</v>
      </c>
      <c r="S400" s="224">
        <v>0</v>
      </c>
      <c r="T400" s="224">
        <f t="shared" si="110"/>
        <v>0</v>
      </c>
      <c r="U400" s="224">
        <f t="shared" si="111"/>
        <v>0</v>
      </c>
    </row>
    <row r="401" spans="1:21" ht="19.5" hidden="1" x14ac:dyDescent="0.3">
      <c r="A401" s="138"/>
      <c r="B401" s="139"/>
      <c r="C401" s="161" t="s">
        <v>18</v>
      </c>
      <c r="D401" s="491" t="s">
        <v>38</v>
      </c>
      <c r="E401" s="141"/>
      <c r="F401" s="141"/>
      <c r="G401" s="142"/>
      <c r="H401" s="178"/>
      <c r="I401" s="135"/>
      <c r="J401" s="44"/>
      <c r="K401" s="45"/>
      <c r="L401" s="465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11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11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11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11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11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11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11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11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11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496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hidden="1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541">
        <f ca="1">I423</f>
        <v>0</v>
      </c>
      <c r="J412" s="541">
        <f>J423</f>
        <v>0</v>
      </c>
      <c r="K412" s="540">
        <f ca="1">IF(I412&gt;0,J412*100/I412,0)</f>
        <v>0</v>
      </c>
      <c r="L412" s="539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hidden="1" x14ac:dyDescent="0.3">
      <c r="A413" s="128"/>
      <c r="B413" s="158"/>
      <c r="C413" s="322" t="s">
        <v>18</v>
      </c>
      <c r="D413" s="819" t="s">
        <v>19</v>
      </c>
      <c r="E413" s="800"/>
      <c r="F413" s="800"/>
      <c r="G413" s="801"/>
      <c r="H413" s="323" t="s">
        <v>14</v>
      </c>
      <c r="I413" s="44"/>
      <c r="J413" s="44"/>
      <c r="K413" s="45"/>
      <c r="L413" s="471">
        <f>L414+L415</f>
        <v>0</v>
      </c>
      <c r="M413" s="470">
        <f>M414+M415</f>
        <v>0</v>
      </c>
      <c r="N413" s="470">
        <f>N414+N415</f>
        <v>0</v>
      </c>
      <c r="O413" s="470">
        <f t="shared" ref="O413:O421" si="114">IF(L413&gt;0,N413*100/L413,0)</f>
        <v>0</v>
      </c>
      <c r="P413" s="470">
        <f t="shared" ref="P413:P421" si="115">IF(M413&gt;0,N413*100/M413,0)</f>
        <v>0</v>
      </c>
      <c r="Q413" s="470">
        <f ca="1">Q414+Q415</f>
        <v>0</v>
      </c>
      <c r="R413" s="470">
        <f ca="1">R414+R415</f>
        <v>0</v>
      </c>
      <c r="S413" s="470">
        <f ca="1">S414+S415</f>
        <v>0</v>
      </c>
      <c r="T413" s="470">
        <f t="shared" ref="T413:T421" ca="1" si="116">IF(Q413&gt;0,S413*100/Q413,0)</f>
        <v>0</v>
      </c>
      <c r="U413" s="470">
        <f t="shared" ref="U413:U421" ca="1" si="117">IF(R413&gt;0,S413*100/R413,0)</f>
        <v>0</v>
      </c>
    </row>
    <row r="414" spans="1:21" ht="18.75" hidden="1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469">
        <f t="shared" ref="L414:N415" si="118">L417+L420</f>
        <v>0</v>
      </c>
      <c r="M414" s="83">
        <f t="shared" si="118"/>
        <v>0</v>
      </c>
      <c r="N414" s="83">
        <f t="shared" si="118"/>
        <v>0</v>
      </c>
      <c r="O414" s="83">
        <f t="shared" si="114"/>
        <v>0</v>
      </c>
      <c r="P414" s="83">
        <f t="shared" si="115"/>
        <v>0</v>
      </c>
      <c r="Q414" s="83">
        <f t="shared" ref="Q414:S415" si="119">Q417+Q420</f>
        <v>0</v>
      </c>
      <c r="R414" s="83">
        <f t="shared" si="119"/>
        <v>0</v>
      </c>
      <c r="S414" s="83">
        <f t="shared" si="119"/>
        <v>0</v>
      </c>
      <c r="T414" s="83">
        <f t="shared" si="116"/>
        <v>0</v>
      </c>
      <c r="U414" s="83">
        <f t="shared" si="117"/>
        <v>0</v>
      </c>
    </row>
    <row r="415" spans="1:21" ht="18.75" hidden="1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468">
        <f t="shared" si="118"/>
        <v>0</v>
      </c>
      <c r="M415" s="224">
        <f t="shared" si="118"/>
        <v>0</v>
      </c>
      <c r="N415" s="224">
        <f t="shared" si="118"/>
        <v>0</v>
      </c>
      <c r="O415" s="224">
        <f t="shared" si="114"/>
        <v>0</v>
      </c>
      <c r="P415" s="224">
        <f t="shared" si="115"/>
        <v>0</v>
      </c>
      <c r="Q415" s="224">
        <f t="shared" ca="1" si="119"/>
        <v>0</v>
      </c>
      <c r="R415" s="224">
        <f t="shared" ca="1" si="119"/>
        <v>0</v>
      </c>
      <c r="S415" s="224">
        <f t="shared" ca="1" si="119"/>
        <v>0</v>
      </c>
      <c r="T415" s="224">
        <f t="shared" ca="1" si="116"/>
        <v>0</v>
      </c>
      <c r="U415" s="224">
        <f t="shared" ca="1" si="117"/>
        <v>0</v>
      </c>
    </row>
    <row r="416" spans="1:21" ht="19.5" hidden="1" x14ac:dyDescent="0.3">
      <c r="A416" s="128"/>
      <c r="B416" s="158"/>
      <c r="C416" s="158"/>
      <c r="D416" s="54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468">
        <f>L417+L418</f>
        <v>0</v>
      </c>
      <c r="M416" s="224">
        <f>M417+M418</f>
        <v>0</v>
      </c>
      <c r="N416" s="224">
        <f>N417+N418</f>
        <v>0</v>
      </c>
      <c r="O416" s="224">
        <f t="shared" si="114"/>
        <v>0</v>
      </c>
      <c r="P416" s="224">
        <f t="shared" si="115"/>
        <v>0</v>
      </c>
      <c r="Q416" s="224">
        <f ca="1">Q417+Q418</f>
        <v>0</v>
      </c>
      <c r="R416" s="224">
        <f ca="1">R417+R418</f>
        <v>0</v>
      </c>
      <c r="S416" s="224">
        <f ca="1">S417+S418</f>
        <v>0</v>
      </c>
      <c r="T416" s="224">
        <f t="shared" ca="1" si="116"/>
        <v>0</v>
      </c>
      <c r="U416" s="224">
        <f t="shared" ca="1" si="117"/>
        <v>0</v>
      </c>
    </row>
    <row r="417" spans="1:21" ht="18.75" hidden="1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469">
        <v>0</v>
      </c>
      <c r="M417" s="83">
        <v>0</v>
      </c>
      <c r="N417" s="83">
        <v>0</v>
      </c>
      <c r="O417" s="83">
        <f t="shared" si="114"/>
        <v>0</v>
      </c>
      <c r="P417" s="83">
        <f t="shared" si="115"/>
        <v>0</v>
      </c>
      <c r="Q417" s="83">
        <v>0</v>
      </c>
      <c r="R417" s="83">
        <v>0</v>
      </c>
      <c r="S417" s="83">
        <v>0</v>
      </c>
      <c r="T417" s="83">
        <f t="shared" si="116"/>
        <v>0</v>
      </c>
      <c r="U417" s="83">
        <f t="shared" si="117"/>
        <v>0</v>
      </c>
    </row>
    <row r="418" spans="1:21" ht="18.75" hidden="1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468">
        <v>0</v>
      </c>
      <c r="M418" s="224">
        <v>0</v>
      </c>
      <c r="N418" s="224">
        <v>0</v>
      </c>
      <c r="O418" s="224">
        <f t="shared" si="114"/>
        <v>0</v>
      </c>
      <c r="P418" s="224">
        <f t="shared" si="115"/>
        <v>0</v>
      </c>
      <c r="Q418" s="224">
        <f ca="1">IFERROR(__xludf.DUMMYFUNCTION("IMPORTRANGE(""https://docs.google.com/spreadsheets/d/1ItG2mGa2ceCfYo0BwxsXqNm01IGEUdYcSSLTEv9YCik/edit?usp=sharing"",""เบิกจ่ายกองทุน!BH25"")"),0)</f>
        <v>0</v>
      </c>
      <c r="R418" s="224">
        <f ca="1">IFERROR(__xludf.DUMMYFUNCTION("IMPORTRANGE(""https://docs.google.com/spreadsheets/d/1ItG2mGa2ceCfYo0BwxsXqNm01IGEUdYcSSLTEv9YCik/edit?usp=sharing"",""เบิกจ่ายกองทุน!BI25"")"),0)</f>
        <v>0</v>
      </c>
      <c r="S418" s="224">
        <f ca="1">IFERROR(__xludf.DUMMYFUNCTION("IMPORTRANGE(""https://docs.google.com/spreadsheets/d/1ItG2mGa2ceCfYo0BwxsXqNm01IGEUdYcSSLTEv9YCik/edit?usp=sharing"",""เบิกจ่ายกองทุน!BJ25"")"),0)</f>
        <v>0</v>
      </c>
      <c r="T418" s="224">
        <f t="shared" ca="1" si="116"/>
        <v>0</v>
      </c>
      <c r="U418" s="224">
        <f t="shared" ca="1" si="117"/>
        <v>0</v>
      </c>
    </row>
    <row r="419" spans="1:21" ht="19.5" hidden="1" x14ac:dyDescent="0.3">
      <c r="A419" s="128"/>
      <c r="B419" s="158"/>
      <c r="C419" s="158"/>
      <c r="D419" s="54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468">
        <f>L420+L421</f>
        <v>0</v>
      </c>
      <c r="M419" s="224">
        <f>M420+M421</f>
        <v>0</v>
      </c>
      <c r="N419" s="224">
        <f>N420+N421</f>
        <v>0</v>
      </c>
      <c r="O419" s="224">
        <f t="shared" si="114"/>
        <v>0</v>
      </c>
      <c r="P419" s="224">
        <f t="shared" si="115"/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 t="shared" si="116"/>
        <v>0</v>
      </c>
      <c r="U419" s="224">
        <f t="shared" si="117"/>
        <v>0</v>
      </c>
    </row>
    <row r="420" spans="1:21" ht="18.75" hidden="1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469">
        <v>0</v>
      </c>
      <c r="M420" s="83">
        <v>0</v>
      </c>
      <c r="N420" s="83">
        <v>0</v>
      </c>
      <c r="O420" s="83">
        <f t="shared" si="114"/>
        <v>0</v>
      </c>
      <c r="P420" s="83">
        <f t="shared" si="115"/>
        <v>0</v>
      </c>
      <c r="Q420" s="83">
        <v>0</v>
      </c>
      <c r="R420" s="83">
        <v>0</v>
      </c>
      <c r="S420" s="83">
        <v>0</v>
      </c>
      <c r="T420" s="83">
        <f t="shared" si="116"/>
        <v>0</v>
      </c>
      <c r="U420" s="83">
        <f t="shared" si="117"/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468">
        <v>0</v>
      </c>
      <c r="M421" s="224">
        <v>0</v>
      </c>
      <c r="N421" s="224">
        <v>0</v>
      </c>
      <c r="O421" s="224">
        <f t="shared" si="114"/>
        <v>0</v>
      </c>
      <c r="P421" s="224">
        <f t="shared" si="115"/>
        <v>0</v>
      </c>
      <c r="Q421" s="224">
        <v>0</v>
      </c>
      <c r="R421" s="224">
        <v>0</v>
      </c>
      <c r="S421" s="224">
        <v>0</v>
      </c>
      <c r="T421" s="224">
        <f t="shared" si="116"/>
        <v>0</v>
      </c>
      <c r="U421" s="224">
        <f t="shared" si="117"/>
        <v>0</v>
      </c>
    </row>
    <row r="422" spans="1:21" ht="19.5" hidden="1" x14ac:dyDescent="0.3">
      <c r="A422" s="208"/>
      <c r="B422" s="158"/>
      <c r="C422" s="322" t="s">
        <v>18</v>
      </c>
      <c r="D422" s="543" t="s">
        <v>38</v>
      </c>
      <c r="E422" s="158"/>
      <c r="F422" s="158"/>
      <c r="G422" s="180"/>
      <c r="H422" s="180"/>
      <c r="I422" s="44"/>
      <c r="J422" s="44"/>
      <c r="K422" s="45"/>
      <c r="L422" s="465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ca="1">I440</f>
        <v>0</v>
      </c>
      <c r="J423" s="328">
        <f>J440</f>
        <v>0</v>
      </c>
      <c r="K423" s="470">
        <f ca="1">IF(I423&gt;0,J423*100/I423,0)</f>
        <v>0</v>
      </c>
      <c r="L423" s="465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IFERROR(__xludf.DUMMYFUNCTION("IMPORTRANGE(""https://docs.google.com/spreadsheets/d/1eHaY18a8A9IcSdp1K8H6x8fbOy06t2VsZHhMHf-1x7Y/edit?usp=sharing"",""แผน!HJ25"")"),0)</f>
        <v>0</v>
      </c>
      <c r="J424" s="328">
        <f>J426+J428+J430</f>
        <v>0</v>
      </c>
      <c r="K424" s="470">
        <f ca="1">IF(I424&gt;0,J424*100/I424,0)</f>
        <v>0</v>
      </c>
      <c r="L424" s="465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IFERROR(__xludf.DUMMYFUNCTION("IMPORTRANGE(""https://docs.google.com/spreadsheets/d/1eHaY18a8A9IcSdp1K8H6x8fbOy06t2VsZHhMHf-1x7Y/edit?usp=sharing"",""แผน!HK25"")"),0)</f>
        <v>0</v>
      </c>
      <c r="J425" s="328">
        <f>J427+J429+J431</f>
        <v>0</v>
      </c>
      <c r="K425" s="470">
        <f ca="1">IF(I425&gt;0,J425*100/I425,0)</f>
        <v>0</v>
      </c>
      <c r="L425" s="465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465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465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465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465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465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465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IFERROR(__xludf.DUMMYFUNCTION("IMPORTRANGE(""https://docs.google.com/spreadsheets/d/1eHaY18a8A9IcSdp1K8H6x8fbOy06t2VsZHhMHf-1x7Y/edit?usp=sharing"",""แผน!HJ25"")"),0)</f>
        <v>0</v>
      </c>
      <c r="J432" s="328">
        <f>J434+J436+J438</f>
        <v>0</v>
      </c>
      <c r="K432" s="470">
        <f ca="1">IF(I432&gt;0,J432*100/I432,0)</f>
        <v>0</v>
      </c>
      <c r="L432" s="465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IFERROR(__xludf.DUMMYFUNCTION("IMPORTRANGE(""https://docs.google.com/spreadsheets/d/1eHaY18a8A9IcSdp1K8H6x8fbOy06t2VsZHhMHf-1x7Y/edit?usp=sharing"",""แผน!HK25"")"),0)</f>
        <v>0</v>
      </c>
      <c r="J433" s="328">
        <f>J435+J437+J439</f>
        <v>0</v>
      </c>
      <c r="K433" s="470">
        <f ca="1">IF(I433&gt;0,J433*100/I433,0)</f>
        <v>0</v>
      </c>
      <c r="L433" s="465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465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465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465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465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465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465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IFERROR(__xludf.DUMMYFUNCTION("IMPORTRANGE(""https://docs.google.com/spreadsheets/d/1eHaY18a8A9IcSdp1K8H6x8fbOy06t2VsZHhMHf-1x7Y/edit?usp=sharing"",""แผน!HJ25"")"),0)</f>
        <v>0</v>
      </c>
      <c r="J440" s="328">
        <f>J442+J444+J446+J452+J454</f>
        <v>0</v>
      </c>
      <c r="K440" s="470">
        <f ca="1">IF(I440&gt;0,J440*100/I440,0)</f>
        <v>0</v>
      </c>
      <c r="L440" s="465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IFERROR(__xludf.DUMMYFUNCTION("IMPORTRANGE(""https://docs.google.com/spreadsheets/d/1eHaY18a8A9IcSdp1K8H6x8fbOy06t2VsZHhMHf-1x7Y/edit?usp=sharing"",""แผน!HK25"")"),0)</f>
        <v>0</v>
      </c>
      <c r="J441" s="328">
        <f>J443+J445+J447+J453+J455</f>
        <v>0</v>
      </c>
      <c r="K441" s="470">
        <f ca="1">IF(I441&gt;0,J441*100/I441,0)</f>
        <v>0</v>
      </c>
      <c r="L441" s="465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465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465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465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465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>J448+J450</f>
        <v>0</v>
      </c>
      <c r="K446" s="45"/>
      <c r="L446" s="465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>J449+J451</f>
        <v>0</v>
      </c>
      <c r="K447" s="45"/>
      <c r="L447" s="465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465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465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465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465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465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465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542"/>
      <c r="K454" s="45"/>
      <c r="L454" s="465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465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hidden="1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ca="1">I457</f>
        <v>0</v>
      </c>
      <c r="J456" s="328">
        <f>J457</f>
        <v>0</v>
      </c>
      <c r="K456" s="470">
        <f ca="1">IF(I456&gt;0,J456*100/I456,0)</f>
        <v>0</v>
      </c>
      <c r="L456" s="465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IFERROR(__xludf.DUMMYFUNCTION("IMPORTRANGE(""https://docs.google.com/spreadsheets/d/1eHaY18a8A9IcSdp1K8H6x8fbOy06t2VsZHhMHf-1x7Y/edit?usp=sharing"",""แผน!HL25"")"),0)</f>
        <v>0</v>
      </c>
      <c r="J457" s="328">
        <f>J459+J467+J473</f>
        <v>0</v>
      </c>
      <c r="K457" s="470">
        <f ca="1">IF(I457&gt;0,J457*100/I457,0)</f>
        <v>0</v>
      </c>
      <c r="L457" s="465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IFERROR(__xludf.DUMMYFUNCTION("IMPORTRANGE(""https://docs.google.com/spreadsheets/d/1eHaY18a8A9IcSdp1K8H6x8fbOy06t2VsZHhMHf-1x7Y/edit?usp=sharing"",""แผน!HM25"")"),0)</f>
        <v>0</v>
      </c>
      <c r="J458" s="328">
        <f>J460+J468+J474</f>
        <v>0</v>
      </c>
      <c r="K458" s="470">
        <f ca="1">IF(I458&gt;0,J458*100/I458,0)</f>
        <v>0</v>
      </c>
      <c r="L458" s="465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hidden="1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>J461+J463</f>
        <v>0</v>
      </c>
      <c r="K459" s="45"/>
      <c r="L459" s="465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>J462+J464</f>
        <v>0</v>
      </c>
      <c r="K460" s="45"/>
      <c r="L460" s="465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465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465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465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465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465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465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>J469+J471</f>
        <v>0</v>
      </c>
      <c r="K467" s="45"/>
      <c r="L467" s="465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>J470+J472</f>
        <v>0</v>
      </c>
      <c r="K468" s="45"/>
      <c r="L468" s="465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465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465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465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465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465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465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470">
        <f>IF(I475&gt;0,J475*100/I475,0)</f>
        <v>0</v>
      </c>
      <c r="L475" s="465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>J478+J480</f>
        <v>0</v>
      </c>
      <c r="K476" s="470">
        <f>IF(I476&gt;0,J476*100/I476,0)</f>
        <v>0</v>
      </c>
      <c r="L476" s="465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>J479+J481</f>
        <v>0</v>
      </c>
      <c r="K477" s="470">
        <f>IF(I477&gt;0,J477*100/I477,0)</f>
        <v>0</v>
      </c>
      <c r="L477" s="465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hidden="1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465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465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465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465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IFERROR(__xludf.DUMMYFUNCTION("IMPORTRANGE(""https://docs.google.com/spreadsheets/d/1eHaY18a8A9IcSdp1K8H6x8fbOy06t2VsZHhMHf-1x7Y/edit?usp=sharing"",""แผน!HN25"")"),0)</f>
        <v>0</v>
      </c>
      <c r="K482" s="45"/>
      <c r="L482" s="465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IFERROR(__xludf.DUMMYFUNCTION("IMPORTRANGE(""https://docs.google.com/spreadsheets/d/1eHaY18a8A9IcSdp1K8H6x8fbOy06t2VsZHhMHf-1x7Y/edit?usp=sharing"",""แผน!HO25"")"),0)</f>
        <v>0</v>
      </c>
      <c r="K483" s="45"/>
      <c r="L483" s="465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>J480</f>
        <v>0</v>
      </c>
      <c r="J484" s="328">
        <f>J486+J488+J490</f>
        <v>0</v>
      </c>
      <c r="K484" s="470">
        <f>IF(I484&gt;0,J484*100/I484,0)</f>
        <v>0</v>
      </c>
      <c r="L484" s="465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>J481</f>
        <v>0</v>
      </c>
      <c r="J485" s="328">
        <f>J487+J489+J491</f>
        <v>0</v>
      </c>
      <c r="K485" s="470">
        <f>IF(I485&gt;0,J485*100/I485,0)</f>
        <v>0</v>
      </c>
      <c r="L485" s="465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hidden="1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465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465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465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465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465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46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541">
        <f ca="1">I503</f>
        <v>0</v>
      </c>
      <c r="J492" s="541">
        <f ca="1">J503</f>
        <v>0</v>
      </c>
      <c r="K492" s="540">
        <f ca="1">IF(I492&gt;0,J492*100/I492,0)</f>
        <v>0</v>
      </c>
      <c r="L492" s="539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hidden="1" x14ac:dyDescent="0.3">
      <c r="A493" s="128"/>
      <c r="B493" s="158"/>
      <c r="C493" s="177" t="s">
        <v>18</v>
      </c>
      <c r="D493" s="819" t="s">
        <v>19</v>
      </c>
      <c r="E493" s="800"/>
      <c r="F493" s="800"/>
      <c r="G493" s="42"/>
      <c r="H493" s="221" t="s">
        <v>14</v>
      </c>
      <c r="I493" s="44"/>
      <c r="J493" s="44"/>
      <c r="K493" s="45"/>
      <c r="L493" s="471">
        <f>L494+L495</f>
        <v>0</v>
      </c>
      <c r="M493" s="470">
        <f>M494+M495</f>
        <v>0</v>
      </c>
      <c r="N493" s="470">
        <f>N494+N495</f>
        <v>0</v>
      </c>
      <c r="O493" s="470">
        <f t="shared" ref="O493:O501" si="120">IF(L493&gt;0,N493*100/L493,0)</f>
        <v>0</v>
      </c>
      <c r="P493" s="470">
        <f t="shared" ref="P493:P501" si="121">IF(M493&gt;0,N493*100/M493,0)</f>
        <v>0</v>
      </c>
      <c r="Q493" s="470">
        <f ca="1">Q494+Q495</f>
        <v>0</v>
      </c>
      <c r="R493" s="470">
        <f ca="1">R494+R495</f>
        <v>0</v>
      </c>
      <c r="S493" s="470">
        <f ca="1">S494+S495</f>
        <v>0</v>
      </c>
      <c r="T493" s="470">
        <f t="shared" ref="T493:T501" ca="1" si="122">IF(Q493&gt;0,S493*100/Q493,0)</f>
        <v>0</v>
      </c>
      <c r="U493" s="470">
        <f t="shared" ref="U493:U501" ca="1" si="123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469">
        <f t="shared" ref="L494:N495" si="124">L497+L500</f>
        <v>0</v>
      </c>
      <c r="M494" s="83">
        <f t="shared" si="124"/>
        <v>0</v>
      </c>
      <c r="N494" s="83">
        <f t="shared" si="124"/>
        <v>0</v>
      </c>
      <c r="O494" s="83">
        <f t="shared" si="120"/>
        <v>0</v>
      </c>
      <c r="P494" s="83">
        <f t="shared" si="121"/>
        <v>0</v>
      </c>
      <c r="Q494" s="83">
        <f t="shared" ref="Q494:S495" si="125">Q497+Q500</f>
        <v>0</v>
      </c>
      <c r="R494" s="83">
        <f t="shared" si="125"/>
        <v>0</v>
      </c>
      <c r="S494" s="83">
        <f t="shared" si="125"/>
        <v>0</v>
      </c>
      <c r="T494" s="83">
        <f t="shared" si="122"/>
        <v>0</v>
      </c>
      <c r="U494" s="83">
        <f t="shared" si="123"/>
        <v>0</v>
      </c>
    </row>
    <row r="495" spans="1:21" ht="18.75" hidden="1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468">
        <f t="shared" si="124"/>
        <v>0</v>
      </c>
      <c r="M495" s="224">
        <f t="shared" si="124"/>
        <v>0</v>
      </c>
      <c r="N495" s="224">
        <f t="shared" si="124"/>
        <v>0</v>
      </c>
      <c r="O495" s="224">
        <f t="shared" si="120"/>
        <v>0</v>
      </c>
      <c r="P495" s="224">
        <f t="shared" si="121"/>
        <v>0</v>
      </c>
      <c r="Q495" s="224">
        <f t="shared" ca="1" si="125"/>
        <v>0</v>
      </c>
      <c r="R495" s="224">
        <f t="shared" ca="1" si="125"/>
        <v>0</v>
      </c>
      <c r="S495" s="224">
        <f t="shared" ca="1" si="125"/>
        <v>0</v>
      </c>
      <c r="T495" s="224">
        <f t="shared" ca="1" si="122"/>
        <v>0</v>
      </c>
      <c r="U495" s="224">
        <f t="shared" ca="1" si="123"/>
        <v>0</v>
      </c>
    </row>
    <row r="496" spans="1:21" ht="18.75" hidden="1" x14ac:dyDescent="0.25">
      <c r="A496" s="128"/>
      <c r="B496" s="158"/>
      <c r="C496" s="158"/>
      <c r="D496" s="53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468">
        <f>L497+L498</f>
        <v>0</v>
      </c>
      <c r="M496" s="224">
        <f>M497+M498</f>
        <v>0</v>
      </c>
      <c r="N496" s="224">
        <f>N497+N498</f>
        <v>0</v>
      </c>
      <c r="O496" s="224">
        <f t="shared" si="120"/>
        <v>0</v>
      </c>
      <c r="P496" s="224">
        <f t="shared" si="121"/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t="shared" ca="1" si="122"/>
        <v>0</v>
      </c>
      <c r="U496" s="224">
        <f t="shared" ca="1" si="123"/>
        <v>0</v>
      </c>
    </row>
    <row r="497" spans="1:21" ht="18.75" hidden="1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469">
        <v>0</v>
      </c>
      <c r="M497" s="83">
        <v>0</v>
      </c>
      <c r="N497" s="83">
        <v>0</v>
      </c>
      <c r="O497" s="83">
        <f t="shared" si="120"/>
        <v>0</v>
      </c>
      <c r="P497" s="83">
        <f t="shared" si="121"/>
        <v>0</v>
      </c>
      <c r="Q497" s="83">
        <v>0</v>
      </c>
      <c r="R497" s="83">
        <v>0</v>
      </c>
      <c r="S497" s="83">
        <v>0</v>
      </c>
      <c r="T497" s="83">
        <f t="shared" si="122"/>
        <v>0</v>
      </c>
      <c r="U497" s="83">
        <f t="shared" si="123"/>
        <v>0</v>
      </c>
    </row>
    <row r="498" spans="1:21" ht="18.75" hidden="1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468">
        <v>0</v>
      </c>
      <c r="M498" s="224">
        <v>0</v>
      </c>
      <c r="N498" s="224">
        <v>0</v>
      </c>
      <c r="O498" s="224">
        <f t="shared" si="120"/>
        <v>0</v>
      </c>
      <c r="P498" s="224">
        <f t="shared" si="121"/>
        <v>0</v>
      </c>
      <c r="Q498" s="224">
        <f ca="1">IFERROR(__xludf.DUMMYFUNCTION("IMPORTRANGE(""https://docs.google.com/spreadsheets/d/1ItG2mGa2ceCfYo0BwxsXqNm01IGEUdYcSSLTEv9YCik/edit?usp=sharing"",""เบิกจ่ายกองทุน!X25"")"),0)</f>
        <v>0</v>
      </c>
      <c r="R498" s="224">
        <f ca="1">IFERROR(__xludf.DUMMYFUNCTION("IMPORTRANGE(""https://docs.google.com/spreadsheets/d/1ItG2mGa2ceCfYo0BwxsXqNm01IGEUdYcSSLTEv9YCik/edit?usp=sharing"",""เบิกจ่ายกองทุน!Y25"")"),0)</f>
        <v>0</v>
      </c>
      <c r="S498" s="224">
        <f ca="1">IFERROR(__xludf.DUMMYFUNCTION("IMPORTRANGE(""https://docs.google.com/spreadsheets/d/1ItG2mGa2ceCfYo0BwxsXqNm01IGEUdYcSSLTEv9YCik/edit?usp=sharing"",""เบิกจ่ายกองทุน!Z25"")"),0)</f>
        <v>0</v>
      </c>
      <c r="T498" s="224">
        <f t="shared" ca="1" si="122"/>
        <v>0</v>
      </c>
      <c r="U498" s="224">
        <f t="shared" ca="1" si="123"/>
        <v>0</v>
      </c>
    </row>
    <row r="499" spans="1:21" ht="18.75" hidden="1" x14ac:dyDescent="0.25">
      <c r="A499" s="128"/>
      <c r="B499" s="158"/>
      <c r="C499" s="158"/>
      <c r="D499" s="53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468">
        <f>L500+L501</f>
        <v>0</v>
      </c>
      <c r="M499" s="224">
        <f>M500+M501</f>
        <v>0</v>
      </c>
      <c r="N499" s="224">
        <f>N500+N501</f>
        <v>0</v>
      </c>
      <c r="O499" s="224">
        <f t="shared" si="120"/>
        <v>0</v>
      </c>
      <c r="P499" s="224">
        <f t="shared" si="121"/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 t="shared" si="122"/>
        <v>0</v>
      </c>
      <c r="U499" s="224">
        <f t="shared" si="123"/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469">
        <v>0</v>
      </c>
      <c r="M500" s="83">
        <v>0</v>
      </c>
      <c r="N500" s="83">
        <v>0</v>
      </c>
      <c r="O500" s="83">
        <f t="shared" si="120"/>
        <v>0</v>
      </c>
      <c r="P500" s="83">
        <f t="shared" si="121"/>
        <v>0</v>
      </c>
      <c r="Q500" s="83">
        <v>0</v>
      </c>
      <c r="R500" s="83">
        <v>0</v>
      </c>
      <c r="S500" s="83">
        <v>0</v>
      </c>
      <c r="T500" s="83">
        <f t="shared" si="122"/>
        <v>0</v>
      </c>
      <c r="U500" s="83">
        <f t="shared" si="123"/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468">
        <v>0</v>
      </c>
      <c r="M501" s="224">
        <v>0</v>
      </c>
      <c r="N501" s="224">
        <v>0</v>
      </c>
      <c r="O501" s="224">
        <f t="shared" si="120"/>
        <v>0</v>
      </c>
      <c r="P501" s="224">
        <f t="shared" si="121"/>
        <v>0</v>
      </c>
      <c r="Q501" s="224">
        <v>0</v>
      </c>
      <c r="R501" s="224">
        <v>0</v>
      </c>
      <c r="S501" s="224">
        <v>0</v>
      </c>
      <c r="T501" s="224">
        <f t="shared" si="122"/>
        <v>0</v>
      </c>
      <c r="U501" s="224">
        <f t="shared" si="123"/>
        <v>0</v>
      </c>
    </row>
    <row r="502" spans="1:21" ht="19.5" hidden="1" x14ac:dyDescent="0.3">
      <c r="A502" s="138"/>
      <c r="B502" s="139"/>
      <c r="C502" s="177" t="s">
        <v>18</v>
      </c>
      <c r="D502" s="491" t="s">
        <v>38</v>
      </c>
      <c r="E502" s="141"/>
      <c r="F502" s="141"/>
      <c r="G502" s="142"/>
      <c r="H502" s="178"/>
      <c r="I502" s="135"/>
      <c r="J502" s="135"/>
      <c r="K502" s="136"/>
      <c r="L502" s="4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IFERROR(__xludf.DUMMYFUNCTION("IMPORTRANGE(""https://docs.google.com/spreadsheets/d/1eHaY18a8A9IcSdp1K8H6x8fbOy06t2VsZHhMHf-1x7Y/edit?usp=sharing"",""แผน!GX25"")"),0)</f>
        <v>0</v>
      </c>
      <c r="J503" s="328">
        <f ca="1">IF(AND(J504=I504,J505=I505,J506=I506,J507=I507),I503,0)</f>
        <v>0</v>
      </c>
      <c r="K503" s="470">
        <f t="shared" ref="K503:K509" ca="1" si="126">IF(I503&gt;0,J503*100/I503,0)</f>
        <v>0</v>
      </c>
      <c r="L503" s="465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IFERROR(__xludf.DUMMYFUNCTION("IMPORTRANGE(""https://docs.google.com/spreadsheets/d/1eHaY18a8A9IcSdp1K8H6x8fbOy06t2VsZHhMHf-1x7Y/edit?usp=sharing"",""แผน!GY25"")"),0)</f>
        <v>0</v>
      </c>
      <c r="J504" s="466">
        <v>0</v>
      </c>
      <c r="K504" s="224">
        <f t="shared" ca="1" si="126"/>
        <v>0</v>
      </c>
      <c r="L504" s="465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IFERROR(__xludf.DUMMYFUNCTION("IMPORTRANGE(""https://docs.google.com/spreadsheets/d/1eHaY18a8A9IcSdp1K8H6x8fbOy06t2VsZHhMHf-1x7Y/edit?usp=sharing"",""แผน!GZ25"")"),0)</f>
        <v>0</v>
      </c>
      <c r="J505" s="466">
        <v>0</v>
      </c>
      <c r="K505" s="224">
        <f t="shared" ca="1" si="126"/>
        <v>0</v>
      </c>
      <c r="L505" s="465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IFERROR(__xludf.DUMMYFUNCTION("IMPORTRANGE(""https://docs.google.com/spreadsheets/d/1eHaY18a8A9IcSdp1K8H6x8fbOy06t2VsZHhMHf-1x7Y/edit?usp=sharing"",""แผน!HA25"")"),0)</f>
        <v>0</v>
      </c>
      <c r="J506" s="466">
        <v>0</v>
      </c>
      <c r="K506" s="224">
        <f t="shared" ca="1" si="126"/>
        <v>0</v>
      </c>
      <c r="L506" s="465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IFERROR(__xludf.DUMMYFUNCTION("IMPORTRANGE(""https://docs.google.com/spreadsheets/d/1eHaY18a8A9IcSdp1K8H6x8fbOy06t2VsZHhMHf-1x7Y/edit?usp=sharing"",""แผน!HB25"")"),0)</f>
        <v>0</v>
      </c>
      <c r="J507" s="466">
        <v>0</v>
      </c>
      <c r="K507" s="224">
        <f t="shared" ca="1" si="126"/>
        <v>0</v>
      </c>
      <c r="L507" s="465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 t="shared" si="126"/>
        <v>0</v>
      </c>
      <c r="L508" s="465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IFERROR(__xludf.DUMMYFUNCTION("IMPORTRANGE(""https://docs.google.com/spreadsheets/d/1eHaY18a8A9IcSdp1K8H6x8fbOy06t2VsZHhMHf-1x7Y/edit?usp=sharing"",""แผน!HC25"")"),0)</f>
        <v>0</v>
      </c>
      <c r="J509" s="464">
        <v>0</v>
      </c>
      <c r="K509" s="455">
        <f t="shared" ca="1" si="126"/>
        <v>0</v>
      </c>
      <c r="L509" s="46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537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536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hidden="1" x14ac:dyDescent="0.3">
      <c r="A511" s="535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534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hidden="1" x14ac:dyDescent="0.3">
      <c r="A512" s="349"/>
      <c r="B512" s="533" t="s">
        <v>207</v>
      </c>
      <c r="C512" s="351"/>
      <c r="D512" s="352"/>
      <c r="E512" s="352"/>
      <c r="F512" s="352"/>
      <c r="G512" s="353"/>
      <c r="H512" s="532" t="s">
        <v>61</v>
      </c>
      <c r="I512" s="531">
        <f>I524</f>
        <v>0</v>
      </c>
      <c r="J512" s="531">
        <f>J524</f>
        <v>0</v>
      </c>
      <c r="K512" s="530">
        <f>IF(I512&gt;0,J512*100/I512,0)</f>
        <v>0</v>
      </c>
      <c r="L512" s="512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hidden="1" x14ac:dyDescent="0.3">
      <c r="A513" s="128"/>
      <c r="B513" s="40"/>
      <c r="C513" s="527" t="s">
        <v>18</v>
      </c>
      <c r="D513" s="494" t="s">
        <v>19</v>
      </c>
      <c r="E513" s="40"/>
      <c r="F513" s="40"/>
      <c r="G513" s="42"/>
      <c r="H513" s="529" t="s">
        <v>14</v>
      </c>
      <c r="I513" s="44"/>
      <c r="J513" s="44"/>
      <c r="K513" s="45"/>
      <c r="L513" s="471">
        <f ca="1">L514+L515</f>
        <v>0</v>
      </c>
      <c r="M513" s="470">
        <f ca="1">M514+M515</f>
        <v>0</v>
      </c>
      <c r="N513" s="470">
        <f ca="1">N514+N515</f>
        <v>0</v>
      </c>
      <c r="O513" s="470">
        <f t="shared" ref="O513:O521" ca="1" si="127">IF(L513&gt;0,N513*100/L513,0)</f>
        <v>0</v>
      </c>
      <c r="P513" s="470">
        <f t="shared" ref="P513:P521" ca="1" si="128">IF(M513&gt;0,N513*100/M513,0)</f>
        <v>0</v>
      </c>
      <c r="Q513" s="470">
        <f>Q514+Q515</f>
        <v>0</v>
      </c>
      <c r="R513" s="470">
        <f>R514+R515</f>
        <v>0</v>
      </c>
      <c r="S513" s="470">
        <f>S514+S515</f>
        <v>0</v>
      </c>
      <c r="T513" s="470">
        <f t="shared" ref="T513:T521" si="129">IF(Q513&gt;0,S513*100/Q513,0)</f>
        <v>0</v>
      </c>
      <c r="U513" s="470">
        <f t="shared" ref="U513:U521" si="130"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469">
        <f t="shared" ref="L514:N515" si="131">L517+L520</f>
        <v>0</v>
      </c>
      <c r="M514" s="83">
        <f t="shared" si="131"/>
        <v>0</v>
      </c>
      <c r="N514" s="83">
        <f t="shared" si="131"/>
        <v>0</v>
      </c>
      <c r="O514" s="83">
        <f t="shared" si="127"/>
        <v>0</v>
      </c>
      <c r="P514" s="83">
        <f t="shared" si="128"/>
        <v>0</v>
      </c>
      <c r="Q514" s="83">
        <f t="shared" ref="Q514:S515" si="132">Q517+Q520</f>
        <v>0</v>
      </c>
      <c r="R514" s="83">
        <f t="shared" si="132"/>
        <v>0</v>
      </c>
      <c r="S514" s="83">
        <f t="shared" si="132"/>
        <v>0</v>
      </c>
      <c r="T514" s="83">
        <f t="shared" si="129"/>
        <v>0</v>
      </c>
      <c r="U514" s="83">
        <f t="shared" si="130"/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468">
        <f t="shared" ca="1" si="131"/>
        <v>0</v>
      </c>
      <c r="M515" s="224">
        <f t="shared" ca="1" si="131"/>
        <v>0</v>
      </c>
      <c r="N515" s="224">
        <f t="shared" ca="1" si="131"/>
        <v>0</v>
      </c>
      <c r="O515" s="224">
        <f t="shared" ca="1" si="127"/>
        <v>0</v>
      </c>
      <c r="P515" s="224">
        <f t="shared" ca="1" si="128"/>
        <v>0</v>
      </c>
      <c r="Q515" s="224">
        <f t="shared" si="132"/>
        <v>0</v>
      </c>
      <c r="R515" s="224">
        <f t="shared" si="132"/>
        <v>0</v>
      </c>
      <c r="S515" s="224">
        <f t="shared" si="132"/>
        <v>0</v>
      </c>
      <c r="T515" s="224">
        <f t="shared" si="129"/>
        <v>0</v>
      </c>
      <c r="U515" s="224">
        <f t="shared" si="130"/>
        <v>0</v>
      </c>
    </row>
    <row r="516" spans="1:21" ht="18.75" hidden="1" x14ac:dyDescent="0.25">
      <c r="A516" s="128"/>
      <c r="B516" s="40"/>
      <c r="C516" s="40"/>
      <c r="D516" s="52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468">
        <f ca="1">L517+L518</f>
        <v>0</v>
      </c>
      <c r="M516" s="224">
        <f ca="1">M517+M518</f>
        <v>0</v>
      </c>
      <c r="N516" s="224">
        <f ca="1">N517+N518</f>
        <v>0</v>
      </c>
      <c r="O516" s="224">
        <f t="shared" ca="1" si="127"/>
        <v>0</v>
      </c>
      <c r="P516" s="224">
        <f t="shared" ca="1" si="128"/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 t="shared" si="129"/>
        <v>0</v>
      </c>
      <c r="U516" s="224">
        <f t="shared" si="130"/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469">
        <v>0</v>
      </c>
      <c r="M517" s="83">
        <v>0</v>
      </c>
      <c r="N517" s="83">
        <v>0</v>
      </c>
      <c r="O517" s="83">
        <f t="shared" si="127"/>
        <v>0</v>
      </c>
      <c r="P517" s="83">
        <f t="shared" si="128"/>
        <v>0</v>
      </c>
      <c r="Q517" s="83">
        <v>0</v>
      </c>
      <c r="R517" s="83">
        <v>0</v>
      </c>
      <c r="S517" s="83">
        <v>0</v>
      </c>
      <c r="T517" s="83">
        <f t="shared" si="129"/>
        <v>0</v>
      </c>
      <c r="U517" s="83">
        <f t="shared" si="130"/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468">
        <f ca="1">IFERROR(__xludf.DUMMYFUNCTION("IMPORTRANGE(""https://docs.google.com/spreadsheets/d/1-uDff_7J0KD5mKrp0Vvzr7lt3OU09vwQwhkpOPPYv2Y/edit?usp=sharing"",""งบพรบ!FM25"")"),0)</f>
        <v>0</v>
      </c>
      <c r="M518" s="224">
        <f ca="1">IFERROR(__xludf.DUMMYFUNCTION("IMPORTRANGE(""https://docs.google.com/spreadsheets/d/1-uDff_7J0KD5mKrp0Vvzr7lt3OU09vwQwhkpOPPYv2Y/edit?usp=sharing"",""งบพรบ!FR25"")"),0)</f>
        <v>0</v>
      </c>
      <c r="N518" s="224">
        <f ca="1">IFERROR(__xludf.DUMMYFUNCTION("IMPORTRANGE(""https://docs.google.com/spreadsheets/d/1-uDff_7J0KD5mKrp0Vvzr7lt3OU09vwQwhkpOPPYv2Y/edit?usp=sharing"",""งบพรบ!FT25"")"),0)</f>
        <v>0</v>
      </c>
      <c r="O518" s="224">
        <f t="shared" ca="1" si="127"/>
        <v>0</v>
      </c>
      <c r="P518" s="224">
        <f t="shared" ca="1" si="128"/>
        <v>0</v>
      </c>
      <c r="Q518" s="224">
        <v>0</v>
      </c>
      <c r="R518" s="224">
        <v>0</v>
      </c>
      <c r="S518" s="224">
        <v>0</v>
      </c>
      <c r="T518" s="224">
        <f t="shared" si="129"/>
        <v>0</v>
      </c>
      <c r="U518" s="224">
        <f t="shared" si="130"/>
        <v>0</v>
      </c>
    </row>
    <row r="519" spans="1:21" ht="18.75" hidden="1" x14ac:dyDescent="0.25">
      <c r="A519" s="128"/>
      <c r="B519" s="40"/>
      <c r="C519" s="40"/>
      <c r="D519" s="528" t="s">
        <v>23</v>
      </c>
      <c r="E519" s="40"/>
      <c r="F519" s="40"/>
      <c r="G519" s="42"/>
      <c r="H519" s="375" t="s">
        <v>14</v>
      </c>
      <c r="I519" s="135"/>
      <c r="J519" s="135"/>
      <c r="K519" s="136"/>
      <c r="L519" s="468">
        <f ca="1">L520+L521</f>
        <v>0</v>
      </c>
      <c r="M519" s="224">
        <f ca="1">M520+M521</f>
        <v>0</v>
      </c>
      <c r="N519" s="224">
        <f ca="1">N520+N521</f>
        <v>0</v>
      </c>
      <c r="O519" s="224">
        <f t="shared" ca="1" si="127"/>
        <v>0</v>
      </c>
      <c r="P519" s="224">
        <f t="shared" ca="1" si="128"/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 t="shared" si="129"/>
        <v>0</v>
      </c>
      <c r="U519" s="224">
        <f t="shared" si="130"/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469">
        <v>0</v>
      </c>
      <c r="M520" s="83">
        <v>0</v>
      </c>
      <c r="N520" s="83">
        <v>0</v>
      </c>
      <c r="O520" s="83">
        <f t="shared" si="127"/>
        <v>0</v>
      </c>
      <c r="P520" s="83">
        <f t="shared" si="128"/>
        <v>0</v>
      </c>
      <c r="Q520" s="83">
        <v>0</v>
      </c>
      <c r="R520" s="83">
        <v>0</v>
      </c>
      <c r="S520" s="83">
        <v>0</v>
      </c>
      <c r="T520" s="83">
        <f t="shared" si="129"/>
        <v>0</v>
      </c>
      <c r="U520" s="83">
        <f t="shared" si="130"/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375" t="s">
        <v>14</v>
      </c>
      <c r="I521" s="135"/>
      <c r="J521" s="135"/>
      <c r="K521" s="136"/>
      <c r="L521" s="468">
        <f ca="1">IFERROR(__xludf.DUMMYFUNCTION("IMPORTRANGE(""https://docs.google.com/spreadsheets/d/1-uDff_7J0KD5mKrp0Vvzr7lt3OU09vwQwhkpOPPYv2Y/edit?usp=sharing"",""งบพรบ!FP25"")"),0)</f>
        <v>0</v>
      </c>
      <c r="M521" s="224">
        <f ca="1">IFERROR(__xludf.DUMMYFUNCTION("IMPORTRANGE(""https://docs.google.com/spreadsheets/d/1-uDff_7J0KD5mKrp0Vvzr7lt3OU09vwQwhkpOPPYv2Y/edit?usp=sharing"",""งบพรบ!FS25"")"),0)</f>
        <v>0</v>
      </c>
      <c r="N521" s="224">
        <f ca="1">IFERROR(__xludf.DUMMYFUNCTION("IMPORTRANGE(""https://docs.google.com/spreadsheets/d/1-uDff_7J0KD5mKrp0Vvzr7lt3OU09vwQwhkpOPPYv2Y/edit?usp=sharing"",""งบพรบ!FU25"")"),0)</f>
        <v>0</v>
      </c>
      <c r="O521" s="224">
        <f t="shared" ca="1" si="127"/>
        <v>0</v>
      </c>
      <c r="P521" s="224">
        <f t="shared" ca="1" si="128"/>
        <v>0</v>
      </c>
      <c r="Q521" s="224">
        <v>0</v>
      </c>
      <c r="R521" s="224">
        <v>0</v>
      </c>
      <c r="S521" s="224">
        <v>0</v>
      </c>
      <c r="T521" s="224">
        <f t="shared" si="129"/>
        <v>0</v>
      </c>
      <c r="U521" s="224">
        <f t="shared" si="130"/>
        <v>0</v>
      </c>
    </row>
    <row r="522" spans="1:21" ht="19.5" hidden="1" x14ac:dyDescent="0.3">
      <c r="A522" s="138"/>
      <c r="B522" s="139"/>
      <c r="C522" s="527" t="s">
        <v>18</v>
      </c>
      <c r="D522" s="509" t="s">
        <v>38</v>
      </c>
      <c r="E522" s="141"/>
      <c r="F522" s="141"/>
      <c r="G522" s="142"/>
      <c r="H522" s="143"/>
      <c r="I522" s="135"/>
      <c r="J522" s="44"/>
      <c r="K522" s="45"/>
      <c r="L522" s="465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208</v>
      </c>
      <c r="E523" s="139"/>
      <c r="F523" s="40"/>
      <c r="G523" s="42"/>
      <c r="H523" s="526" t="s">
        <v>11</v>
      </c>
      <c r="I523" s="430">
        <v>0</v>
      </c>
      <c r="J523" s="525">
        <v>0</v>
      </c>
      <c r="K523" s="83">
        <f>IF(I523&gt;0,J523*100/I523,0)</f>
        <v>0</v>
      </c>
      <c r="L523" s="465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29"/>
      <c r="B524" s="1"/>
      <c r="C524" s="2"/>
      <c r="D524" s="524" t="s">
        <v>209</v>
      </c>
      <c r="E524" s="250"/>
      <c r="F524" s="1"/>
      <c r="G524" s="52"/>
      <c r="H524" s="523" t="s">
        <v>61</v>
      </c>
      <c r="I524" s="433">
        <v>0</v>
      </c>
      <c r="J524" s="522">
        <v>0</v>
      </c>
      <c r="K524" s="521">
        <f>IF(I524&gt;0,J524*100/I524,0)</f>
        <v>0</v>
      </c>
      <c r="L524" s="465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520"/>
      <c r="B525" s="519"/>
      <c r="C525" s="519"/>
      <c r="D525" s="518"/>
      <c r="E525" s="518"/>
      <c r="F525" s="518"/>
      <c r="G525" s="517"/>
      <c r="H525" s="516"/>
      <c r="I525" s="515"/>
      <c r="J525" s="515"/>
      <c r="K525" s="514"/>
      <c r="L525" s="511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11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11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11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11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11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11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496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hidden="1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64">
        <f>I545</f>
        <v>0</v>
      </c>
      <c r="J533" s="364">
        <f>J545</f>
        <v>0</v>
      </c>
      <c r="K533" s="513">
        <f>IF(I533&gt;0,J533*100/I533,0)</f>
        <v>0</v>
      </c>
      <c r="L533" s="512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hidden="1" x14ac:dyDescent="0.3">
      <c r="A534" s="128"/>
      <c r="B534" s="40"/>
      <c r="C534" s="129" t="s">
        <v>18</v>
      </c>
      <c r="D534" s="472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471">
        <f>L535+L536</f>
        <v>0</v>
      </c>
      <c r="M534" s="470">
        <f>M535+M536</f>
        <v>0</v>
      </c>
      <c r="N534" s="470">
        <f>N535+N536</f>
        <v>0</v>
      </c>
      <c r="O534" s="470">
        <f t="shared" ref="O534:O542" si="133">IF(L534&gt;0,N534*100/L534,0)</f>
        <v>0</v>
      </c>
      <c r="P534" s="470">
        <f t="shared" ref="P534:P542" si="134">IF(M534&gt;0,N534*100/M534,0)</f>
        <v>0</v>
      </c>
      <c r="Q534" s="470">
        <f>Q535+Q536</f>
        <v>0</v>
      </c>
      <c r="R534" s="470">
        <f>R535+R536</f>
        <v>0</v>
      </c>
      <c r="S534" s="470">
        <f>S535+S536</f>
        <v>0</v>
      </c>
      <c r="T534" s="470">
        <f t="shared" ref="T534:T542" si="135">IF(Q534&gt;0,S534*100/Q534,0)</f>
        <v>0</v>
      </c>
      <c r="U534" s="470">
        <f t="shared" ref="U534:U542" si="136"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469">
        <f t="shared" ref="L535:N536" si="137">L538+L541</f>
        <v>0</v>
      </c>
      <c r="M535" s="83">
        <f t="shared" si="137"/>
        <v>0</v>
      </c>
      <c r="N535" s="83">
        <f t="shared" si="137"/>
        <v>0</v>
      </c>
      <c r="O535" s="83">
        <f t="shared" si="133"/>
        <v>0</v>
      </c>
      <c r="P535" s="83">
        <f t="shared" si="134"/>
        <v>0</v>
      </c>
      <c r="Q535" s="83">
        <f t="shared" ref="Q535:S536" si="138">Q538+Q541</f>
        <v>0</v>
      </c>
      <c r="R535" s="83">
        <f t="shared" si="138"/>
        <v>0</v>
      </c>
      <c r="S535" s="83">
        <f t="shared" si="138"/>
        <v>0</v>
      </c>
      <c r="T535" s="83">
        <f t="shared" si="135"/>
        <v>0</v>
      </c>
      <c r="U535" s="83">
        <f t="shared" si="136"/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468">
        <f t="shared" si="137"/>
        <v>0</v>
      </c>
      <c r="M536" s="224">
        <f t="shared" si="137"/>
        <v>0</v>
      </c>
      <c r="N536" s="224">
        <f t="shared" si="137"/>
        <v>0</v>
      </c>
      <c r="O536" s="224">
        <f t="shared" si="133"/>
        <v>0</v>
      </c>
      <c r="P536" s="224">
        <f t="shared" si="134"/>
        <v>0</v>
      </c>
      <c r="Q536" s="224">
        <f t="shared" si="138"/>
        <v>0</v>
      </c>
      <c r="R536" s="224">
        <f t="shared" si="138"/>
        <v>0</v>
      </c>
      <c r="S536" s="224">
        <f t="shared" si="138"/>
        <v>0</v>
      </c>
      <c r="T536" s="224">
        <f t="shared" si="135"/>
        <v>0</v>
      </c>
      <c r="U536" s="224">
        <f t="shared" si="136"/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468">
        <f>L538+L539</f>
        <v>0</v>
      </c>
      <c r="M537" s="224">
        <f>M538+M539</f>
        <v>0</v>
      </c>
      <c r="N537" s="224">
        <f>N538+N539</f>
        <v>0</v>
      </c>
      <c r="O537" s="224">
        <f t="shared" si="133"/>
        <v>0</v>
      </c>
      <c r="P537" s="224">
        <f t="shared" si="134"/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 t="shared" si="135"/>
        <v>0</v>
      </c>
      <c r="U537" s="224">
        <f t="shared" si="136"/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469">
        <v>0</v>
      </c>
      <c r="M538" s="83">
        <v>0</v>
      </c>
      <c r="N538" s="83">
        <v>0</v>
      </c>
      <c r="O538" s="83">
        <f t="shared" si="133"/>
        <v>0</v>
      </c>
      <c r="P538" s="83">
        <f t="shared" si="134"/>
        <v>0</v>
      </c>
      <c r="Q538" s="83">
        <v>0</v>
      </c>
      <c r="R538" s="83">
        <v>0</v>
      </c>
      <c r="S538" s="83">
        <v>0</v>
      </c>
      <c r="T538" s="83">
        <f t="shared" si="135"/>
        <v>0</v>
      </c>
      <c r="U538" s="83">
        <f t="shared" si="136"/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468">
        <v>0</v>
      </c>
      <c r="M539" s="224">
        <v>0</v>
      </c>
      <c r="N539" s="224">
        <v>0</v>
      </c>
      <c r="O539" s="224">
        <f t="shared" si="133"/>
        <v>0</v>
      </c>
      <c r="P539" s="224">
        <f t="shared" si="134"/>
        <v>0</v>
      </c>
      <c r="Q539" s="224">
        <v>0</v>
      </c>
      <c r="R539" s="224">
        <v>0</v>
      </c>
      <c r="S539" s="224">
        <v>0</v>
      </c>
      <c r="T539" s="224">
        <f t="shared" si="135"/>
        <v>0</v>
      </c>
      <c r="U539" s="224">
        <f t="shared" si="136"/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468">
        <f>L541+L542</f>
        <v>0</v>
      </c>
      <c r="M540" s="224">
        <f>M541+M542</f>
        <v>0</v>
      </c>
      <c r="N540" s="224">
        <f>N541+N542</f>
        <v>0</v>
      </c>
      <c r="O540" s="224">
        <f t="shared" si="133"/>
        <v>0</v>
      </c>
      <c r="P540" s="224">
        <f t="shared" si="134"/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 t="shared" si="135"/>
        <v>0</v>
      </c>
      <c r="U540" s="224">
        <f t="shared" si="136"/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469">
        <v>0</v>
      </c>
      <c r="M541" s="83">
        <v>0</v>
      </c>
      <c r="N541" s="83">
        <v>0</v>
      </c>
      <c r="O541" s="83">
        <f t="shared" si="133"/>
        <v>0</v>
      </c>
      <c r="P541" s="83">
        <f t="shared" si="134"/>
        <v>0</v>
      </c>
      <c r="Q541" s="83">
        <v>0</v>
      </c>
      <c r="R541" s="83">
        <v>0</v>
      </c>
      <c r="S541" s="83">
        <v>0</v>
      </c>
      <c r="T541" s="83">
        <f t="shared" si="135"/>
        <v>0</v>
      </c>
      <c r="U541" s="83">
        <f t="shared" si="136"/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468">
        <v>0</v>
      </c>
      <c r="M542" s="224">
        <v>0</v>
      </c>
      <c r="N542" s="224">
        <v>0</v>
      </c>
      <c r="O542" s="224">
        <f t="shared" si="133"/>
        <v>0</v>
      </c>
      <c r="P542" s="224">
        <f t="shared" si="134"/>
        <v>0</v>
      </c>
      <c r="Q542" s="224">
        <v>0</v>
      </c>
      <c r="R542" s="224">
        <v>0</v>
      </c>
      <c r="S542" s="224">
        <v>0</v>
      </c>
      <c r="T542" s="224">
        <f t="shared" si="135"/>
        <v>0</v>
      </c>
      <c r="U542" s="224">
        <f t="shared" si="136"/>
        <v>0</v>
      </c>
    </row>
    <row r="543" spans="1:21" ht="19.5" hidden="1" x14ac:dyDescent="0.3">
      <c r="A543" s="138"/>
      <c r="B543" s="139"/>
      <c r="C543" s="365" t="s">
        <v>18</v>
      </c>
      <c r="D543" s="498" t="s">
        <v>38</v>
      </c>
      <c r="E543" s="141"/>
      <c r="F543" s="141"/>
      <c r="G543" s="142"/>
      <c r="H543" s="143"/>
      <c r="I543" s="135"/>
      <c r="J543" s="44"/>
      <c r="K543" s="45"/>
      <c r="L543" s="465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11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11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11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11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11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11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11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11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11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496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hidden="1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64">
        <f>I566</f>
        <v>0</v>
      </c>
      <c r="J554" s="364">
        <f>J566</f>
        <v>0</v>
      </c>
      <c r="K554" s="513">
        <f>IF(I554&gt;0,J554*100/I554,0)</f>
        <v>0</v>
      </c>
      <c r="L554" s="512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hidden="1" x14ac:dyDescent="0.3">
      <c r="A555" s="128"/>
      <c r="B555" s="40"/>
      <c r="C555" s="129" t="s">
        <v>18</v>
      </c>
      <c r="D555" s="472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471">
        <f>L556+L557</f>
        <v>0</v>
      </c>
      <c r="M555" s="470">
        <f>M556+M557</f>
        <v>0</v>
      </c>
      <c r="N555" s="470">
        <f>N556+N557</f>
        <v>0</v>
      </c>
      <c r="O555" s="470">
        <f t="shared" ref="O555:O563" si="139">IF(L555&gt;0,N555*100/L555,0)</f>
        <v>0</v>
      </c>
      <c r="P555" s="470">
        <f t="shared" ref="P555:P563" si="140">IF(M555&gt;0,N555*100/M555,0)</f>
        <v>0</v>
      </c>
      <c r="Q555" s="470">
        <f>Q556+Q557</f>
        <v>0</v>
      </c>
      <c r="R555" s="470">
        <f>R556+R557</f>
        <v>0</v>
      </c>
      <c r="S555" s="470">
        <f>S556+S557</f>
        <v>0</v>
      </c>
      <c r="T555" s="470">
        <f t="shared" ref="T555:T563" si="141">IF(Q555&gt;0,S555*100/Q555,0)</f>
        <v>0</v>
      </c>
      <c r="U555" s="470">
        <f t="shared" ref="U555:U563" si="142"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469">
        <f t="shared" ref="L556:N557" si="143">L559+L562</f>
        <v>0</v>
      </c>
      <c r="M556" s="83">
        <f t="shared" si="143"/>
        <v>0</v>
      </c>
      <c r="N556" s="83">
        <f t="shared" si="143"/>
        <v>0</v>
      </c>
      <c r="O556" s="83">
        <f t="shared" si="139"/>
        <v>0</v>
      </c>
      <c r="P556" s="83">
        <f t="shared" si="140"/>
        <v>0</v>
      </c>
      <c r="Q556" s="83">
        <f t="shared" ref="Q556:S557" si="144">Q559+Q562</f>
        <v>0</v>
      </c>
      <c r="R556" s="83">
        <f t="shared" si="144"/>
        <v>0</v>
      </c>
      <c r="S556" s="83">
        <f t="shared" si="144"/>
        <v>0</v>
      </c>
      <c r="T556" s="83">
        <f t="shared" si="141"/>
        <v>0</v>
      </c>
      <c r="U556" s="83">
        <f t="shared" si="142"/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468">
        <f t="shared" si="143"/>
        <v>0</v>
      </c>
      <c r="M557" s="224">
        <f t="shared" si="143"/>
        <v>0</v>
      </c>
      <c r="N557" s="224">
        <f t="shared" si="143"/>
        <v>0</v>
      </c>
      <c r="O557" s="224">
        <f t="shared" si="139"/>
        <v>0</v>
      </c>
      <c r="P557" s="224">
        <f t="shared" si="140"/>
        <v>0</v>
      </c>
      <c r="Q557" s="224">
        <f t="shared" si="144"/>
        <v>0</v>
      </c>
      <c r="R557" s="224">
        <f t="shared" si="144"/>
        <v>0</v>
      </c>
      <c r="S557" s="224">
        <f t="shared" si="144"/>
        <v>0</v>
      </c>
      <c r="T557" s="224">
        <f t="shared" si="141"/>
        <v>0</v>
      </c>
      <c r="U557" s="224">
        <f t="shared" si="142"/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468">
        <f>L559+L560</f>
        <v>0</v>
      </c>
      <c r="M558" s="224">
        <f>M559+M560</f>
        <v>0</v>
      </c>
      <c r="N558" s="224">
        <f>N559+N560</f>
        <v>0</v>
      </c>
      <c r="O558" s="224">
        <f t="shared" si="139"/>
        <v>0</v>
      </c>
      <c r="P558" s="224">
        <f t="shared" si="140"/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 t="shared" si="141"/>
        <v>0</v>
      </c>
      <c r="U558" s="224">
        <f t="shared" si="142"/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469">
        <v>0</v>
      </c>
      <c r="M559" s="83">
        <v>0</v>
      </c>
      <c r="N559" s="83">
        <v>0</v>
      </c>
      <c r="O559" s="83">
        <f t="shared" si="139"/>
        <v>0</v>
      </c>
      <c r="P559" s="83">
        <f t="shared" si="140"/>
        <v>0</v>
      </c>
      <c r="Q559" s="83">
        <v>0</v>
      </c>
      <c r="R559" s="83">
        <v>0</v>
      </c>
      <c r="S559" s="83">
        <v>0</v>
      </c>
      <c r="T559" s="83">
        <f t="shared" si="141"/>
        <v>0</v>
      </c>
      <c r="U559" s="83">
        <f t="shared" si="142"/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468">
        <v>0</v>
      </c>
      <c r="M560" s="224">
        <v>0</v>
      </c>
      <c r="N560" s="224">
        <v>0</v>
      </c>
      <c r="O560" s="224">
        <f t="shared" si="139"/>
        <v>0</v>
      </c>
      <c r="P560" s="224">
        <f t="shared" si="140"/>
        <v>0</v>
      </c>
      <c r="Q560" s="224">
        <v>0</v>
      </c>
      <c r="R560" s="224">
        <v>0</v>
      </c>
      <c r="S560" s="224">
        <v>0</v>
      </c>
      <c r="T560" s="224">
        <f t="shared" si="141"/>
        <v>0</v>
      </c>
      <c r="U560" s="224">
        <f t="shared" si="142"/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468">
        <f>L562+L563</f>
        <v>0</v>
      </c>
      <c r="M561" s="224">
        <f>M562+M563</f>
        <v>0</v>
      </c>
      <c r="N561" s="224">
        <f>N562+N563</f>
        <v>0</v>
      </c>
      <c r="O561" s="224">
        <f t="shared" si="139"/>
        <v>0</v>
      </c>
      <c r="P561" s="224">
        <f t="shared" si="140"/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 t="shared" si="141"/>
        <v>0</v>
      </c>
      <c r="U561" s="224">
        <f t="shared" si="142"/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469">
        <v>0</v>
      </c>
      <c r="M562" s="83">
        <v>0</v>
      </c>
      <c r="N562" s="83">
        <v>0</v>
      </c>
      <c r="O562" s="83">
        <f t="shared" si="139"/>
        <v>0</v>
      </c>
      <c r="P562" s="83">
        <f t="shared" si="140"/>
        <v>0</v>
      </c>
      <c r="Q562" s="83">
        <v>0</v>
      </c>
      <c r="R562" s="83">
        <v>0</v>
      </c>
      <c r="S562" s="83">
        <v>0</v>
      </c>
      <c r="T562" s="83">
        <f t="shared" si="141"/>
        <v>0</v>
      </c>
      <c r="U562" s="83">
        <f t="shared" si="142"/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468">
        <v>0</v>
      </c>
      <c r="M563" s="224">
        <v>0</v>
      </c>
      <c r="N563" s="224">
        <v>0</v>
      </c>
      <c r="O563" s="224">
        <f t="shared" si="139"/>
        <v>0</v>
      </c>
      <c r="P563" s="224">
        <f t="shared" si="140"/>
        <v>0</v>
      </c>
      <c r="Q563" s="224">
        <v>0</v>
      </c>
      <c r="R563" s="224">
        <v>0</v>
      </c>
      <c r="S563" s="224">
        <v>0</v>
      </c>
      <c r="T563" s="224">
        <f t="shared" si="141"/>
        <v>0</v>
      </c>
      <c r="U563" s="224">
        <f t="shared" si="142"/>
        <v>0</v>
      </c>
    </row>
    <row r="564" spans="1:21" ht="19.5" hidden="1" x14ac:dyDescent="0.3">
      <c r="A564" s="138"/>
      <c r="B564" s="139"/>
      <c r="C564" s="365" t="s">
        <v>18</v>
      </c>
      <c r="D564" s="498" t="s">
        <v>38</v>
      </c>
      <c r="E564" s="141"/>
      <c r="F564" s="141"/>
      <c r="G564" s="142"/>
      <c r="H564" s="143"/>
      <c r="I564" s="135"/>
      <c r="J564" s="44"/>
      <c r="K564" s="45"/>
      <c r="L564" s="465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11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11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11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11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11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11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11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11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11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496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hidden="1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64">
        <f>I587</f>
        <v>0</v>
      </c>
      <c r="J575" s="364">
        <f>J587</f>
        <v>0</v>
      </c>
      <c r="K575" s="513">
        <f>IF(I575&gt;0,J575*100/I575,0)</f>
        <v>0</v>
      </c>
      <c r="L575" s="512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hidden="1" x14ac:dyDescent="0.3">
      <c r="A576" s="128"/>
      <c r="B576" s="40"/>
      <c r="C576" s="129" t="s">
        <v>18</v>
      </c>
      <c r="D576" s="472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471">
        <f>L577+L578</f>
        <v>0</v>
      </c>
      <c r="M576" s="470">
        <f>M577+M578</f>
        <v>0</v>
      </c>
      <c r="N576" s="470">
        <f>N577+N578</f>
        <v>0</v>
      </c>
      <c r="O576" s="470">
        <f t="shared" ref="O576:O584" si="145">IF(L576&gt;0,N576*100/L576,0)</f>
        <v>0</v>
      </c>
      <c r="P576" s="470">
        <f t="shared" ref="P576:P584" si="146">IF(M576&gt;0,N576*100/M576,0)</f>
        <v>0</v>
      </c>
      <c r="Q576" s="470">
        <f>Q577+Q578</f>
        <v>0</v>
      </c>
      <c r="R576" s="470">
        <f>R577+R578</f>
        <v>0</v>
      </c>
      <c r="S576" s="470">
        <f>S577+S578</f>
        <v>0</v>
      </c>
      <c r="T576" s="470">
        <f t="shared" ref="T576:T584" si="147">IF(Q576&gt;0,S576*100/Q576,0)</f>
        <v>0</v>
      </c>
      <c r="U576" s="470">
        <f t="shared" ref="U576:U584" si="148"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469">
        <f t="shared" ref="L577:N578" si="149">L580+L583</f>
        <v>0</v>
      </c>
      <c r="M577" s="83">
        <f t="shared" si="149"/>
        <v>0</v>
      </c>
      <c r="N577" s="83">
        <f t="shared" si="149"/>
        <v>0</v>
      </c>
      <c r="O577" s="83">
        <f t="shared" si="145"/>
        <v>0</v>
      </c>
      <c r="P577" s="83">
        <f t="shared" si="146"/>
        <v>0</v>
      </c>
      <c r="Q577" s="83">
        <f t="shared" ref="Q577:S578" si="150">Q580+Q583</f>
        <v>0</v>
      </c>
      <c r="R577" s="83">
        <f t="shared" si="150"/>
        <v>0</v>
      </c>
      <c r="S577" s="83">
        <f t="shared" si="150"/>
        <v>0</v>
      </c>
      <c r="T577" s="83">
        <f t="shared" si="147"/>
        <v>0</v>
      </c>
      <c r="U577" s="83">
        <f t="shared" si="148"/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468">
        <f t="shared" si="149"/>
        <v>0</v>
      </c>
      <c r="M578" s="224">
        <f t="shared" si="149"/>
        <v>0</v>
      </c>
      <c r="N578" s="224">
        <f t="shared" si="149"/>
        <v>0</v>
      </c>
      <c r="O578" s="224">
        <f t="shared" si="145"/>
        <v>0</v>
      </c>
      <c r="P578" s="224">
        <f t="shared" si="146"/>
        <v>0</v>
      </c>
      <c r="Q578" s="224">
        <f t="shared" si="150"/>
        <v>0</v>
      </c>
      <c r="R578" s="224">
        <f t="shared" si="150"/>
        <v>0</v>
      </c>
      <c r="S578" s="224">
        <f t="shared" si="150"/>
        <v>0</v>
      </c>
      <c r="T578" s="224">
        <f t="shared" si="147"/>
        <v>0</v>
      </c>
      <c r="U578" s="224">
        <f t="shared" si="148"/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468">
        <f>L580+L581</f>
        <v>0</v>
      </c>
      <c r="M579" s="224">
        <f>M580+M581</f>
        <v>0</v>
      </c>
      <c r="N579" s="224">
        <f>N580+N581</f>
        <v>0</v>
      </c>
      <c r="O579" s="224">
        <f t="shared" si="145"/>
        <v>0</v>
      </c>
      <c r="P579" s="224">
        <f t="shared" si="146"/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 t="shared" si="147"/>
        <v>0</v>
      </c>
      <c r="U579" s="224">
        <f t="shared" si="148"/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469">
        <v>0</v>
      </c>
      <c r="M580" s="83">
        <v>0</v>
      </c>
      <c r="N580" s="83">
        <v>0</v>
      </c>
      <c r="O580" s="83">
        <f t="shared" si="145"/>
        <v>0</v>
      </c>
      <c r="P580" s="83">
        <f t="shared" si="146"/>
        <v>0</v>
      </c>
      <c r="Q580" s="83">
        <v>0</v>
      </c>
      <c r="R580" s="83">
        <v>0</v>
      </c>
      <c r="S580" s="83">
        <v>0</v>
      </c>
      <c r="T580" s="83">
        <f t="shared" si="147"/>
        <v>0</v>
      </c>
      <c r="U580" s="83">
        <f t="shared" si="148"/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468">
        <v>0</v>
      </c>
      <c r="M581" s="224">
        <v>0</v>
      </c>
      <c r="N581" s="224">
        <v>0</v>
      </c>
      <c r="O581" s="224">
        <f t="shared" si="145"/>
        <v>0</v>
      </c>
      <c r="P581" s="224">
        <f t="shared" si="146"/>
        <v>0</v>
      </c>
      <c r="Q581" s="224">
        <v>0</v>
      </c>
      <c r="R581" s="224">
        <v>0</v>
      </c>
      <c r="S581" s="224">
        <v>0</v>
      </c>
      <c r="T581" s="224">
        <f t="shared" si="147"/>
        <v>0</v>
      </c>
      <c r="U581" s="224">
        <f t="shared" si="148"/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468">
        <f>L583+L584</f>
        <v>0</v>
      </c>
      <c r="M582" s="224">
        <f>M583+M584</f>
        <v>0</v>
      </c>
      <c r="N582" s="224">
        <f>N583+N584</f>
        <v>0</v>
      </c>
      <c r="O582" s="224">
        <f t="shared" si="145"/>
        <v>0</v>
      </c>
      <c r="P582" s="224">
        <f t="shared" si="146"/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 t="shared" si="147"/>
        <v>0</v>
      </c>
      <c r="U582" s="224">
        <f t="shared" si="148"/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469">
        <v>0</v>
      </c>
      <c r="M583" s="83">
        <v>0</v>
      </c>
      <c r="N583" s="83">
        <v>0</v>
      </c>
      <c r="O583" s="83">
        <f t="shared" si="145"/>
        <v>0</v>
      </c>
      <c r="P583" s="83">
        <f t="shared" si="146"/>
        <v>0</v>
      </c>
      <c r="Q583" s="83">
        <v>0</v>
      </c>
      <c r="R583" s="83">
        <v>0</v>
      </c>
      <c r="S583" s="83">
        <v>0</v>
      </c>
      <c r="T583" s="83">
        <f t="shared" si="147"/>
        <v>0</v>
      </c>
      <c r="U583" s="83">
        <f t="shared" si="148"/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468">
        <v>0</v>
      </c>
      <c r="M584" s="224">
        <v>0</v>
      </c>
      <c r="N584" s="224">
        <v>0</v>
      </c>
      <c r="O584" s="224">
        <f t="shared" si="145"/>
        <v>0</v>
      </c>
      <c r="P584" s="224">
        <f t="shared" si="146"/>
        <v>0</v>
      </c>
      <c r="Q584" s="224">
        <v>0</v>
      </c>
      <c r="R584" s="224">
        <v>0</v>
      </c>
      <c r="S584" s="224">
        <v>0</v>
      </c>
      <c r="T584" s="224">
        <f t="shared" si="147"/>
        <v>0</v>
      </c>
      <c r="U584" s="224">
        <f t="shared" si="148"/>
        <v>0</v>
      </c>
    </row>
    <row r="585" spans="1:21" ht="19.5" hidden="1" x14ac:dyDescent="0.3">
      <c r="A585" s="138"/>
      <c r="B585" s="139"/>
      <c r="C585" s="365" t="s">
        <v>18</v>
      </c>
      <c r="D585" s="498" t="s">
        <v>38</v>
      </c>
      <c r="E585" s="141"/>
      <c r="F585" s="141"/>
      <c r="G585" s="142"/>
      <c r="H585" s="143"/>
      <c r="I585" s="135"/>
      <c r="J585" s="44"/>
      <c r="K585" s="45"/>
      <c r="L585" s="465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11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11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11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11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11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11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11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11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11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496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hidden="1" x14ac:dyDescent="0.3">
      <c r="A596" s="366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67" t="s">
        <v>214</v>
      </c>
      <c r="C597" s="172"/>
      <c r="D597" s="125"/>
      <c r="E597" s="27"/>
      <c r="F597" s="27"/>
      <c r="G597" s="27"/>
      <c r="H597" s="368" t="s">
        <v>99</v>
      </c>
      <c r="I597" s="182"/>
      <c r="J597" s="32"/>
      <c r="K597" s="33"/>
      <c r="L597" s="510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369"/>
      <c r="B598" s="370" t="s">
        <v>215</v>
      </c>
      <c r="C598" s="125"/>
      <c r="D598" s="27"/>
      <c r="E598" s="27"/>
      <c r="F598" s="27"/>
      <c r="G598" s="30"/>
      <c r="H598" s="371" t="s">
        <v>35</v>
      </c>
      <c r="I598" s="32"/>
      <c r="J598" s="32"/>
      <c r="K598" s="33"/>
      <c r="L598" s="510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820" t="s">
        <v>19</v>
      </c>
      <c r="E599" s="793"/>
      <c r="F599" s="793"/>
      <c r="G599" s="794"/>
      <c r="H599" s="372" t="s">
        <v>14</v>
      </c>
      <c r="I599" s="44"/>
      <c r="J599" s="44"/>
      <c r="K599" s="45"/>
      <c r="L599" s="471">
        <f>L600+L601</f>
        <v>0</v>
      </c>
      <c r="M599" s="470">
        <f>M600+M601</f>
        <v>0</v>
      </c>
      <c r="N599" s="470">
        <f>N600+N601</f>
        <v>0</v>
      </c>
      <c r="O599" s="470">
        <f t="shared" ref="O599:O607" si="151">IF(L599&gt;0,N599*100/L599,0)</f>
        <v>0</v>
      </c>
      <c r="P599" s="470">
        <f t="shared" ref="P599:P607" si="152">IF(M599&gt;0,N599*100/M599,0)</f>
        <v>0</v>
      </c>
      <c r="Q599" s="470">
        <f>Q600+Q601</f>
        <v>0</v>
      </c>
      <c r="R599" s="470">
        <f>R600+R601</f>
        <v>0</v>
      </c>
      <c r="S599" s="470">
        <f>S600+S601</f>
        <v>0</v>
      </c>
      <c r="T599" s="470">
        <f t="shared" ref="T599:T607" si="153">IF(Q599&gt;0,S599*100/Q599,0)</f>
        <v>0</v>
      </c>
      <c r="U599" s="470">
        <f t="shared" ref="U599:U607" si="154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469">
        <f t="shared" ref="L600:N601" si="155">L603+L606</f>
        <v>0</v>
      </c>
      <c r="M600" s="83">
        <f t="shared" si="155"/>
        <v>0</v>
      </c>
      <c r="N600" s="83">
        <f t="shared" si="155"/>
        <v>0</v>
      </c>
      <c r="O600" s="83">
        <f t="shared" si="151"/>
        <v>0</v>
      </c>
      <c r="P600" s="83">
        <f t="shared" si="152"/>
        <v>0</v>
      </c>
      <c r="Q600" s="83">
        <f t="shared" ref="Q600:S601" si="156">Q603+Q606</f>
        <v>0</v>
      </c>
      <c r="R600" s="83">
        <f t="shared" si="156"/>
        <v>0</v>
      </c>
      <c r="S600" s="83">
        <f t="shared" si="156"/>
        <v>0</v>
      </c>
      <c r="T600" s="83">
        <f t="shared" si="153"/>
        <v>0</v>
      </c>
      <c r="U600" s="83">
        <f t="shared" si="154"/>
        <v>0</v>
      </c>
    </row>
    <row r="601" spans="1:21" ht="18.75" hidden="1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468">
        <f t="shared" si="155"/>
        <v>0</v>
      </c>
      <c r="M601" s="224">
        <f t="shared" si="155"/>
        <v>0</v>
      </c>
      <c r="N601" s="224">
        <f t="shared" si="155"/>
        <v>0</v>
      </c>
      <c r="O601" s="224">
        <f t="shared" si="151"/>
        <v>0</v>
      </c>
      <c r="P601" s="224">
        <f t="shared" si="152"/>
        <v>0</v>
      </c>
      <c r="Q601" s="224">
        <f t="shared" si="156"/>
        <v>0</v>
      </c>
      <c r="R601" s="224">
        <f t="shared" si="156"/>
        <v>0</v>
      </c>
      <c r="S601" s="224">
        <f t="shared" si="156"/>
        <v>0</v>
      </c>
      <c r="T601" s="224">
        <f t="shared" si="153"/>
        <v>0</v>
      </c>
      <c r="U601" s="224">
        <f t="shared" si="154"/>
        <v>0</v>
      </c>
    </row>
    <row r="602" spans="1:21" ht="19.5" hidden="1" x14ac:dyDescent="0.3">
      <c r="A602" s="128"/>
      <c r="B602" s="158"/>
      <c r="C602" s="158"/>
      <c r="D602" s="494" t="s">
        <v>22</v>
      </c>
      <c r="E602" s="40"/>
      <c r="F602" s="40"/>
      <c r="G602" s="42"/>
      <c r="H602" s="372" t="s">
        <v>14</v>
      </c>
      <c r="I602" s="135"/>
      <c r="J602" s="135"/>
      <c r="K602" s="136"/>
      <c r="L602" s="468">
        <f>L603+L604</f>
        <v>0</v>
      </c>
      <c r="M602" s="224">
        <f>M603+M604</f>
        <v>0</v>
      </c>
      <c r="N602" s="224">
        <f>N603+N604</f>
        <v>0</v>
      </c>
      <c r="O602" s="224">
        <f t="shared" si="151"/>
        <v>0</v>
      </c>
      <c r="P602" s="224">
        <f t="shared" si="152"/>
        <v>0</v>
      </c>
      <c r="Q602" s="224">
        <f>Q603+Q604</f>
        <v>0</v>
      </c>
      <c r="R602" s="224">
        <f>R603+R604</f>
        <v>0</v>
      </c>
      <c r="S602" s="224">
        <f>S603+S604</f>
        <v>0</v>
      </c>
      <c r="T602" s="224">
        <f t="shared" si="153"/>
        <v>0</v>
      </c>
      <c r="U602" s="224">
        <f t="shared" si="154"/>
        <v>0</v>
      </c>
    </row>
    <row r="603" spans="1:21" ht="18.75" hidden="1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469">
        <v>0</v>
      </c>
      <c r="M603" s="83">
        <v>0</v>
      </c>
      <c r="N603" s="83">
        <v>0</v>
      </c>
      <c r="O603" s="83">
        <f t="shared" si="151"/>
        <v>0</v>
      </c>
      <c r="P603" s="83">
        <f t="shared" si="152"/>
        <v>0</v>
      </c>
      <c r="Q603" s="83">
        <v>0</v>
      </c>
      <c r="R603" s="83">
        <v>0</v>
      </c>
      <c r="S603" s="83">
        <v>0</v>
      </c>
      <c r="T603" s="83">
        <f t="shared" si="153"/>
        <v>0</v>
      </c>
      <c r="U603" s="83">
        <f t="shared" si="154"/>
        <v>0</v>
      </c>
    </row>
    <row r="604" spans="1:21" ht="18.75" hidden="1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468">
        <v>0</v>
      </c>
      <c r="M604" s="224">
        <v>0</v>
      </c>
      <c r="N604" s="224">
        <v>0</v>
      </c>
      <c r="O604" s="224">
        <f t="shared" si="151"/>
        <v>0</v>
      </c>
      <c r="P604" s="224">
        <f t="shared" si="152"/>
        <v>0</v>
      </c>
      <c r="Q604" s="224">
        <v>0</v>
      </c>
      <c r="R604" s="224">
        <v>0</v>
      </c>
      <c r="S604" s="224">
        <v>0</v>
      </c>
      <c r="T604" s="224">
        <f t="shared" si="153"/>
        <v>0</v>
      </c>
      <c r="U604" s="224">
        <f t="shared" si="154"/>
        <v>0</v>
      </c>
    </row>
    <row r="605" spans="1:21" ht="19.5" hidden="1" x14ac:dyDescent="0.3">
      <c r="A605" s="128"/>
      <c r="B605" s="158"/>
      <c r="C605" s="158"/>
      <c r="D605" s="494" t="s">
        <v>23</v>
      </c>
      <c r="E605" s="158"/>
      <c r="F605" s="40"/>
      <c r="G605" s="42"/>
      <c r="H605" s="374" t="s">
        <v>14</v>
      </c>
      <c r="I605" s="135"/>
      <c r="J605" s="135"/>
      <c r="K605" s="136"/>
      <c r="L605" s="468">
        <f>L606+L607</f>
        <v>0</v>
      </c>
      <c r="M605" s="224">
        <f>M606+M607</f>
        <v>0</v>
      </c>
      <c r="N605" s="224">
        <f>N606+N607</f>
        <v>0</v>
      </c>
      <c r="O605" s="224">
        <f t="shared" si="151"/>
        <v>0</v>
      </c>
      <c r="P605" s="224">
        <f t="shared" si="152"/>
        <v>0</v>
      </c>
      <c r="Q605" s="224">
        <f>Q606+Q607</f>
        <v>0</v>
      </c>
      <c r="R605" s="224">
        <f>R606+R607</f>
        <v>0</v>
      </c>
      <c r="S605" s="224">
        <f>S606+S607</f>
        <v>0</v>
      </c>
      <c r="T605" s="224">
        <f t="shared" si="153"/>
        <v>0</v>
      </c>
      <c r="U605" s="224">
        <f t="shared" si="154"/>
        <v>0</v>
      </c>
    </row>
    <row r="606" spans="1:21" ht="18.75" hidden="1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469">
        <v>0</v>
      </c>
      <c r="M606" s="83">
        <v>0</v>
      </c>
      <c r="N606" s="83">
        <v>0</v>
      </c>
      <c r="O606" s="83">
        <f t="shared" si="151"/>
        <v>0</v>
      </c>
      <c r="P606" s="83">
        <f t="shared" si="152"/>
        <v>0</v>
      </c>
      <c r="Q606" s="83">
        <v>0</v>
      </c>
      <c r="R606" s="83">
        <v>0</v>
      </c>
      <c r="S606" s="83">
        <v>0</v>
      </c>
      <c r="T606" s="83">
        <f t="shared" si="153"/>
        <v>0</v>
      </c>
      <c r="U606" s="83">
        <f t="shared" si="154"/>
        <v>0</v>
      </c>
    </row>
    <row r="607" spans="1:21" ht="18.75" hidden="1" x14ac:dyDescent="0.25">
      <c r="A607" s="128"/>
      <c r="B607" s="158"/>
      <c r="C607" s="158"/>
      <c r="D607" s="40"/>
      <c r="E607" s="314" t="s">
        <v>21</v>
      </c>
      <c r="F607" s="40"/>
      <c r="G607" s="42"/>
      <c r="H607" s="375" t="s">
        <v>14</v>
      </c>
      <c r="I607" s="135"/>
      <c r="J607" s="135"/>
      <c r="K607" s="136"/>
      <c r="L607" s="468">
        <v>0</v>
      </c>
      <c r="M607" s="224">
        <v>0</v>
      </c>
      <c r="N607" s="224">
        <v>0</v>
      </c>
      <c r="O607" s="224">
        <f t="shared" si="151"/>
        <v>0</v>
      </c>
      <c r="P607" s="224">
        <f t="shared" si="152"/>
        <v>0</v>
      </c>
      <c r="Q607" s="224">
        <v>0</v>
      </c>
      <c r="R607" s="224">
        <v>0</v>
      </c>
      <c r="S607" s="224">
        <v>0</v>
      </c>
      <c r="T607" s="224">
        <f t="shared" si="153"/>
        <v>0</v>
      </c>
      <c r="U607" s="224">
        <f t="shared" si="154"/>
        <v>0</v>
      </c>
    </row>
    <row r="608" spans="1:21" ht="19.5" hidden="1" x14ac:dyDescent="0.3">
      <c r="A608" s="138"/>
      <c r="B608" s="139"/>
      <c r="C608" s="177" t="s">
        <v>18</v>
      </c>
      <c r="D608" s="509" t="s">
        <v>38</v>
      </c>
      <c r="E608" s="141"/>
      <c r="F608" s="141"/>
      <c r="G608" s="142"/>
      <c r="H608" s="178"/>
      <c r="I608" s="135"/>
      <c r="J608" s="135"/>
      <c r="K608" s="136"/>
      <c r="L608" s="465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377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465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377" t="s">
        <v>217</v>
      </c>
      <c r="E610" s="145"/>
      <c r="F610" s="145"/>
      <c r="G610" s="143"/>
      <c r="H610" s="372" t="s">
        <v>35</v>
      </c>
      <c r="I610" s="44"/>
      <c r="J610" s="44"/>
      <c r="K610" s="136"/>
      <c r="L610" s="465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377" t="s">
        <v>218</v>
      </c>
      <c r="F611" s="145"/>
      <c r="G611" s="143"/>
      <c r="H611" s="375" t="s">
        <v>35</v>
      </c>
      <c r="I611" s="44"/>
      <c r="J611" s="44"/>
      <c r="K611" s="136"/>
      <c r="L611" s="465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378"/>
      <c r="B612" s="379"/>
      <c r="C612" s="379"/>
      <c r="D612" s="379"/>
      <c r="E612" s="380" t="s">
        <v>219</v>
      </c>
      <c r="F612" s="381"/>
      <c r="G612" s="382"/>
      <c r="H612" s="383" t="s">
        <v>35</v>
      </c>
      <c r="I612" s="384"/>
      <c r="J612" s="384"/>
      <c r="K612" s="385"/>
      <c r="L612" s="508"/>
      <c r="M612" s="386"/>
      <c r="N612" s="386"/>
      <c r="O612" s="386"/>
      <c r="P612" s="386"/>
      <c r="Q612" s="386"/>
      <c r="R612" s="386"/>
      <c r="S612" s="386"/>
      <c r="T612" s="386"/>
      <c r="U612" s="386"/>
    </row>
    <row r="613" spans="1:21" ht="19.5" hidden="1" x14ac:dyDescent="0.3">
      <c r="A613" s="387" t="s">
        <v>220</v>
      </c>
      <c r="B613" s="388"/>
      <c r="C613" s="388"/>
      <c r="D613" s="389"/>
      <c r="E613" s="389"/>
      <c r="F613" s="389"/>
      <c r="G613" s="390"/>
      <c r="H613" s="391"/>
      <c r="I613" s="392"/>
      <c r="J613" s="392"/>
      <c r="K613" s="393"/>
      <c r="L613" s="507"/>
      <c r="M613" s="393"/>
      <c r="N613" s="393"/>
      <c r="O613" s="393"/>
      <c r="P613" s="393"/>
      <c r="Q613" s="393"/>
      <c r="R613" s="393"/>
      <c r="S613" s="393"/>
      <c r="T613" s="393"/>
      <c r="U613" s="393"/>
    </row>
    <row r="614" spans="1:21" ht="19.5" x14ac:dyDescent="0.3">
      <c r="A614" s="394"/>
      <c r="B614" s="395" t="s">
        <v>221</v>
      </c>
      <c r="C614" s="394"/>
      <c r="D614" s="396"/>
      <c r="E614" s="396"/>
      <c r="F614" s="396"/>
      <c r="G614" s="397"/>
      <c r="H614" s="398"/>
      <c r="I614" s="399"/>
      <c r="J614" s="399"/>
      <c r="K614" s="400"/>
      <c r="L614" s="473"/>
      <c r="M614" s="400"/>
      <c r="N614" s="400"/>
      <c r="O614" s="400"/>
      <c r="P614" s="400"/>
      <c r="Q614" s="400"/>
      <c r="R614" s="400"/>
      <c r="S614" s="400"/>
      <c r="T614" s="400"/>
      <c r="U614" s="400"/>
    </row>
    <row r="615" spans="1:21" ht="19.5" x14ac:dyDescent="0.3">
      <c r="A615" s="401"/>
      <c r="B615" s="402" t="s">
        <v>222</v>
      </c>
      <c r="C615" s="401"/>
      <c r="D615" s="403"/>
      <c r="E615" s="403"/>
      <c r="F615" s="403"/>
      <c r="G615" s="404"/>
      <c r="H615" s="405" t="s">
        <v>46</v>
      </c>
      <c r="I615" s="506">
        <f ca="1">I626</f>
        <v>50</v>
      </c>
      <c r="J615" s="506">
        <f>J626</f>
        <v>0</v>
      </c>
      <c r="K615" s="505">
        <f ca="1">IF(I615&gt;0,J615*100/I615,0)</f>
        <v>0</v>
      </c>
      <c r="L615" s="504"/>
      <c r="M615" s="408"/>
      <c r="N615" s="408"/>
      <c r="O615" s="408"/>
      <c r="P615" s="408"/>
      <c r="Q615" s="408"/>
      <c r="R615" s="408"/>
      <c r="S615" s="408"/>
      <c r="T615" s="408"/>
      <c r="U615" s="408"/>
    </row>
    <row r="616" spans="1:21" ht="19.5" x14ac:dyDescent="0.3">
      <c r="A616" s="128"/>
      <c r="B616" s="158"/>
      <c r="C616" s="177" t="s">
        <v>18</v>
      </c>
      <c r="D616" s="821" t="s">
        <v>19</v>
      </c>
      <c r="E616" s="793"/>
      <c r="F616" s="793"/>
      <c r="G616" s="794"/>
      <c r="H616" s="221" t="s">
        <v>14</v>
      </c>
      <c r="I616" s="44"/>
      <c r="J616" s="44"/>
      <c r="K616" s="45"/>
      <c r="L616" s="471">
        <f>L617+L618</f>
        <v>0</v>
      </c>
      <c r="M616" s="470">
        <f>M617+M618</f>
        <v>0</v>
      </c>
      <c r="N616" s="470">
        <f>N617+N618</f>
        <v>0</v>
      </c>
      <c r="O616" s="470">
        <f t="shared" ref="O616:O624" si="157">IF(L616&gt;0,N616*100/L616,0)</f>
        <v>0</v>
      </c>
      <c r="P616" s="470">
        <f t="shared" ref="P616:P624" si="158">IF(M616&gt;0,N616*100/M616,0)</f>
        <v>0</v>
      </c>
      <c r="Q616" s="470">
        <f ca="1">Q617+Q618</f>
        <v>7275</v>
      </c>
      <c r="R616" s="470">
        <f ca="1">R617+R618</f>
        <v>7275</v>
      </c>
      <c r="S616" s="470">
        <f ca="1">S617+S618</f>
        <v>0</v>
      </c>
      <c r="T616" s="470">
        <f t="shared" ref="T616:T624" ca="1" si="159">IF(Q616&gt;0,S616*100/Q616,0)</f>
        <v>0</v>
      </c>
      <c r="U616" s="470">
        <f t="shared" ref="U616:U624" ca="1" si="160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469">
        <f t="shared" ref="L617:N618" si="161">L620+L623</f>
        <v>0</v>
      </c>
      <c r="M617" s="83">
        <f t="shared" si="161"/>
        <v>0</v>
      </c>
      <c r="N617" s="83">
        <f t="shared" si="161"/>
        <v>0</v>
      </c>
      <c r="O617" s="83">
        <f t="shared" si="157"/>
        <v>0</v>
      </c>
      <c r="P617" s="83">
        <f t="shared" si="158"/>
        <v>0</v>
      </c>
      <c r="Q617" s="83">
        <f t="shared" ref="Q617:S618" si="162">Q620+Q623</f>
        <v>0</v>
      </c>
      <c r="R617" s="83">
        <f t="shared" si="162"/>
        <v>0</v>
      </c>
      <c r="S617" s="83">
        <f t="shared" si="162"/>
        <v>0</v>
      </c>
      <c r="T617" s="83">
        <f t="shared" si="159"/>
        <v>0</v>
      </c>
      <c r="U617" s="83">
        <f t="shared" si="160"/>
        <v>0</v>
      </c>
    </row>
    <row r="618" spans="1:21" ht="18.75" hidden="1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468">
        <f t="shared" si="161"/>
        <v>0</v>
      </c>
      <c r="M618" s="224">
        <f t="shared" si="161"/>
        <v>0</v>
      </c>
      <c r="N618" s="224">
        <f t="shared" si="161"/>
        <v>0</v>
      </c>
      <c r="O618" s="224">
        <f t="shared" si="157"/>
        <v>0</v>
      </c>
      <c r="P618" s="224">
        <f t="shared" si="158"/>
        <v>0</v>
      </c>
      <c r="Q618" s="224">
        <f t="shared" ca="1" si="162"/>
        <v>7275</v>
      </c>
      <c r="R618" s="224">
        <f t="shared" ca="1" si="162"/>
        <v>7275</v>
      </c>
      <c r="S618" s="224">
        <f t="shared" ca="1" si="162"/>
        <v>0</v>
      </c>
      <c r="T618" s="224">
        <f t="shared" ca="1" si="159"/>
        <v>0</v>
      </c>
      <c r="U618" s="224">
        <f t="shared" ca="1" si="160"/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468">
        <f>L620+L621</f>
        <v>0</v>
      </c>
      <c r="M619" s="224">
        <f>M620+M621</f>
        <v>0</v>
      </c>
      <c r="N619" s="224">
        <f>N620+N621</f>
        <v>0</v>
      </c>
      <c r="O619" s="224">
        <f t="shared" si="157"/>
        <v>0</v>
      </c>
      <c r="P619" s="224">
        <f t="shared" si="158"/>
        <v>0</v>
      </c>
      <c r="Q619" s="224">
        <f ca="1">Q620+Q621</f>
        <v>7275</v>
      </c>
      <c r="R619" s="224">
        <f ca="1">R620+R621</f>
        <v>7275</v>
      </c>
      <c r="S619" s="224">
        <f ca="1">S620+S621</f>
        <v>0</v>
      </c>
      <c r="T619" s="224">
        <f t="shared" ca="1" si="159"/>
        <v>0</v>
      </c>
      <c r="U619" s="224">
        <f t="shared" ca="1" si="160"/>
        <v>0</v>
      </c>
    </row>
    <row r="620" spans="1:21" ht="18.75" hidden="1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469">
        <v>0</v>
      </c>
      <c r="M620" s="83">
        <v>0</v>
      </c>
      <c r="N620" s="83">
        <v>0</v>
      </c>
      <c r="O620" s="83">
        <f t="shared" si="157"/>
        <v>0</v>
      </c>
      <c r="P620" s="83">
        <f t="shared" si="158"/>
        <v>0</v>
      </c>
      <c r="Q620" s="83">
        <v>0</v>
      </c>
      <c r="R620" s="83">
        <v>0</v>
      </c>
      <c r="S620" s="83">
        <v>0</v>
      </c>
      <c r="T620" s="83">
        <f t="shared" si="159"/>
        <v>0</v>
      </c>
      <c r="U620" s="83">
        <f t="shared" si="160"/>
        <v>0</v>
      </c>
    </row>
    <row r="621" spans="1:21" ht="18.75" hidden="1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468">
        <v>0</v>
      </c>
      <c r="M621" s="224">
        <v>0</v>
      </c>
      <c r="N621" s="224">
        <v>0</v>
      </c>
      <c r="O621" s="224">
        <f t="shared" si="157"/>
        <v>0</v>
      </c>
      <c r="P621" s="224">
        <f t="shared" si="158"/>
        <v>0</v>
      </c>
      <c r="Q621" s="224">
        <f ca="1">IFERROR(__xludf.DUMMYFUNCTION("IMPORTRANGE(""https://docs.google.com/spreadsheets/d/1ItG2mGa2ceCfYo0BwxsXqNm01IGEUdYcSSLTEv9YCik/edit?usp=sharing"",""เบิกจ่ายกองทุน!F25"")"),7275)</f>
        <v>7275</v>
      </c>
      <c r="R621" s="224">
        <f ca="1">IFERROR(__xludf.DUMMYFUNCTION("IMPORTRANGE(""https://docs.google.com/spreadsheets/d/1ItG2mGa2ceCfYo0BwxsXqNm01IGEUdYcSSLTEv9YCik/edit?usp=sharing"",""เบิกจ่ายกองทุน!G25"")"),7275)</f>
        <v>7275</v>
      </c>
      <c r="S621" s="224">
        <f ca="1">IFERROR(__xludf.DUMMYFUNCTION("IMPORTRANGE(""https://docs.google.com/spreadsheets/d/1ItG2mGa2ceCfYo0BwxsXqNm01IGEUdYcSSLTEv9YCik/edit?usp=sharing"",""เบิกจ่ายกองทุน!H25"")"),0)</f>
        <v>0</v>
      </c>
      <c r="T621" s="224">
        <f t="shared" ca="1" si="159"/>
        <v>0</v>
      </c>
      <c r="U621" s="224">
        <f t="shared" ca="1" si="160"/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468">
        <f>L623+L624</f>
        <v>0</v>
      </c>
      <c r="M622" s="224">
        <f>M623+M624</f>
        <v>0</v>
      </c>
      <c r="N622" s="224">
        <f>N623+N624</f>
        <v>0</v>
      </c>
      <c r="O622" s="224">
        <f t="shared" si="157"/>
        <v>0</v>
      </c>
      <c r="P622" s="224">
        <f t="shared" si="158"/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 t="shared" si="159"/>
        <v>0</v>
      </c>
      <c r="U622" s="224">
        <f t="shared" si="160"/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469">
        <v>0</v>
      </c>
      <c r="M623" s="83">
        <v>0</v>
      </c>
      <c r="N623" s="83">
        <v>0</v>
      </c>
      <c r="O623" s="83">
        <f t="shared" si="157"/>
        <v>0</v>
      </c>
      <c r="P623" s="83">
        <f t="shared" si="158"/>
        <v>0</v>
      </c>
      <c r="Q623" s="83">
        <v>0</v>
      </c>
      <c r="R623" s="83">
        <v>0</v>
      </c>
      <c r="S623" s="83">
        <v>0</v>
      </c>
      <c r="T623" s="83">
        <f t="shared" si="159"/>
        <v>0</v>
      </c>
      <c r="U623" s="83">
        <f t="shared" si="160"/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468">
        <v>0</v>
      </c>
      <c r="M624" s="224">
        <v>0</v>
      </c>
      <c r="N624" s="224">
        <v>0</v>
      </c>
      <c r="O624" s="224">
        <f t="shared" si="157"/>
        <v>0</v>
      </c>
      <c r="P624" s="224">
        <f t="shared" si="158"/>
        <v>0</v>
      </c>
      <c r="Q624" s="224">
        <v>0</v>
      </c>
      <c r="R624" s="224">
        <v>0</v>
      </c>
      <c r="S624" s="224">
        <v>0</v>
      </c>
      <c r="T624" s="224">
        <f t="shared" si="159"/>
        <v>0</v>
      </c>
      <c r="U624" s="224">
        <f t="shared" si="160"/>
        <v>0</v>
      </c>
    </row>
    <row r="625" spans="1:21" ht="19.5" x14ac:dyDescent="0.3">
      <c r="A625" s="138"/>
      <c r="B625" s="139"/>
      <c r="C625" s="177" t="s">
        <v>18</v>
      </c>
      <c r="D625" s="467" t="s">
        <v>38</v>
      </c>
      <c r="E625" s="141"/>
      <c r="F625" s="141"/>
      <c r="G625" s="142"/>
      <c r="H625" s="178"/>
      <c r="I625" s="135"/>
      <c r="J625" s="135"/>
      <c r="K625" s="136"/>
      <c r="L625" s="4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10" t="s">
        <v>223</v>
      </c>
      <c r="E626" s="145"/>
      <c r="F626" s="145"/>
      <c r="G626" s="143"/>
      <c r="H626" s="411" t="s">
        <v>46</v>
      </c>
      <c r="I626" s="328">
        <f ca="1">IFERROR(__xludf.DUMMYFUNCTION("IMPORTRANGE(""https://docs.google.com/spreadsheets/d/1eHaY18a8A9IcSdp1K8H6x8fbOy06t2VsZHhMHf-1x7Y/edit?usp=sharing"",""แผน!ID25"")"),50)</f>
        <v>50</v>
      </c>
      <c r="J626" s="328">
        <f>J632</f>
        <v>0</v>
      </c>
      <c r="K626" s="470">
        <f ca="1">IF(I626&gt;0,J626*100/I626,0)</f>
        <v>0</v>
      </c>
      <c r="L626" s="4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IFERROR(__xludf.DUMMYFUNCTION("IMPORTRANGE(""https://docs.google.com/spreadsheets/d/1eHaY18a8A9IcSdp1K8H6x8fbOy06t2VsZHhMHf-1x7Y/edit?usp=sharing"",""แผน!IC25"")"),1)</f>
        <v>1</v>
      </c>
      <c r="J627" s="466">
        <v>0</v>
      </c>
      <c r="K627" s="224">
        <f ca="1">IF(I627&gt;0,(J627*100)/I627,0)</f>
        <v>0</v>
      </c>
      <c r="L627" s="4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IFERROR(__xludf.DUMMYFUNCTION("IMPORTRANGE(""https://docs.google.com/spreadsheets/d/1eHaY18a8A9IcSdp1K8H6x8fbOy06t2VsZHhMHf-1x7Y/edit?usp=sharing"",""แผน!IC25"")"),1)</f>
        <v>1</v>
      </c>
      <c r="J628" s="466">
        <v>0</v>
      </c>
      <c r="K628" s="224">
        <f ca="1">IF(I628&gt;0,(J628*100)/I628,0)</f>
        <v>0</v>
      </c>
      <c r="L628" s="4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466">
        <v>0</v>
      </c>
      <c r="K629" s="224">
        <f ca="1">IF(I$626&gt;0,J629*100/I$626,0)</f>
        <v>0</v>
      </c>
      <c r="L629" s="4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466">
        <v>0</v>
      </c>
      <c r="K630" s="224">
        <f ca="1">IF(I$626&gt;0,J630*100/I$626,0)</f>
        <v>0</v>
      </c>
      <c r="L630" s="4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466">
        <v>0</v>
      </c>
      <c r="K631" s="224">
        <f ca="1">IF(I$626&gt;0,J631*100/I$626,0)</f>
        <v>0</v>
      </c>
      <c r="L631" s="4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470">
        <f ca="1">IF(I626&gt;0,J632*100/I626,0)</f>
        <v>0</v>
      </c>
      <c r="L632" s="4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466">
        <v>0</v>
      </c>
      <c r="K633" s="45"/>
      <c r="L633" s="4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466">
        <v>0</v>
      </c>
      <c r="K634" s="45"/>
      <c r="L634" s="4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10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IFERROR(__xludf.DUMMYFUNCTION("IMPORTRANGE(""https://docs.google.com/spreadsheets/d/1eHaY18a8A9IcSdp1K8H6x8fbOy06t2VsZHhMHf-1x7Y/edit?usp=sharing"",""แผน!IE25"")"),0)</f>
        <v>0</v>
      </c>
      <c r="J635" s="328">
        <f>J636</f>
        <v>0</v>
      </c>
      <c r="K635" s="470">
        <f ca="1">IF(I635&gt;0,J635*100/I635,0)</f>
        <v>0</v>
      </c>
      <c r="L635" s="4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4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466">
        <v>0</v>
      </c>
      <c r="K637" s="45"/>
      <c r="L637" s="4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466">
        <v>0</v>
      </c>
      <c r="K638" s="45"/>
      <c r="L638" s="4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466">
        <v>0</v>
      </c>
      <c r="K639" s="45"/>
      <c r="L639" s="4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466">
        <v>0</v>
      </c>
      <c r="K640" s="45"/>
      <c r="L640" s="4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01"/>
      <c r="B641" s="402" t="s">
        <v>236</v>
      </c>
      <c r="C641" s="401"/>
      <c r="D641" s="403"/>
      <c r="E641" s="403"/>
      <c r="F641" s="403"/>
      <c r="G641" s="404"/>
      <c r="H641" s="412"/>
      <c r="I641" s="413"/>
      <c r="J641" s="413"/>
      <c r="K641" s="408"/>
      <c r="L641" s="504"/>
      <c r="M641" s="408"/>
      <c r="N641" s="408"/>
      <c r="O641" s="408"/>
      <c r="P641" s="408"/>
      <c r="Q641" s="408"/>
      <c r="R641" s="408"/>
      <c r="S641" s="408"/>
      <c r="T641" s="408"/>
      <c r="U641" s="408"/>
    </row>
    <row r="642" spans="1:21" ht="19.5" hidden="1" x14ac:dyDescent="0.3">
      <c r="A642" s="128"/>
      <c r="B642" s="158"/>
      <c r="C642" s="209" t="s">
        <v>18</v>
      </c>
      <c r="D642" s="821" t="s">
        <v>19</v>
      </c>
      <c r="E642" s="793"/>
      <c r="F642" s="793"/>
      <c r="G642" s="794"/>
      <c r="H642" s="221" t="s">
        <v>14</v>
      </c>
      <c r="I642" s="44"/>
      <c r="J642" s="44"/>
      <c r="K642" s="45"/>
      <c r="L642" s="471">
        <f>L643+L644</f>
        <v>0</v>
      </c>
      <c r="M642" s="470">
        <f>M643+M644</f>
        <v>0</v>
      </c>
      <c r="N642" s="470">
        <f>N643+N644</f>
        <v>0</v>
      </c>
      <c r="O642" s="470">
        <f t="shared" ref="O642:O650" si="163">IF(L642&gt;0,N642*100/L642,0)</f>
        <v>0</v>
      </c>
      <c r="P642" s="470">
        <f t="shared" ref="P642:P650" si="164">IF(M642&gt;0,N642*100/M642,0)</f>
        <v>0</v>
      </c>
      <c r="Q642" s="470">
        <f ca="1">Q643+Q644</f>
        <v>0</v>
      </c>
      <c r="R642" s="470">
        <f ca="1">R643+R644</f>
        <v>0</v>
      </c>
      <c r="S642" s="470">
        <f ca="1">S643+S644</f>
        <v>0</v>
      </c>
      <c r="T642" s="470">
        <f t="shared" ref="T642:T650" ca="1" si="165">IF(Q642&gt;0,S642*100/Q642,0)</f>
        <v>0</v>
      </c>
      <c r="U642" s="470">
        <f t="shared" ref="U642:U650" ca="1" si="166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469">
        <f t="shared" ref="L643:N644" si="167">L646+L649</f>
        <v>0</v>
      </c>
      <c r="M643" s="83">
        <f t="shared" si="167"/>
        <v>0</v>
      </c>
      <c r="N643" s="83">
        <f t="shared" si="167"/>
        <v>0</v>
      </c>
      <c r="O643" s="83">
        <f t="shared" si="163"/>
        <v>0</v>
      </c>
      <c r="P643" s="83">
        <f t="shared" si="164"/>
        <v>0</v>
      </c>
      <c r="Q643" s="83">
        <f t="shared" ref="Q643:S644" si="168">Q646+Q649</f>
        <v>0</v>
      </c>
      <c r="R643" s="83">
        <f t="shared" si="168"/>
        <v>0</v>
      </c>
      <c r="S643" s="83">
        <f t="shared" si="168"/>
        <v>0</v>
      </c>
      <c r="T643" s="83">
        <f t="shared" si="165"/>
        <v>0</v>
      </c>
      <c r="U643" s="83">
        <f t="shared" si="166"/>
        <v>0</v>
      </c>
    </row>
    <row r="644" spans="1:21" ht="18.75" hidden="1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468">
        <f t="shared" si="167"/>
        <v>0</v>
      </c>
      <c r="M644" s="224">
        <f t="shared" si="167"/>
        <v>0</v>
      </c>
      <c r="N644" s="224">
        <f t="shared" si="167"/>
        <v>0</v>
      </c>
      <c r="O644" s="224">
        <f t="shared" si="163"/>
        <v>0</v>
      </c>
      <c r="P644" s="224">
        <f t="shared" si="164"/>
        <v>0</v>
      </c>
      <c r="Q644" s="224">
        <f t="shared" ca="1" si="168"/>
        <v>0</v>
      </c>
      <c r="R644" s="224">
        <f t="shared" ca="1" si="168"/>
        <v>0</v>
      </c>
      <c r="S644" s="224">
        <f t="shared" ca="1" si="168"/>
        <v>0</v>
      </c>
      <c r="T644" s="224">
        <f t="shared" ca="1" si="165"/>
        <v>0</v>
      </c>
      <c r="U644" s="224">
        <f t="shared" ca="1" si="166"/>
        <v>0</v>
      </c>
    </row>
    <row r="645" spans="1:21" ht="18.75" hidden="1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468">
        <f>L646+L647</f>
        <v>0</v>
      </c>
      <c r="M645" s="224">
        <f>M646+M647</f>
        <v>0</v>
      </c>
      <c r="N645" s="224">
        <f>N646+N647</f>
        <v>0</v>
      </c>
      <c r="O645" s="224">
        <f t="shared" si="163"/>
        <v>0</v>
      </c>
      <c r="P645" s="224">
        <f t="shared" si="164"/>
        <v>0</v>
      </c>
      <c r="Q645" s="224">
        <f ca="1">Q646+Q647</f>
        <v>0</v>
      </c>
      <c r="R645" s="224">
        <f ca="1">R646+R647</f>
        <v>0</v>
      </c>
      <c r="S645" s="224">
        <f ca="1">S646+S647</f>
        <v>0</v>
      </c>
      <c r="T645" s="224">
        <f t="shared" ca="1" si="165"/>
        <v>0</v>
      </c>
      <c r="U645" s="224">
        <f t="shared" ca="1" si="166"/>
        <v>0</v>
      </c>
    </row>
    <row r="646" spans="1:21" ht="18.75" hidden="1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469">
        <v>0</v>
      </c>
      <c r="M646" s="83">
        <v>0</v>
      </c>
      <c r="N646" s="83">
        <v>0</v>
      </c>
      <c r="O646" s="83">
        <f t="shared" si="163"/>
        <v>0</v>
      </c>
      <c r="P646" s="83">
        <f t="shared" si="164"/>
        <v>0</v>
      </c>
      <c r="Q646" s="83">
        <v>0</v>
      </c>
      <c r="R646" s="83">
        <v>0</v>
      </c>
      <c r="S646" s="83">
        <v>0</v>
      </c>
      <c r="T646" s="83">
        <f t="shared" si="165"/>
        <v>0</v>
      </c>
      <c r="U646" s="83">
        <f t="shared" si="166"/>
        <v>0</v>
      </c>
    </row>
    <row r="647" spans="1:21" ht="18.75" hidden="1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468">
        <v>0</v>
      </c>
      <c r="M647" s="224">
        <v>0</v>
      </c>
      <c r="N647" s="224">
        <v>0</v>
      </c>
      <c r="O647" s="224">
        <f t="shared" si="163"/>
        <v>0</v>
      </c>
      <c r="P647" s="224">
        <f t="shared" si="164"/>
        <v>0</v>
      </c>
      <c r="Q647" s="224">
        <f ca="1">IFERROR(__xludf.DUMMYFUNCTION("IMPORTRANGE(""https://docs.google.com/spreadsheets/d/1ItG2mGa2ceCfYo0BwxsXqNm01IGEUdYcSSLTEv9YCik/edit?usp=sharing"",""เบิกจ่ายกองทุน!I25"")"),0)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IFERROR(__xludf.DUMMYFUNCTION("IMPORTRANGE(""https://docs.google.com/spreadsheets/d/1ItG2mGa2ceCfYo0BwxsXqNm01IGEUdYcSSLTEv9YCik/edit?usp=sharing"",""เบิกจ่ายกองทุน!J25"")"),0)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IFERROR(__xludf.DUMMYFUNCTION("IMPORTRANGE(""https://docs.google.com/spreadsheets/d/1ItG2mGa2ceCfYo0BwxsXqNm01IGEUdYcSSLTEv9YCik/edit?usp=sharing"",""เบิกจ่ายกองทุน!K25"")"),0)</f>
        <v>0</v>
      </c>
      <c r="T647" s="224">
        <f t="shared" ca="1" si="165"/>
        <v>0</v>
      </c>
      <c r="U647" s="224">
        <f t="shared" ca="1" si="166"/>
        <v>0</v>
      </c>
    </row>
    <row r="648" spans="1:21" ht="18.75" hidden="1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468">
        <f>L649+L650</f>
        <v>0</v>
      </c>
      <c r="M648" s="224">
        <f>M649+M650</f>
        <v>0</v>
      </c>
      <c r="N648" s="224">
        <f>N649+N650</f>
        <v>0</v>
      </c>
      <c r="O648" s="224">
        <f t="shared" si="163"/>
        <v>0</v>
      </c>
      <c r="P648" s="224">
        <f t="shared" si="164"/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 t="shared" si="165"/>
        <v>0</v>
      </c>
      <c r="U648" s="224">
        <f t="shared" si="166"/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469">
        <v>0</v>
      </c>
      <c r="M649" s="83">
        <v>0</v>
      </c>
      <c r="N649" s="83">
        <v>0</v>
      </c>
      <c r="O649" s="83">
        <f t="shared" si="163"/>
        <v>0</v>
      </c>
      <c r="P649" s="83">
        <f t="shared" si="164"/>
        <v>0</v>
      </c>
      <c r="Q649" s="83">
        <v>0</v>
      </c>
      <c r="R649" s="83">
        <v>0</v>
      </c>
      <c r="S649" s="83">
        <v>0</v>
      </c>
      <c r="T649" s="83">
        <f t="shared" si="165"/>
        <v>0</v>
      </c>
      <c r="U649" s="83">
        <f t="shared" si="166"/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468">
        <v>0</v>
      </c>
      <c r="M650" s="224">
        <v>0</v>
      </c>
      <c r="N650" s="224">
        <v>0</v>
      </c>
      <c r="O650" s="224">
        <f t="shared" si="163"/>
        <v>0</v>
      </c>
      <c r="P650" s="224">
        <f t="shared" si="164"/>
        <v>0</v>
      </c>
      <c r="Q650" s="224">
        <v>0</v>
      </c>
      <c r="R650" s="224">
        <v>0</v>
      </c>
      <c r="S650" s="224">
        <v>0</v>
      </c>
      <c r="T650" s="224">
        <f t="shared" si="165"/>
        <v>0</v>
      </c>
      <c r="U650" s="224">
        <f t="shared" si="166"/>
        <v>0</v>
      </c>
    </row>
    <row r="651" spans="1:21" ht="19.5" hidden="1" x14ac:dyDescent="0.3">
      <c r="A651" s="138"/>
      <c r="B651" s="139"/>
      <c r="C651" s="209" t="s">
        <v>18</v>
      </c>
      <c r="D651" s="503" t="s">
        <v>38</v>
      </c>
      <c r="E651" s="141"/>
      <c r="F651" s="141"/>
      <c r="G651" s="142"/>
      <c r="H651" s="178"/>
      <c r="I651" s="135"/>
      <c r="J651" s="135"/>
      <c r="K651" s="136"/>
      <c r="L651" s="4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502">
        <f ca="1">IFERROR(__xludf.DUMMYFUNCTION("IMPORTRANGE(""https://docs.google.com/spreadsheets/d/1eHaY18a8A9IcSdp1K8H6x8fbOy06t2VsZHhMHf-1x7Y/edit?usp=sharing"",""แผน!IF25"")"),0)</f>
        <v>0</v>
      </c>
      <c r="J652" s="184">
        <f ca="1">IFERROR(__xludf.DUMMYFUNCTION("IMPORTRANGE(""https://docs.google.com/spreadsheets/d/1tdoBKaGub7dwA3U6UFTqxio9LNnvDCQjHKmttSEBsFQ/edit?usp=sharing"",""จัดที่ดิน!AU25"")"),0)</f>
        <v>0</v>
      </c>
      <c r="K652" s="224">
        <f ca="1">IF(I652&gt;0,J652*100/I652,0)</f>
        <v>0</v>
      </c>
      <c r="L652" s="465"/>
      <c r="M652" s="45"/>
      <c r="N652" s="416"/>
      <c r="O652" s="45"/>
      <c r="P652" s="45"/>
      <c r="Q652" s="45"/>
      <c r="R652" s="45"/>
      <c r="S652" s="416"/>
      <c r="T652" s="45"/>
      <c r="U652" s="45"/>
    </row>
    <row r="653" spans="1:21" ht="18.75" hidden="1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502">
        <f ca="1">IFERROR(__xludf.DUMMYFUNCTION("IMPORTRANGE(""https://docs.google.com/spreadsheets/d/1eHaY18a8A9IcSdp1K8H6x8fbOy06t2VsZHhMHf-1x7Y/edit?usp=sharing"",""แผน!IG25"")"),0)</f>
        <v>0</v>
      </c>
      <c r="J653" s="184">
        <f ca="1">IFERROR(__xludf.DUMMYFUNCTION("IMPORTRANGE(""https://docs.google.com/spreadsheets/d/1tdoBKaGub7dwA3U6UFTqxio9LNnvDCQjHKmttSEBsFQ/edit?usp=sharing"",""จัดที่ดิน!AW25"")"),0)</f>
        <v>0</v>
      </c>
      <c r="K653" s="224">
        <f ca="1">IF(I653&gt;0,J653*100/I653,0)</f>
        <v>0</v>
      </c>
      <c r="L653" s="465"/>
      <c r="M653" s="45"/>
      <c r="N653" s="416"/>
      <c r="O653" s="45"/>
      <c r="P653" s="45"/>
      <c r="Q653" s="45"/>
      <c r="R653" s="45"/>
      <c r="S653" s="416"/>
      <c r="T653" s="45"/>
      <c r="U653" s="45"/>
    </row>
    <row r="654" spans="1:21" ht="19.5" hidden="1" x14ac:dyDescent="0.3">
      <c r="A654" s="208"/>
      <c r="B654" s="158"/>
      <c r="C654" s="158"/>
      <c r="D654" s="47" t="s">
        <v>239</v>
      </c>
      <c r="E654" s="40"/>
      <c r="F654" s="40"/>
      <c r="G654" s="42"/>
      <c r="H654" s="411" t="s">
        <v>46</v>
      </c>
      <c r="I654" s="501">
        <f ca="1">IFERROR(__xludf.DUMMYFUNCTION("IMPORTRANGE(""https://docs.google.com/spreadsheets/d/1eHaY18a8A9IcSdp1K8H6x8fbOy06t2VsZHhMHf-1x7Y/edit?usp=sharing"",""แผน!IH25"")"),0)</f>
        <v>0</v>
      </c>
      <c r="J654" s="328">
        <f>J657+J660</f>
        <v>0</v>
      </c>
      <c r="K654" s="470">
        <f ca="1">IF(I654&gt;0,J654*100/I654,0)</f>
        <v>0</v>
      </c>
      <c r="L654" s="465"/>
      <c r="M654" s="45"/>
      <c r="N654" s="416"/>
      <c r="O654" s="45"/>
      <c r="P654" s="45"/>
      <c r="Q654" s="45"/>
      <c r="R654" s="45"/>
      <c r="S654" s="416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466">
        <v>0</v>
      </c>
      <c r="K655" s="45"/>
      <c r="L655" s="465"/>
      <c r="M655" s="45"/>
      <c r="N655" s="416"/>
      <c r="O655" s="45"/>
      <c r="P655" s="45"/>
      <c r="Q655" s="45"/>
      <c r="R655" s="45"/>
      <c r="S655" s="416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466">
        <v>0</v>
      </c>
      <c r="K656" s="45"/>
      <c r="L656" s="465"/>
      <c r="M656" s="45"/>
      <c r="N656" s="416"/>
      <c r="O656" s="45"/>
      <c r="P656" s="45"/>
      <c r="Q656" s="45"/>
      <c r="R656" s="45"/>
      <c r="S656" s="416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02">
        <f ca="1">IFERROR(__xludf.DUMMYFUNCTION("IMPORTRANGE(""https://docs.google.com/spreadsheets/d/1eHaY18a8A9IcSdp1K8H6x8fbOy06t2VsZHhMHf-1x7Y/edit?usp=sharing"",""แผน!II25"")"),0)</f>
        <v>0</v>
      </c>
      <c r="J657" s="466">
        <v>0</v>
      </c>
      <c r="K657" s="45"/>
      <c r="L657" s="465"/>
      <c r="M657" s="45"/>
      <c r="N657" s="416"/>
      <c r="O657" s="45"/>
      <c r="P657" s="45"/>
      <c r="Q657" s="45"/>
      <c r="R657" s="45"/>
      <c r="S657" s="416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466">
        <v>0</v>
      </c>
      <c r="K658" s="45"/>
      <c r="L658" s="465"/>
      <c r="M658" s="45"/>
      <c r="N658" s="416"/>
      <c r="O658" s="45"/>
      <c r="P658" s="45"/>
      <c r="Q658" s="45"/>
      <c r="R658" s="45"/>
      <c r="S658" s="416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466">
        <v>0</v>
      </c>
      <c r="K659" s="45"/>
      <c r="L659" s="465"/>
      <c r="M659" s="45"/>
      <c r="N659" s="416"/>
      <c r="O659" s="45"/>
      <c r="P659" s="45"/>
      <c r="Q659" s="45"/>
      <c r="R659" s="45"/>
      <c r="S659" s="416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02">
        <f ca="1">IFERROR(__xludf.DUMMYFUNCTION("IMPORTRANGE(""https://docs.google.com/spreadsheets/d/1eHaY18a8A9IcSdp1K8H6x8fbOy06t2VsZHhMHf-1x7Y/edit?usp=sharing"",""แผน!IJ25"")"),0)</f>
        <v>0</v>
      </c>
      <c r="J660" s="466">
        <v>0</v>
      </c>
      <c r="K660" s="45"/>
      <c r="L660" s="465"/>
      <c r="M660" s="45"/>
      <c r="N660" s="416"/>
      <c r="O660" s="45"/>
      <c r="P660" s="45"/>
      <c r="Q660" s="45"/>
      <c r="R660" s="45"/>
      <c r="S660" s="416"/>
      <c r="T660" s="45"/>
      <c r="U660" s="45"/>
    </row>
    <row r="661" spans="1:21" ht="19.5" hidden="1" x14ac:dyDescent="0.3">
      <c r="A661" s="208"/>
      <c r="B661" s="158"/>
      <c r="C661" s="158"/>
      <c r="D661" s="332" t="s">
        <v>242</v>
      </c>
      <c r="E661" s="40"/>
      <c r="F661" s="40"/>
      <c r="G661" s="42"/>
      <c r="H661" s="411" t="s">
        <v>46</v>
      </c>
      <c r="I661" s="501">
        <f ca="1">IFERROR(__xludf.DUMMYFUNCTION("IMPORTRANGE(""https://docs.google.com/spreadsheets/d/1eHaY18a8A9IcSdp1K8H6x8fbOy06t2VsZHhMHf-1x7Y/edit?usp=sharing"",""แผน!IK25"")"),0)</f>
        <v>0</v>
      </c>
      <c r="J661" s="328">
        <f>J667+J670</f>
        <v>0</v>
      </c>
      <c r="K661" s="470">
        <f ca="1">IF(I661&gt;0,J661*100/I661,0)</f>
        <v>0</v>
      </c>
      <c r="L661" s="465"/>
      <c r="M661" s="45"/>
      <c r="N661" s="416"/>
      <c r="O661" s="45"/>
      <c r="P661" s="45"/>
      <c r="Q661" s="45"/>
      <c r="R661" s="45"/>
      <c r="S661" s="416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466">
        <v>0</v>
      </c>
      <c r="K662" s="45"/>
      <c r="L662" s="500"/>
      <c r="M662" s="45"/>
      <c r="N662" s="416"/>
      <c r="O662" s="45"/>
      <c r="P662" s="45"/>
      <c r="Q662" s="416"/>
      <c r="R662" s="45"/>
      <c r="S662" s="416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466">
        <v>0</v>
      </c>
      <c r="K663" s="45"/>
      <c r="L663" s="500"/>
      <c r="M663" s="45"/>
      <c r="N663" s="416"/>
      <c r="O663" s="45"/>
      <c r="P663" s="45"/>
      <c r="Q663" s="416"/>
      <c r="R663" s="45"/>
      <c r="S663" s="416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500"/>
      <c r="M664" s="45"/>
      <c r="N664" s="416"/>
      <c r="O664" s="45"/>
      <c r="P664" s="45"/>
      <c r="Q664" s="416"/>
      <c r="R664" s="45"/>
      <c r="S664" s="416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466">
        <v>0</v>
      </c>
      <c r="K665" s="45"/>
      <c r="L665" s="500"/>
      <c r="M665" s="45"/>
      <c r="N665" s="416"/>
      <c r="O665" s="45"/>
      <c r="P665" s="45"/>
      <c r="Q665" s="416"/>
      <c r="R665" s="45"/>
      <c r="S665" s="416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466">
        <v>0</v>
      </c>
      <c r="K666" s="45"/>
      <c r="L666" s="500"/>
      <c r="M666" s="45"/>
      <c r="N666" s="416"/>
      <c r="O666" s="45"/>
      <c r="P666" s="45"/>
      <c r="Q666" s="416"/>
      <c r="R666" s="45"/>
      <c r="S666" s="416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466">
        <v>0</v>
      </c>
      <c r="K667" s="45"/>
      <c r="L667" s="500"/>
      <c r="M667" s="45"/>
      <c r="N667" s="416"/>
      <c r="O667" s="45"/>
      <c r="P667" s="45"/>
      <c r="Q667" s="416"/>
      <c r="R667" s="45"/>
      <c r="S667" s="416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466">
        <v>0</v>
      </c>
      <c r="K668" s="45"/>
      <c r="L668" s="500"/>
      <c r="M668" s="45"/>
      <c r="N668" s="416"/>
      <c r="O668" s="45"/>
      <c r="P668" s="45"/>
      <c r="Q668" s="416"/>
      <c r="R668" s="45"/>
      <c r="S668" s="416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466">
        <v>0</v>
      </c>
      <c r="K669" s="45"/>
      <c r="L669" s="500"/>
      <c r="M669" s="45"/>
      <c r="N669" s="416"/>
      <c r="O669" s="45"/>
      <c r="P669" s="45"/>
      <c r="Q669" s="416"/>
      <c r="R669" s="45"/>
      <c r="S669" s="416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466">
        <v>0</v>
      </c>
      <c r="K670" s="45"/>
      <c r="L670" s="500"/>
      <c r="M670" s="45"/>
      <c r="N670" s="416"/>
      <c r="O670" s="45"/>
      <c r="P670" s="45"/>
      <c r="Q670" s="416"/>
      <c r="R670" s="45"/>
      <c r="S670" s="416"/>
      <c r="T670" s="45"/>
      <c r="U670" s="45"/>
    </row>
    <row r="671" spans="1:21" ht="18.75" hidden="1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IFERROR(__xludf.DUMMYFUNCTION("IMPORTRANGE(""https://docs.google.com/spreadsheets/d/1tdoBKaGub7dwA3U6UFTqxio9LNnvDCQjHKmttSEBsFQ/edit?usp=sharing"",""จัดที่ดิน!AY25"")"),0)</f>
        <v>0</v>
      </c>
      <c r="K671" s="45"/>
      <c r="L671" s="465"/>
      <c r="M671" s="45"/>
      <c r="N671" s="416"/>
      <c r="O671" s="45"/>
      <c r="P671" s="45"/>
      <c r="Q671" s="45"/>
      <c r="R671" s="45"/>
      <c r="S671" s="416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IFERROR(__xludf.DUMMYFUNCTION("IMPORTRANGE(""https://docs.google.com/spreadsheets/d/1tdoBKaGub7dwA3U6UFTqxio9LNnvDCQjHKmttSEBsFQ/edit?usp=sharing"",""จัดที่ดิน!AZ25"")"),0)</f>
        <v>0</v>
      </c>
      <c r="K672" s="45"/>
      <c r="L672" s="500"/>
      <c r="M672" s="45"/>
      <c r="N672" s="416"/>
      <c r="O672" s="45"/>
      <c r="P672" s="45"/>
      <c r="Q672" s="416"/>
      <c r="R672" s="45"/>
      <c r="S672" s="416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02">
        <f ca="1">IFERROR(__xludf.DUMMYFUNCTION("IMPORTRANGE(""https://docs.google.com/spreadsheets/d/1eHaY18a8A9IcSdp1K8H6x8fbOy06t2VsZHhMHf-1x7Y/edit?usp=sharing"",""แผน!IL25"")"),0)</f>
        <v>0</v>
      </c>
      <c r="J673" s="184">
        <f ca="1">IFERROR(__xludf.DUMMYFUNCTION("IMPORTRANGE(""https://docs.google.com/spreadsheets/d/1tdoBKaGub7dwA3U6UFTqxio9LNnvDCQjHKmttSEBsFQ/edit?usp=sharing"",""จัดที่ดิน!BA25"")"),0)</f>
        <v>0</v>
      </c>
      <c r="K673" s="224">
        <f ca="1">IF(I673&gt;0,J673*100/I673,0)</f>
        <v>0</v>
      </c>
      <c r="L673" s="500"/>
      <c r="M673" s="45"/>
      <c r="N673" s="416"/>
      <c r="O673" s="45"/>
      <c r="P673" s="45"/>
      <c r="Q673" s="416"/>
      <c r="R673" s="45"/>
      <c r="S673" s="416"/>
      <c r="T673" s="45"/>
      <c r="U673" s="45"/>
    </row>
    <row r="674" spans="1:21" ht="19.5" hidden="1" x14ac:dyDescent="0.3">
      <c r="A674" s="208"/>
      <c r="B674" s="158"/>
      <c r="C674" s="158"/>
      <c r="D674" s="47" t="s">
        <v>248</v>
      </c>
      <c r="E674" s="40"/>
      <c r="F674" s="40"/>
      <c r="G674" s="42"/>
      <c r="H674" s="411" t="s">
        <v>35</v>
      </c>
      <c r="I674" s="501">
        <f ca="1">IFERROR(__xludf.DUMMYFUNCTION("IMPORTRANGE(""https://docs.google.com/spreadsheets/d/1eHaY18a8A9IcSdp1K8H6x8fbOy06t2VsZHhMHf-1x7Y/edit?usp=sharing"",""แผน!IM25"")"),0)</f>
        <v>0</v>
      </c>
      <c r="J674" s="328">
        <f ca="1">J676+J679</f>
        <v>0</v>
      </c>
      <c r="K674" s="470">
        <f ca="1">IF(I674&gt;0,J674*100/I674,0)</f>
        <v>0</v>
      </c>
      <c r="L674" s="500"/>
      <c r="M674" s="45"/>
      <c r="N674" s="416"/>
      <c r="O674" s="45"/>
      <c r="P674" s="45"/>
      <c r="Q674" s="416"/>
      <c r="R674" s="45"/>
      <c r="S674" s="416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11" t="s">
        <v>46</v>
      </c>
      <c r="I675" s="501">
        <f ca="1">IFERROR(__xludf.DUMMYFUNCTION("IMPORTRANGE(""https://docs.google.com/spreadsheets/d/1eHaY18a8A9IcSdp1K8H6x8fbOy06t2VsZHhMHf-1x7Y/edit?usp=sharing"",""แผน!IN25"")"),0)</f>
        <v>0</v>
      </c>
      <c r="J675" s="328">
        <f ca="1">J678+J681</f>
        <v>0</v>
      </c>
      <c r="K675" s="470">
        <f ca="1">IF(I675&gt;0,J675*100/I675,0)</f>
        <v>0</v>
      </c>
      <c r="L675" s="465"/>
      <c r="M675" s="45"/>
      <c r="N675" s="416"/>
      <c r="O675" s="45"/>
      <c r="P675" s="45"/>
      <c r="Q675" s="45"/>
      <c r="R675" s="45"/>
      <c r="S675" s="416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502">
        <f ca="1">IFERROR(__xludf.DUMMYFUNCTION("IMPORTRANGE(""https://docs.google.com/spreadsheets/d/1eHaY18a8A9IcSdp1K8H6x8fbOy06t2VsZHhMHf-1x7Y/edit?usp=sharing"",""แผน!IO25"")"),0)</f>
        <v>0</v>
      </c>
      <c r="J676" s="184">
        <f ca="1">IFERROR(__xludf.DUMMYFUNCTION("IMPORTRANGE(""https://docs.google.com/spreadsheets/d/1tdoBKaGub7dwA3U6UFTqxio9LNnvDCQjHKmttSEBsFQ/edit?usp=sharing"",""จัดที่ดิน!BF25"")"),0)</f>
        <v>0</v>
      </c>
      <c r="K676" s="224">
        <f ca="1">IF(I676&gt;0,J676*100/I676,0)</f>
        <v>0</v>
      </c>
      <c r="L676" s="465"/>
      <c r="M676" s="45"/>
      <c r="N676" s="416"/>
      <c r="O676" s="45"/>
      <c r="P676" s="45"/>
      <c r="Q676" s="45"/>
      <c r="R676" s="45"/>
      <c r="S676" s="416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IFERROR(__xludf.DUMMYFUNCTION("IMPORTRANGE(""https://docs.google.com/spreadsheets/d/1tdoBKaGub7dwA3U6UFTqxio9LNnvDCQjHKmttSEBsFQ/edit?usp=sharing"",""จัดที่ดิน!BG25"")"),0)</f>
        <v>0</v>
      </c>
      <c r="K677" s="45"/>
      <c r="L677" s="500"/>
      <c r="M677" s="45"/>
      <c r="N677" s="416"/>
      <c r="O677" s="45"/>
      <c r="P677" s="45"/>
      <c r="Q677" s="416"/>
      <c r="R677" s="45"/>
      <c r="S677" s="416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02">
        <f ca="1">IFERROR(__xludf.DUMMYFUNCTION("IMPORTRANGE(""https://docs.google.com/spreadsheets/d/1eHaY18a8A9IcSdp1K8H6x8fbOy06t2VsZHhMHf-1x7Y/edit?usp=sharing"",""แผน!IP25"")"),0)</f>
        <v>0</v>
      </c>
      <c r="J678" s="184">
        <f ca="1">IFERROR(__xludf.DUMMYFUNCTION("IMPORTRANGE(""https://docs.google.com/spreadsheets/d/1tdoBKaGub7dwA3U6UFTqxio9LNnvDCQjHKmttSEBsFQ/edit?usp=sharing"",""จัดที่ดิน!BH25"")"),0)</f>
        <v>0</v>
      </c>
      <c r="K678" s="224">
        <f ca="1">IF(I678&gt;0,J678*100/I678,0)</f>
        <v>0</v>
      </c>
      <c r="L678" s="500"/>
      <c r="M678" s="45"/>
      <c r="N678" s="416"/>
      <c r="O678" s="45"/>
      <c r="P678" s="45"/>
      <c r="Q678" s="416"/>
      <c r="R678" s="45"/>
      <c r="S678" s="416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502">
        <f ca="1">IFERROR(__xludf.DUMMYFUNCTION("IMPORTRANGE(""https://docs.google.com/spreadsheets/d/1eHaY18a8A9IcSdp1K8H6x8fbOy06t2VsZHhMHf-1x7Y/edit?usp=sharing"",""แผน!IQ25"")"),0)</f>
        <v>0</v>
      </c>
      <c r="J679" s="184">
        <f ca="1">IFERROR(__xludf.DUMMYFUNCTION("IMPORTRANGE(""https://docs.google.com/spreadsheets/d/1tdoBKaGub7dwA3U6UFTqxio9LNnvDCQjHKmttSEBsFQ/edit?usp=sharing"",""จัดที่ดิน!BK25"")"),0)</f>
        <v>0</v>
      </c>
      <c r="K679" s="224">
        <f ca="1">IF(I679&gt;0,J679*100/I679,0)</f>
        <v>0</v>
      </c>
      <c r="L679" s="465"/>
      <c r="M679" s="45"/>
      <c r="N679" s="416"/>
      <c r="O679" s="45"/>
      <c r="P679" s="45"/>
      <c r="Q679" s="45"/>
      <c r="R679" s="45"/>
      <c r="S679" s="416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IFERROR(__xludf.DUMMYFUNCTION("IMPORTRANGE(""https://docs.google.com/spreadsheets/d/1tdoBKaGub7dwA3U6UFTqxio9LNnvDCQjHKmttSEBsFQ/edit?usp=sharing"",""จัดที่ดิน!BL25"")"),0)</f>
        <v>0</v>
      </c>
      <c r="K680" s="45"/>
      <c r="L680" s="500"/>
      <c r="M680" s="45"/>
      <c r="N680" s="416"/>
      <c r="O680" s="45"/>
      <c r="P680" s="45"/>
      <c r="Q680" s="416"/>
      <c r="R680" s="45"/>
      <c r="S680" s="416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02">
        <f ca="1">IFERROR(__xludf.DUMMYFUNCTION("IMPORTRANGE(""https://docs.google.com/spreadsheets/d/1eHaY18a8A9IcSdp1K8H6x8fbOy06t2VsZHhMHf-1x7Y/edit?usp=sharing"",""แผน!IR25"")"),0)</f>
        <v>0</v>
      </c>
      <c r="J681" s="184">
        <f ca="1">IFERROR(__xludf.DUMMYFUNCTION("IMPORTRANGE(""https://docs.google.com/spreadsheets/d/1tdoBKaGub7dwA3U6UFTqxio9LNnvDCQjHKmttSEBsFQ/edit?usp=sharing"",""จัดที่ดิน!BM25"")"),0)</f>
        <v>0</v>
      </c>
      <c r="K681" s="224">
        <f ca="1">IF(I681&gt;0,J681*100/I681,0)</f>
        <v>0</v>
      </c>
      <c r="L681" s="500"/>
      <c r="M681" s="45"/>
      <c r="N681" s="416"/>
      <c r="O681" s="45"/>
      <c r="P681" s="45"/>
      <c r="Q681" s="416"/>
      <c r="R681" s="45"/>
      <c r="S681" s="416"/>
      <c r="T681" s="45"/>
      <c r="U681" s="45"/>
    </row>
    <row r="682" spans="1:21" ht="19.5" hidden="1" x14ac:dyDescent="0.3">
      <c r="A682" s="208"/>
      <c r="B682" s="158"/>
      <c r="C682" s="158"/>
      <c r="D682" s="47" t="s">
        <v>251</v>
      </c>
      <c r="E682" s="40"/>
      <c r="F682" s="40"/>
      <c r="G682" s="42"/>
      <c r="H682" s="411" t="s">
        <v>46</v>
      </c>
      <c r="I682" s="501">
        <f ca="1">IFERROR(__xludf.DUMMYFUNCTION("IMPORTRANGE(""https://docs.google.com/spreadsheets/d/1eHaY18a8A9IcSdp1K8H6x8fbOy06t2VsZHhMHf-1x7Y/edit?usp=sharing"",""แผน!IS25"")"),0)</f>
        <v>0</v>
      </c>
      <c r="J682" s="328">
        <f>J685+J688</f>
        <v>0</v>
      </c>
      <c r="K682" s="470">
        <f ca="1">IF(I682&gt;0,J682*100/I682,0)</f>
        <v>0</v>
      </c>
      <c r="L682" s="465"/>
      <c r="M682" s="45"/>
      <c r="N682" s="416"/>
      <c r="O682" s="45"/>
      <c r="P682" s="45"/>
      <c r="Q682" s="45"/>
      <c r="R682" s="45"/>
      <c r="S682" s="416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466">
        <v>0</v>
      </c>
      <c r="K683" s="45"/>
      <c r="L683" s="500"/>
      <c r="M683" s="45"/>
      <c r="N683" s="416"/>
      <c r="O683" s="45"/>
      <c r="P683" s="45"/>
      <c r="Q683" s="416"/>
      <c r="R683" s="45"/>
      <c r="S683" s="416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466">
        <v>0</v>
      </c>
      <c r="K684" s="45"/>
      <c r="L684" s="500"/>
      <c r="M684" s="45"/>
      <c r="N684" s="416"/>
      <c r="O684" s="45"/>
      <c r="P684" s="45"/>
      <c r="Q684" s="416"/>
      <c r="R684" s="45"/>
      <c r="S684" s="416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466">
        <v>0</v>
      </c>
      <c r="K685" s="45"/>
      <c r="L685" s="500"/>
      <c r="M685" s="45"/>
      <c r="N685" s="416"/>
      <c r="O685" s="45"/>
      <c r="P685" s="45"/>
      <c r="Q685" s="416"/>
      <c r="R685" s="45"/>
      <c r="S685" s="416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466">
        <v>0</v>
      </c>
      <c r="K686" s="45"/>
      <c r="L686" s="500"/>
      <c r="M686" s="45"/>
      <c r="N686" s="416"/>
      <c r="O686" s="45"/>
      <c r="P686" s="45"/>
      <c r="Q686" s="416"/>
      <c r="R686" s="45"/>
      <c r="S686" s="416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466">
        <v>0</v>
      </c>
      <c r="K687" s="45"/>
      <c r="L687" s="500"/>
      <c r="M687" s="45"/>
      <c r="N687" s="416"/>
      <c r="O687" s="45"/>
      <c r="P687" s="45"/>
      <c r="Q687" s="416"/>
      <c r="R687" s="45"/>
      <c r="S687" s="416"/>
      <c r="T687" s="45"/>
      <c r="U687" s="45"/>
    </row>
    <row r="688" spans="1:21" ht="19.5" hidden="1" x14ac:dyDescent="0.3">
      <c r="A688" s="249"/>
      <c r="B688" s="419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464">
        <v>0</v>
      </c>
      <c r="K688" s="3"/>
      <c r="L688" s="499"/>
      <c r="M688" s="3"/>
      <c r="N688" s="420"/>
      <c r="O688" s="3"/>
      <c r="P688" s="3"/>
      <c r="Q688" s="420"/>
      <c r="R688" s="3"/>
      <c r="S688" s="420"/>
      <c r="T688" s="3"/>
      <c r="U688" s="3"/>
    </row>
    <row r="689" spans="1:21" ht="19.5" x14ac:dyDescent="0.3">
      <c r="A689" s="394"/>
      <c r="B689" s="395" t="s">
        <v>255</v>
      </c>
      <c r="C689" s="394"/>
      <c r="D689" s="396"/>
      <c r="E689" s="396"/>
      <c r="F689" s="396"/>
      <c r="G689" s="397"/>
      <c r="H689" s="421" t="s">
        <v>35</v>
      </c>
      <c r="I689" s="750">
        <f ca="1">I707</f>
        <v>0</v>
      </c>
      <c r="J689" s="750">
        <f ca="1">J707</f>
        <v>0</v>
      </c>
      <c r="K689" s="474">
        <f ca="1">IF(I689&gt;0,J689*100/I689,0)</f>
        <v>0</v>
      </c>
      <c r="L689" s="473"/>
      <c r="M689" s="400"/>
      <c r="N689" s="400"/>
      <c r="O689" s="400"/>
      <c r="P689" s="400"/>
      <c r="Q689" s="400"/>
      <c r="R689" s="400"/>
      <c r="S689" s="400"/>
      <c r="T689" s="400"/>
      <c r="U689" s="400"/>
    </row>
    <row r="690" spans="1:21" ht="19.5" x14ac:dyDescent="0.3">
      <c r="A690" s="128"/>
      <c r="B690" s="158"/>
      <c r="C690" s="177" t="s">
        <v>18</v>
      </c>
      <c r="D690" s="821" t="s">
        <v>19</v>
      </c>
      <c r="E690" s="793"/>
      <c r="F690" s="793"/>
      <c r="G690" s="794"/>
      <c r="H690" s="221" t="s">
        <v>14</v>
      </c>
      <c r="I690" s="44"/>
      <c r="J690" s="44"/>
      <c r="K690" s="45"/>
      <c r="L690" s="471">
        <f>L691+L692</f>
        <v>0</v>
      </c>
      <c r="M690" s="470">
        <f>M691+M692</f>
        <v>0</v>
      </c>
      <c r="N690" s="470">
        <f>N691+N692</f>
        <v>0</v>
      </c>
      <c r="O690" s="470">
        <f t="shared" ref="O690:O698" si="169">IF(L690&gt;0,N690*100/L690,0)</f>
        <v>0</v>
      </c>
      <c r="P690" s="470">
        <f t="shared" ref="P690:P698" si="170">IF(M690&gt;0,N690*100/M690,0)</f>
        <v>0</v>
      </c>
      <c r="Q690" s="470">
        <f ca="1">Q691+Q692</f>
        <v>97970</v>
      </c>
      <c r="R690" s="470">
        <f ca="1">R691+R692</f>
        <v>97970</v>
      </c>
      <c r="S690" s="470">
        <f ca="1">S691+S692</f>
        <v>0</v>
      </c>
      <c r="T690" s="470">
        <f t="shared" ref="T690:T698" ca="1" si="171">IF(Q690&gt;0,S690*100/Q690,0)</f>
        <v>0</v>
      </c>
      <c r="U690" s="470">
        <f t="shared" ref="U690:U698" ca="1" si="172">IF(R690&gt;0,S690*100/R690,0)</f>
        <v>0</v>
      </c>
    </row>
    <row r="691" spans="1:21" ht="18.75" hidden="1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469">
        <f t="shared" ref="L691:N692" si="173">L694+L697</f>
        <v>0</v>
      </c>
      <c r="M691" s="83">
        <f t="shared" si="173"/>
        <v>0</v>
      </c>
      <c r="N691" s="83">
        <f t="shared" si="173"/>
        <v>0</v>
      </c>
      <c r="O691" s="83">
        <f t="shared" si="169"/>
        <v>0</v>
      </c>
      <c r="P691" s="83">
        <f t="shared" si="170"/>
        <v>0</v>
      </c>
      <c r="Q691" s="83">
        <f t="shared" ref="Q691:S692" si="174">Q694+Q697</f>
        <v>0</v>
      </c>
      <c r="R691" s="83">
        <f t="shared" si="174"/>
        <v>0</v>
      </c>
      <c r="S691" s="83">
        <f t="shared" si="174"/>
        <v>0</v>
      </c>
      <c r="T691" s="83">
        <f t="shared" si="171"/>
        <v>0</v>
      </c>
      <c r="U691" s="83">
        <f t="shared" si="172"/>
        <v>0</v>
      </c>
    </row>
    <row r="692" spans="1:21" ht="18.75" hidden="1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468">
        <f t="shared" si="173"/>
        <v>0</v>
      </c>
      <c r="M692" s="224">
        <f t="shared" si="173"/>
        <v>0</v>
      </c>
      <c r="N692" s="224">
        <f t="shared" si="173"/>
        <v>0</v>
      </c>
      <c r="O692" s="224">
        <f t="shared" si="169"/>
        <v>0</v>
      </c>
      <c r="P692" s="224">
        <f t="shared" si="170"/>
        <v>0</v>
      </c>
      <c r="Q692" s="224">
        <f t="shared" ca="1" si="174"/>
        <v>97970</v>
      </c>
      <c r="R692" s="224">
        <f t="shared" ca="1" si="174"/>
        <v>97970</v>
      </c>
      <c r="S692" s="224">
        <f t="shared" ca="1" si="174"/>
        <v>0</v>
      </c>
      <c r="T692" s="224">
        <f t="shared" ca="1" si="171"/>
        <v>0</v>
      </c>
      <c r="U692" s="224">
        <f t="shared" ca="1" si="172"/>
        <v>0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468">
        <f>L694+L695</f>
        <v>0</v>
      </c>
      <c r="M693" s="224">
        <f>M694+M695</f>
        <v>0</v>
      </c>
      <c r="N693" s="224">
        <f>N694+N695</f>
        <v>0</v>
      </c>
      <c r="O693" s="224">
        <f t="shared" si="169"/>
        <v>0</v>
      </c>
      <c r="P693" s="224">
        <f t="shared" si="170"/>
        <v>0</v>
      </c>
      <c r="Q693" s="224">
        <f ca="1">Q694+Q695</f>
        <v>97970</v>
      </c>
      <c r="R693" s="224">
        <f ca="1">R694+R695</f>
        <v>97970</v>
      </c>
      <c r="S693" s="224">
        <f ca="1">S694+S695</f>
        <v>0</v>
      </c>
      <c r="T693" s="224">
        <f t="shared" ca="1" si="171"/>
        <v>0</v>
      </c>
      <c r="U693" s="224">
        <f t="shared" ca="1" si="172"/>
        <v>0</v>
      </c>
    </row>
    <row r="694" spans="1:21" ht="18.75" hidden="1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469">
        <v>0</v>
      </c>
      <c r="M694" s="83">
        <v>0</v>
      </c>
      <c r="N694" s="83">
        <v>0</v>
      </c>
      <c r="O694" s="83">
        <f t="shared" si="169"/>
        <v>0</v>
      </c>
      <c r="P694" s="83">
        <f t="shared" si="170"/>
        <v>0</v>
      </c>
      <c r="Q694" s="83">
        <v>0</v>
      </c>
      <c r="R694" s="83">
        <v>0</v>
      </c>
      <c r="S694" s="83">
        <v>0</v>
      </c>
      <c r="T694" s="83">
        <f t="shared" si="171"/>
        <v>0</v>
      </c>
      <c r="U694" s="83">
        <f t="shared" si="172"/>
        <v>0</v>
      </c>
    </row>
    <row r="695" spans="1:21" ht="18.75" hidden="1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468">
        <v>0</v>
      </c>
      <c r="M695" s="224">
        <v>0</v>
      </c>
      <c r="N695" s="224">
        <v>0</v>
      </c>
      <c r="O695" s="224">
        <f t="shared" si="169"/>
        <v>0</v>
      </c>
      <c r="P695" s="224">
        <f t="shared" si="170"/>
        <v>0</v>
      </c>
      <c r="Q695" s="224">
        <f ca="1">IFERROR(__xludf.DUMMYFUNCTION("IMPORTRANGE(""https://docs.google.com/spreadsheets/d/1ItG2mGa2ceCfYo0BwxsXqNm01IGEUdYcSSLTEv9YCik/edit?usp=sharing"",""เบิกจ่ายกองทุน!L25"")"),97970)</f>
        <v>97970</v>
      </c>
      <c r="R695" s="224">
        <f ca="1">IFERROR(__xludf.DUMMYFUNCTION("IMPORTRANGE(""https://docs.google.com/spreadsheets/d/1ItG2mGa2ceCfYo0BwxsXqNm01IGEUdYcSSLTEv9YCik/edit?usp=sharing"",""เบิกจ่ายกองทุน!M25"")"),97970)</f>
        <v>97970</v>
      </c>
      <c r="S695" s="224">
        <f ca="1">IFERROR(__xludf.DUMMYFUNCTION("IMPORTRANGE(""https://docs.google.com/spreadsheets/d/1ItG2mGa2ceCfYo0BwxsXqNm01IGEUdYcSSLTEv9YCik/edit?usp=sharing"",""เบิกจ่ายกองทุน!N25"")"),0)</f>
        <v>0</v>
      </c>
      <c r="T695" s="224">
        <f t="shared" ca="1" si="171"/>
        <v>0</v>
      </c>
      <c r="U695" s="224">
        <f t="shared" ca="1" si="172"/>
        <v>0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468">
        <f>L697+L698</f>
        <v>0</v>
      </c>
      <c r="M696" s="224">
        <f>M697+M698</f>
        <v>0</v>
      </c>
      <c r="N696" s="224">
        <f>N697+N698</f>
        <v>0</v>
      </c>
      <c r="O696" s="224">
        <f t="shared" si="169"/>
        <v>0</v>
      </c>
      <c r="P696" s="224">
        <f t="shared" si="170"/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 t="shared" si="171"/>
        <v>0</v>
      </c>
      <c r="U696" s="224">
        <f t="shared" si="172"/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469">
        <v>0</v>
      </c>
      <c r="M697" s="83">
        <v>0</v>
      </c>
      <c r="N697" s="83">
        <v>0</v>
      </c>
      <c r="O697" s="83">
        <f t="shared" si="169"/>
        <v>0</v>
      </c>
      <c r="P697" s="83">
        <f t="shared" si="170"/>
        <v>0</v>
      </c>
      <c r="Q697" s="83">
        <v>0</v>
      </c>
      <c r="R697" s="83">
        <v>0</v>
      </c>
      <c r="S697" s="83">
        <v>0</v>
      </c>
      <c r="T697" s="83">
        <f t="shared" si="171"/>
        <v>0</v>
      </c>
      <c r="U697" s="83">
        <f t="shared" si="172"/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468">
        <v>0</v>
      </c>
      <c r="M698" s="224">
        <v>0</v>
      </c>
      <c r="N698" s="224">
        <v>0</v>
      </c>
      <c r="O698" s="224">
        <f t="shared" si="169"/>
        <v>0</v>
      </c>
      <c r="P698" s="224">
        <f t="shared" si="170"/>
        <v>0</v>
      </c>
      <c r="Q698" s="224">
        <v>0</v>
      </c>
      <c r="R698" s="224">
        <v>0</v>
      </c>
      <c r="S698" s="224">
        <v>0</v>
      </c>
      <c r="T698" s="224">
        <f t="shared" si="171"/>
        <v>0</v>
      </c>
      <c r="U698" s="224">
        <f t="shared" si="172"/>
        <v>0</v>
      </c>
    </row>
    <row r="699" spans="1:21" ht="19.5" x14ac:dyDescent="0.3">
      <c r="A699" s="138"/>
      <c r="B699" s="139"/>
      <c r="C699" s="177" t="s">
        <v>18</v>
      </c>
      <c r="D699" s="498" t="s">
        <v>38</v>
      </c>
      <c r="E699" s="141"/>
      <c r="F699" s="141"/>
      <c r="G699" s="141"/>
      <c r="H699" s="178"/>
      <c r="I699" s="135"/>
      <c r="J699" s="135"/>
      <c r="K699" s="136"/>
      <c r="L699" s="465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IFERROR(__xludf.DUMMYFUNCTION("IMPORTRANGE(""https://docs.google.com/spreadsheets/d/1eHaY18a8A9IcSdp1K8H6x8fbOy06t2VsZHhMHf-1x7Y/edit?usp=sharing"",""แผน!LC25"")"),1)</f>
        <v>1</v>
      </c>
      <c r="J700" s="466">
        <v>0</v>
      </c>
      <c r="K700" s="497">
        <f t="shared" ref="K700:K710" ca="1" si="175">IF(I700&gt;0,J700*100/I700,0)</f>
        <v>0</v>
      </c>
      <c r="L700" s="4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24" t="s">
        <v>258</v>
      </c>
      <c r="F701" s="145"/>
      <c r="G701" s="143"/>
      <c r="H701" s="131" t="s">
        <v>35</v>
      </c>
      <c r="I701" s="328">
        <f ca="1">I703+I705</f>
        <v>2</v>
      </c>
      <c r="J701" s="328">
        <f ca="1">J703+J705</f>
        <v>0</v>
      </c>
      <c r="K701" s="470">
        <f t="shared" ca="1" si="175"/>
        <v>0</v>
      </c>
      <c r="L701" s="4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0</v>
      </c>
      <c r="K702" s="470">
        <f t="shared" si="175"/>
        <v>0</v>
      </c>
      <c r="L702" s="4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IFERROR(__xludf.DUMMYFUNCTION("IMPORTRANGE(""https://docs.google.com/spreadsheets/d/1eHaY18a8A9IcSdp1K8H6x8fbOy06t2VsZHhMHf-1x7Y/edit?usp=sharing"",""แผน!LJ25"")"),0)</f>
        <v>0</v>
      </c>
      <c r="J703" s="184">
        <f ca="1">IFERROR(__xludf.DUMMYFUNCTION("IMPORTRANGE(""https://docs.google.com/spreadsheets/d/1tdoBKaGub7dwA3U6UFTqxio9LNnvDCQjHKmttSEBsFQ/edit?usp=sharing"",""จัดที่ดิน!AP25"")"),0)</f>
        <v>0</v>
      </c>
      <c r="K703" s="224">
        <f t="shared" ca="1" si="175"/>
        <v>0</v>
      </c>
      <c r="L703" s="4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IFERROR(__xludf.DUMMYFUNCTION("IMPORTRANGE(""https://docs.google.com/spreadsheets/d/1tdoBKaGub7dwA3U6UFTqxio9LNnvDCQjHKmttSEBsFQ/edit?usp=sharing"",""จัดที่ดิน!AQ25"")"),0)</f>
        <v>0</v>
      </c>
      <c r="K704" s="224">
        <f t="shared" si="175"/>
        <v>0</v>
      </c>
      <c r="L704" s="4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IFERROR(__xludf.DUMMYFUNCTION("IMPORTRANGE(""https://docs.google.com/spreadsheets/d/1eHaY18a8A9IcSdp1K8H6x8fbOy06t2VsZHhMHf-1x7Y/edit?usp=sharing"",""แผน!LK25"")"),2)</f>
        <v>2</v>
      </c>
      <c r="J705" s="184">
        <f ca="1">IFERROR(__xludf.DUMMYFUNCTION("IMPORTRANGE(""https://docs.google.com/spreadsheets/d/1tdoBKaGub7dwA3U6UFTqxio9LNnvDCQjHKmttSEBsFQ/edit?usp=sharing"",""จัดที่ดิน!AR25"")"),0)</f>
        <v>0</v>
      </c>
      <c r="K705" s="497">
        <f t="shared" ca="1" si="175"/>
        <v>0</v>
      </c>
      <c r="L705" s="4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IFERROR(__xludf.DUMMYFUNCTION("IMPORTRANGE(""https://docs.google.com/spreadsheets/d/1tdoBKaGub7dwA3U6UFTqxio9LNnvDCQjHKmttSEBsFQ/edit?usp=sharing"",""จัดที่ดิน!AS25"")"),0)</f>
        <v>0</v>
      </c>
      <c r="K706" s="224">
        <f t="shared" si="175"/>
        <v>0</v>
      </c>
      <c r="L706" s="4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IFERROR(__xludf.DUMMYFUNCTION("IMPORTRANGE(""https://docs.google.com/spreadsheets/d/1eHaY18a8A9IcSdp1K8H6x8fbOy06t2VsZHhMHf-1x7Y/edit?usp=sharing"",""แผน!LJ25"")"),0)</f>
        <v>0</v>
      </c>
      <c r="J707" s="184">
        <f ca="1">IFERROR(__xludf.DUMMYFUNCTION("IMPORTRANGE(""https://docs.google.com/spreadsheets/d/1tdoBKaGub7dwA3U6UFTqxio9LNnvDCQjHKmttSEBsFQ/edit?usp=sharing"",""จัดที่ดิน!BN25"")"),0)</f>
        <v>0</v>
      </c>
      <c r="K707" s="224">
        <f t="shared" ca="1" si="175"/>
        <v>0</v>
      </c>
      <c r="L707" s="4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25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IFERROR(__xludf.DUMMYFUNCTION("IMPORTRANGE(""https://docs.google.com/spreadsheets/d/1tdoBKaGub7dwA3U6UFTqxio9LNnvDCQjHKmttSEBsFQ/edit?usp=sharing"",""จัดที่ดิน!BO25"")"),0)</f>
        <v>0</v>
      </c>
      <c r="K708" s="224">
        <f t="shared" si="175"/>
        <v>0</v>
      </c>
      <c r="L708" s="4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IFERROR(__xludf.DUMMYFUNCTION("IMPORTRANGE(""https://docs.google.com/spreadsheets/d/1eHaY18a8A9IcSdp1K8H6x8fbOy06t2VsZHhMHf-1x7Y/edit?usp=sharing"",""แผน!LK25"")"),2)</f>
        <v>2</v>
      </c>
      <c r="J709" s="184">
        <f ca="1">IFERROR(__xludf.DUMMYFUNCTION("IMPORTRANGE(""https://docs.google.com/spreadsheets/d/1tdoBKaGub7dwA3U6UFTqxio9LNnvDCQjHKmttSEBsFQ/edit?usp=sharing"",""จัดที่ดิน!BP25"")"),0)</f>
        <v>0</v>
      </c>
      <c r="K709" s="224">
        <f t="shared" ca="1" si="175"/>
        <v>0</v>
      </c>
      <c r="L709" s="465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25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IFERROR(__xludf.DUMMYFUNCTION("IMPORTRANGE(""https://docs.google.com/spreadsheets/d/1tdoBKaGub7dwA3U6UFTqxio9LNnvDCQjHKmttSEBsFQ/edit?usp=sharing"",""จัดที่ดิน!BQ25"")"),0)</f>
        <v>0</v>
      </c>
      <c r="K710" s="224">
        <f t="shared" si="175"/>
        <v>0</v>
      </c>
      <c r="L710" s="465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496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hidden="1" x14ac:dyDescent="0.3">
      <c r="A712" s="394"/>
      <c r="B712" s="426" t="s">
        <v>265</v>
      </c>
      <c r="C712" s="394"/>
      <c r="D712" s="396"/>
      <c r="E712" s="396"/>
      <c r="F712" s="396"/>
      <c r="G712" s="397"/>
      <c r="H712" s="427" t="s">
        <v>46</v>
      </c>
      <c r="I712" s="399"/>
      <c r="J712" s="399">
        <f>J724</f>
        <v>0</v>
      </c>
      <c r="K712" s="495">
        <f>IF(I712&gt;0,J712*100/I712,0)</f>
        <v>0</v>
      </c>
      <c r="L712" s="473"/>
      <c r="M712" s="400"/>
      <c r="N712" s="400"/>
      <c r="O712" s="400"/>
      <c r="P712" s="400"/>
      <c r="Q712" s="400"/>
      <c r="R712" s="400"/>
      <c r="S712" s="400"/>
      <c r="T712" s="400"/>
      <c r="U712" s="400"/>
    </row>
    <row r="713" spans="1:21" ht="19.5" hidden="1" x14ac:dyDescent="0.3">
      <c r="A713" s="394"/>
      <c r="B713" s="426" t="s">
        <v>266</v>
      </c>
      <c r="C713" s="394"/>
      <c r="D713" s="396"/>
      <c r="E713" s="396"/>
      <c r="F713" s="396"/>
      <c r="G713" s="397"/>
      <c r="H713" s="398"/>
      <c r="I713" s="399"/>
      <c r="J713" s="399"/>
      <c r="K713" s="400"/>
      <c r="L713" s="47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128"/>
      <c r="B714" s="158"/>
      <c r="C714" s="314" t="s">
        <v>18</v>
      </c>
      <c r="D714" s="820" t="s">
        <v>19</v>
      </c>
      <c r="E714" s="793"/>
      <c r="F714" s="793"/>
      <c r="G714" s="794"/>
      <c r="H714" s="372" t="s">
        <v>14</v>
      </c>
      <c r="I714" s="44"/>
      <c r="J714" s="44"/>
      <c r="K714" s="45"/>
      <c r="L714" s="471">
        <f>L715+L716</f>
        <v>0</v>
      </c>
      <c r="M714" s="470">
        <f>M715+M716</f>
        <v>0</v>
      </c>
      <c r="N714" s="470">
        <f>N715+N716</f>
        <v>0</v>
      </c>
      <c r="O714" s="470">
        <f t="shared" ref="O714:O722" si="176">IF(L714&gt;0,N714*100/L714,0)</f>
        <v>0</v>
      </c>
      <c r="P714" s="470">
        <f t="shared" ref="P714:P722" si="177">IF(M714&gt;0,N714*100/M714,0)</f>
        <v>0</v>
      </c>
      <c r="Q714" s="470">
        <f>Q715+Q716</f>
        <v>0</v>
      </c>
      <c r="R714" s="470">
        <f>R715+R716</f>
        <v>0</v>
      </c>
      <c r="S714" s="470">
        <f>S715+S716</f>
        <v>0</v>
      </c>
      <c r="T714" s="470">
        <f t="shared" ref="T714:T722" si="178">IF(Q714&gt;0,S714*100/Q714,0)</f>
        <v>0</v>
      </c>
      <c r="U714" s="470">
        <f t="shared" ref="U714:U722" si="179"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469">
        <f t="shared" ref="L715:N716" si="180">L718+L721</f>
        <v>0</v>
      </c>
      <c r="M715" s="83">
        <f t="shared" si="180"/>
        <v>0</v>
      </c>
      <c r="N715" s="83">
        <f t="shared" si="180"/>
        <v>0</v>
      </c>
      <c r="O715" s="83">
        <f t="shared" si="176"/>
        <v>0</v>
      </c>
      <c r="P715" s="83">
        <f t="shared" si="177"/>
        <v>0</v>
      </c>
      <c r="Q715" s="83">
        <f t="shared" ref="Q715:S716" si="181">Q718+Q721</f>
        <v>0</v>
      </c>
      <c r="R715" s="83">
        <f t="shared" si="181"/>
        <v>0</v>
      </c>
      <c r="S715" s="83">
        <f t="shared" si="181"/>
        <v>0</v>
      </c>
      <c r="T715" s="83">
        <f t="shared" si="178"/>
        <v>0</v>
      </c>
      <c r="U715" s="83">
        <f t="shared" si="179"/>
        <v>0</v>
      </c>
    </row>
    <row r="716" spans="1:21" ht="18.75" hidden="1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468">
        <f t="shared" si="180"/>
        <v>0</v>
      </c>
      <c r="M716" s="224">
        <f t="shared" si="180"/>
        <v>0</v>
      </c>
      <c r="N716" s="224">
        <f t="shared" si="180"/>
        <v>0</v>
      </c>
      <c r="O716" s="224">
        <f t="shared" si="176"/>
        <v>0</v>
      </c>
      <c r="P716" s="224">
        <f t="shared" si="177"/>
        <v>0</v>
      </c>
      <c r="Q716" s="224">
        <f t="shared" si="181"/>
        <v>0</v>
      </c>
      <c r="R716" s="224">
        <f t="shared" si="181"/>
        <v>0</v>
      </c>
      <c r="S716" s="224">
        <f t="shared" si="181"/>
        <v>0</v>
      </c>
      <c r="T716" s="224">
        <f t="shared" si="178"/>
        <v>0</v>
      </c>
      <c r="U716" s="224">
        <f t="shared" si="179"/>
        <v>0</v>
      </c>
    </row>
    <row r="717" spans="1:21" ht="19.5" hidden="1" x14ac:dyDescent="0.3">
      <c r="A717" s="128"/>
      <c r="B717" s="158"/>
      <c r="C717" s="158"/>
      <c r="D717" s="494" t="s">
        <v>22</v>
      </c>
      <c r="E717" s="40"/>
      <c r="F717" s="40"/>
      <c r="G717" s="42"/>
      <c r="H717" s="372" t="s">
        <v>14</v>
      </c>
      <c r="I717" s="135"/>
      <c r="J717" s="135"/>
      <c r="K717" s="136"/>
      <c r="L717" s="468">
        <f>L718+L719</f>
        <v>0</v>
      </c>
      <c r="M717" s="224">
        <f>M718+M719</f>
        <v>0</v>
      </c>
      <c r="N717" s="224">
        <f>N718+N719</f>
        <v>0</v>
      </c>
      <c r="O717" s="224">
        <f t="shared" si="176"/>
        <v>0</v>
      </c>
      <c r="P717" s="224">
        <f t="shared" si="177"/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 t="shared" si="178"/>
        <v>0</v>
      </c>
      <c r="U717" s="224">
        <f t="shared" si="179"/>
        <v>0</v>
      </c>
    </row>
    <row r="718" spans="1:21" ht="18.75" hidden="1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469">
        <v>0</v>
      </c>
      <c r="M718" s="83">
        <v>0</v>
      </c>
      <c r="N718" s="83">
        <v>0</v>
      </c>
      <c r="O718" s="83">
        <f t="shared" si="176"/>
        <v>0</v>
      </c>
      <c r="P718" s="83">
        <f t="shared" si="177"/>
        <v>0</v>
      </c>
      <c r="Q718" s="83">
        <v>0</v>
      </c>
      <c r="R718" s="83">
        <v>0</v>
      </c>
      <c r="S718" s="83">
        <v>0</v>
      </c>
      <c r="T718" s="83">
        <f t="shared" si="178"/>
        <v>0</v>
      </c>
      <c r="U718" s="83">
        <f t="shared" si="179"/>
        <v>0</v>
      </c>
    </row>
    <row r="719" spans="1:21" ht="18.75" hidden="1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468">
        <v>0</v>
      </c>
      <c r="M719" s="224">
        <v>0</v>
      </c>
      <c r="N719" s="224">
        <v>0</v>
      </c>
      <c r="O719" s="224">
        <f t="shared" si="176"/>
        <v>0</v>
      </c>
      <c r="P719" s="224">
        <f t="shared" si="177"/>
        <v>0</v>
      </c>
      <c r="Q719" s="224">
        <v>0</v>
      </c>
      <c r="R719" s="224">
        <v>0</v>
      </c>
      <c r="S719" s="224">
        <v>0</v>
      </c>
      <c r="T719" s="224">
        <f t="shared" si="178"/>
        <v>0</v>
      </c>
      <c r="U719" s="224">
        <f t="shared" si="179"/>
        <v>0</v>
      </c>
    </row>
    <row r="720" spans="1:21" ht="19.5" hidden="1" x14ac:dyDescent="0.3">
      <c r="A720" s="128"/>
      <c r="B720" s="158"/>
      <c r="C720" s="158"/>
      <c r="D720" s="494" t="s">
        <v>23</v>
      </c>
      <c r="E720" s="40"/>
      <c r="F720" s="40"/>
      <c r="G720" s="42"/>
      <c r="H720" s="374" t="s">
        <v>14</v>
      </c>
      <c r="I720" s="135"/>
      <c r="J720" s="135"/>
      <c r="K720" s="136"/>
      <c r="L720" s="468">
        <f>L721+L722</f>
        <v>0</v>
      </c>
      <c r="M720" s="224">
        <f>M721+M722</f>
        <v>0</v>
      </c>
      <c r="N720" s="224">
        <f>N721+N722</f>
        <v>0</v>
      </c>
      <c r="O720" s="224">
        <f t="shared" si="176"/>
        <v>0</v>
      </c>
      <c r="P720" s="224">
        <f t="shared" si="177"/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 t="shared" si="178"/>
        <v>0</v>
      </c>
      <c r="U720" s="224">
        <f t="shared" si="179"/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469">
        <v>0</v>
      </c>
      <c r="M721" s="83">
        <v>0</v>
      </c>
      <c r="N721" s="83">
        <v>0</v>
      </c>
      <c r="O721" s="83">
        <f t="shared" si="176"/>
        <v>0</v>
      </c>
      <c r="P721" s="83">
        <f t="shared" si="177"/>
        <v>0</v>
      </c>
      <c r="Q721" s="83">
        <v>0</v>
      </c>
      <c r="R721" s="83">
        <v>0</v>
      </c>
      <c r="S721" s="83">
        <v>0</v>
      </c>
      <c r="T721" s="83">
        <f t="shared" si="178"/>
        <v>0</v>
      </c>
      <c r="U721" s="83">
        <f t="shared" si="179"/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375" t="s">
        <v>14</v>
      </c>
      <c r="I722" s="135"/>
      <c r="J722" s="135"/>
      <c r="K722" s="136"/>
      <c r="L722" s="468">
        <v>0</v>
      </c>
      <c r="M722" s="224">
        <v>0</v>
      </c>
      <c r="N722" s="224">
        <v>0</v>
      </c>
      <c r="O722" s="224">
        <f t="shared" si="176"/>
        <v>0</v>
      </c>
      <c r="P722" s="224">
        <f t="shared" si="177"/>
        <v>0</v>
      </c>
      <c r="Q722" s="224">
        <v>0</v>
      </c>
      <c r="R722" s="224">
        <v>0</v>
      </c>
      <c r="S722" s="224">
        <v>0</v>
      </c>
      <c r="T722" s="224">
        <f t="shared" si="178"/>
        <v>0</v>
      </c>
      <c r="U722" s="224">
        <f t="shared" si="179"/>
        <v>0</v>
      </c>
    </row>
    <row r="723" spans="1:21" ht="19.5" hidden="1" x14ac:dyDescent="0.3">
      <c r="A723" s="138"/>
      <c r="B723" s="139"/>
      <c r="C723" s="314" t="s">
        <v>18</v>
      </c>
      <c r="D723" s="493" t="s">
        <v>38</v>
      </c>
      <c r="E723" s="141"/>
      <c r="F723" s="141"/>
      <c r="G723" s="142"/>
      <c r="H723" s="178"/>
      <c r="I723" s="135"/>
      <c r="J723" s="135"/>
      <c r="K723" s="136"/>
      <c r="L723" s="4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30">
        <v>0</v>
      </c>
      <c r="J724" s="44"/>
      <c r="K724" s="45"/>
      <c r="L724" s="465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29"/>
      <c r="B725" s="2"/>
      <c r="C725" s="2"/>
      <c r="D725" s="1"/>
      <c r="E725" s="431" t="s">
        <v>268</v>
      </c>
      <c r="F725" s="1"/>
      <c r="G725" s="52"/>
      <c r="H725" s="432" t="s">
        <v>46</v>
      </c>
      <c r="I725" s="433">
        <v>0</v>
      </c>
      <c r="J725" s="54"/>
      <c r="K725" s="3"/>
      <c r="L725" s="46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94"/>
      <c r="B726" s="395" t="s">
        <v>269</v>
      </c>
      <c r="C726" s="394"/>
      <c r="D726" s="396"/>
      <c r="E726" s="396"/>
      <c r="F726" s="396"/>
      <c r="G726" s="397"/>
      <c r="H726" s="434" t="s">
        <v>35</v>
      </c>
      <c r="I726" s="475">
        <f ca="1">IFERROR(__xludf.DUMMYFUNCTION("IMPORTRANGE(""https://docs.google.com/spreadsheets/d/1eHaY18a8A9IcSdp1K8H6x8fbOy06t2VsZHhMHf-1x7Y/edit?usp=sharing"",""แผน!GA25"")"),16)</f>
        <v>16</v>
      </c>
      <c r="J726" s="475">
        <f>J742+J746+J749</f>
        <v>0</v>
      </c>
      <c r="K726" s="474">
        <f ca="1">IF(I726&gt;0,J726*100/I726,0)</f>
        <v>0</v>
      </c>
      <c r="L726" s="473"/>
      <c r="M726" s="400"/>
      <c r="N726" s="400"/>
      <c r="O726" s="400"/>
      <c r="P726" s="400"/>
      <c r="Q726" s="400"/>
      <c r="R726" s="400"/>
      <c r="S726" s="400"/>
      <c r="T726" s="400"/>
      <c r="U726" s="400"/>
    </row>
    <row r="727" spans="1:21" ht="19.5" x14ac:dyDescent="0.3">
      <c r="A727" s="436"/>
      <c r="B727" s="394"/>
      <c r="C727" s="394"/>
      <c r="D727" s="396"/>
      <c r="E727" s="396"/>
      <c r="F727" s="396"/>
      <c r="G727" s="397"/>
      <c r="H727" s="434" t="s">
        <v>46</v>
      </c>
      <c r="I727" s="475">
        <f ca="1">IFERROR(__xludf.DUMMYFUNCTION("IMPORTRANGE(""https://docs.google.com/spreadsheets/d/1eHaY18a8A9IcSdp1K8H6x8fbOy06t2VsZHhMHf-1x7Y/edit?usp=sharing"",""แผน!FZ25"")"),150)</f>
        <v>150</v>
      </c>
      <c r="J727" s="475">
        <f>J752+J755</f>
        <v>0</v>
      </c>
      <c r="K727" s="474">
        <f ca="1">IF(I727&gt;0,J727*100/I727,0)</f>
        <v>0</v>
      </c>
      <c r="L727" s="47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128"/>
      <c r="B728" s="158"/>
      <c r="C728" s="177" t="s">
        <v>18</v>
      </c>
      <c r="D728" s="821" t="s">
        <v>19</v>
      </c>
      <c r="E728" s="793"/>
      <c r="F728" s="793"/>
      <c r="G728" s="794"/>
      <c r="H728" s="221" t="s">
        <v>14</v>
      </c>
      <c r="I728" s="44"/>
      <c r="J728" s="44"/>
      <c r="K728" s="45"/>
      <c r="L728" s="471">
        <f>L729+L730</f>
        <v>0</v>
      </c>
      <c r="M728" s="470">
        <f>M729+M730</f>
        <v>0</v>
      </c>
      <c r="N728" s="470">
        <f>N729+N730</f>
        <v>0</v>
      </c>
      <c r="O728" s="470">
        <f t="shared" ref="O728:O736" si="182">IF(L728&gt;0,N728*100/L728,0)</f>
        <v>0</v>
      </c>
      <c r="P728" s="470">
        <f t="shared" ref="P728:P736" si="183">IF(M728&gt;0,N728*100/M728,0)</f>
        <v>0</v>
      </c>
      <c r="Q728" s="470">
        <f ca="1">Q729+Q730</f>
        <v>144438</v>
      </c>
      <c r="R728" s="470">
        <f ca="1">R729+R730</f>
        <v>144438</v>
      </c>
      <c r="S728" s="470">
        <f ca="1">S729+S730</f>
        <v>0</v>
      </c>
      <c r="T728" s="470">
        <f t="shared" ref="T728:T736" ca="1" si="184">IF(Q728&gt;0,S728*100/Q728,0)</f>
        <v>0</v>
      </c>
      <c r="U728" s="470">
        <f t="shared" ref="U728:U736" ca="1" si="185">IF(R728&gt;0,S728*100/R728,0)</f>
        <v>0</v>
      </c>
    </row>
    <row r="729" spans="1:21" ht="18.75" hidden="1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469">
        <f t="shared" ref="L729:N730" si="186">L732+L735</f>
        <v>0</v>
      </c>
      <c r="M729" s="83">
        <f t="shared" si="186"/>
        <v>0</v>
      </c>
      <c r="N729" s="83">
        <f t="shared" si="186"/>
        <v>0</v>
      </c>
      <c r="O729" s="83">
        <f t="shared" si="182"/>
        <v>0</v>
      </c>
      <c r="P729" s="83">
        <f t="shared" si="183"/>
        <v>0</v>
      </c>
      <c r="Q729" s="83">
        <f t="shared" ref="Q729:S730" si="187">Q732+Q735</f>
        <v>0</v>
      </c>
      <c r="R729" s="83">
        <f t="shared" si="187"/>
        <v>0</v>
      </c>
      <c r="S729" s="83">
        <f t="shared" si="187"/>
        <v>0</v>
      </c>
      <c r="T729" s="83">
        <f t="shared" si="184"/>
        <v>0</v>
      </c>
      <c r="U729" s="83">
        <f t="shared" si="185"/>
        <v>0</v>
      </c>
    </row>
    <row r="730" spans="1:21" ht="18.75" hidden="1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468">
        <f t="shared" si="186"/>
        <v>0</v>
      </c>
      <c r="M730" s="224">
        <f t="shared" si="186"/>
        <v>0</v>
      </c>
      <c r="N730" s="224">
        <f t="shared" si="186"/>
        <v>0</v>
      </c>
      <c r="O730" s="224">
        <f t="shared" si="182"/>
        <v>0</v>
      </c>
      <c r="P730" s="224">
        <f t="shared" si="183"/>
        <v>0</v>
      </c>
      <c r="Q730" s="224">
        <f t="shared" ca="1" si="187"/>
        <v>144438</v>
      </c>
      <c r="R730" s="224">
        <f t="shared" ca="1" si="187"/>
        <v>144438</v>
      </c>
      <c r="S730" s="224">
        <f t="shared" ca="1" si="187"/>
        <v>0</v>
      </c>
      <c r="T730" s="224">
        <f t="shared" ca="1" si="184"/>
        <v>0</v>
      </c>
      <c r="U730" s="224">
        <f t="shared" ca="1" si="185"/>
        <v>0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468">
        <f>L732+L733</f>
        <v>0</v>
      </c>
      <c r="M731" s="224">
        <f>M732+M733</f>
        <v>0</v>
      </c>
      <c r="N731" s="224">
        <f>N732+N733</f>
        <v>0</v>
      </c>
      <c r="O731" s="224">
        <f t="shared" si="182"/>
        <v>0</v>
      </c>
      <c r="P731" s="224">
        <f t="shared" si="183"/>
        <v>0</v>
      </c>
      <c r="Q731" s="224">
        <f ca="1">Q732+Q733</f>
        <v>144438</v>
      </c>
      <c r="R731" s="224">
        <f ca="1">R732+R733</f>
        <v>144438</v>
      </c>
      <c r="S731" s="224">
        <f ca="1">S732+S733</f>
        <v>0</v>
      </c>
      <c r="T731" s="224">
        <f t="shared" ca="1" si="184"/>
        <v>0</v>
      </c>
      <c r="U731" s="224">
        <f t="shared" ca="1" si="185"/>
        <v>0</v>
      </c>
    </row>
    <row r="732" spans="1:21" ht="18.75" hidden="1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469">
        <v>0</v>
      </c>
      <c r="M732" s="83">
        <v>0</v>
      </c>
      <c r="N732" s="83">
        <v>0</v>
      </c>
      <c r="O732" s="83">
        <f t="shared" si="182"/>
        <v>0</v>
      </c>
      <c r="P732" s="83">
        <f t="shared" si="183"/>
        <v>0</v>
      </c>
      <c r="Q732" s="83">
        <v>0</v>
      </c>
      <c r="R732" s="83">
        <v>0</v>
      </c>
      <c r="S732" s="83">
        <v>0</v>
      </c>
      <c r="T732" s="83">
        <f t="shared" si="184"/>
        <v>0</v>
      </c>
      <c r="U732" s="83">
        <f t="shared" si="185"/>
        <v>0</v>
      </c>
    </row>
    <row r="733" spans="1:21" ht="18.75" hidden="1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468">
        <v>0</v>
      </c>
      <c r="M733" s="224">
        <v>0</v>
      </c>
      <c r="N733" s="224">
        <v>0</v>
      </c>
      <c r="O733" s="224">
        <f t="shared" si="182"/>
        <v>0</v>
      </c>
      <c r="P733" s="224">
        <f t="shared" si="183"/>
        <v>0</v>
      </c>
      <c r="Q733" s="224">
        <f ca="1">IFERROR(__xludf.DUMMYFUNCTION("IMPORTRANGE(""https://docs.google.com/spreadsheets/d/1ItG2mGa2ceCfYo0BwxsXqNm01IGEUdYcSSLTEv9YCik/edit?usp=sharing"",""เบิกจ่ายกองทุน!O25"")"),144438)</f>
        <v>144438</v>
      </c>
      <c r="R733" s="224">
        <f ca="1">IFERROR(__xludf.DUMMYFUNCTION("IMPORTRANGE(""https://docs.google.com/spreadsheets/d/1ItG2mGa2ceCfYo0BwxsXqNm01IGEUdYcSSLTEv9YCik/edit?usp=sharing"",""เบิกจ่ายกองทุน!P25"")"),144438)</f>
        <v>144438</v>
      </c>
      <c r="S733" s="224">
        <f ca="1">IFERROR(__xludf.DUMMYFUNCTION("IMPORTRANGE(""https://docs.google.com/spreadsheets/d/1ItG2mGa2ceCfYo0BwxsXqNm01IGEUdYcSSLTEv9YCik/edit?usp=sharing"",""เบิกจ่ายกองทุน!Q25"")"),0)</f>
        <v>0</v>
      </c>
      <c r="T733" s="224">
        <f t="shared" ca="1" si="184"/>
        <v>0</v>
      </c>
      <c r="U733" s="224">
        <f t="shared" ca="1" si="185"/>
        <v>0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468">
        <f>L735+L736</f>
        <v>0</v>
      </c>
      <c r="M734" s="224">
        <f>M735+M736</f>
        <v>0</v>
      </c>
      <c r="N734" s="224">
        <f>N735+N736</f>
        <v>0</v>
      </c>
      <c r="O734" s="224">
        <f t="shared" si="182"/>
        <v>0</v>
      </c>
      <c r="P734" s="224">
        <f t="shared" si="183"/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 t="shared" si="184"/>
        <v>0</v>
      </c>
      <c r="U734" s="224">
        <f t="shared" si="185"/>
        <v>0</v>
      </c>
    </row>
    <row r="735" spans="1:21" ht="18.75" hidden="1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469">
        <v>0</v>
      </c>
      <c r="M735" s="83">
        <v>0</v>
      </c>
      <c r="N735" s="83">
        <v>0</v>
      </c>
      <c r="O735" s="83">
        <f t="shared" si="182"/>
        <v>0</v>
      </c>
      <c r="P735" s="83">
        <f t="shared" si="183"/>
        <v>0</v>
      </c>
      <c r="Q735" s="83">
        <v>0</v>
      </c>
      <c r="R735" s="83">
        <v>0</v>
      </c>
      <c r="S735" s="83">
        <v>0</v>
      </c>
      <c r="T735" s="83">
        <f t="shared" si="184"/>
        <v>0</v>
      </c>
      <c r="U735" s="83">
        <f t="shared" si="185"/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468">
        <v>0</v>
      </c>
      <c r="M736" s="224">
        <v>0</v>
      </c>
      <c r="N736" s="224">
        <v>0</v>
      </c>
      <c r="O736" s="224">
        <f t="shared" si="182"/>
        <v>0</v>
      </c>
      <c r="P736" s="224">
        <f t="shared" si="183"/>
        <v>0</v>
      </c>
      <c r="Q736" s="224">
        <v>0</v>
      </c>
      <c r="R736" s="224">
        <v>0</v>
      </c>
      <c r="S736" s="224">
        <v>0</v>
      </c>
      <c r="T736" s="224">
        <f t="shared" si="184"/>
        <v>0</v>
      </c>
      <c r="U736" s="224">
        <f t="shared" si="185"/>
        <v>0</v>
      </c>
    </row>
    <row r="737" spans="1:21" ht="19.5" x14ac:dyDescent="0.3">
      <c r="A737" s="138"/>
      <c r="B737" s="139"/>
      <c r="C737" s="177" t="s">
        <v>18</v>
      </c>
      <c r="D737" s="491" t="s">
        <v>38</v>
      </c>
      <c r="E737" s="203"/>
      <c r="F737" s="141"/>
      <c r="G737" s="142"/>
      <c r="H737" s="178"/>
      <c r="I737" s="44"/>
      <c r="J737" s="44"/>
      <c r="K737" s="45"/>
      <c r="L737" s="465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7" t="s">
        <v>121</v>
      </c>
      <c r="E738" s="139"/>
      <c r="F738" s="139"/>
      <c r="G738" s="143"/>
      <c r="H738" s="180"/>
      <c r="I738" s="44"/>
      <c r="J738" s="44"/>
      <c r="K738" s="45"/>
      <c r="L738" s="465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10" t="s">
        <v>270</v>
      </c>
      <c r="F739" s="139"/>
      <c r="G739" s="143"/>
      <c r="H739" s="180"/>
      <c r="I739" s="44"/>
      <c r="J739" s="44"/>
      <c r="K739" s="45"/>
      <c r="L739" s="465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485"/>
      <c r="B740" s="484"/>
      <c r="C740" s="484"/>
      <c r="D740" s="484"/>
      <c r="E740" s="484"/>
      <c r="F740" s="489" t="s">
        <v>271</v>
      </c>
      <c r="G740" s="481"/>
      <c r="H740" s="480" t="s">
        <v>46</v>
      </c>
      <c r="I740" s="487">
        <f ca="1">IFERROR(__xludf.DUMMYFUNCTION("IMPORTRANGE(""https://docs.google.com/spreadsheets/d/1eHaY18a8A9IcSdp1K8H6x8fbOy06t2VsZHhMHf-1x7Y/edit?usp=sharing"",""แผน!GB25"")"),120)</f>
        <v>120</v>
      </c>
      <c r="J740" s="478">
        <v>0</v>
      </c>
      <c r="K740" s="486">
        <f ca="1">IF(I740&gt;0,J740*100/I740,0)</f>
        <v>0</v>
      </c>
      <c r="L740" s="477"/>
      <c r="M740" s="476"/>
      <c r="N740" s="476"/>
      <c r="O740" s="476"/>
      <c r="P740" s="476"/>
      <c r="Q740" s="476"/>
      <c r="R740" s="476"/>
      <c r="S740" s="476"/>
      <c r="T740" s="476"/>
      <c r="U740" s="476"/>
    </row>
    <row r="741" spans="1:21" ht="18.75" x14ac:dyDescent="0.25">
      <c r="A741" s="485"/>
      <c r="B741" s="484"/>
      <c r="C741" s="484"/>
      <c r="D741" s="484"/>
      <c r="E741" s="484"/>
      <c r="F741" s="489" t="s">
        <v>306</v>
      </c>
      <c r="G741" s="481"/>
      <c r="H741" s="480" t="s">
        <v>35</v>
      </c>
      <c r="I741" s="479"/>
      <c r="J741" s="478">
        <v>0</v>
      </c>
      <c r="K741" s="476"/>
      <c r="L741" s="477"/>
      <c r="M741" s="476"/>
      <c r="N741" s="476"/>
      <c r="O741" s="476"/>
      <c r="P741" s="476"/>
      <c r="Q741" s="476"/>
      <c r="R741" s="476"/>
      <c r="S741" s="476"/>
      <c r="T741" s="476"/>
      <c r="U741" s="476"/>
    </row>
    <row r="742" spans="1:21" ht="18.75" x14ac:dyDescent="0.25">
      <c r="A742" s="485"/>
      <c r="B742" s="484"/>
      <c r="C742" s="484"/>
      <c r="D742" s="484"/>
      <c r="E742" s="484"/>
      <c r="F742" s="489" t="s">
        <v>305</v>
      </c>
      <c r="G742" s="481"/>
      <c r="H742" s="480" t="s">
        <v>35</v>
      </c>
      <c r="I742" s="487">
        <f ca="1">IFERROR(__xludf.DUMMYFUNCTION("IMPORTRANGE(""https://docs.google.com/spreadsheets/d/1eHaY18a8A9IcSdp1K8H6x8fbOy06t2VsZHhMHf-1x7Y/edit?usp=sharing"",""แผน!GC25"")"),12)</f>
        <v>12</v>
      </c>
      <c r="J742" s="478">
        <v>0</v>
      </c>
      <c r="K742" s="486">
        <f ca="1">IF(I742&gt;0,J742*100/I742,0)</f>
        <v>0</v>
      </c>
      <c r="L742" s="477"/>
      <c r="M742" s="476"/>
      <c r="N742" s="476"/>
      <c r="O742" s="476"/>
      <c r="P742" s="476"/>
      <c r="Q742" s="476"/>
      <c r="R742" s="476"/>
      <c r="S742" s="476"/>
      <c r="T742" s="476"/>
      <c r="U742" s="476"/>
    </row>
    <row r="743" spans="1:21" ht="18.75" x14ac:dyDescent="0.25">
      <c r="A743" s="485"/>
      <c r="B743" s="484"/>
      <c r="C743" s="484"/>
      <c r="D743" s="484"/>
      <c r="E743" s="489" t="s">
        <v>274</v>
      </c>
      <c r="F743" s="484"/>
      <c r="G743" s="481"/>
      <c r="H743" s="488"/>
      <c r="I743" s="479"/>
      <c r="J743" s="479"/>
      <c r="K743" s="476"/>
      <c r="L743" s="477"/>
      <c r="M743" s="476"/>
      <c r="N743" s="476"/>
      <c r="O743" s="476"/>
      <c r="P743" s="476"/>
      <c r="Q743" s="476"/>
      <c r="R743" s="476"/>
      <c r="S743" s="476"/>
      <c r="T743" s="476"/>
      <c r="U743" s="476"/>
    </row>
    <row r="744" spans="1:21" ht="18.75" x14ac:dyDescent="0.25">
      <c r="A744" s="485"/>
      <c r="B744" s="484"/>
      <c r="C744" s="484"/>
      <c r="D744" s="484"/>
      <c r="E744" s="484"/>
      <c r="F744" s="489" t="s">
        <v>271</v>
      </c>
      <c r="G744" s="481"/>
      <c r="H744" s="480" t="s">
        <v>46</v>
      </c>
      <c r="I744" s="487">
        <f ca="1">IFERROR(__xludf.DUMMYFUNCTION("IMPORTRANGE(""https://docs.google.com/spreadsheets/d/1eHaY18a8A9IcSdp1K8H6x8fbOy06t2VsZHhMHf-1x7Y/edit?usp=sharing"",""แผน!GD25"")"),30)</f>
        <v>30</v>
      </c>
      <c r="J744" s="478">
        <v>0</v>
      </c>
      <c r="K744" s="486">
        <f ca="1">IF(I744&gt;0,J744*100/I744,0)</f>
        <v>0</v>
      </c>
      <c r="L744" s="477"/>
      <c r="M744" s="476"/>
      <c r="N744" s="476"/>
      <c r="O744" s="476"/>
      <c r="P744" s="476"/>
      <c r="Q744" s="476"/>
      <c r="R744" s="476"/>
      <c r="S744" s="476"/>
      <c r="T744" s="476"/>
      <c r="U744" s="476"/>
    </row>
    <row r="745" spans="1:21" ht="18.75" x14ac:dyDescent="0.25">
      <c r="A745" s="485"/>
      <c r="B745" s="484"/>
      <c r="C745" s="484"/>
      <c r="D745" s="484"/>
      <c r="E745" s="484"/>
      <c r="F745" s="489" t="s">
        <v>304</v>
      </c>
      <c r="G745" s="481"/>
      <c r="H745" s="480" t="s">
        <v>35</v>
      </c>
      <c r="I745" s="479"/>
      <c r="J745" s="478">
        <v>0</v>
      </c>
      <c r="K745" s="476"/>
      <c r="L745" s="477"/>
      <c r="M745" s="476"/>
      <c r="N745" s="476"/>
      <c r="O745" s="476"/>
      <c r="P745" s="476"/>
      <c r="Q745" s="476"/>
      <c r="R745" s="476"/>
      <c r="S745" s="476"/>
      <c r="T745" s="476"/>
      <c r="U745" s="476"/>
    </row>
    <row r="746" spans="1:21" ht="18.75" x14ac:dyDescent="0.25">
      <c r="A746" s="485"/>
      <c r="B746" s="484"/>
      <c r="C746" s="484"/>
      <c r="D746" s="484"/>
      <c r="E746" s="484"/>
      <c r="F746" s="489" t="s">
        <v>303</v>
      </c>
      <c r="G746" s="481"/>
      <c r="H746" s="480" t="s">
        <v>35</v>
      </c>
      <c r="I746" s="487">
        <f ca="1">IFERROR(__xludf.DUMMYFUNCTION("IMPORTRANGE(""https://docs.google.com/spreadsheets/d/1eHaY18a8A9IcSdp1K8H6x8fbOy06t2VsZHhMHf-1x7Y/edit?usp=sharing"",""แผน!GE25"")"),3)</f>
        <v>3</v>
      </c>
      <c r="J746" s="478">
        <v>0</v>
      </c>
      <c r="K746" s="486">
        <f ca="1">IF(I746&gt;0,J746*100/I746,0)</f>
        <v>0</v>
      </c>
      <c r="L746" s="477"/>
      <c r="M746" s="476"/>
      <c r="N746" s="476"/>
      <c r="O746" s="476"/>
      <c r="P746" s="476"/>
      <c r="Q746" s="476"/>
      <c r="R746" s="476"/>
      <c r="S746" s="476"/>
      <c r="T746" s="476"/>
      <c r="U746" s="476"/>
    </row>
    <row r="747" spans="1:21" ht="18.75" x14ac:dyDescent="0.25">
      <c r="A747" s="485"/>
      <c r="B747" s="484"/>
      <c r="C747" s="484"/>
      <c r="D747" s="484"/>
      <c r="E747" s="489" t="s">
        <v>277</v>
      </c>
      <c r="F747" s="483"/>
      <c r="G747" s="481"/>
      <c r="H747" s="488"/>
      <c r="I747" s="479"/>
      <c r="J747" s="479"/>
      <c r="K747" s="476"/>
      <c r="L747" s="477"/>
      <c r="M747" s="476"/>
      <c r="N747" s="476"/>
      <c r="O747" s="476"/>
      <c r="P747" s="476"/>
      <c r="Q747" s="476"/>
      <c r="R747" s="476"/>
      <c r="S747" s="476"/>
      <c r="T747" s="476"/>
      <c r="U747" s="476"/>
    </row>
    <row r="748" spans="1:21" ht="18.75" x14ac:dyDescent="0.25">
      <c r="A748" s="485"/>
      <c r="B748" s="484"/>
      <c r="C748" s="484"/>
      <c r="D748" s="484"/>
      <c r="E748" s="484"/>
      <c r="F748" s="489" t="s">
        <v>302</v>
      </c>
      <c r="G748" s="481"/>
      <c r="H748" s="480" t="s">
        <v>35</v>
      </c>
      <c r="I748" s="479"/>
      <c r="J748" s="478">
        <v>0</v>
      </c>
      <c r="K748" s="476"/>
      <c r="L748" s="477"/>
      <c r="M748" s="476"/>
      <c r="N748" s="476"/>
      <c r="O748" s="476"/>
      <c r="P748" s="476"/>
      <c r="Q748" s="476"/>
      <c r="R748" s="476"/>
      <c r="S748" s="476"/>
      <c r="T748" s="476"/>
      <c r="U748" s="476"/>
    </row>
    <row r="749" spans="1:21" ht="18.75" x14ac:dyDescent="0.25">
      <c r="A749" s="485"/>
      <c r="B749" s="484"/>
      <c r="C749" s="484"/>
      <c r="D749" s="484"/>
      <c r="E749" s="484"/>
      <c r="F749" s="489" t="s">
        <v>301</v>
      </c>
      <c r="G749" s="481"/>
      <c r="H749" s="480" t="s">
        <v>35</v>
      </c>
      <c r="I749" s="487">
        <f ca="1">IFERROR(__xludf.DUMMYFUNCTION("IMPORTRANGE(""https://docs.google.com/spreadsheets/d/1eHaY18a8A9IcSdp1K8H6x8fbOy06t2VsZHhMHf-1x7Y/edit?usp=sharing"",""แผน!GF25"")"),1)</f>
        <v>1</v>
      </c>
      <c r="J749" s="478">
        <v>0</v>
      </c>
      <c r="K749" s="486">
        <f ca="1">IF(I749&gt;0,J749*100/I749,0)</f>
        <v>0</v>
      </c>
      <c r="L749" s="477"/>
      <c r="M749" s="476"/>
      <c r="N749" s="476"/>
      <c r="O749" s="476"/>
      <c r="P749" s="476"/>
      <c r="Q749" s="476"/>
      <c r="R749" s="476"/>
      <c r="S749" s="476"/>
      <c r="T749" s="476"/>
      <c r="U749" s="476"/>
    </row>
    <row r="750" spans="1:21" ht="19.5" x14ac:dyDescent="0.3">
      <c r="A750" s="485"/>
      <c r="B750" s="484"/>
      <c r="C750" s="484"/>
      <c r="D750" s="490" t="s">
        <v>50</v>
      </c>
      <c r="E750" s="484"/>
      <c r="F750" s="483"/>
      <c r="G750" s="481"/>
      <c r="H750" s="488"/>
      <c r="I750" s="479"/>
      <c r="J750" s="479"/>
      <c r="K750" s="476"/>
      <c r="L750" s="477"/>
      <c r="M750" s="476"/>
      <c r="N750" s="476"/>
      <c r="O750" s="476"/>
      <c r="P750" s="476"/>
      <c r="Q750" s="476"/>
      <c r="R750" s="476"/>
      <c r="S750" s="476"/>
      <c r="T750" s="476"/>
      <c r="U750" s="476"/>
    </row>
    <row r="751" spans="1:21" ht="18.75" x14ac:dyDescent="0.25">
      <c r="A751" s="485"/>
      <c r="B751" s="484"/>
      <c r="C751" s="484"/>
      <c r="D751" s="484"/>
      <c r="E751" s="489" t="s">
        <v>270</v>
      </c>
      <c r="F751" s="483"/>
      <c r="G751" s="481"/>
      <c r="H751" s="488"/>
      <c r="I751" s="479"/>
      <c r="J751" s="479"/>
      <c r="K751" s="476"/>
      <c r="L751" s="477"/>
      <c r="M751" s="476"/>
      <c r="N751" s="476"/>
      <c r="O751" s="476"/>
      <c r="P751" s="476"/>
      <c r="Q751" s="476"/>
      <c r="R751" s="476"/>
      <c r="S751" s="476"/>
      <c r="T751" s="476"/>
      <c r="U751" s="476"/>
    </row>
    <row r="752" spans="1:21" ht="18.75" x14ac:dyDescent="0.25">
      <c r="A752" s="485"/>
      <c r="B752" s="484"/>
      <c r="C752" s="484"/>
      <c r="D752" s="484"/>
      <c r="E752" s="484"/>
      <c r="F752" s="482" t="s">
        <v>300</v>
      </c>
      <c r="G752" s="481"/>
      <c r="H752" s="480" t="s">
        <v>46</v>
      </c>
      <c r="I752" s="487">
        <f ca="1">IFERROR(__xludf.DUMMYFUNCTION("IMPORTRANGE(""https://docs.google.com/spreadsheets/d/1eHaY18a8A9IcSdp1K8H6x8fbOy06t2VsZHhMHf-1x7Y/edit?usp=sharing"",""แผน!GB25"")"),120)</f>
        <v>120</v>
      </c>
      <c r="J752" s="478">
        <v>0</v>
      </c>
      <c r="K752" s="486">
        <f ca="1">IF(I752&gt;0,J752*100/I752,0)</f>
        <v>0</v>
      </c>
      <c r="L752" s="477"/>
      <c r="M752" s="476"/>
      <c r="N752" s="476"/>
      <c r="O752" s="476"/>
      <c r="P752" s="476"/>
      <c r="Q752" s="476"/>
      <c r="R752" s="476"/>
      <c r="S752" s="476"/>
      <c r="T752" s="476"/>
      <c r="U752" s="476"/>
    </row>
    <row r="753" spans="1:21" ht="18.75" x14ac:dyDescent="0.25">
      <c r="A753" s="485"/>
      <c r="B753" s="484"/>
      <c r="C753" s="484"/>
      <c r="D753" s="484"/>
      <c r="E753" s="484"/>
      <c r="F753" s="482" t="s">
        <v>299</v>
      </c>
      <c r="G753" s="481"/>
      <c r="H753" s="480" t="s">
        <v>46</v>
      </c>
      <c r="I753" s="479"/>
      <c r="J753" s="478">
        <v>0</v>
      </c>
      <c r="K753" s="476"/>
      <c r="L753" s="477"/>
      <c r="M753" s="476"/>
      <c r="N753" s="476"/>
      <c r="O753" s="476"/>
      <c r="P753" s="476"/>
      <c r="Q753" s="476"/>
      <c r="R753" s="476"/>
      <c r="S753" s="476"/>
      <c r="T753" s="476"/>
      <c r="U753" s="476"/>
    </row>
    <row r="754" spans="1:21" ht="18.75" x14ac:dyDescent="0.25">
      <c r="A754" s="485"/>
      <c r="B754" s="484"/>
      <c r="C754" s="484"/>
      <c r="D754" s="484"/>
      <c r="E754" s="489" t="s">
        <v>274</v>
      </c>
      <c r="F754" s="483"/>
      <c r="G754" s="481"/>
      <c r="H754" s="488"/>
      <c r="I754" s="479"/>
      <c r="J754" s="479"/>
      <c r="K754" s="476"/>
      <c r="L754" s="477"/>
      <c r="M754" s="476"/>
      <c r="N754" s="476"/>
      <c r="O754" s="476"/>
      <c r="P754" s="476"/>
      <c r="Q754" s="476"/>
      <c r="R754" s="476"/>
      <c r="S754" s="476"/>
      <c r="T754" s="476"/>
      <c r="U754" s="476"/>
    </row>
    <row r="755" spans="1:21" ht="18.75" x14ac:dyDescent="0.25">
      <c r="A755" s="485"/>
      <c r="B755" s="484"/>
      <c r="C755" s="484"/>
      <c r="D755" s="484"/>
      <c r="E755" s="483"/>
      <c r="F755" s="482" t="s">
        <v>298</v>
      </c>
      <c r="G755" s="481"/>
      <c r="H755" s="480" t="s">
        <v>46</v>
      </c>
      <c r="I755" s="487">
        <f ca="1">IFERROR(__xludf.DUMMYFUNCTION("IMPORTRANGE(""https://docs.google.com/spreadsheets/d/1eHaY18a8A9IcSdp1K8H6x8fbOy06t2VsZHhMHf-1x7Y/edit?usp=sharing"",""แผน!GD25"")"),30)</f>
        <v>30</v>
      </c>
      <c r="J755" s="478">
        <v>0</v>
      </c>
      <c r="K755" s="486">
        <f ca="1">IF(I755&gt;0,J755*100/I755,0)</f>
        <v>0</v>
      </c>
      <c r="L755" s="477"/>
      <c r="M755" s="476"/>
      <c r="N755" s="476"/>
      <c r="O755" s="476"/>
      <c r="P755" s="476"/>
      <c r="Q755" s="476"/>
      <c r="R755" s="476"/>
      <c r="S755" s="476"/>
      <c r="T755" s="476"/>
      <c r="U755" s="476"/>
    </row>
    <row r="756" spans="1:21" ht="18.75" x14ac:dyDescent="0.25">
      <c r="A756" s="485"/>
      <c r="B756" s="484"/>
      <c r="C756" s="484"/>
      <c r="D756" s="484"/>
      <c r="E756" s="483"/>
      <c r="F756" s="482" t="s">
        <v>297</v>
      </c>
      <c r="G756" s="481"/>
      <c r="H756" s="480" t="s">
        <v>46</v>
      </c>
      <c r="I756" s="479"/>
      <c r="J756" s="478">
        <v>0</v>
      </c>
      <c r="K756" s="476"/>
      <c r="L756" s="477"/>
      <c r="M756" s="476"/>
      <c r="N756" s="476"/>
      <c r="O756" s="476"/>
      <c r="P756" s="476"/>
      <c r="Q756" s="476"/>
      <c r="R756" s="476"/>
      <c r="S756" s="476"/>
      <c r="T756" s="476"/>
      <c r="U756" s="476"/>
    </row>
    <row r="757" spans="1:21" ht="18.75" x14ac:dyDescent="0.25">
      <c r="A757" s="438"/>
      <c r="B757" s="438"/>
      <c r="C757" s="438"/>
      <c r="D757" s="438"/>
      <c r="E757" s="439" t="s">
        <v>284</v>
      </c>
      <c r="F757" s="440"/>
      <c r="G757" s="441"/>
      <c r="H757" s="442" t="s">
        <v>35</v>
      </c>
      <c r="I757" s="443"/>
      <c r="J757" s="444">
        <v>0</v>
      </c>
      <c r="K757" s="445"/>
      <c r="L757" s="445"/>
      <c r="M757" s="445"/>
      <c r="N757" s="445"/>
      <c r="O757" s="445"/>
      <c r="P757" s="445"/>
      <c r="Q757" s="445"/>
      <c r="R757" s="445"/>
      <c r="S757" s="445"/>
      <c r="T757" s="445"/>
      <c r="U757" s="445"/>
    </row>
    <row r="758" spans="1:21" ht="19.5" x14ac:dyDescent="0.3">
      <c r="A758" s="394"/>
      <c r="B758" s="395" t="s">
        <v>285</v>
      </c>
      <c r="C758" s="394"/>
      <c r="D758" s="396"/>
      <c r="E758" s="396"/>
      <c r="F758" s="396"/>
      <c r="G758" s="397"/>
      <c r="H758" s="434" t="s">
        <v>35</v>
      </c>
      <c r="I758" s="475">
        <f ca="1">I772</f>
        <v>60</v>
      </c>
      <c r="J758" s="475">
        <f>J772</f>
        <v>60</v>
      </c>
      <c r="K758" s="474">
        <f ca="1">IF(I758&gt;0,J758*100/I758,0)</f>
        <v>100</v>
      </c>
      <c r="L758" s="47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6"/>
      <c r="B759" s="394"/>
      <c r="C759" s="394"/>
      <c r="D759" s="396"/>
      <c r="E759" s="396"/>
      <c r="F759" s="396"/>
      <c r="G759" s="397"/>
      <c r="H759" s="434" t="s">
        <v>46</v>
      </c>
      <c r="I759" s="475">
        <f ca="1">I774</f>
        <v>120</v>
      </c>
      <c r="J759" s="475">
        <f>J774</f>
        <v>120</v>
      </c>
      <c r="K759" s="474">
        <f ca="1">IF(I759&gt;0,J759*100/I759,0)</f>
        <v>100</v>
      </c>
      <c r="L759" s="47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8"/>
      <c r="C760" s="177" t="s">
        <v>18</v>
      </c>
      <c r="D760" s="821" t="s">
        <v>19</v>
      </c>
      <c r="E760" s="793"/>
      <c r="F760" s="793"/>
      <c r="G760" s="794"/>
      <c r="H760" s="221" t="s">
        <v>14</v>
      </c>
      <c r="I760" s="44"/>
      <c r="J760" s="44"/>
      <c r="K760" s="45"/>
      <c r="L760" s="471">
        <f>L761+L762</f>
        <v>0</v>
      </c>
      <c r="M760" s="470">
        <f>M761+M762</f>
        <v>0</v>
      </c>
      <c r="N760" s="470">
        <f>N761+N762</f>
        <v>0</v>
      </c>
      <c r="O760" s="470">
        <f t="shared" ref="O760:O768" si="188">IF(L760&gt;0,N760*100/L760,0)</f>
        <v>0</v>
      </c>
      <c r="P760" s="470">
        <f t="shared" ref="P760:P768" si="189">IF(M760&gt;0,N760*100/M760,0)</f>
        <v>0</v>
      </c>
      <c r="Q760" s="470">
        <f ca="1">Q761+Q762</f>
        <v>422100</v>
      </c>
      <c r="R760" s="470">
        <f ca="1">R761+R762</f>
        <v>422100</v>
      </c>
      <c r="S760" s="470">
        <f ca="1">S761+S762</f>
        <v>316420</v>
      </c>
      <c r="T760" s="470">
        <f t="shared" ref="T760:T768" ca="1" si="190">IF(Q760&gt;0,S760*100/Q760,0)</f>
        <v>74.963278843875855</v>
      </c>
      <c r="U760" s="470">
        <f t="shared" ref="U760:U768" ca="1" si="191">IF(R760&gt;0,S760*100/R760,0)</f>
        <v>74.963278843875855</v>
      </c>
    </row>
    <row r="761" spans="1:21" ht="18.75" hidden="1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469">
        <f t="shared" ref="L761:N762" si="192">L764+L767</f>
        <v>0</v>
      </c>
      <c r="M761" s="83">
        <f t="shared" si="192"/>
        <v>0</v>
      </c>
      <c r="N761" s="83">
        <f t="shared" si="192"/>
        <v>0</v>
      </c>
      <c r="O761" s="83">
        <f t="shared" si="188"/>
        <v>0</v>
      </c>
      <c r="P761" s="83">
        <f t="shared" si="189"/>
        <v>0</v>
      </c>
      <c r="Q761" s="83">
        <f t="shared" ref="Q761:S762" si="193">Q764+Q767</f>
        <v>0</v>
      </c>
      <c r="R761" s="83">
        <f t="shared" si="193"/>
        <v>0</v>
      </c>
      <c r="S761" s="83">
        <f t="shared" si="193"/>
        <v>0</v>
      </c>
      <c r="T761" s="83">
        <f t="shared" si="190"/>
        <v>0</v>
      </c>
      <c r="U761" s="83">
        <f t="shared" si="191"/>
        <v>0</v>
      </c>
    </row>
    <row r="762" spans="1:21" ht="18.75" hidden="1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468">
        <f t="shared" si="192"/>
        <v>0</v>
      </c>
      <c r="M762" s="224">
        <f t="shared" si="192"/>
        <v>0</v>
      </c>
      <c r="N762" s="224">
        <f t="shared" si="192"/>
        <v>0</v>
      </c>
      <c r="O762" s="224">
        <f t="shared" si="188"/>
        <v>0</v>
      </c>
      <c r="P762" s="224">
        <f t="shared" si="189"/>
        <v>0</v>
      </c>
      <c r="Q762" s="224">
        <f t="shared" ca="1" si="193"/>
        <v>422100</v>
      </c>
      <c r="R762" s="224">
        <f t="shared" ca="1" si="193"/>
        <v>422100</v>
      </c>
      <c r="S762" s="224">
        <f t="shared" ca="1" si="193"/>
        <v>316420</v>
      </c>
      <c r="T762" s="224">
        <f t="shared" ca="1" si="190"/>
        <v>74.963278843875855</v>
      </c>
      <c r="U762" s="224">
        <f t="shared" ca="1" si="191"/>
        <v>74.963278843875855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468">
        <f>L764+L765</f>
        <v>0</v>
      </c>
      <c r="M763" s="224">
        <f>M764+M765</f>
        <v>0</v>
      </c>
      <c r="N763" s="224">
        <f>N764+N765</f>
        <v>0</v>
      </c>
      <c r="O763" s="224">
        <f t="shared" si="188"/>
        <v>0</v>
      </c>
      <c r="P763" s="224">
        <f t="shared" si="189"/>
        <v>0</v>
      </c>
      <c r="Q763" s="224">
        <f ca="1">Q764+Q765</f>
        <v>422100</v>
      </c>
      <c r="R763" s="224">
        <f ca="1">R764+R765</f>
        <v>422100</v>
      </c>
      <c r="S763" s="224">
        <f ca="1">S764+S765</f>
        <v>316420</v>
      </c>
      <c r="T763" s="224">
        <f t="shared" ca="1" si="190"/>
        <v>74.963278843875855</v>
      </c>
      <c r="U763" s="224">
        <f t="shared" ca="1" si="191"/>
        <v>74.963278843875855</v>
      </c>
    </row>
    <row r="764" spans="1:21" ht="18.75" hidden="1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469">
        <v>0</v>
      </c>
      <c r="M764" s="83">
        <v>0</v>
      </c>
      <c r="N764" s="83">
        <v>0</v>
      </c>
      <c r="O764" s="83">
        <f t="shared" si="188"/>
        <v>0</v>
      </c>
      <c r="P764" s="83">
        <f t="shared" si="189"/>
        <v>0</v>
      </c>
      <c r="Q764" s="83">
        <v>0</v>
      </c>
      <c r="R764" s="83">
        <v>0</v>
      </c>
      <c r="S764" s="83">
        <v>0</v>
      </c>
      <c r="T764" s="83">
        <f t="shared" si="190"/>
        <v>0</v>
      </c>
      <c r="U764" s="83">
        <f t="shared" si="191"/>
        <v>0</v>
      </c>
    </row>
    <row r="765" spans="1:21" ht="18.75" hidden="1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468">
        <v>0</v>
      </c>
      <c r="M765" s="224">
        <v>0</v>
      </c>
      <c r="N765" s="224">
        <v>0</v>
      </c>
      <c r="O765" s="224">
        <f t="shared" si="188"/>
        <v>0</v>
      </c>
      <c r="P765" s="224">
        <f t="shared" si="189"/>
        <v>0</v>
      </c>
      <c r="Q765" s="224">
        <f ca="1">IFERROR(__xludf.DUMMYFUNCTION("IMPORTRANGE(""https://docs.google.com/spreadsheets/d/1ItG2mGa2ceCfYo0BwxsXqNm01IGEUdYcSSLTEv9YCik/edit?usp=sharing"",""เบิกจ่ายกองทุน!U25"")"),422100)</f>
        <v>422100</v>
      </c>
      <c r="R765" s="224">
        <f ca="1">IFERROR(__xludf.DUMMYFUNCTION("IMPORTRANGE(""https://docs.google.com/spreadsheets/d/1ItG2mGa2ceCfYo0BwxsXqNm01IGEUdYcSSLTEv9YCik/edit?usp=sharing"",""เบิกจ่ายกองทุน!V25"")"),422100)</f>
        <v>422100</v>
      </c>
      <c r="S765" s="224">
        <f ca="1">IFERROR(__xludf.DUMMYFUNCTION("IMPORTRANGE(""https://docs.google.com/spreadsheets/d/1ItG2mGa2ceCfYo0BwxsXqNm01IGEUdYcSSLTEv9YCik/edit?usp=sharing"",""เบิกจ่ายกองทุน!W25"")"),316420)</f>
        <v>316420</v>
      </c>
      <c r="T765" s="224">
        <f t="shared" ca="1" si="190"/>
        <v>74.963278843875855</v>
      </c>
      <c r="U765" s="224">
        <f t="shared" ca="1" si="191"/>
        <v>74.963278843875855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468">
        <f>L767+L768</f>
        <v>0</v>
      </c>
      <c r="M766" s="224">
        <f>M767+M768</f>
        <v>0</v>
      </c>
      <c r="N766" s="224">
        <f>N767+N768</f>
        <v>0</v>
      </c>
      <c r="O766" s="224">
        <f t="shared" si="188"/>
        <v>0</v>
      </c>
      <c r="P766" s="224">
        <f t="shared" si="189"/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 t="shared" si="190"/>
        <v>0</v>
      </c>
      <c r="U766" s="224">
        <f t="shared" si="191"/>
        <v>0</v>
      </c>
    </row>
    <row r="767" spans="1:21" ht="18.75" hidden="1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469">
        <v>0</v>
      </c>
      <c r="M767" s="83">
        <v>0</v>
      </c>
      <c r="N767" s="83">
        <v>0</v>
      </c>
      <c r="O767" s="83">
        <f t="shared" si="188"/>
        <v>0</v>
      </c>
      <c r="P767" s="83">
        <f t="shared" si="189"/>
        <v>0</v>
      </c>
      <c r="Q767" s="83">
        <v>0</v>
      </c>
      <c r="R767" s="83">
        <v>0</v>
      </c>
      <c r="S767" s="83">
        <v>0</v>
      </c>
      <c r="T767" s="83">
        <f t="shared" si="190"/>
        <v>0</v>
      </c>
      <c r="U767" s="83">
        <f t="shared" si="191"/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468">
        <v>0</v>
      </c>
      <c r="M768" s="224">
        <v>0</v>
      </c>
      <c r="N768" s="224">
        <v>0</v>
      </c>
      <c r="O768" s="224">
        <f t="shared" si="188"/>
        <v>0</v>
      </c>
      <c r="P768" s="224">
        <f t="shared" si="189"/>
        <v>0</v>
      </c>
      <c r="Q768" s="224">
        <v>0</v>
      </c>
      <c r="R768" s="224">
        <v>0</v>
      </c>
      <c r="S768" s="224">
        <v>0</v>
      </c>
      <c r="T768" s="224">
        <f t="shared" si="190"/>
        <v>0</v>
      </c>
      <c r="U768" s="224">
        <f t="shared" si="191"/>
        <v>0</v>
      </c>
    </row>
    <row r="769" spans="1:21" ht="19.5" x14ac:dyDescent="0.3">
      <c r="A769" s="138"/>
      <c r="B769" s="139"/>
      <c r="C769" s="446" t="s">
        <v>18</v>
      </c>
      <c r="D769" s="467" t="s">
        <v>38</v>
      </c>
      <c r="E769" s="203"/>
      <c r="F769" s="141"/>
      <c r="G769" s="142"/>
      <c r="H769" s="178"/>
      <c r="I769" s="44"/>
      <c r="J769" s="44"/>
      <c r="K769" s="45"/>
      <c r="L769" s="465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377" t="s">
        <v>286</v>
      </c>
      <c r="E770" s="139"/>
      <c r="F770" s="145"/>
      <c r="G770" s="143"/>
      <c r="H770" s="375" t="s">
        <v>35</v>
      </c>
      <c r="I770" s="430">
        <f ca="1">IFERROR(__xludf.DUMMYFUNCTION("IMPORTRANGE(""https://docs.google.com/spreadsheets/d/1eHaY18a8A9IcSdp1K8H6x8fbOy06t2VsZHhMHf-1x7Y/edit?usp=sharing"",""แผน!FI25"")"),0)</f>
        <v>0</v>
      </c>
      <c r="J770" s="430">
        <v>0</v>
      </c>
      <c r="K770" s="83">
        <f ca="1">IF(I770&gt;0,J770*100/I770,0)</f>
        <v>0</v>
      </c>
      <c r="L770" s="465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377" t="s">
        <v>287</v>
      </c>
      <c r="E771" s="139"/>
      <c r="F771" s="145"/>
      <c r="G771" s="143"/>
      <c r="H771" s="178"/>
      <c r="I771" s="44"/>
      <c r="J771" s="44"/>
      <c r="K771" s="45"/>
      <c r="L771" s="465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10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IFERROR(__xludf.DUMMYFUNCTION("IMPORTRANGE(""https://docs.google.com/spreadsheets/d/1eHaY18a8A9IcSdp1K8H6x8fbOy06t2VsZHhMHf-1x7Y/edit?usp=sharing"",""แผน!FQ25"")"),60)</f>
        <v>60</v>
      </c>
      <c r="J772" s="466">
        <v>60</v>
      </c>
      <c r="K772" s="224">
        <f ca="1">IF(I772&gt;0,J772*100/I772,0)</f>
        <v>100</v>
      </c>
      <c r="L772" s="465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10" t="s">
        <v>289</v>
      </c>
      <c r="E773" s="139"/>
      <c r="F773" s="145"/>
      <c r="G773" s="143"/>
      <c r="H773" s="178"/>
      <c r="I773" s="44"/>
      <c r="J773" s="44"/>
      <c r="K773" s="45"/>
      <c r="L773" s="465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10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IFERROR(__xludf.DUMMYFUNCTION("IMPORTRANGE(""https://docs.google.com/spreadsheets/d/1eHaY18a8A9IcSdp1K8H6x8fbOy06t2VsZHhMHf-1x7Y/edit?usp=sharing"",""แผน!FR25"")"),120)</f>
        <v>120</v>
      </c>
      <c r="J774" s="466">
        <v>120</v>
      </c>
      <c r="K774" s="224">
        <f ca="1">IF(I774&gt;0,J774*100/I774,0)</f>
        <v>100</v>
      </c>
      <c r="L774" s="465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10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IFERROR(__xludf.DUMMYFUNCTION("IMPORTRANGE(""https://docs.google.com/spreadsheets/d/1eHaY18a8A9IcSdp1K8H6x8fbOy06t2VsZHhMHf-1x7Y/edit?usp=sharing"",""แผน!FS25"")"),120)</f>
        <v>120</v>
      </c>
      <c r="J775" s="466">
        <v>120</v>
      </c>
      <c r="K775" s="45"/>
      <c r="L775" s="465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IFERROR(__xludf.DUMMYFUNCTION("IMPORTRANGE(""https://docs.google.com/spreadsheets/d/1eHaY18a8A9IcSdp1K8H6x8fbOy06t2VsZHhMHf-1x7Y/edit?usp=sharing"",""แผน!FT25"")"),60)</f>
        <v>60</v>
      </c>
      <c r="J776" s="464">
        <v>60</v>
      </c>
      <c r="K776" s="3"/>
      <c r="L776" s="46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462" t="s">
        <v>291</v>
      </c>
      <c r="B777" s="449"/>
      <c r="C777" s="449"/>
      <c r="D777" s="448"/>
      <c r="E777" s="449"/>
      <c r="F777" s="449"/>
      <c r="G777" s="450"/>
      <c r="H777" s="461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2"/>
      <c r="J777" s="453"/>
      <c r="K777" s="454"/>
      <c r="L777" s="454"/>
      <c r="M777" s="454"/>
      <c r="N777" s="454"/>
      <c r="O777" s="454"/>
      <c r="P777" s="454"/>
      <c r="Q777" s="454"/>
      <c r="R777" s="454"/>
      <c r="S777" s="454"/>
      <c r="T777" s="454"/>
      <c r="U777" s="454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IFERROR(__xludf.DUMMYFUNCTION("IMPORTRANGE(""https://docs.google.com/spreadsheets/d/10OvvATaaLtwErnr3qtWFcTmtbfpFEt5Bsqel9sXx0uE/edit?usp=sharing"",""งานกองทุน!D25"")"),1087388.89)</f>
        <v>1087388.8899999999</v>
      </c>
      <c r="J778" s="184">
        <f ca="1">IFERROR(__xludf.DUMMYFUNCTION("IMPORTRANGE(""https://docs.google.com/spreadsheets/d/10OvvATaaLtwErnr3qtWFcTmtbfpFEt5Bsqel9sXx0uE/edit?usp=sharing"",""งานกองทุน!F25"")"),656376.86)</f>
        <v>656376.86</v>
      </c>
      <c r="K778" s="224">
        <f t="shared" ref="K778:K785" ca="1" si="194">IF(I778&gt;0,J778*100/I778,0)</f>
        <v>60.362660133487296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IFERROR(__xludf.DUMMYFUNCTION("IMPORTRANGE(""https://docs.google.com/spreadsheets/d/10OvvATaaLtwErnr3qtWFcTmtbfpFEt5Bsqel9sXx0uE/edit?usp=sharing"",""งานกองทุน!C25"")"),111)</f>
        <v>111</v>
      </c>
      <c r="J779" s="184">
        <f ca="1">IFERROR(__xludf.DUMMYFUNCTION("IMPORTRANGE(""https://docs.google.com/spreadsheets/d/10OvvATaaLtwErnr3qtWFcTmtbfpFEt5Bsqel9sXx0uE/edit?usp=sharing"",""งานกองทุน!E25"")"),69)</f>
        <v>69</v>
      </c>
      <c r="K779" s="224">
        <f t="shared" ca="1" si="194"/>
        <v>62.162162162162161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IFERROR(__xludf.DUMMYFUNCTION("IMPORTRANGE(""https://docs.google.com/spreadsheets/d/10OvvATaaLtwErnr3qtWFcTmtbfpFEt5Bsqel9sXx0uE/edit?usp=sharing"",""งานกองทุน!I25"")"),318703.96)</f>
        <v>318703.96000000002</v>
      </c>
      <c r="J780" s="184">
        <f ca="1">IFERROR(__xludf.DUMMYFUNCTION("IMPORTRANGE(""https://docs.google.com/spreadsheets/d/10OvvATaaLtwErnr3qtWFcTmtbfpFEt5Bsqel9sXx0uE/edit?usp=sharing"",""งานกองทุน!K25"")"),109492.04)</f>
        <v>109492.04</v>
      </c>
      <c r="K780" s="224">
        <f t="shared" ca="1" si="194"/>
        <v>34.355406189493216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IFERROR(__xludf.DUMMYFUNCTION("IMPORTRANGE(""https://docs.google.com/spreadsheets/d/10OvvATaaLtwErnr3qtWFcTmtbfpFEt5Bsqel9sXx0uE/edit?usp=sharing"",""งานกองทุน!H25"")"),18)</f>
        <v>18</v>
      </c>
      <c r="J781" s="184">
        <f ca="1">IFERROR(__xludf.DUMMYFUNCTION("IMPORTRANGE(""https://docs.google.com/spreadsheets/d/10OvvATaaLtwErnr3qtWFcTmtbfpFEt5Bsqel9sXx0uE/edit?usp=sharing"",""งานกองทุน!J25"")"),13)</f>
        <v>13</v>
      </c>
      <c r="K781" s="224">
        <f t="shared" ca="1" si="194"/>
        <v>72.222222222222229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IFERROR(__xludf.DUMMYFUNCTION("IMPORTRANGE(""https://docs.google.com/spreadsheets/d/10OvvATaaLtwErnr3qtWFcTmtbfpFEt5Bsqel9sXx0uE/edit?usp=sharing"",""งานกองทุน!N25"")"),0)</f>
        <v>0</v>
      </c>
      <c r="J782" s="184">
        <f ca="1">IFERROR(__xludf.DUMMYFUNCTION("IMPORTRANGE(""https://docs.google.com/spreadsheets/d/10OvvATaaLtwErnr3qtWFcTmtbfpFEt5Bsqel9sXx0uE/edit?usp=sharing"",""งานกองทุน!P25"")"),0)</f>
        <v>0</v>
      </c>
      <c r="K782" s="224">
        <f t="shared" ca="1" si="194"/>
        <v>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IFERROR(__xludf.DUMMYFUNCTION("IMPORTRANGE(""https://docs.google.com/spreadsheets/d/10OvvATaaLtwErnr3qtWFcTmtbfpFEt5Bsqel9sXx0uE/edit?usp=sharing"",""งานกองทุน!M25"")"),0)</f>
        <v>0</v>
      </c>
      <c r="J783" s="184">
        <f ca="1">IFERROR(__xludf.DUMMYFUNCTION("IMPORTRANGE(""https://docs.google.com/spreadsheets/d/10OvvATaaLtwErnr3qtWFcTmtbfpFEt5Bsqel9sXx0uE/edit?usp=sharing"",""งานกองทุน!O25"")"),0)</f>
        <v>0</v>
      </c>
      <c r="K783" s="224">
        <f t="shared" ca="1" si="194"/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IFERROR(__xludf.DUMMYFUNCTION("IMPORTRANGE(""https://docs.google.com/spreadsheets/d/10OvvATaaLtwErnr3qtWFcTmtbfpFEt5Bsqel9sXx0uE/edit?usp=sharing"",""งานกองทุน!S25"")"),1652000)</f>
        <v>1652000</v>
      </c>
      <c r="J784" s="184">
        <f ca="1">IFERROR(__xludf.DUMMYFUNCTION("IMPORTRANGE(""https://docs.google.com/spreadsheets/d/10OvvATaaLtwErnr3qtWFcTmtbfpFEt5Bsqel9sXx0uE/edit?usp=sharing"",""งานกองทุน!U25"")"),820000)</f>
        <v>820000</v>
      </c>
      <c r="K784" s="224">
        <f t="shared" ca="1" si="194"/>
        <v>49.63680387409201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IFERROR(__xludf.DUMMYFUNCTION("IMPORTRANGE(""https://docs.google.com/spreadsheets/d/10OvvATaaLtwErnr3qtWFcTmtbfpFEt5Bsqel9sXx0uE/edit?usp=sharing"",""งานกองทุน!R25"")"),59)</f>
        <v>59</v>
      </c>
      <c r="J785" s="188">
        <f ca="1">IFERROR(__xludf.DUMMYFUNCTION("IMPORTRANGE(""https://docs.google.com/spreadsheets/d/10OvvATaaLtwErnr3qtWFcTmtbfpFEt5Bsqel9sXx0uE/edit?usp=sharing"",""งานกองทุน!T25"")"),22)</f>
        <v>22</v>
      </c>
      <c r="K785" s="455">
        <f t="shared" ca="1" si="194"/>
        <v>37.288135593220339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460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4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4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horizontalDpi="4294967293" verticalDpi="4294967293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89C31-78FD-4A13-864F-17565D5A9688}">
  <sheetPr>
    <outlinePr summaryBelow="0" summaryRight="0"/>
  </sheetPr>
  <dimension ref="A1:U789"/>
  <sheetViews>
    <sheetView view="pageBreakPreview" zoomScale="60" zoomScaleNormal="70" workbookViewId="0">
      <pane xSplit="8" ySplit="6" topLeftCell="I7" activePane="bottomRight" state="frozen"/>
      <selection activeCell="N28" sqref="N28"/>
      <selection pane="topRight" activeCell="N28" sqref="N28"/>
      <selection pane="bottomLeft" activeCell="N28" sqref="N28"/>
      <selection pane="bottomRight" activeCell="N28" sqref="N2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7109375" bestFit="1" customWidth="1"/>
    <col min="11" max="11" width="12.42578125" bestFit="1" customWidth="1"/>
    <col min="12" max="14" width="21" bestFit="1" customWidth="1"/>
    <col min="15" max="15" width="20.140625" bestFit="1" customWidth="1"/>
    <col min="16" max="16" width="22" bestFit="1" customWidth="1"/>
    <col min="17" max="18" width="21" bestFit="1" customWidth="1"/>
    <col min="19" max="19" width="18.57031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815" t="s">
        <v>0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5"/>
      <c r="T1" s="815"/>
      <c r="U1" s="815"/>
    </row>
    <row r="2" spans="1:21" ht="19.5" x14ac:dyDescent="0.3">
      <c r="A2" s="815" t="s">
        <v>329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</row>
    <row r="3" spans="1:21" ht="19.5" x14ac:dyDescent="0.3">
      <c r="A3" s="815" t="s">
        <v>335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709"/>
      <c r="L4" s="816" t="s">
        <v>2</v>
      </c>
      <c r="M4" s="800"/>
      <c r="N4" s="800"/>
      <c r="O4" s="800"/>
      <c r="P4" s="801"/>
      <c r="Q4" s="817" t="s">
        <v>3</v>
      </c>
      <c r="R4" s="800"/>
      <c r="S4" s="800"/>
      <c r="T4" s="800"/>
      <c r="U4" s="801"/>
    </row>
    <row r="5" spans="1:21" ht="19.5" x14ac:dyDescent="0.3">
      <c r="A5" s="822" t="s">
        <v>4</v>
      </c>
      <c r="B5" s="797"/>
      <c r="C5" s="797"/>
      <c r="D5" s="797"/>
      <c r="E5" s="797"/>
      <c r="F5" s="797"/>
      <c r="G5" s="798"/>
      <c r="H5" s="789" t="s">
        <v>5</v>
      </c>
      <c r="I5" s="814" t="s">
        <v>6</v>
      </c>
      <c r="J5" s="800"/>
      <c r="K5" s="801"/>
      <c r="L5" s="818" t="s">
        <v>7</v>
      </c>
      <c r="M5" s="801"/>
      <c r="N5" s="807" t="s">
        <v>8</v>
      </c>
      <c r="O5" s="800"/>
      <c r="P5" s="801"/>
      <c r="Q5" s="808" t="s">
        <v>7</v>
      </c>
      <c r="R5" s="801"/>
      <c r="S5" s="807" t="s">
        <v>8</v>
      </c>
      <c r="T5" s="800"/>
      <c r="U5" s="801"/>
    </row>
    <row r="6" spans="1:21" ht="19.5" x14ac:dyDescent="0.3">
      <c r="A6" s="799"/>
      <c r="B6" s="800"/>
      <c r="C6" s="800"/>
      <c r="D6" s="800"/>
      <c r="E6" s="800"/>
      <c r="F6" s="800"/>
      <c r="G6" s="801"/>
      <c r="H6" s="788"/>
      <c r="I6" s="6" t="s">
        <v>9</v>
      </c>
      <c r="J6" s="7" t="s">
        <v>10</v>
      </c>
      <c r="K6" s="6" t="s">
        <v>11</v>
      </c>
      <c r="L6" s="706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823"/>
      <c r="B7" s="800"/>
      <c r="C7" s="800"/>
      <c r="D7" s="800"/>
      <c r="E7" s="800"/>
      <c r="F7" s="800"/>
      <c r="G7" s="801"/>
      <c r="H7" s="14"/>
      <c r="I7" s="15"/>
      <c r="J7" s="15"/>
      <c r="K7" s="16"/>
      <c r="L7" s="580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571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71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71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71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71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71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71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71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580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803" t="s">
        <v>309</v>
      </c>
      <c r="B17" s="800"/>
      <c r="C17" s="800"/>
      <c r="D17" s="800"/>
      <c r="E17" s="800"/>
      <c r="F17" s="800"/>
      <c r="G17" s="801"/>
      <c r="H17" s="23"/>
      <c r="I17" s="24"/>
      <c r="J17" s="24"/>
      <c r="K17" s="25"/>
      <c r="L17" s="705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704">
        <f ca="1">L19+L20</f>
        <v>2016805</v>
      </c>
      <c r="M18" s="664">
        <f ca="1">M19+M20</f>
        <v>2187425</v>
      </c>
      <c r="N18" s="664">
        <f ca="1">N19+N20</f>
        <v>1643573.42</v>
      </c>
      <c r="O18" s="664">
        <f t="shared" ref="O18:O26" ca="1" si="0">IF(L18&gt;0,N18*100/L18,0)</f>
        <v>81.493918351055257</v>
      </c>
      <c r="P18" s="664">
        <f t="shared" ref="P18:P26" ca="1" si="1">IF(M18&gt;0,N18*100/M18,0)</f>
        <v>75.137361052378935</v>
      </c>
      <c r="Q18" s="664">
        <f ca="1">Q19+Q20</f>
        <v>3449733.39</v>
      </c>
      <c r="R18" s="664">
        <f ca="1">R19+R20</f>
        <v>3324733</v>
      </c>
      <c r="S18" s="664">
        <f ca="1">S19+S20</f>
        <v>368260</v>
      </c>
      <c r="T18" s="664">
        <f t="shared" ref="T18:T26" ca="1" si="2">IF(Q18&gt;0,S18*100/Q18,0)</f>
        <v>10.675027846137407</v>
      </c>
      <c r="U18" s="664">
        <f t="shared" ref="U18:U26" ca="1" si="3">IF(R18&gt;0,S18*100/R18,0)</f>
        <v>11.076378163299129</v>
      </c>
    </row>
    <row r="19" spans="1:21" ht="18.75" hidden="1" x14ac:dyDescent="0.25">
      <c r="A19" s="26"/>
      <c r="B19" s="27"/>
      <c r="C19" s="27"/>
      <c r="D19" s="27"/>
      <c r="E19" s="703" t="s">
        <v>20</v>
      </c>
      <c r="F19" s="27"/>
      <c r="G19" s="30"/>
      <c r="H19" s="702" t="s">
        <v>14</v>
      </c>
      <c r="I19" s="32"/>
      <c r="J19" s="32"/>
      <c r="K19" s="33"/>
      <c r="L19" s="701">
        <f t="shared" ref="L19:N20" si="4">L22+L25</f>
        <v>0</v>
      </c>
      <c r="M19" s="700">
        <f t="shared" si="4"/>
        <v>0</v>
      </c>
      <c r="N19" s="700">
        <f t="shared" si="4"/>
        <v>0</v>
      </c>
      <c r="O19" s="700">
        <f t="shared" si="0"/>
        <v>0</v>
      </c>
      <c r="P19" s="700">
        <f t="shared" si="1"/>
        <v>0</v>
      </c>
      <c r="Q19" s="700">
        <f t="shared" ref="Q19:S20" si="5">Q22+Q25</f>
        <v>0</v>
      </c>
      <c r="R19" s="700">
        <f t="shared" si="5"/>
        <v>0</v>
      </c>
      <c r="S19" s="700">
        <f t="shared" si="5"/>
        <v>0</v>
      </c>
      <c r="T19" s="700">
        <f t="shared" si="2"/>
        <v>0</v>
      </c>
      <c r="U19" s="700">
        <f t="shared" si="3"/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699">
        <f t="shared" ca="1" si="4"/>
        <v>2016805</v>
      </c>
      <c r="M20" s="698">
        <f t="shared" ca="1" si="4"/>
        <v>2187425</v>
      </c>
      <c r="N20" s="698">
        <f t="shared" ca="1" si="4"/>
        <v>1643573.42</v>
      </c>
      <c r="O20" s="698">
        <f t="shared" ca="1" si="0"/>
        <v>81.493918351055257</v>
      </c>
      <c r="P20" s="698">
        <f t="shared" ca="1" si="1"/>
        <v>75.137361052378935</v>
      </c>
      <c r="Q20" s="698">
        <f t="shared" ca="1" si="5"/>
        <v>3449733.39</v>
      </c>
      <c r="R20" s="698">
        <f t="shared" ca="1" si="5"/>
        <v>3324733</v>
      </c>
      <c r="S20" s="698">
        <f t="shared" ca="1" si="5"/>
        <v>368260</v>
      </c>
      <c r="T20" s="698">
        <f t="shared" ca="1" si="2"/>
        <v>10.675027846137407</v>
      </c>
      <c r="U20" s="698">
        <f t="shared" ca="1" si="3"/>
        <v>11.076378163299129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468">
        <f ca="1">L22+L23</f>
        <v>2016805</v>
      </c>
      <c r="M21" s="224">
        <f ca="1">M22+M23</f>
        <v>2187425</v>
      </c>
      <c r="N21" s="224">
        <f ca="1">N22+N23</f>
        <v>1643573.42</v>
      </c>
      <c r="O21" s="224">
        <f t="shared" ca="1" si="0"/>
        <v>81.493918351055257</v>
      </c>
      <c r="P21" s="224">
        <f t="shared" ca="1" si="1"/>
        <v>75.137361052378935</v>
      </c>
      <c r="Q21" s="224">
        <f ca="1">Q22+Q23</f>
        <v>3449733.39</v>
      </c>
      <c r="R21" s="224">
        <f ca="1">R22+R23</f>
        <v>3324733</v>
      </c>
      <c r="S21" s="224">
        <f ca="1">S22+S23</f>
        <v>368260</v>
      </c>
      <c r="T21" s="224">
        <f t="shared" ca="1" si="2"/>
        <v>10.675027846137407</v>
      </c>
      <c r="U21" s="224">
        <f t="shared" ca="1" si="3"/>
        <v>11.076378163299129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674" t="s">
        <v>14</v>
      </c>
      <c r="I22" s="44"/>
      <c r="J22" s="44"/>
      <c r="K22" s="45"/>
      <c r="L22" s="469">
        <f t="shared" ref="L22:N23" si="6">L48+L63+L76+L98+L129+L143+L161+L190+L177+L270+L286+L307+L324+L337+L360+L517</f>
        <v>0</v>
      </c>
      <c r="M22" s="83">
        <f t="shared" si="6"/>
        <v>0</v>
      </c>
      <c r="N22" s="83">
        <f t="shared" si="6"/>
        <v>0</v>
      </c>
      <c r="O22" s="83">
        <f t="shared" si="0"/>
        <v>0</v>
      </c>
      <c r="P22" s="83">
        <f t="shared" si="1"/>
        <v>0</v>
      </c>
      <c r="Q22" s="83">
        <f t="shared" ref="Q22:S23" si="7">Q76+Q98+Q121+Q143+Q161+Q177+Q190+Q270+Q286+Q307+Q337+Q379+Q396+Q417+Q497+Q603+Q620+Q646+Q694+Q718+Q732+Q764</f>
        <v>0</v>
      </c>
      <c r="R22" s="83">
        <f t="shared" si="7"/>
        <v>0</v>
      </c>
      <c r="S22" s="83">
        <f t="shared" si="7"/>
        <v>0</v>
      </c>
      <c r="T22" s="83">
        <f t="shared" si="2"/>
        <v>0</v>
      </c>
      <c r="U22" s="83">
        <f t="shared" si="3"/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468">
        <f t="shared" ca="1" si="6"/>
        <v>2016805</v>
      </c>
      <c r="M23" s="224">
        <f t="shared" ca="1" si="6"/>
        <v>2187425</v>
      </c>
      <c r="N23" s="224">
        <f t="shared" ca="1" si="6"/>
        <v>1643573.42</v>
      </c>
      <c r="O23" s="224">
        <f t="shared" ca="1" si="0"/>
        <v>81.493918351055257</v>
      </c>
      <c r="P23" s="224">
        <f t="shared" ca="1" si="1"/>
        <v>75.137361052378935</v>
      </c>
      <c r="Q23" s="224">
        <f t="shared" ca="1" si="7"/>
        <v>3449733.39</v>
      </c>
      <c r="R23" s="224">
        <f t="shared" ca="1" si="7"/>
        <v>3324733</v>
      </c>
      <c r="S23" s="224">
        <f t="shared" ca="1" si="7"/>
        <v>368260</v>
      </c>
      <c r="T23" s="224">
        <f t="shared" ca="1" si="2"/>
        <v>10.675027846137407</v>
      </c>
      <c r="U23" s="224">
        <f t="shared" ca="1" si="3"/>
        <v>11.076378163299129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468">
        <f ca="1">L25+L26</f>
        <v>0</v>
      </c>
      <c r="M24" s="224">
        <f ca="1">M25+M26</f>
        <v>0</v>
      </c>
      <c r="N24" s="224">
        <f ca="1">N25+N26</f>
        <v>0</v>
      </c>
      <c r="O24" s="224">
        <f t="shared" ca="1" si="0"/>
        <v>0</v>
      </c>
      <c r="P24" s="224">
        <f t="shared" ca="1" si="1"/>
        <v>0</v>
      </c>
      <c r="Q24" s="224">
        <f>Q25+Q26</f>
        <v>0</v>
      </c>
      <c r="R24" s="224">
        <f>R25+R26</f>
        <v>0</v>
      </c>
      <c r="S24" s="224">
        <f>S25+S26</f>
        <v>0</v>
      </c>
      <c r="T24" s="224">
        <f t="shared" si="2"/>
        <v>0</v>
      </c>
      <c r="U24" s="224">
        <f t="shared" si="3"/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674" t="s">
        <v>14</v>
      </c>
      <c r="I25" s="44"/>
      <c r="J25" s="44"/>
      <c r="K25" s="45"/>
      <c r="L25" s="469">
        <f t="shared" ref="L25:N26" si="8">L51+L66+L79+L101+L132+L146+L164+L193+L180+L273+L289+L310+L327+L340+L363+L520</f>
        <v>0</v>
      </c>
      <c r="M25" s="83">
        <f t="shared" si="8"/>
        <v>0</v>
      </c>
      <c r="N25" s="83">
        <f t="shared" si="8"/>
        <v>0</v>
      </c>
      <c r="O25" s="83">
        <f t="shared" si="0"/>
        <v>0</v>
      </c>
      <c r="P25" s="83">
        <f t="shared" si="1"/>
        <v>0</v>
      </c>
      <c r="Q25" s="83">
        <f t="shared" ref="Q25:S26" si="9">Q79+Q101+Q124+Q146+Q164+Q180+Q193+Q273+Q289+Q310+Q340+Q382+Q399+Q420+Q500+Q606+Q623+Q649+Q697+Q721+Q735+Q767</f>
        <v>0</v>
      </c>
      <c r="R25" s="83">
        <f t="shared" si="9"/>
        <v>0</v>
      </c>
      <c r="S25" s="83">
        <f t="shared" si="9"/>
        <v>0</v>
      </c>
      <c r="T25" s="83">
        <f t="shared" si="2"/>
        <v>0</v>
      </c>
      <c r="U25" s="83">
        <f t="shared" si="3"/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468">
        <f t="shared" ca="1" si="8"/>
        <v>0</v>
      </c>
      <c r="M26" s="224">
        <f t="shared" ca="1" si="8"/>
        <v>0</v>
      </c>
      <c r="N26" s="224">
        <f t="shared" ca="1" si="8"/>
        <v>0</v>
      </c>
      <c r="O26" s="224">
        <f t="shared" ca="1" si="0"/>
        <v>0</v>
      </c>
      <c r="P26" s="224">
        <f t="shared" ca="1" si="1"/>
        <v>0</v>
      </c>
      <c r="Q26" s="83">
        <f t="shared" si="9"/>
        <v>0</v>
      </c>
      <c r="R26" s="83">
        <f t="shared" si="9"/>
        <v>0</v>
      </c>
      <c r="S26" s="83">
        <f t="shared" si="9"/>
        <v>0</v>
      </c>
      <c r="T26" s="224">
        <f t="shared" si="2"/>
        <v>0</v>
      </c>
      <c r="U26" s="224">
        <f t="shared" si="3"/>
        <v>0</v>
      </c>
    </row>
    <row r="27" spans="1:21" ht="18.75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465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674" t="s">
        <v>14</v>
      </c>
      <c r="I28" s="44"/>
      <c r="J28" s="44"/>
      <c r="K28" s="45"/>
      <c r="L28" s="465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463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823"/>
      <c r="B30" s="800"/>
      <c r="C30" s="800"/>
      <c r="D30" s="800"/>
      <c r="E30" s="800"/>
      <c r="F30" s="800"/>
      <c r="G30" s="801"/>
      <c r="H30" s="14"/>
      <c r="I30" s="15"/>
      <c r="J30" s="15"/>
      <c r="K30" s="16"/>
      <c r="L30" s="580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571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7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71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7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7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7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7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71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580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697">
        <f ca="1">L44+L59+L72+L94+L125+L139+L157+L173+L186+L266+L282+L303+L320+L333+L356</f>
        <v>2016805</v>
      </c>
      <c r="M40" s="696">
        <f ca="1">M44+M59+M72+M94+M125+M139+M157+M173+M186+M266+M282+M303+M320+M333+M356</f>
        <v>2187425</v>
      </c>
      <c r="N40" s="696">
        <f ca="1">N44+N59+N72+N94+N125+N139+N157+N173+N186+N266+N282+N303+N320+N333+N356</f>
        <v>1643573.42</v>
      </c>
      <c r="O40" s="696">
        <f ca="1">IF(L40&gt;0,N40*100/L40,0)</f>
        <v>81.493918351055257</v>
      </c>
      <c r="P40" s="696">
        <f ca="1">IF(M40&gt;0,N40*100/M40,0)</f>
        <v>75.137361052378935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695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571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694" t="s">
        <v>19</v>
      </c>
      <c r="E44" s="71"/>
      <c r="F44" s="71"/>
      <c r="G44" s="74"/>
      <c r="H44" s="75" t="s">
        <v>14</v>
      </c>
      <c r="I44" s="76"/>
      <c r="J44" s="76"/>
      <c r="K44" s="77"/>
      <c r="L44" s="693">
        <f ca="1">L45+L46</f>
        <v>357400</v>
      </c>
      <c r="M44" s="692">
        <f ca="1">M45+M46</f>
        <v>403960</v>
      </c>
      <c r="N44" s="692">
        <f ca="1">N45+N46</f>
        <v>352360</v>
      </c>
      <c r="O44" s="692">
        <f t="shared" ref="O44:O52" ca="1" si="10">IF(L44&gt;0,N44*100/L44,0)</f>
        <v>98.589815332960271</v>
      </c>
      <c r="P44" s="692">
        <f t="shared" ref="P44:P52" ca="1" si="11">IF(M44&gt;0,N44*100/M44,0)</f>
        <v>87.226458065154972</v>
      </c>
      <c r="Q44" s="692">
        <f>Q45+Q46</f>
        <v>0</v>
      </c>
      <c r="R44" s="692">
        <f>R45+R46</f>
        <v>0</v>
      </c>
      <c r="S44" s="692">
        <f>S45+S46</f>
        <v>0</v>
      </c>
      <c r="T44" s="692">
        <f t="shared" ref="T44:T52" si="12">IF(Q44&gt;0,S44*100/Q44,0)</f>
        <v>0</v>
      </c>
      <c r="U44" s="692">
        <f t="shared" ref="U44:U52" si="13">IF(R44&gt;0,S44*100/R44,0)</f>
        <v>0</v>
      </c>
    </row>
    <row r="45" spans="1:21" ht="18.75" hidden="1" x14ac:dyDescent="0.25">
      <c r="A45" s="70"/>
      <c r="B45" s="71"/>
      <c r="C45" s="71"/>
      <c r="D45" s="71"/>
      <c r="E45" s="691" t="s">
        <v>20</v>
      </c>
      <c r="F45" s="71"/>
      <c r="G45" s="74"/>
      <c r="H45" s="690" t="s">
        <v>14</v>
      </c>
      <c r="I45" s="76"/>
      <c r="J45" s="76"/>
      <c r="K45" s="77"/>
      <c r="L45" s="689">
        <f t="shared" ref="L45:N46" si="14">L48+L51</f>
        <v>0</v>
      </c>
      <c r="M45" s="688">
        <f t="shared" si="14"/>
        <v>0</v>
      </c>
      <c r="N45" s="688">
        <f t="shared" si="14"/>
        <v>0</v>
      </c>
      <c r="O45" s="688">
        <f t="shared" si="10"/>
        <v>0</v>
      </c>
      <c r="P45" s="688">
        <f t="shared" si="11"/>
        <v>0</v>
      </c>
      <c r="Q45" s="688">
        <f t="shared" ref="Q45:S46" si="15">Q48+Q51</f>
        <v>0</v>
      </c>
      <c r="R45" s="688">
        <f t="shared" si="15"/>
        <v>0</v>
      </c>
      <c r="S45" s="688">
        <f t="shared" si="15"/>
        <v>0</v>
      </c>
      <c r="T45" s="688">
        <f t="shared" si="12"/>
        <v>0</v>
      </c>
      <c r="U45" s="688">
        <f t="shared" si="13"/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687">
        <f t="shared" ca="1" si="14"/>
        <v>357400</v>
      </c>
      <c r="M46" s="686">
        <f t="shared" ca="1" si="14"/>
        <v>403960</v>
      </c>
      <c r="N46" s="686">
        <f t="shared" ca="1" si="14"/>
        <v>352360</v>
      </c>
      <c r="O46" s="686">
        <f t="shared" ca="1" si="10"/>
        <v>98.589815332960271</v>
      </c>
      <c r="P46" s="686">
        <f t="shared" ca="1" si="11"/>
        <v>87.226458065154972</v>
      </c>
      <c r="Q46" s="686">
        <f t="shared" si="15"/>
        <v>0</v>
      </c>
      <c r="R46" s="686">
        <f t="shared" si="15"/>
        <v>0</v>
      </c>
      <c r="S46" s="686">
        <f t="shared" si="15"/>
        <v>0</v>
      </c>
      <c r="T46" s="686">
        <f t="shared" si="12"/>
        <v>0</v>
      </c>
      <c r="U46" s="686">
        <f t="shared" si="13"/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468">
        <f ca="1">L48+L49</f>
        <v>357400</v>
      </c>
      <c r="M47" s="224">
        <f ca="1">M48+M49</f>
        <v>403960</v>
      </c>
      <c r="N47" s="224">
        <f ca="1">N48+N49</f>
        <v>352360</v>
      </c>
      <c r="O47" s="224">
        <f t="shared" ca="1" si="10"/>
        <v>98.589815332960271</v>
      </c>
      <c r="P47" s="224">
        <f t="shared" ca="1" si="11"/>
        <v>87.226458065154972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 t="shared" si="12"/>
        <v>0</v>
      </c>
      <c r="U47" s="224">
        <f t="shared" si="13"/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674" t="s">
        <v>14</v>
      </c>
      <c r="I48" s="44"/>
      <c r="J48" s="44"/>
      <c r="K48" s="45"/>
      <c r="L48" s="469">
        <v>0</v>
      </c>
      <c r="M48" s="83">
        <v>0</v>
      </c>
      <c r="N48" s="83">
        <v>0</v>
      </c>
      <c r="O48" s="83">
        <f t="shared" si="10"/>
        <v>0</v>
      </c>
      <c r="P48" s="83">
        <f t="shared" si="11"/>
        <v>0</v>
      </c>
      <c r="Q48" s="83">
        <v>0</v>
      </c>
      <c r="R48" s="83">
        <v>0</v>
      </c>
      <c r="S48" s="83">
        <v>0</v>
      </c>
      <c r="T48" s="83">
        <f t="shared" si="12"/>
        <v>0</v>
      </c>
      <c r="U48" s="83">
        <f t="shared" si="13"/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468">
        <f ca="1">IFERROR(__xludf.DUMMYFUNCTION("IMPORTRANGE(""https://docs.google.com/spreadsheets/d/1-uDff_7J0KD5mKrp0Vvzr7lt3OU09vwQwhkpOPPYv2Y/edit?usp=sharing"",""งบพรบ!P26"")"),357400)</f>
        <v>357400</v>
      </c>
      <c r="M49" s="224">
        <f ca="1">IFERROR(__xludf.DUMMYFUNCTION("IMPORTRANGE(""https://docs.google.com/spreadsheets/d/1-uDff_7J0KD5mKrp0Vvzr7lt3OU09vwQwhkpOPPYv2Y/edit?usp=sharing"",""งบพรบ!V26"")"),403960)</f>
        <v>403960</v>
      </c>
      <c r="N49" s="224">
        <f ca="1">IFERROR(__xludf.DUMMYFUNCTION("IMPORTRANGE(""https://docs.google.com/spreadsheets/d/1-uDff_7J0KD5mKrp0Vvzr7lt3OU09vwQwhkpOPPYv2Y/edit?usp=sharing"",""งบพรบ!Y26"")"),352360)</f>
        <v>352360</v>
      </c>
      <c r="O49" s="224">
        <f t="shared" ca="1" si="10"/>
        <v>98.589815332960271</v>
      </c>
      <c r="P49" s="224">
        <f t="shared" ca="1" si="11"/>
        <v>87.226458065154972</v>
      </c>
      <c r="Q49" s="224">
        <v>0</v>
      </c>
      <c r="R49" s="224">
        <v>0</v>
      </c>
      <c r="S49" s="224">
        <v>0</v>
      </c>
      <c r="T49" s="224">
        <f t="shared" si="12"/>
        <v>0</v>
      </c>
      <c r="U49" s="224">
        <f t="shared" si="13"/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468">
        <f ca="1">L51+L52</f>
        <v>0</v>
      </c>
      <c r="M50" s="224">
        <f ca="1">M51+M52</f>
        <v>0</v>
      </c>
      <c r="N50" s="224">
        <f ca="1">N51+N52</f>
        <v>0</v>
      </c>
      <c r="O50" s="224">
        <f t="shared" ca="1" si="10"/>
        <v>0</v>
      </c>
      <c r="P50" s="224">
        <f t="shared" ca="1" si="11"/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 t="shared" si="12"/>
        <v>0</v>
      </c>
      <c r="U50" s="224">
        <f t="shared" si="13"/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674" t="s">
        <v>14</v>
      </c>
      <c r="I51" s="44"/>
      <c r="J51" s="44"/>
      <c r="K51" s="45"/>
      <c r="L51" s="469">
        <v>0</v>
      </c>
      <c r="M51" s="83">
        <v>0</v>
      </c>
      <c r="N51" s="83">
        <v>0</v>
      </c>
      <c r="O51" s="83">
        <f t="shared" si="10"/>
        <v>0</v>
      </c>
      <c r="P51" s="83">
        <f t="shared" si="11"/>
        <v>0</v>
      </c>
      <c r="Q51" s="83">
        <v>0</v>
      </c>
      <c r="R51" s="83">
        <v>0</v>
      </c>
      <c r="S51" s="83">
        <v>0</v>
      </c>
      <c r="T51" s="83">
        <f t="shared" si="12"/>
        <v>0</v>
      </c>
      <c r="U51" s="83">
        <f t="shared" si="13"/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468">
        <f ca="1">IFERROR(__xludf.DUMMYFUNCTION("IMPORTRANGE(""https://docs.google.com/spreadsheets/d/1-uDff_7J0KD5mKrp0Vvzr7lt3OU09vwQwhkpOPPYv2Y/edit?usp=sharing"",""งบพรบ!S26"")"),0)</f>
        <v>0</v>
      </c>
      <c r="M52" s="224">
        <f ca="1">IFERROR(__xludf.DUMMYFUNCTION("IMPORTRANGE(""https://docs.google.com/spreadsheets/d/1-uDff_7J0KD5mKrp0Vvzr7lt3OU09vwQwhkpOPPYv2Y/edit?usp=sharing"",""งบพรบ!W26"")"),0)</f>
        <v>0</v>
      </c>
      <c r="N52" s="224">
        <f ca="1">IFERROR(__xludf.DUMMYFUNCTION("IMPORTRANGE(""https://docs.google.com/spreadsheets/d/1-uDff_7J0KD5mKrp0Vvzr7lt3OU09vwQwhkpOPPYv2Y/edit?usp=sharing"",""งบพรบ!Z26"")"),0)</f>
        <v>0</v>
      </c>
      <c r="O52" s="224">
        <f t="shared" ca="1" si="10"/>
        <v>0</v>
      </c>
      <c r="P52" s="224">
        <f t="shared" ca="1" si="11"/>
        <v>0</v>
      </c>
      <c r="Q52" s="224">
        <v>0</v>
      </c>
      <c r="R52" s="224">
        <v>0</v>
      </c>
      <c r="S52" s="224">
        <v>0</v>
      </c>
      <c r="T52" s="224">
        <f t="shared" si="12"/>
        <v>0</v>
      </c>
      <c r="U52" s="224">
        <f t="shared" si="13"/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465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674" t="s">
        <v>14</v>
      </c>
      <c r="I54" s="44"/>
      <c r="J54" s="44"/>
      <c r="K54" s="45"/>
      <c r="L54" s="465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463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804" t="s">
        <v>28</v>
      </c>
      <c r="B56" s="800"/>
      <c r="C56" s="800"/>
      <c r="D56" s="800"/>
      <c r="E56" s="800"/>
      <c r="F56" s="800"/>
      <c r="G56" s="80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805" t="s">
        <v>29</v>
      </c>
      <c r="C57" s="793"/>
      <c r="D57" s="793"/>
      <c r="E57" s="793"/>
      <c r="F57" s="793"/>
      <c r="G57" s="794"/>
      <c r="H57" s="89"/>
      <c r="I57" s="90"/>
      <c r="J57" s="90"/>
      <c r="K57" s="91"/>
      <c r="L57" s="68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8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8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82">
        <f ca="1">L60+L61</f>
        <v>439800</v>
      </c>
      <c r="M59" s="681">
        <f ca="1">M60+M61</f>
        <v>439800</v>
      </c>
      <c r="N59" s="681">
        <f ca="1">N60+N61</f>
        <v>424303.59</v>
      </c>
      <c r="O59" s="681">
        <f t="shared" ref="O59:O67" ca="1" si="16">IF(L59&gt;0,N59*100/L59,0)</f>
        <v>96.476487039563438</v>
      </c>
      <c r="P59" s="681">
        <f t="shared" ref="P59:P67" ca="1" si="17">IF(M59&gt;0,N59*100/M59,0)</f>
        <v>96.476487039563438</v>
      </c>
      <c r="Q59" s="681">
        <f>Q60+Q61</f>
        <v>0</v>
      </c>
      <c r="R59" s="681">
        <f>R60+R61</f>
        <v>0</v>
      </c>
      <c r="S59" s="681">
        <f>S60+S61</f>
        <v>0</v>
      </c>
      <c r="T59" s="681">
        <f t="shared" ref="T59:T67" si="18">IF(Q59&gt;0,S59*100/Q59,0)</f>
        <v>0</v>
      </c>
      <c r="U59" s="681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80" t="s">
        <v>20</v>
      </c>
      <c r="F60" s="99"/>
      <c r="G60" s="102"/>
      <c r="H60" s="679" t="s">
        <v>14</v>
      </c>
      <c r="I60" s="104"/>
      <c r="J60" s="104"/>
      <c r="K60" s="105"/>
      <c r="L60" s="678">
        <f t="shared" ref="L60:N61" si="20">L63+L66</f>
        <v>0</v>
      </c>
      <c r="M60" s="677">
        <f t="shared" si="20"/>
        <v>0</v>
      </c>
      <c r="N60" s="677">
        <f t="shared" si="20"/>
        <v>0</v>
      </c>
      <c r="O60" s="677">
        <f t="shared" si="16"/>
        <v>0</v>
      </c>
      <c r="P60" s="677">
        <f t="shared" si="17"/>
        <v>0</v>
      </c>
      <c r="Q60" s="677">
        <f t="shared" ref="Q60:S61" si="21">Q63+Q66</f>
        <v>0</v>
      </c>
      <c r="R60" s="677">
        <f t="shared" si="21"/>
        <v>0</v>
      </c>
      <c r="S60" s="677">
        <f t="shared" si="21"/>
        <v>0</v>
      </c>
      <c r="T60" s="677">
        <f t="shared" si="18"/>
        <v>0</v>
      </c>
      <c r="U60" s="677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76">
        <f t="shared" ca="1" si="20"/>
        <v>439800</v>
      </c>
      <c r="M61" s="675">
        <f t="shared" ca="1" si="20"/>
        <v>439800</v>
      </c>
      <c r="N61" s="675">
        <f t="shared" ca="1" si="20"/>
        <v>424303.59</v>
      </c>
      <c r="O61" s="675">
        <f t="shared" ca="1" si="16"/>
        <v>96.476487039563438</v>
      </c>
      <c r="P61" s="675">
        <f t="shared" ca="1" si="17"/>
        <v>96.476487039563438</v>
      </c>
      <c r="Q61" s="675">
        <f t="shared" si="21"/>
        <v>0</v>
      </c>
      <c r="R61" s="675">
        <f t="shared" si="21"/>
        <v>0</v>
      </c>
      <c r="S61" s="675">
        <f t="shared" si="21"/>
        <v>0</v>
      </c>
      <c r="T61" s="675">
        <f t="shared" si="18"/>
        <v>0</v>
      </c>
      <c r="U61" s="675">
        <f t="shared" si="19"/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468">
        <f ca="1">L63+L64</f>
        <v>439800</v>
      </c>
      <c r="M62" s="224">
        <f ca="1">M63+M64</f>
        <v>439800</v>
      </c>
      <c r="N62" s="224">
        <f ca="1">N63+N64</f>
        <v>424303.59</v>
      </c>
      <c r="O62" s="224">
        <f t="shared" ca="1" si="16"/>
        <v>96.476487039563438</v>
      </c>
      <c r="P62" s="224">
        <f t="shared" ca="1" si="17"/>
        <v>96.476487039563438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 t="shared" si="18"/>
        <v>0</v>
      </c>
      <c r="U62" s="224">
        <f t="shared" si="19"/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674" t="s">
        <v>14</v>
      </c>
      <c r="I63" s="44"/>
      <c r="J63" s="44"/>
      <c r="K63" s="45"/>
      <c r="L63" s="469">
        <v>0</v>
      </c>
      <c r="M63" s="83">
        <v>0</v>
      </c>
      <c r="N63" s="83">
        <v>0</v>
      </c>
      <c r="O63" s="83">
        <f t="shared" si="16"/>
        <v>0</v>
      </c>
      <c r="P63" s="83">
        <f t="shared" si="17"/>
        <v>0</v>
      </c>
      <c r="Q63" s="83">
        <v>0</v>
      </c>
      <c r="R63" s="83">
        <v>0</v>
      </c>
      <c r="S63" s="83">
        <v>0</v>
      </c>
      <c r="T63" s="83">
        <f t="shared" si="18"/>
        <v>0</v>
      </c>
      <c r="U63" s="83">
        <f t="shared" si="19"/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468">
        <f ca="1">IFERROR(__xludf.DUMMYFUNCTION("IMPORTRANGE(""https://docs.google.com/spreadsheets/d/1-uDff_7J0KD5mKrp0Vvzr7lt3OU09vwQwhkpOPPYv2Y/edit?usp=sharing"",""งบพรบ!AC26"")"),439800)</f>
        <v>439800</v>
      </c>
      <c r="M64" s="224">
        <f ca="1">IFERROR(__xludf.DUMMYFUNCTION("IMPORTRANGE(""https://docs.google.com/spreadsheets/d/1-uDff_7J0KD5mKrp0Vvzr7lt3OU09vwQwhkpOPPYv2Y/edit?usp=sharing"",""งบพรบ!AH26"")"),439800)</f>
        <v>439800</v>
      </c>
      <c r="N64" s="224">
        <f ca="1">IFERROR(__xludf.DUMMYFUNCTION("IMPORTRANGE(""https://docs.google.com/spreadsheets/d/1-uDff_7J0KD5mKrp0Vvzr7lt3OU09vwQwhkpOPPYv2Y/edit?usp=sharing"",""งบพรบ!AJ26"")"),424303.59)</f>
        <v>424303.59</v>
      </c>
      <c r="O64" s="224">
        <f t="shared" ca="1" si="16"/>
        <v>96.476487039563438</v>
      </c>
      <c r="P64" s="224">
        <f t="shared" ca="1" si="17"/>
        <v>96.476487039563438</v>
      </c>
      <c r="Q64" s="224">
        <v>0</v>
      </c>
      <c r="R64" s="224">
        <v>0</v>
      </c>
      <c r="S64" s="224">
        <v>0</v>
      </c>
      <c r="T64" s="224">
        <f t="shared" si="18"/>
        <v>0</v>
      </c>
      <c r="U64" s="224">
        <f t="shared" si="19"/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468">
        <f ca="1">L66+L67</f>
        <v>0</v>
      </c>
      <c r="M65" s="224">
        <f ca="1">M66+M67</f>
        <v>0</v>
      </c>
      <c r="N65" s="224">
        <f ca="1">N66+N67</f>
        <v>0</v>
      </c>
      <c r="O65" s="224">
        <f t="shared" ca="1" si="16"/>
        <v>0</v>
      </c>
      <c r="P65" s="224">
        <f t="shared" ca="1" si="17"/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 t="shared" si="18"/>
        <v>0</v>
      </c>
      <c r="U65" s="224">
        <f t="shared" si="19"/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674" t="s">
        <v>14</v>
      </c>
      <c r="I66" s="44"/>
      <c r="J66" s="44"/>
      <c r="K66" s="45"/>
      <c r="L66" s="469">
        <v>0</v>
      </c>
      <c r="M66" s="83">
        <v>0</v>
      </c>
      <c r="N66" s="83">
        <v>0</v>
      </c>
      <c r="O66" s="83">
        <f t="shared" si="16"/>
        <v>0</v>
      </c>
      <c r="P66" s="83">
        <f t="shared" si="17"/>
        <v>0</v>
      </c>
      <c r="Q66" s="83">
        <v>0</v>
      </c>
      <c r="R66" s="83">
        <v>0</v>
      </c>
      <c r="S66" s="83">
        <v>0</v>
      </c>
      <c r="T66" s="83">
        <f t="shared" si="18"/>
        <v>0</v>
      </c>
      <c r="U66" s="83">
        <f t="shared" si="19"/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673">
        <f ca="1">IFERROR(__xludf.DUMMYFUNCTION("IMPORTRANGE(""https://docs.google.com/spreadsheets/d/1-uDff_7J0KD5mKrp0Vvzr7lt3OU09vwQwhkpOPPYv2Y/edit?usp=sharing"",""งบพรบ!AF26"")"),0)</f>
        <v>0</v>
      </c>
      <c r="M67" s="455">
        <f ca="1">IFERROR(__xludf.DUMMYFUNCTION("IMPORTRANGE(""https://docs.google.com/spreadsheets/d/1-uDff_7J0KD5mKrp0Vvzr7lt3OU09vwQwhkpOPPYv2Y/edit?usp=sharing"",""งบพรบ!AI26"")"),0)</f>
        <v>0</v>
      </c>
      <c r="N67" s="455">
        <f ca="1">IFERROR(__xludf.DUMMYFUNCTION("IMPORTRANGE(""https://docs.google.com/spreadsheets/d/1-uDff_7J0KD5mKrp0Vvzr7lt3OU09vwQwhkpOPPYv2Y/edit?usp=sharing"",""งบพรบ!AK26"")"),0)</f>
        <v>0</v>
      </c>
      <c r="O67" s="455">
        <f t="shared" ca="1" si="16"/>
        <v>0</v>
      </c>
      <c r="P67" s="455">
        <f t="shared" ca="1" si="17"/>
        <v>0</v>
      </c>
      <c r="Q67" s="455">
        <v>0</v>
      </c>
      <c r="R67" s="455">
        <v>0</v>
      </c>
      <c r="S67" s="455">
        <v>0</v>
      </c>
      <c r="T67" s="455">
        <f t="shared" si="18"/>
        <v>0</v>
      </c>
      <c r="U67" s="455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7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665">
        <f ca="1">I82</f>
        <v>2</v>
      </c>
      <c r="J70" s="665">
        <f>J82</f>
        <v>0</v>
      </c>
      <c r="K70" s="664">
        <f ca="1">IF(I70&gt;0,J70*100/I70,0)</f>
        <v>0</v>
      </c>
      <c r="L70" s="510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665">
        <f ca="1">I83</f>
        <v>177</v>
      </c>
      <c r="J71" s="665">
        <f>J83</f>
        <v>0</v>
      </c>
      <c r="K71" s="664">
        <f ca="1">IF(I71&gt;0,J71*100/I71,0)</f>
        <v>0</v>
      </c>
      <c r="L71" s="510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129" t="s">
        <v>18</v>
      </c>
      <c r="D72" s="472" t="s">
        <v>19</v>
      </c>
      <c r="E72" s="40"/>
      <c r="F72" s="40"/>
      <c r="G72" s="42"/>
      <c r="H72" s="131" t="s">
        <v>14</v>
      </c>
      <c r="I72" s="44"/>
      <c r="J72" s="44"/>
      <c r="K72" s="45"/>
      <c r="L72" s="471">
        <f ca="1">L73+L74</f>
        <v>150000</v>
      </c>
      <c r="M72" s="470">
        <f ca="1">M73+M74</f>
        <v>150000</v>
      </c>
      <c r="N72" s="470">
        <f ca="1">N73+N74</f>
        <v>72000</v>
      </c>
      <c r="O72" s="470">
        <f t="shared" ref="O72:O80" ca="1" si="22">IF(L72&gt;0,N72*100/L72,0)</f>
        <v>48</v>
      </c>
      <c r="P72" s="470">
        <f t="shared" ref="P72:P80" ca="1" si="23">IF(M72&gt;0,N72*100/M72,0)</f>
        <v>48</v>
      </c>
      <c r="Q72" s="470">
        <f ca="1">Q73+Q74</f>
        <v>1552240</v>
      </c>
      <c r="R72" s="470">
        <f ca="1">R73+R74</f>
        <v>1552240</v>
      </c>
      <c r="S72" s="470">
        <f ca="1">S73+S74</f>
        <v>13440</v>
      </c>
      <c r="T72" s="470">
        <f t="shared" ref="T72:T80" ca="1" si="24">IF(Q72&gt;0,S72*100/Q72,0)</f>
        <v>0.86584548781116322</v>
      </c>
      <c r="U72" s="470">
        <f t="shared" ref="U72:U80" ca="1" si="25">IF(R72&gt;0,S72*100/R72,0)</f>
        <v>0.86584548781116322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469">
        <f t="shared" ref="L73:N74" si="26">L76+L79</f>
        <v>0</v>
      </c>
      <c r="M73" s="83">
        <f t="shared" si="26"/>
        <v>0</v>
      </c>
      <c r="N73" s="83">
        <f t="shared" si="26"/>
        <v>0</v>
      </c>
      <c r="O73" s="83">
        <f t="shared" si="22"/>
        <v>0</v>
      </c>
      <c r="P73" s="83">
        <f t="shared" si="23"/>
        <v>0</v>
      </c>
      <c r="Q73" s="83">
        <f t="shared" ref="Q73:S74" si="27">Q76+Q79</f>
        <v>0</v>
      </c>
      <c r="R73" s="83">
        <f t="shared" si="27"/>
        <v>0</v>
      </c>
      <c r="S73" s="83">
        <f t="shared" si="27"/>
        <v>0</v>
      </c>
      <c r="T73" s="83">
        <f t="shared" si="24"/>
        <v>0</v>
      </c>
      <c r="U73" s="83">
        <f t="shared" si="25"/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468">
        <f t="shared" ca="1" si="26"/>
        <v>150000</v>
      </c>
      <c r="M74" s="224">
        <f t="shared" ca="1" si="26"/>
        <v>150000</v>
      </c>
      <c r="N74" s="224">
        <f t="shared" ca="1" si="26"/>
        <v>72000</v>
      </c>
      <c r="O74" s="224">
        <f t="shared" ca="1" si="22"/>
        <v>48</v>
      </c>
      <c r="P74" s="224">
        <f t="shared" ca="1" si="23"/>
        <v>48</v>
      </c>
      <c r="Q74" s="224">
        <f t="shared" ca="1" si="27"/>
        <v>1552240</v>
      </c>
      <c r="R74" s="224">
        <f t="shared" ca="1" si="27"/>
        <v>1552240</v>
      </c>
      <c r="S74" s="224">
        <f t="shared" ca="1" si="27"/>
        <v>13440</v>
      </c>
      <c r="T74" s="224">
        <f t="shared" ca="1" si="24"/>
        <v>0.86584548781116322</v>
      </c>
      <c r="U74" s="224">
        <f t="shared" ca="1" si="25"/>
        <v>0.86584548781116322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468">
        <f ca="1">L76+L77</f>
        <v>150000</v>
      </c>
      <c r="M75" s="224">
        <f ca="1">M76+M77</f>
        <v>150000</v>
      </c>
      <c r="N75" s="224">
        <f ca="1">N76+N77</f>
        <v>72000</v>
      </c>
      <c r="O75" s="224">
        <f t="shared" ca="1" si="22"/>
        <v>48</v>
      </c>
      <c r="P75" s="224">
        <f t="shared" ca="1" si="23"/>
        <v>48</v>
      </c>
      <c r="Q75" s="224">
        <f ca="1">Q76+Q77</f>
        <v>1552240</v>
      </c>
      <c r="R75" s="224">
        <f ca="1">R76+R77</f>
        <v>1552240</v>
      </c>
      <c r="S75" s="224">
        <f ca="1">S76+S77</f>
        <v>13440</v>
      </c>
      <c r="T75" s="224">
        <f t="shared" ca="1" si="24"/>
        <v>0.86584548781116322</v>
      </c>
      <c r="U75" s="224">
        <f t="shared" ca="1" si="25"/>
        <v>0.86584548781116322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469">
        <v>0</v>
      </c>
      <c r="M76" s="83">
        <v>0</v>
      </c>
      <c r="N76" s="83">
        <v>0</v>
      </c>
      <c r="O76" s="83">
        <f t="shared" si="22"/>
        <v>0</v>
      </c>
      <c r="P76" s="83">
        <f t="shared" si="23"/>
        <v>0</v>
      </c>
      <c r="Q76" s="83">
        <v>0</v>
      </c>
      <c r="R76" s="83">
        <v>0</v>
      </c>
      <c r="S76" s="83">
        <v>0</v>
      </c>
      <c r="T76" s="83">
        <f t="shared" si="24"/>
        <v>0</v>
      </c>
      <c r="U76" s="83">
        <f t="shared" si="25"/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468">
        <f ca="1">IFERROR(__xludf.DUMMYFUNCTION("IMPORTRANGE(""https://docs.google.com/spreadsheets/d/1-uDff_7J0KD5mKrp0Vvzr7lt3OU09vwQwhkpOPPYv2Y/edit?usp=sharing"",""งบพรบ!AM26"")"),150000)</f>
        <v>150000</v>
      </c>
      <c r="M77" s="224">
        <f ca="1">IFERROR(__xludf.DUMMYFUNCTION("IMPORTRANGE(""https://docs.google.com/spreadsheets/d/1-uDff_7J0KD5mKrp0Vvzr7lt3OU09vwQwhkpOPPYv2Y/edit?usp=sharing"",""งบพรบ!AR26"")"),150000)</f>
        <v>150000</v>
      </c>
      <c r="N77" s="224">
        <f ca="1">IFERROR(__xludf.DUMMYFUNCTION("IMPORTRANGE(""https://docs.google.com/spreadsheets/d/1-uDff_7J0KD5mKrp0Vvzr7lt3OU09vwQwhkpOPPYv2Y/edit?usp=sharing"",""งบพรบ!AT26"")"),72000)</f>
        <v>72000</v>
      </c>
      <c r="O77" s="224">
        <f t="shared" ca="1" si="22"/>
        <v>48</v>
      </c>
      <c r="P77" s="224">
        <f t="shared" ca="1" si="23"/>
        <v>48</v>
      </c>
      <c r="Q77" s="224">
        <f ca="1">IFERROR(__xludf.DUMMYFUNCTION("IMPORTRANGE(""https://docs.google.com/spreadsheets/d/1ItG2mGa2ceCfYo0BwxsXqNm01IGEUdYcSSLTEv9YCik/edit?usp=sharing"",""เบิกจ่ายกองทุน!AS26"")"),1552240)</f>
        <v>1552240</v>
      </c>
      <c r="R77" s="224">
        <f ca="1">IFERROR(__xludf.DUMMYFUNCTION("IMPORTRANGE(""https://docs.google.com/spreadsheets/d/1ItG2mGa2ceCfYo0BwxsXqNm01IGEUdYcSSLTEv9YCik/edit?usp=sharing"",""เบิกจ่ายกองทุน!AT26"")"),1552240)</f>
        <v>1552240</v>
      </c>
      <c r="S77" s="224">
        <f ca="1">IFERROR(__xludf.DUMMYFUNCTION("IMPORTRANGE(""https://docs.google.com/spreadsheets/d/1ItG2mGa2ceCfYo0BwxsXqNm01IGEUdYcSSLTEv9YCik/edit?usp=sharing"",""เบิกจ่ายกองทุน!AU26"")"),13440)</f>
        <v>13440</v>
      </c>
      <c r="T77" s="224">
        <f t="shared" ca="1" si="24"/>
        <v>0.86584548781116322</v>
      </c>
      <c r="U77" s="224">
        <f t="shared" ca="1" si="25"/>
        <v>0.86584548781116322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468">
        <f ca="1">L79+L80</f>
        <v>0</v>
      </c>
      <c r="M78" s="224">
        <f ca="1">M79+M80</f>
        <v>0</v>
      </c>
      <c r="N78" s="224">
        <f ca="1">N79+N80</f>
        <v>0</v>
      </c>
      <c r="O78" s="224">
        <f t="shared" ca="1" si="22"/>
        <v>0</v>
      </c>
      <c r="P78" s="224">
        <f t="shared" ca="1" si="23"/>
        <v>0</v>
      </c>
      <c r="Q78" s="224">
        <f>Q79+Q80</f>
        <v>0</v>
      </c>
      <c r="R78" s="224">
        <f>R79+R80</f>
        <v>0</v>
      </c>
      <c r="S78" s="224">
        <f>S79+S80</f>
        <v>0</v>
      </c>
      <c r="T78" s="224">
        <f t="shared" si="24"/>
        <v>0</v>
      </c>
      <c r="U78" s="224">
        <f t="shared" si="25"/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469">
        <v>0</v>
      </c>
      <c r="M79" s="224">
        <v>0</v>
      </c>
      <c r="N79" s="224">
        <v>0</v>
      </c>
      <c r="O79" s="83">
        <f t="shared" si="22"/>
        <v>0</v>
      </c>
      <c r="P79" s="83">
        <f t="shared" si="23"/>
        <v>0</v>
      </c>
      <c r="Q79" s="83">
        <v>0</v>
      </c>
      <c r="R79" s="224">
        <v>0</v>
      </c>
      <c r="S79" s="224">
        <v>0</v>
      </c>
      <c r="T79" s="83">
        <f t="shared" si="24"/>
        <v>0</v>
      </c>
      <c r="U79" s="83">
        <f t="shared" si="25"/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468">
        <f ca="1">IFERROR(__xludf.DUMMYFUNCTION("IMPORTRANGE(""https://docs.google.com/spreadsheets/d/1-uDff_7J0KD5mKrp0Vvzr7lt3OU09vwQwhkpOPPYv2Y/edit?usp=sharing"",""งบพรบ!AP26"")"),0)</f>
        <v>0</v>
      </c>
      <c r="M80" s="224">
        <f ca="1">IFERROR(__xludf.DUMMYFUNCTION("IMPORTRANGE(""https://docs.google.com/spreadsheets/d/1-uDff_7J0KD5mKrp0Vvzr7lt3OU09vwQwhkpOPPYv2Y/edit?usp=sharing"",""งบพรบ!AS26"")"),0)</f>
        <v>0</v>
      </c>
      <c r="N80" s="224">
        <f ca="1">IFERROR(__xludf.DUMMYFUNCTION("IMPORTRANGE(""https://docs.google.com/spreadsheets/d/1-uDff_7J0KD5mKrp0Vvzr7lt3OU09vwQwhkpOPPYv2Y/edit?usp=sharing"",""งบพรบ!AU26"")"),0)</f>
        <v>0</v>
      </c>
      <c r="O80" s="224">
        <f t="shared" ca="1" si="22"/>
        <v>0</v>
      </c>
      <c r="P80" s="224">
        <f t="shared" ca="1" si="23"/>
        <v>0</v>
      </c>
      <c r="Q80" s="224">
        <v>0</v>
      </c>
      <c r="R80" s="224">
        <v>0</v>
      </c>
      <c r="S80" s="224">
        <v>0</v>
      </c>
      <c r="T80" s="224">
        <f t="shared" si="24"/>
        <v>0</v>
      </c>
      <c r="U80" s="224">
        <f t="shared" si="25"/>
        <v>0</v>
      </c>
    </row>
    <row r="81" spans="1:21" ht="19.5" x14ac:dyDescent="0.3">
      <c r="A81" s="138"/>
      <c r="B81" s="139"/>
      <c r="C81" s="129" t="s">
        <v>18</v>
      </c>
      <c r="D81" s="498" t="s">
        <v>38</v>
      </c>
      <c r="E81" s="141"/>
      <c r="F81" s="141"/>
      <c r="G81" s="142"/>
      <c r="H81" s="143"/>
      <c r="I81" s="135"/>
      <c r="J81" s="135"/>
      <c r="K81" s="136"/>
      <c r="L81" s="4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ca="1">I84+I86+I88</f>
        <v>2</v>
      </c>
      <c r="J82" s="328">
        <f>J84+J86+J88</f>
        <v>0</v>
      </c>
      <c r="K82" s="582">
        <f t="shared" ref="K82:K90" ca="1" si="28">IF(I82&gt;0,J82*100/I82,0)</f>
        <v>0</v>
      </c>
      <c r="L82" s="4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ca="1">I85+I87+I89</f>
        <v>177</v>
      </c>
      <c r="J83" s="328">
        <f>J85+J87+J89</f>
        <v>0</v>
      </c>
      <c r="K83" s="582">
        <f t="shared" ca="1" si="28"/>
        <v>0</v>
      </c>
      <c r="L83" s="4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581">
        <f ca="1">IFERROR(__xludf.DUMMYFUNCTION("IMPORTRANGE(""https://docs.google.com/spreadsheets/d/1eHaY18a8A9IcSdp1K8H6x8fbOy06t2VsZHhMHf-1x7Y/edit?usp=sharing"",""แผน!H26"")"),2)</f>
        <v>2</v>
      </c>
      <c r="J84" s="466">
        <v>0</v>
      </c>
      <c r="K84" s="497">
        <f t="shared" ca="1" si="28"/>
        <v>0</v>
      </c>
      <c r="L84" s="4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581">
        <f ca="1">IFERROR(__xludf.DUMMYFUNCTION("IMPORTRANGE(""https://docs.google.com/spreadsheets/d/1eHaY18a8A9IcSdp1K8H6x8fbOy06t2VsZHhMHf-1x7Y/edit?usp=sharing"",""แผน!I26"")"),177)</f>
        <v>177</v>
      </c>
      <c r="J85" s="466">
        <v>0</v>
      </c>
      <c r="K85" s="497">
        <f t="shared" ca="1" si="28"/>
        <v>0</v>
      </c>
      <c r="L85" s="4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581">
        <f ca="1">IFERROR(__xludf.DUMMYFUNCTION("IMPORTRANGE(""https://docs.google.com/spreadsheets/d/1eHaY18a8A9IcSdp1K8H6x8fbOy06t2VsZHhMHf-1x7Y/edit?usp=sharing"",""แผน!F26"")"),0)</f>
        <v>0</v>
      </c>
      <c r="J86" s="466">
        <v>0</v>
      </c>
      <c r="K86" s="497">
        <f t="shared" ca="1" si="28"/>
        <v>0</v>
      </c>
      <c r="L86" s="4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581">
        <f ca="1">IFERROR(__xludf.DUMMYFUNCTION("IMPORTRANGE(""https://docs.google.com/spreadsheets/d/1eHaY18a8A9IcSdp1K8H6x8fbOy06t2VsZHhMHf-1x7Y/edit?usp=sharing"",""แผน!G26"")"),0)</f>
        <v>0</v>
      </c>
      <c r="J87" s="466">
        <v>0</v>
      </c>
      <c r="K87" s="497">
        <f t="shared" ca="1" si="28"/>
        <v>0</v>
      </c>
      <c r="L87" s="4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581">
        <f ca="1">IFERROR(__xludf.DUMMYFUNCTION("IMPORTRANGE(""https://docs.google.com/spreadsheets/d/1eHaY18a8A9IcSdp1K8H6x8fbOy06t2VsZHhMHf-1x7Y/edit?usp=sharing"",""แผน!D26"")"),0)</f>
        <v>0</v>
      </c>
      <c r="J88" s="466">
        <v>0</v>
      </c>
      <c r="K88" s="497">
        <f t="shared" ca="1" si="28"/>
        <v>0</v>
      </c>
      <c r="L88" s="4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581">
        <f ca="1">IFERROR(__xludf.DUMMYFUNCTION("IMPORTRANGE(""https://docs.google.com/spreadsheets/d/1eHaY18a8A9IcSdp1K8H6x8fbOy06t2VsZHhMHf-1x7Y/edit?usp=sharing"",""แผน!E26"")"),0)</f>
        <v>0</v>
      </c>
      <c r="J89" s="466">
        <v>0</v>
      </c>
      <c r="K89" s="497">
        <f t="shared" ca="1" si="28"/>
        <v>0</v>
      </c>
      <c r="L89" s="4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581">
        <f ca="1">IFERROR(__xludf.DUMMYFUNCTION("IMPORTRANGE(""https://docs.google.com/spreadsheets/d/1eHaY18a8A9IcSdp1K8H6x8fbOy06t2VsZHhMHf-1x7Y/edit?usp=sharing"",""แผน!J26"")"),2)</f>
        <v>2</v>
      </c>
      <c r="J90" s="466">
        <v>0</v>
      </c>
      <c r="K90" s="497">
        <f t="shared" ca="1" si="28"/>
        <v>0</v>
      </c>
      <c r="L90" s="4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7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665">
        <f ca="1">I108</f>
        <v>30</v>
      </c>
      <c r="J92" s="665">
        <f>J108</f>
        <v>0</v>
      </c>
      <c r="K92" s="664">
        <f ca="1">IF(I92&gt;0,J92*100/I92,0)</f>
        <v>0</v>
      </c>
      <c r="L92" s="510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665">
        <f ca="1">I109</f>
        <v>10</v>
      </c>
      <c r="J93" s="665">
        <f>J109</f>
        <v>0</v>
      </c>
      <c r="K93" s="664">
        <f ca="1">IF(I93&gt;0,J93*100/I93,0)</f>
        <v>0</v>
      </c>
      <c r="L93" s="510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129" t="s">
        <v>18</v>
      </c>
      <c r="D94" s="472" t="s">
        <v>19</v>
      </c>
      <c r="E94" s="40"/>
      <c r="F94" s="40"/>
      <c r="G94" s="42"/>
      <c r="H94" s="131" t="s">
        <v>14</v>
      </c>
      <c r="I94" s="44"/>
      <c r="J94" s="44"/>
      <c r="K94" s="45"/>
      <c r="L94" s="471">
        <f ca="1">L95+L96</f>
        <v>0</v>
      </c>
      <c r="M94" s="470">
        <f ca="1">M95+M96</f>
        <v>0</v>
      </c>
      <c r="N94" s="470">
        <f ca="1">N95+N96</f>
        <v>0</v>
      </c>
      <c r="O94" s="470">
        <f t="shared" ref="O94:O102" ca="1" si="29">IF(L94&gt;0,N94*100/L94,0)</f>
        <v>0</v>
      </c>
      <c r="P94" s="470">
        <f t="shared" ref="P94:P102" ca="1" si="30">IF(M94&gt;0,N94*100/M94,0)</f>
        <v>0</v>
      </c>
      <c r="Q94" s="470">
        <f ca="1">Q95+Q96</f>
        <v>84420</v>
      </c>
      <c r="R94" s="470">
        <f ca="1">R95+R96</f>
        <v>84420</v>
      </c>
      <c r="S94" s="470">
        <f ca="1">S95+S96</f>
        <v>0</v>
      </c>
      <c r="T94" s="470">
        <f t="shared" ref="T94:T102" ca="1" si="31">IF(Q94&gt;0,S94*100/Q94,0)</f>
        <v>0</v>
      </c>
      <c r="U94" s="470">
        <f t="shared" ref="U94:U102" ca="1" si="32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469">
        <f t="shared" ref="L95:N96" si="33">L98+L101</f>
        <v>0</v>
      </c>
      <c r="M95" s="83">
        <f t="shared" si="33"/>
        <v>0</v>
      </c>
      <c r="N95" s="83">
        <f t="shared" si="33"/>
        <v>0</v>
      </c>
      <c r="O95" s="83">
        <f t="shared" si="29"/>
        <v>0</v>
      </c>
      <c r="P95" s="83">
        <f t="shared" si="30"/>
        <v>0</v>
      </c>
      <c r="Q95" s="83">
        <f t="shared" ref="Q95:S96" si="34">Q98+Q101</f>
        <v>0</v>
      </c>
      <c r="R95" s="83">
        <f t="shared" si="34"/>
        <v>0</v>
      </c>
      <c r="S95" s="83">
        <f t="shared" si="34"/>
        <v>0</v>
      </c>
      <c r="T95" s="83">
        <f t="shared" si="31"/>
        <v>0</v>
      </c>
      <c r="U95" s="83">
        <f t="shared" si="32"/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468">
        <f t="shared" ca="1" si="33"/>
        <v>0</v>
      </c>
      <c r="M96" s="224">
        <f t="shared" ca="1" si="33"/>
        <v>0</v>
      </c>
      <c r="N96" s="224">
        <f t="shared" ca="1" si="33"/>
        <v>0</v>
      </c>
      <c r="O96" s="224">
        <f t="shared" ca="1" si="29"/>
        <v>0</v>
      </c>
      <c r="P96" s="224">
        <f t="shared" ca="1" si="30"/>
        <v>0</v>
      </c>
      <c r="Q96" s="224">
        <f t="shared" ca="1" si="34"/>
        <v>84420</v>
      </c>
      <c r="R96" s="224">
        <f t="shared" ca="1" si="34"/>
        <v>84420</v>
      </c>
      <c r="S96" s="224">
        <f t="shared" ca="1" si="34"/>
        <v>0</v>
      </c>
      <c r="T96" s="224">
        <f t="shared" ca="1" si="31"/>
        <v>0</v>
      </c>
      <c r="U96" s="224">
        <f t="shared" ca="1" si="32"/>
        <v>0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468">
        <f ca="1">L98+L99</f>
        <v>0</v>
      </c>
      <c r="M97" s="224">
        <f ca="1">M98+M99</f>
        <v>0</v>
      </c>
      <c r="N97" s="224">
        <f ca="1">N98+N99</f>
        <v>0</v>
      </c>
      <c r="O97" s="224">
        <f t="shared" ca="1" si="29"/>
        <v>0</v>
      </c>
      <c r="P97" s="224">
        <f t="shared" ca="1" si="30"/>
        <v>0</v>
      </c>
      <c r="Q97" s="224">
        <f ca="1">Q98+Q99</f>
        <v>84420</v>
      </c>
      <c r="R97" s="224">
        <f ca="1">R98+R99</f>
        <v>84420</v>
      </c>
      <c r="S97" s="224">
        <f ca="1">S98+S99</f>
        <v>0</v>
      </c>
      <c r="T97" s="224">
        <f t="shared" ca="1" si="31"/>
        <v>0</v>
      </c>
      <c r="U97" s="224">
        <f t="shared" ca="1" si="32"/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469">
        <v>0</v>
      </c>
      <c r="M98" s="83">
        <v>0</v>
      </c>
      <c r="N98" s="83">
        <v>0</v>
      </c>
      <c r="O98" s="83">
        <f t="shared" si="29"/>
        <v>0</v>
      </c>
      <c r="P98" s="83">
        <f t="shared" si="30"/>
        <v>0</v>
      </c>
      <c r="Q98" s="83">
        <v>0</v>
      </c>
      <c r="R98" s="83">
        <v>0</v>
      </c>
      <c r="S98" s="83">
        <v>0</v>
      </c>
      <c r="T98" s="83">
        <f t="shared" si="31"/>
        <v>0</v>
      </c>
      <c r="U98" s="83">
        <f t="shared" si="32"/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468">
        <f ca="1">IFERROR(__xludf.DUMMYFUNCTION("IMPORTRANGE(""https://docs.google.com/spreadsheets/d/1-uDff_7J0KD5mKrp0Vvzr7lt3OU09vwQwhkpOPPYv2Y/edit?usp=sharing"",""งบพรบ!AW26"")"),0)</f>
        <v>0</v>
      </c>
      <c r="M99" s="224">
        <f ca="1">IFERROR(__xludf.DUMMYFUNCTION("IMPORTRANGE(""https://docs.google.com/spreadsheets/d/1-uDff_7J0KD5mKrp0Vvzr7lt3OU09vwQwhkpOPPYv2Y/edit?usp=sharing"",""งบพรบ!BB26"")"),0)</f>
        <v>0</v>
      </c>
      <c r="N99" s="224">
        <f ca="1">IFERROR(__xludf.DUMMYFUNCTION("IMPORTRANGE(""https://docs.google.com/spreadsheets/d/1-uDff_7J0KD5mKrp0Vvzr7lt3OU09vwQwhkpOPPYv2Y/edit?usp=sharing"",""งบพรบ!BD26"")"),0)</f>
        <v>0</v>
      </c>
      <c r="O99" s="224">
        <f t="shared" ca="1" si="29"/>
        <v>0</v>
      </c>
      <c r="P99" s="224">
        <f t="shared" ca="1" si="30"/>
        <v>0</v>
      </c>
      <c r="Q99" s="224">
        <f ca="1">IFERROR(__xludf.DUMMYFUNCTION("IMPORTRANGE(""https://docs.google.com/spreadsheets/d/1ItG2mGa2ceCfYo0BwxsXqNm01IGEUdYcSSLTEv9YCik/edit?usp=sharing"",""เบิกจ่ายกองทุน!AD26"")"),84420)</f>
        <v>84420</v>
      </c>
      <c r="R99" s="224">
        <f ca="1">IFERROR(__xludf.DUMMYFUNCTION("IMPORTRANGE(""https://docs.google.com/spreadsheets/d/1ItG2mGa2ceCfYo0BwxsXqNm01IGEUdYcSSLTEv9YCik/edit?usp=sharing"",""เบิกจ่ายกองทุน!AE26"")"),84420)</f>
        <v>84420</v>
      </c>
      <c r="S99" s="224">
        <f ca="1">IFERROR(__xludf.DUMMYFUNCTION("IMPORTRANGE(""https://docs.google.com/spreadsheets/d/1ItG2mGa2ceCfYo0BwxsXqNm01IGEUdYcSSLTEv9YCik/edit?usp=sharing"",""เบิกจ่ายกองทุน!AF26"")"),0)</f>
        <v>0</v>
      </c>
      <c r="T99" s="224">
        <f t="shared" ca="1" si="31"/>
        <v>0</v>
      </c>
      <c r="U99" s="224">
        <f t="shared" ca="1" si="32"/>
        <v>0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468">
        <f ca="1">L101+L102</f>
        <v>0</v>
      </c>
      <c r="M100" s="224">
        <f ca="1">M101+M102</f>
        <v>0</v>
      </c>
      <c r="N100" s="224">
        <f ca="1">N101+N102</f>
        <v>0</v>
      </c>
      <c r="O100" s="224">
        <f t="shared" ca="1" si="29"/>
        <v>0</v>
      </c>
      <c r="P100" s="224">
        <f t="shared" ca="1" si="30"/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 t="shared" si="31"/>
        <v>0</v>
      </c>
      <c r="U100" s="224">
        <f t="shared" si="32"/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469">
        <v>0</v>
      </c>
      <c r="M101" s="83">
        <v>0</v>
      </c>
      <c r="N101" s="83">
        <v>0</v>
      </c>
      <c r="O101" s="83">
        <f t="shared" si="29"/>
        <v>0</v>
      </c>
      <c r="P101" s="83">
        <f t="shared" si="30"/>
        <v>0</v>
      </c>
      <c r="Q101" s="83">
        <v>0</v>
      </c>
      <c r="R101" s="83">
        <v>0</v>
      </c>
      <c r="S101" s="83">
        <v>0</v>
      </c>
      <c r="T101" s="83">
        <f t="shared" si="31"/>
        <v>0</v>
      </c>
      <c r="U101" s="83">
        <f t="shared" si="32"/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468">
        <f ca="1">IFERROR(__xludf.DUMMYFUNCTION("IMPORTRANGE(""https://docs.google.com/spreadsheets/d/1-uDff_7J0KD5mKrp0Vvzr7lt3OU09vwQwhkpOPPYv2Y/edit?usp=sharing"",""งบพรบ!AZ26"")"),0)</f>
        <v>0</v>
      </c>
      <c r="M102" s="224">
        <f ca="1">IFERROR(__xludf.DUMMYFUNCTION("IMPORTRANGE(""https://docs.google.com/spreadsheets/d/1-uDff_7J0KD5mKrp0Vvzr7lt3OU09vwQwhkpOPPYv2Y/edit?usp=sharing"",""งบพรบ!BC26"")"),0)</f>
        <v>0</v>
      </c>
      <c r="N102" s="224">
        <f ca="1">IFERROR(__xludf.DUMMYFUNCTION("IMPORTRANGE(""https://docs.google.com/spreadsheets/d/1-uDff_7J0KD5mKrp0Vvzr7lt3OU09vwQwhkpOPPYv2Y/edit?usp=sharing"",""งบพรบ!BE26"")"),0)</f>
        <v>0</v>
      </c>
      <c r="O102" s="224">
        <f t="shared" ca="1" si="29"/>
        <v>0</v>
      </c>
      <c r="P102" s="224">
        <f t="shared" ca="1" si="30"/>
        <v>0</v>
      </c>
      <c r="Q102" s="224">
        <v>0</v>
      </c>
      <c r="R102" s="224">
        <v>0</v>
      </c>
      <c r="S102" s="224">
        <v>0</v>
      </c>
      <c r="T102" s="224">
        <f t="shared" si="31"/>
        <v>0</v>
      </c>
      <c r="U102" s="224">
        <f t="shared" si="32"/>
        <v>0</v>
      </c>
    </row>
    <row r="103" spans="1:21" ht="19.5" x14ac:dyDescent="0.3">
      <c r="A103" s="138"/>
      <c r="B103" s="139"/>
      <c r="C103" s="129" t="s">
        <v>18</v>
      </c>
      <c r="D103" s="498" t="s">
        <v>38</v>
      </c>
      <c r="E103" s="141"/>
      <c r="F103" s="141"/>
      <c r="G103" s="142"/>
      <c r="H103" s="143"/>
      <c r="I103" s="135"/>
      <c r="J103" s="44"/>
      <c r="K103" s="45"/>
      <c r="L103" s="465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571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571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571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465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IFERROR(__xludf.DUMMYFUNCTION("IMPORTRANGE(""https://docs.google.com/spreadsheets/d/1eHaY18a8A9IcSdp1K8H6x8fbOy06t2VsZHhMHf-1x7Y/edit?usp=sharing"",""แผน!N26"")"),30)</f>
        <v>30</v>
      </c>
      <c r="J108" s="466">
        <v>0</v>
      </c>
      <c r="K108" s="224">
        <f ca="1">IF(I108&gt;0,J108*100/I108,0)</f>
        <v>0</v>
      </c>
      <c r="L108" s="465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IFERROR(__xludf.DUMMYFUNCTION("IMPORTRANGE(""https://docs.google.com/spreadsheets/d/1eHaY18a8A9IcSdp1K8H6x8fbOy06t2VsZHhMHf-1x7Y/edit?usp=sharing"",""แผน!O26"")"),10)</f>
        <v>10</v>
      </c>
      <c r="J109" s="466">
        <v>0</v>
      </c>
      <c r="K109" s="224">
        <f ca="1">IF(I109&gt;0,J109*100/I109,0)</f>
        <v>0</v>
      </c>
      <c r="L109" s="465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571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571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571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749"/>
      <c r="B113" s="438"/>
      <c r="C113" s="438"/>
      <c r="D113" s="748" t="s">
        <v>50</v>
      </c>
      <c r="E113" s="440"/>
      <c r="F113" s="440"/>
      <c r="G113" s="441"/>
      <c r="H113" s="747" t="s">
        <v>46</v>
      </c>
      <c r="I113" s="746">
        <f ca="1">IFERROR(__xludf.DUMMYFUNCTION("IMPORTRANGE(""https://docs.google.com/spreadsheets/d/1eHaY18a8A9IcSdp1K8H6x8fbOy06t2VsZHhMHf-1x7Y/edit?usp=sharing"",""แผน!N26"")"),30)</f>
        <v>30</v>
      </c>
      <c r="J113" s="444">
        <v>0</v>
      </c>
      <c r="K113" s="591">
        <f ca="1">IF(I113&gt;0,J113*100/I113,0)</f>
        <v>0</v>
      </c>
      <c r="L113" s="656"/>
      <c r="M113" s="656"/>
      <c r="N113" s="656"/>
      <c r="O113" s="445"/>
      <c r="P113" s="445"/>
      <c r="Q113" s="656"/>
      <c r="R113" s="656"/>
      <c r="S113" s="656"/>
      <c r="T113" s="445"/>
      <c r="U113" s="445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581">
        <f ca="1">IFERROR(__xludf.DUMMYFUNCTION("IMPORTRANGE(""https://docs.google.com/spreadsheets/d/1eHaY18a8A9IcSdp1K8H6x8fbOy06t2VsZHhMHf-1x7Y/edit?usp=sharing"",""แผน!O26"")"),10)</f>
        <v>10</v>
      </c>
      <c r="J114" s="466">
        <v>0</v>
      </c>
      <c r="K114" s="224">
        <f ca="1">IF(I114&gt;0,J114*100/I114,0)</f>
        <v>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671" t="s">
        <v>51</v>
      </c>
      <c r="B115" s="668"/>
      <c r="C115" s="670"/>
      <c r="D115" s="669"/>
      <c r="E115" s="669"/>
      <c r="F115" s="669"/>
      <c r="G115" s="669"/>
      <c r="H115" s="668"/>
      <c r="I115" s="667"/>
      <c r="J115" s="667"/>
      <c r="K115" s="66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665">
        <f ca="1">I127</f>
        <v>50</v>
      </c>
      <c r="J116" s="665">
        <f>J127</f>
        <v>50</v>
      </c>
      <c r="K116" s="664">
        <f ca="1">IF(I116&gt;0,J116*100/I116,0)</f>
        <v>100</v>
      </c>
      <c r="L116" s="510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472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471">
        <f ca="1">L118+L119</f>
        <v>0</v>
      </c>
      <c r="M117" s="470">
        <f ca="1">M118+M119</f>
        <v>0</v>
      </c>
      <c r="N117" s="470">
        <f ca="1">N118+N119</f>
        <v>0</v>
      </c>
      <c r="O117" s="470">
        <f t="shared" ref="O117:O125" ca="1" si="35">IF(L117&gt;0,N117*100/L117,0)</f>
        <v>0</v>
      </c>
      <c r="P117" s="470">
        <f t="shared" ref="P117:P125" ca="1" si="36">IF(M117&gt;0,N117*100/M117,0)</f>
        <v>0</v>
      </c>
      <c r="Q117" s="470">
        <f ca="1">Q118+Q119</f>
        <v>284520</v>
      </c>
      <c r="R117" s="470">
        <f ca="1">R118+R119</f>
        <v>284520</v>
      </c>
      <c r="S117" s="470">
        <f ca="1">S118+S119</f>
        <v>182200</v>
      </c>
      <c r="T117" s="470">
        <f t="shared" ref="T117:T125" ca="1" si="37">IF(Q117&gt;0,S117*100/Q117,0)</f>
        <v>64.037677491916213</v>
      </c>
      <c r="U117" s="470">
        <f t="shared" ref="U117:U125" ca="1" si="38">IF(R117&gt;0,S117*100/R117,0)</f>
        <v>64.037677491916213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469">
        <f t="shared" ref="L118:N119" si="39">L121+L124</f>
        <v>0</v>
      </c>
      <c r="M118" s="83">
        <f t="shared" si="39"/>
        <v>0</v>
      </c>
      <c r="N118" s="83">
        <f t="shared" si="39"/>
        <v>0</v>
      </c>
      <c r="O118" s="83">
        <f t="shared" si="35"/>
        <v>0</v>
      </c>
      <c r="P118" s="83">
        <f t="shared" si="36"/>
        <v>0</v>
      </c>
      <c r="Q118" s="83">
        <f t="shared" ref="Q118:S119" si="40">Q121+Q124</f>
        <v>0</v>
      </c>
      <c r="R118" s="83">
        <f t="shared" si="40"/>
        <v>0</v>
      </c>
      <c r="S118" s="83">
        <f t="shared" si="40"/>
        <v>0</v>
      </c>
      <c r="T118" s="83">
        <f t="shared" si="37"/>
        <v>0</v>
      </c>
      <c r="U118" s="83">
        <f t="shared" si="38"/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468">
        <f t="shared" ca="1" si="39"/>
        <v>0</v>
      </c>
      <c r="M119" s="224">
        <f t="shared" ca="1" si="39"/>
        <v>0</v>
      </c>
      <c r="N119" s="224">
        <f t="shared" ca="1" si="39"/>
        <v>0</v>
      </c>
      <c r="O119" s="224">
        <f t="shared" ca="1" si="35"/>
        <v>0</v>
      </c>
      <c r="P119" s="224">
        <f t="shared" ca="1" si="36"/>
        <v>0</v>
      </c>
      <c r="Q119" s="224">
        <f t="shared" ca="1" si="40"/>
        <v>284520</v>
      </c>
      <c r="R119" s="224">
        <f t="shared" ca="1" si="40"/>
        <v>284520</v>
      </c>
      <c r="S119" s="224">
        <f t="shared" ca="1" si="40"/>
        <v>182200</v>
      </c>
      <c r="T119" s="224">
        <f t="shared" ca="1" si="37"/>
        <v>64.037677491916213</v>
      </c>
      <c r="U119" s="224">
        <f t="shared" ca="1" si="38"/>
        <v>64.037677491916213</v>
      </c>
    </row>
    <row r="120" spans="1:21" ht="18.75" x14ac:dyDescent="0.25">
      <c r="A120" s="128"/>
      <c r="B120" s="158"/>
      <c r="C120" s="174"/>
      <c r="D120" s="53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468">
        <f ca="1">L121+L122</f>
        <v>0</v>
      </c>
      <c r="M120" s="224">
        <f ca="1">M121+M122</f>
        <v>0</v>
      </c>
      <c r="N120" s="224">
        <f ca="1">N121+N122</f>
        <v>0</v>
      </c>
      <c r="O120" s="224">
        <f t="shared" ca="1" si="35"/>
        <v>0</v>
      </c>
      <c r="P120" s="224">
        <f t="shared" ca="1" si="36"/>
        <v>0</v>
      </c>
      <c r="Q120" s="224">
        <f ca="1">Q121+Q122</f>
        <v>284520</v>
      </c>
      <c r="R120" s="224">
        <f ca="1">R121+R122</f>
        <v>284520</v>
      </c>
      <c r="S120" s="224">
        <f ca="1">S121+S122</f>
        <v>182200</v>
      </c>
      <c r="T120" s="224">
        <f t="shared" ca="1" si="37"/>
        <v>64.037677491916213</v>
      </c>
      <c r="U120" s="224">
        <f t="shared" ca="1" si="38"/>
        <v>64.037677491916213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469">
        <v>0</v>
      </c>
      <c r="M121" s="83">
        <v>0</v>
      </c>
      <c r="N121" s="83">
        <v>0</v>
      </c>
      <c r="O121" s="83">
        <f t="shared" si="35"/>
        <v>0</v>
      </c>
      <c r="P121" s="83">
        <f t="shared" si="36"/>
        <v>0</v>
      </c>
      <c r="Q121" s="83">
        <v>0</v>
      </c>
      <c r="R121" s="83">
        <v>0</v>
      </c>
      <c r="S121" s="83">
        <v>0</v>
      </c>
      <c r="T121" s="83">
        <f t="shared" si="37"/>
        <v>0</v>
      </c>
      <c r="U121" s="83">
        <f t="shared" si="38"/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468">
        <f ca="1">IFERROR(__xludf.DUMMYFUNCTION("IMPORTRANGE(""https://docs.google.com/spreadsheets/d/1-uDff_7J0KD5mKrp0Vvzr7lt3OU09vwQwhkpOPPYv2Y/edit?usp=sharing"",""งบพรบ!BG26"")"),0)</f>
        <v>0</v>
      </c>
      <c r="M122" s="224">
        <f ca="1">IFERROR(__xludf.DUMMYFUNCTION("IMPORTRANGE(""https://docs.google.com/spreadsheets/d/1-uDff_7J0KD5mKrp0Vvzr7lt3OU09vwQwhkpOPPYv2Y/edit?usp=sharing"",""งบพรบ!BL26"")"),0)</f>
        <v>0</v>
      </c>
      <c r="N122" s="224">
        <f ca="1">IFERROR(__xludf.DUMMYFUNCTION("IMPORTRANGE(""https://docs.google.com/spreadsheets/d/1-uDff_7J0KD5mKrp0Vvzr7lt3OU09vwQwhkpOPPYv2Y/edit?usp=sharing"",""งบพรบ!BN26"")"),0)</f>
        <v>0</v>
      </c>
      <c r="O122" s="224">
        <f t="shared" ca="1" si="35"/>
        <v>0</v>
      </c>
      <c r="P122" s="224">
        <f t="shared" ca="1" si="36"/>
        <v>0</v>
      </c>
      <c r="Q122" s="224">
        <f ca="1">IFERROR(__xludf.DUMMYFUNCTION("IMPORTRANGE(""https://docs.google.com/spreadsheets/d/1ItG2mGa2ceCfYo0BwxsXqNm01IGEUdYcSSLTEv9YCik/edit?usp=sharing"",""เบิกจ่ายกองทุน!R26"")"),284520)</f>
        <v>284520</v>
      </c>
      <c r="R122" s="224">
        <f ca="1">IFERROR(__xludf.DUMMYFUNCTION("IMPORTRANGE(""https://docs.google.com/spreadsheets/d/1ItG2mGa2ceCfYo0BwxsXqNm01IGEUdYcSSLTEv9YCik/edit?usp=sharing"",""เบิกจ่ายกองทุน!S26"")"),284520)</f>
        <v>284520</v>
      </c>
      <c r="S122" s="224">
        <f ca="1">IFERROR(__xludf.DUMMYFUNCTION("IMPORTRANGE(""https://docs.google.com/spreadsheets/d/1ItG2mGa2ceCfYo0BwxsXqNm01IGEUdYcSSLTEv9YCik/edit?usp=sharing"",""เบิกจ่ายกองทุน!T26"")"),182200)</f>
        <v>182200</v>
      </c>
      <c r="T122" s="224">
        <f t="shared" ca="1" si="37"/>
        <v>64.037677491916213</v>
      </c>
      <c r="U122" s="224">
        <f t="shared" ca="1" si="38"/>
        <v>64.037677491916213</v>
      </c>
    </row>
    <row r="123" spans="1:21" ht="18.75" x14ac:dyDescent="0.25">
      <c r="A123" s="128"/>
      <c r="B123" s="40"/>
      <c r="C123" s="174"/>
      <c r="D123" s="53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468">
        <f ca="1">L124+L125</f>
        <v>0</v>
      </c>
      <c r="M123" s="224">
        <f ca="1">M124+M125</f>
        <v>0</v>
      </c>
      <c r="N123" s="224">
        <f ca="1">N124+N125</f>
        <v>0</v>
      </c>
      <c r="O123" s="224">
        <f t="shared" ca="1" si="35"/>
        <v>0</v>
      </c>
      <c r="P123" s="224">
        <f t="shared" ca="1" si="36"/>
        <v>0</v>
      </c>
      <c r="Q123" s="224">
        <f>Q124+Q125</f>
        <v>0</v>
      </c>
      <c r="R123" s="224">
        <f>R124+R125</f>
        <v>0</v>
      </c>
      <c r="S123" s="224">
        <f>S124+S125</f>
        <v>0</v>
      </c>
      <c r="T123" s="224">
        <f t="shared" si="37"/>
        <v>0</v>
      </c>
      <c r="U123" s="224">
        <f t="shared" si="38"/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469">
        <v>0</v>
      </c>
      <c r="M124" s="83">
        <v>0</v>
      </c>
      <c r="N124" s="83">
        <v>0</v>
      </c>
      <c r="O124" s="83">
        <f t="shared" si="35"/>
        <v>0</v>
      </c>
      <c r="P124" s="83">
        <f t="shared" si="36"/>
        <v>0</v>
      </c>
      <c r="Q124" s="83">
        <v>0</v>
      </c>
      <c r="R124" s="83">
        <v>0</v>
      </c>
      <c r="S124" s="83">
        <v>0</v>
      </c>
      <c r="T124" s="83">
        <f t="shared" si="37"/>
        <v>0</v>
      </c>
      <c r="U124" s="83">
        <f t="shared" si="38"/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468">
        <f ca="1">IFERROR(__xludf.DUMMYFUNCTION("IMPORTRANGE(""https://docs.google.com/spreadsheets/d/1-uDff_7J0KD5mKrp0Vvzr7lt3OU09vwQwhkpOPPYv2Y/edit?usp=sharing"",""งบพรบ!BJ26"")"),0)</f>
        <v>0</v>
      </c>
      <c r="M125" s="224">
        <f ca="1">IFERROR(__xludf.DUMMYFUNCTION("IMPORTRANGE(""https://docs.google.com/spreadsheets/d/1-uDff_7J0KD5mKrp0Vvzr7lt3OU09vwQwhkpOPPYv2Y/edit?usp=sharing"",""งบพรบ!BM26"")"),0)</f>
        <v>0</v>
      </c>
      <c r="N125" s="224">
        <f ca="1">IFERROR(__xludf.DUMMYFUNCTION("IMPORTRANGE(""https://docs.google.com/spreadsheets/d/1-uDff_7J0KD5mKrp0Vvzr7lt3OU09vwQwhkpOPPYv2Y/edit?usp=sharing"",""งบพรบ!BO26"")"),0)</f>
        <v>0</v>
      </c>
      <c r="O125" s="224">
        <f t="shared" ca="1" si="35"/>
        <v>0</v>
      </c>
      <c r="P125" s="224">
        <f t="shared" ca="1" si="36"/>
        <v>0</v>
      </c>
      <c r="Q125" s="224">
        <v>0</v>
      </c>
      <c r="R125" s="224">
        <v>0</v>
      </c>
      <c r="S125" s="224">
        <v>0</v>
      </c>
      <c r="T125" s="224">
        <f t="shared" si="37"/>
        <v>0</v>
      </c>
      <c r="U125" s="224">
        <f t="shared" si="38"/>
        <v>0</v>
      </c>
    </row>
    <row r="126" spans="1:21" ht="19.5" x14ac:dyDescent="0.3">
      <c r="A126" s="138"/>
      <c r="B126" s="139"/>
      <c r="C126" s="177" t="s">
        <v>18</v>
      </c>
      <c r="D126" s="498" t="s">
        <v>38</v>
      </c>
      <c r="E126" s="141"/>
      <c r="F126" s="141"/>
      <c r="G126" s="142"/>
      <c r="H126" s="178"/>
      <c r="I126" s="44"/>
      <c r="J126" s="44"/>
      <c r="K126" s="45"/>
      <c r="L126" s="465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IFERROR(__xludf.DUMMYFUNCTION("IMPORTRANGE(""https://docs.google.com/spreadsheets/d/1eHaY18a8A9IcSdp1K8H6x8fbOy06t2VsZHhMHf-1x7Y/edit?usp=sharing"",""แผน!FF26"")"),50)</f>
        <v>50</v>
      </c>
      <c r="J127" s="466">
        <v>50</v>
      </c>
      <c r="K127" s="224">
        <f ca="1">IF(I127&gt;0,J127*100/I127,0)</f>
        <v>100</v>
      </c>
      <c r="L127" s="465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IFERROR(__xludf.DUMMYFUNCTION("IMPORTRANGE(""https://docs.google.com/spreadsheets/d/1eHaY18a8A9IcSdp1K8H6x8fbOy06t2VsZHhMHf-1x7Y/edit?usp=sharing"",""แผน!FG26"")"),0)</f>
        <v>0</v>
      </c>
      <c r="J128" s="466">
        <v>2</v>
      </c>
      <c r="K128" s="224">
        <f ca="1">IF(I128&gt;0,J128*100/I128,0)</f>
        <v>0</v>
      </c>
      <c r="L128" s="465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IFERROR(__xludf.DUMMYFUNCTION("IMPORTRANGE(""https://docs.google.com/spreadsheets/d/1eHaY18a8A9IcSdp1K8H6x8fbOy06t2VsZHhMHf-1x7Y/edit?usp=sharing"",""แผน!FH26"")"),20)</f>
        <v>20</v>
      </c>
      <c r="J129" s="466">
        <v>20</v>
      </c>
      <c r="K129" s="224">
        <f ca="1">IF(I129&gt;0,J129*100/I129,0)</f>
        <v>100</v>
      </c>
      <c r="L129" s="465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IFERROR(__xludf.DUMMYFUNCTION("IMPORTRANGE(""https://docs.google.com/spreadsheets/d/1eHaY18a8A9IcSdp1K8H6x8fbOy06t2VsZHhMHf-1x7Y/edit?usp=sharing"",""แผน!FI26"")"),0)</f>
        <v>0</v>
      </c>
      <c r="J130" s="466">
        <v>1</v>
      </c>
      <c r="K130" s="224">
        <f ca="1">IF(I130&gt;0,J130*100/I130,0)</f>
        <v>0</v>
      </c>
      <c r="L130" s="465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465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465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57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10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665">
        <f ca="1">I154</f>
        <v>3</v>
      </c>
      <c r="J136" s="665">
        <f>J154</f>
        <v>0</v>
      </c>
      <c r="K136" s="664">
        <f ca="1">IF(I136&gt;0,J136*100/I136,0)</f>
        <v>0</v>
      </c>
      <c r="L136" s="510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665">
        <f ca="1">I152</f>
        <v>40</v>
      </c>
      <c r="J137" s="665">
        <f>J152</f>
        <v>40</v>
      </c>
      <c r="K137" s="664">
        <f ca="1">IF(I137&gt;0,J137*100/I137,0)</f>
        <v>100</v>
      </c>
      <c r="L137" s="510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665">
        <f ca="1">I153</f>
        <v>4</v>
      </c>
      <c r="J138" s="665">
        <f>J153</f>
        <v>4</v>
      </c>
      <c r="K138" s="664">
        <f ca="1">IF(I138&gt;0,J138*100/I138,0)</f>
        <v>100</v>
      </c>
      <c r="L138" s="510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129" t="s">
        <v>18</v>
      </c>
      <c r="D139" s="472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471">
        <f ca="1">L140+L141</f>
        <v>164700</v>
      </c>
      <c r="M139" s="470">
        <f ca="1">M140+M141</f>
        <v>159700</v>
      </c>
      <c r="N139" s="470">
        <f ca="1">N140+N141</f>
        <v>137597.07999999999</v>
      </c>
      <c r="O139" s="470">
        <f t="shared" ref="O139:O147" ca="1" si="41">IF(L139&gt;0,N139*100/L139,0)</f>
        <v>83.544068002428645</v>
      </c>
      <c r="P139" s="470">
        <f t="shared" ref="P139:P147" ca="1" si="42">IF(M139&gt;0,N139*100/M139,0)</f>
        <v>86.159724483406379</v>
      </c>
      <c r="Q139" s="470">
        <f ca="1">Q140+Q141</f>
        <v>0</v>
      </c>
      <c r="R139" s="470">
        <f ca="1">R140+R141</f>
        <v>0</v>
      </c>
      <c r="S139" s="470">
        <f ca="1">S140+S141</f>
        <v>0</v>
      </c>
      <c r="T139" s="470">
        <f t="shared" ref="T139:T147" ca="1" si="43">IF(Q139&gt;0,S139*100/Q139,0)</f>
        <v>0</v>
      </c>
      <c r="U139" s="470">
        <f t="shared" ref="U139:U147" ca="1" si="44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469">
        <f t="shared" ref="L140:N141" si="45">L143+L146</f>
        <v>0</v>
      </c>
      <c r="M140" s="83">
        <f t="shared" si="45"/>
        <v>0</v>
      </c>
      <c r="N140" s="83">
        <f t="shared" si="45"/>
        <v>0</v>
      </c>
      <c r="O140" s="83">
        <f t="shared" si="41"/>
        <v>0</v>
      </c>
      <c r="P140" s="83">
        <f t="shared" si="42"/>
        <v>0</v>
      </c>
      <c r="Q140" s="83">
        <f t="shared" ref="Q140:S141" si="46">Q143+Q146</f>
        <v>0</v>
      </c>
      <c r="R140" s="83">
        <f t="shared" si="46"/>
        <v>0</v>
      </c>
      <c r="S140" s="83">
        <f t="shared" si="46"/>
        <v>0</v>
      </c>
      <c r="T140" s="83">
        <f t="shared" si="43"/>
        <v>0</v>
      </c>
      <c r="U140" s="83">
        <f t="shared" si="44"/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468">
        <f t="shared" ca="1" si="45"/>
        <v>164700</v>
      </c>
      <c r="M141" s="224">
        <f t="shared" ca="1" si="45"/>
        <v>159700</v>
      </c>
      <c r="N141" s="224">
        <f t="shared" ca="1" si="45"/>
        <v>137597.07999999999</v>
      </c>
      <c r="O141" s="224">
        <f t="shared" ca="1" si="41"/>
        <v>83.544068002428645</v>
      </c>
      <c r="P141" s="224">
        <f t="shared" ca="1" si="42"/>
        <v>86.159724483406379</v>
      </c>
      <c r="Q141" s="224">
        <f t="shared" ca="1" si="46"/>
        <v>0</v>
      </c>
      <c r="R141" s="224">
        <f t="shared" ca="1" si="46"/>
        <v>0</v>
      </c>
      <c r="S141" s="224">
        <f t="shared" ca="1" si="46"/>
        <v>0</v>
      </c>
      <c r="T141" s="224">
        <f t="shared" ca="1" si="43"/>
        <v>0</v>
      </c>
      <c r="U141" s="224">
        <f t="shared" ca="1" si="44"/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468">
        <f ca="1">L143+L144</f>
        <v>164700</v>
      </c>
      <c r="M142" s="224">
        <f ca="1">M143+M144</f>
        <v>159700</v>
      </c>
      <c r="N142" s="224">
        <f ca="1">N143+N144</f>
        <v>137597.07999999999</v>
      </c>
      <c r="O142" s="224">
        <f t="shared" ca="1" si="41"/>
        <v>83.544068002428645</v>
      </c>
      <c r="P142" s="224">
        <f t="shared" ca="1" si="42"/>
        <v>86.159724483406379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t="shared" ca="1" si="43"/>
        <v>0</v>
      </c>
      <c r="U142" s="224">
        <f t="shared" ca="1" si="44"/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469">
        <v>0</v>
      </c>
      <c r="M143" s="83">
        <v>0</v>
      </c>
      <c r="N143" s="83">
        <v>0</v>
      </c>
      <c r="O143" s="83">
        <f t="shared" si="41"/>
        <v>0</v>
      </c>
      <c r="P143" s="83">
        <f t="shared" si="42"/>
        <v>0</v>
      </c>
      <c r="Q143" s="83">
        <v>0</v>
      </c>
      <c r="R143" s="83">
        <v>0</v>
      </c>
      <c r="S143" s="83">
        <v>0</v>
      </c>
      <c r="T143" s="83">
        <f t="shared" si="43"/>
        <v>0</v>
      </c>
      <c r="U143" s="83">
        <f t="shared" si="44"/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468">
        <f ca="1">IFERROR(__xludf.DUMMYFUNCTION("IMPORTRANGE(""https://docs.google.com/spreadsheets/d/1-uDff_7J0KD5mKrp0Vvzr7lt3OU09vwQwhkpOPPYv2Y/edit?usp=sharing"",""งบพรบ!BQ26"")"),164700)</f>
        <v>164700</v>
      </c>
      <c r="M144" s="224">
        <f ca="1">IFERROR(__xludf.DUMMYFUNCTION("IMPORTRANGE(""https://docs.google.com/spreadsheets/d/1-uDff_7J0KD5mKrp0Vvzr7lt3OU09vwQwhkpOPPYv2Y/edit?usp=sharing"",""งบพรบ!BV26"")"),159700)</f>
        <v>159700</v>
      </c>
      <c r="N144" s="224">
        <f ca="1">IFERROR(__xludf.DUMMYFUNCTION("IMPORTRANGE(""https://docs.google.com/spreadsheets/d/1-uDff_7J0KD5mKrp0Vvzr7lt3OU09vwQwhkpOPPYv2Y/edit?usp=sharing"",""งบพรบ!BX26"")"),137597.08)</f>
        <v>137597.07999999999</v>
      </c>
      <c r="O144" s="224">
        <f t="shared" ca="1" si="41"/>
        <v>83.544068002428645</v>
      </c>
      <c r="P144" s="224">
        <f t="shared" ca="1" si="42"/>
        <v>86.159724483406379</v>
      </c>
      <c r="Q144" s="224">
        <f ca="1">IFERROR(__xludf.DUMMYFUNCTION("IMPORTRANGE(""https://docs.google.com/spreadsheets/d/1ItG2mGa2ceCfYo0BwxsXqNm01IGEUdYcSSLTEv9YCik/edit?usp=sharing"",""เบิกจ่ายกองทุน!BB26"")"),0)</f>
        <v>0</v>
      </c>
      <c r="R144" s="224">
        <f ca="1">IFERROR(__xludf.DUMMYFUNCTION("IMPORTRANGE(""https://docs.google.com/spreadsheets/d/1ItG2mGa2ceCfYo0BwxsXqNm01IGEUdYcSSLTEv9YCik/edit?usp=sharing"",""เบิกจ่ายกองทุน!BC26"")"),0)</f>
        <v>0</v>
      </c>
      <c r="S144" s="224">
        <f ca="1">IFERROR(__xludf.DUMMYFUNCTION("IMPORTRANGE(""https://docs.google.com/spreadsheets/d/1ItG2mGa2ceCfYo0BwxsXqNm01IGEUdYcSSLTEv9YCik/edit?usp=sharing"",""เบิกจ่ายกองทุน!BD26"")"),0)</f>
        <v>0</v>
      </c>
      <c r="T144" s="224">
        <f t="shared" ca="1" si="43"/>
        <v>0</v>
      </c>
      <c r="U144" s="224">
        <f t="shared" ca="1" si="44"/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468">
        <f ca="1">L146+L147</f>
        <v>0</v>
      </c>
      <c r="M145" s="224">
        <f ca="1">M146+M147</f>
        <v>0</v>
      </c>
      <c r="N145" s="224">
        <f ca="1">N146+N147</f>
        <v>0</v>
      </c>
      <c r="O145" s="224">
        <f t="shared" ca="1" si="41"/>
        <v>0</v>
      </c>
      <c r="P145" s="224">
        <f t="shared" ca="1" si="42"/>
        <v>0</v>
      </c>
      <c r="Q145" s="224">
        <f>Q146+Q147</f>
        <v>0</v>
      </c>
      <c r="R145" s="224">
        <f>R146+R147</f>
        <v>0</v>
      </c>
      <c r="S145" s="224">
        <f>S146+S147</f>
        <v>0</v>
      </c>
      <c r="T145" s="224">
        <f t="shared" si="43"/>
        <v>0</v>
      </c>
      <c r="U145" s="224">
        <f t="shared" si="44"/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469">
        <v>0</v>
      </c>
      <c r="M146" s="83">
        <v>0</v>
      </c>
      <c r="N146" s="83">
        <v>0</v>
      </c>
      <c r="O146" s="83">
        <f t="shared" si="41"/>
        <v>0</v>
      </c>
      <c r="P146" s="83">
        <f t="shared" si="42"/>
        <v>0</v>
      </c>
      <c r="Q146" s="83">
        <v>0</v>
      </c>
      <c r="R146" s="83">
        <v>0</v>
      </c>
      <c r="S146" s="83">
        <v>0</v>
      </c>
      <c r="T146" s="83">
        <f t="shared" si="43"/>
        <v>0</v>
      </c>
      <c r="U146" s="83">
        <f t="shared" si="44"/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468">
        <f ca="1">IFERROR(__xludf.DUMMYFUNCTION("IMPORTRANGE(""https://docs.google.com/spreadsheets/d/1-uDff_7J0KD5mKrp0Vvzr7lt3OU09vwQwhkpOPPYv2Y/edit?usp=sharing"",""งบพรบ!BT26"")"),0)</f>
        <v>0</v>
      </c>
      <c r="M147" s="224">
        <f ca="1">IFERROR(__xludf.DUMMYFUNCTION("IMPORTRANGE(""https://docs.google.com/spreadsheets/d/1-uDff_7J0KD5mKrp0Vvzr7lt3OU09vwQwhkpOPPYv2Y/edit?usp=sharing"",""งบพรบ!BW26"")"),0)</f>
        <v>0</v>
      </c>
      <c r="N147" s="224">
        <f ca="1">IFERROR(__xludf.DUMMYFUNCTION("IMPORTRANGE(""https://docs.google.com/spreadsheets/d/1-uDff_7J0KD5mKrp0Vvzr7lt3OU09vwQwhkpOPPYv2Y/edit?usp=sharing"",""งบพรบ!BY26"")"),0)</f>
        <v>0</v>
      </c>
      <c r="O147" s="224">
        <f t="shared" ca="1" si="41"/>
        <v>0</v>
      </c>
      <c r="P147" s="224">
        <f t="shared" ca="1" si="42"/>
        <v>0</v>
      </c>
      <c r="Q147" s="224">
        <v>0</v>
      </c>
      <c r="R147" s="224">
        <v>0</v>
      </c>
      <c r="S147" s="224">
        <v>0</v>
      </c>
      <c r="T147" s="224">
        <f t="shared" si="43"/>
        <v>0</v>
      </c>
      <c r="U147" s="224">
        <f t="shared" si="44"/>
        <v>0</v>
      </c>
    </row>
    <row r="148" spans="1:21" ht="19.5" x14ac:dyDescent="0.3">
      <c r="A148" s="138"/>
      <c r="B148" s="139"/>
      <c r="C148" s="129" t="s">
        <v>18</v>
      </c>
      <c r="D148" s="498" t="s">
        <v>38</v>
      </c>
      <c r="E148" s="141"/>
      <c r="F148" s="141"/>
      <c r="G148" s="142"/>
      <c r="H148" s="178"/>
      <c r="I148" s="44"/>
      <c r="J148" s="44"/>
      <c r="K148" s="45"/>
      <c r="L148" s="465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466">
        <v>0</v>
      </c>
      <c r="K149" s="45"/>
      <c r="L149" s="465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IFERROR(__xludf.DUMMYFUNCTION("IMPORTRANGE(""https://docs.google.com/spreadsheets/d/1eHaY18a8A9IcSdp1K8H6x8fbOy06t2VsZHhMHf-1x7Y/edit?usp=sharing"",""แผน!U26"")"),30)</f>
        <v>30</v>
      </c>
      <c r="J150" s="466">
        <v>30</v>
      </c>
      <c r="K150" s="224">
        <f ca="1">IF(I150&gt;0,J150*100/I150,0)</f>
        <v>100</v>
      </c>
      <c r="L150" s="465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IFERROR(__xludf.DUMMYFUNCTION("IMPORTRANGE(""https://docs.google.com/spreadsheets/d/1eHaY18a8A9IcSdp1K8H6x8fbOy06t2VsZHhMHf-1x7Y/edit?usp=sharing"",""แผน!V26"")"),3)</f>
        <v>3</v>
      </c>
      <c r="J151" s="466">
        <v>3</v>
      </c>
      <c r="K151" s="224">
        <f ca="1">IF(I151&gt;0,J151*100/I151,0)</f>
        <v>100</v>
      </c>
      <c r="L151" s="465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IFERROR(__xludf.DUMMYFUNCTION("IMPORTRANGE(""https://docs.google.com/spreadsheets/d/1eHaY18a8A9IcSdp1K8H6x8fbOy06t2VsZHhMHf-1x7Y/edit?usp=sharing"",""แผน!W26"")"),40)</f>
        <v>40</v>
      </c>
      <c r="J152" s="466">
        <v>40</v>
      </c>
      <c r="K152" s="224">
        <f ca="1">IF(I152&gt;0,J152*100/I152,0)</f>
        <v>100</v>
      </c>
      <c r="L152" s="465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IFERROR(__xludf.DUMMYFUNCTION("IMPORTRANGE(""https://docs.google.com/spreadsheets/d/1eHaY18a8A9IcSdp1K8H6x8fbOy06t2VsZHhMHf-1x7Y/edit?usp=sharing"",""แผน!X26"")"),4)</f>
        <v>4</v>
      </c>
      <c r="J153" s="466">
        <v>4</v>
      </c>
      <c r="K153" s="224">
        <f ca="1">IF(I153&gt;0,J153*100/I153,0)</f>
        <v>100</v>
      </c>
      <c r="L153" s="465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IFERROR(__xludf.DUMMYFUNCTION("IMPORTRANGE(""https://docs.google.com/spreadsheets/d/1eHaY18a8A9IcSdp1K8H6x8fbOy06t2VsZHhMHf-1x7Y/edit?usp=sharing"",""แผน!Y26"")"),3)</f>
        <v>3</v>
      </c>
      <c r="J154" s="466">
        <v>0</v>
      </c>
      <c r="K154" s="224">
        <f ca="1">IF(I154&gt;0,J154*100/I154,0)</f>
        <v>0</v>
      </c>
      <c r="L154" s="465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hidden="1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665">
        <f ca="1">I169</f>
        <v>0</v>
      </c>
      <c r="J156" s="665">
        <f>J169</f>
        <v>0</v>
      </c>
      <c r="K156" s="664">
        <f ca="1">IF(I156&gt;0,J156*100/I156,0)</f>
        <v>0</v>
      </c>
      <c r="L156" s="510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hidden="1" x14ac:dyDescent="0.3">
      <c r="A157" s="128"/>
      <c r="B157" s="40"/>
      <c r="C157" s="129" t="s">
        <v>18</v>
      </c>
      <c r="D157" s="472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471">
        <f ca="1">L158+L159</f>
        <v>0</v>
      </c>
      <c r="M157" s="470">
        <f ca="1">M158+M159</f>
        <v>4080</v>
      </c>
      <c r="N157" s="470">
        <f ca="1">N158+N159</f>
        <v>0</v>
      </c>
      <c r="O157" s="470">
        <f t="shared" ref="O157:O165" ca="1" si="47">IF(L157&gt;0,N157*100/L157,0)</f>
        <v>0</v>
      </c>
      <c r="P157" s="470">
        <f t="shared" ref="P157:P165" ca="1" si="48">IF(M157&gt;0,N157*100/M157,0)</f>
        <v>0</v>
      </c>
      <c r="Q157" s="470">
        <f ca="1">Q158+Q159</f>
        <v>0</v>
      </c>
      <c r="R157" s="470">
        <f ca="1">R158+R159</f>
        <v>0</v>
      </c>
      <c r="S157" s="470">
        <f ca="1">S158+S159</f>
        <v>0</v>
      </c>
      <c r="T157" s="470">
        <f t="shared" ref="T157:T165" ca="1" si="49">IF(Q157&gt;0,S157*100/Q157,0)</f>
        <v>0</v>
      </c>
      <c r="U157" s="470">
        <f t="shared" ref="U157:U165" ca="1" si="50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469">
        <f t="shared" ref="L158:N159" si="51">L161+L164</f>
        <v>0</v>
      </c>
      <c r="M158" s="83">
        <f t="shared" si="51"/>
        <v>0</v>
      </c>
      <c r="N158" s="83">
        <f t="shared" si="51"/>
        <v>0</v>
      </c>
      <c r="O158" s="83">
        <f t="shared" si="47"/>
        <v>0</v>
      </c>
      <c r="P158" s="83">
        <f t="shared" si="48"/>
        <v>0</v>
      </c>
      <c r="Q158" s="83">
        <f t="shared" ref="Q158:S159" si="52">Q161+Q164</f>
        <v>0</v>
      </c>
      <c r="R158" s="83">
        <f t="shared" si="52"/>
        <v>0</v>
      </c>
      <c r="S158" s="83">
        <f t="shared" si="52"/>
        <v>0</v>
      </c>
      <c r="T158" s="83">
        <f t="shared" si="49"/>
        <v>0</v>
      </c>
      <c r="U158" s="83">
        <f t="shared" si="50"/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468">
        <f t="shared" ca="1" si="51"/>
        <v>0</v>
      </c>
      <c r="M159" s="224">
        <f t="shared" ca="1" si="51"/>
        <v>4080</v>
      </c>
      <c r="N159" s="224">
        <f t="shared" ca="1" si="51"/>
        <v>0</v>
      </c>
      <c r="O159" s="224">
        <f t="shared" ca="1" si="47"/>
        <v>0</v>
      </c>
      <c r="P159" s="224">
        <f t="shared" ca="1" si="48"/>
        <v>0</v>
      </c>
      <c r="Q159" s="224">
        <f t="shared" ca="1" si="52"/>
        <v>0</v>
      </c>
      <c r="R159" s="224">
        <f t="shared" ca="1" si="52"/>
        <v>0</v>
      </c>
      <c r="S159" s="224">
        <f t="shared" ca="1" si="52"/>
        <v>0</v>
      </c>
      <c r="T159" s="224">
        <f t="shared" ca="1" si="49"/>
        <v>0</v>
      </c>
      <c r="U159" s="224">
        <f t="shared" ca="1" si="50"/>
        <v>0</v>
      </c>
    </row>
    <row r="160" spans="1:21" ht="18.75" hidden="1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468">
        <f ca="1">L161+L162</f>
        <v>0</v>
      </c>
      <c r="M160" s="224">
        <f ca="1">M161+M162</f>
        <v>4080</v>
      </c>
      <c r="N160" s="224">
        <f ca="1">N161+N162</f>
        <v>0</v>
      </c>
      <c r="O160" s="224">
        <f t="shared" ca="1" si="47"/>
        <v>0</v>
      </c>
      <c r="P160" s="224">
        <f t="shared" ca="1" si="48"/>
        <v>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t="shared" ca="1" si="49"/>
        <v>0</v>
      </c>
      <c r="U160" s="224">
        <f t="shared" ca="1" si="50"/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469">
        <v>0</v>
      </c>
      <c r="M161" s="83">
        <v>0</v>
      </c>
      <c r="N161" s="83">
        <v>0</v>
      </c>
      <c r="O161" s="83">
        <f t="shared" si="47"/>
        <v>0</v>
      </c>
      <c r="P161" s="83">
        <f t="shared" si="48"/>
        <v>0</v>
      </c>
      <c r="Q161" s="83">
        <v>0</v>
      </c>
      <c r="R161" s="83">
        <v>0</v>
      </c>
      <c r="S161" s="83">
        <v>0</v>
      </c>
      <c r="T161" s="83">
        <f t="shared" si="49"/>
        <v>0</v>
      </c>
      <c r="U161" s="83">
        <f t="shared" si="50"/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468">
        <f ca="1">IFERROR(__xludf.DUMMYFUNCTION("IMPORTRANGE(""https://docs.google.com/spreadsheets/d/1-uDff_7J0KD5mKrp0Vvzr7lt3OU09vwQwhkpOPPYv2Y/edit?usp=sharing"",""งบพรบ!CA26"")"),0)</f>
        <v>0</v>
      </c>
      <c r="M162" s="224">
        <f ca="1">IFERROR(__xludf.DUMMYFUNCTION("IMPORTRANGE(""https://docs.google.com/spreadsheets/d/1-uDff_7J0KD5mKrp0Vvzr7lt3OU09vwQwhkpOPPYv2Y/edit?usp=sharing"",""งบพรบ!CF26"")"),4080)</f>
        <v>4080</v>
      </c>
      <c r="N162" s="224">
        <f ca="1">IFERROR(__xludf.DUMMYFUNCTION("IMPORTRANGE(""https://docs.google.com/spreadsheets/d/1-uDff_7J0KD5mKrp0Vvzr7lt3OU09vwQwhkpOPPYv2Y/edit?usp=sharing"",""งบพรบ!CH26"")"),0)</f>
        <v>0</v>
      </c>
      <c r="O162" s="224">
        <f t="shared" ca="1" si="47"/>
        <v>0</v>
      </c>
      <c r="P162" s="224">
        <f t="shared" ca="1" si="48"/>
        <v>0</v>
      </c>
      <c r="Q162" s="224">
        <f ca="1">IFERROR(__xludf.DUMMYFUNCTION("IMPORTRANGE(""https://docs.google.com/spreadsheets/d/1ItG2mGa2ceCfYo0BwxsXqNm01IGEUdYcSSLTEv9YCik/edit?usp=sharing"",""เบิกจ่ายกองทุน!AG26"")"),0)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IFERROR(__xludf.DUMMYFUNCTION("IMPORTRANGE(""https://docs.google.com/spreadsheets/d/1ItG2mGa2ceCfYo0BwxsXqNm01IGEUdYcSSLTEv9YCik/edit?usp=sharing"",""เบิกจ่ายกองทุน!AH26"")"),0)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IFERROR(__xludf.DUMMYFUNCTION("IMPORTRANGE(""https://docs.google.com/spreadsheets/d/1ItG2mGa2ceCfYo0BwxsXqNm01IGEUdYcSSLTEv9YCik/edit?usp=sharing"",""เบิกจ่ายกองทุน!AI26"")"),0)</f>
        <v>0</v>
      </c>
      <c r="T162" s="224">
        <f t="shared" ca="1" si="49"/>
        <v>0</v>
      </c>
      <c r="U162" s="224">
        <f t="shared" ca="1" si="50"/>
        <v>0</v>
      </c>
    </row>
    <row r="163" spans="1:21" ht="18.75" hidden="1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468">
        <f ca="1">L164+L165</f>
        <v>0</v>
      </c>
      <c r="M163" s="224">
        <f ca="1">M164+M165</f>
        <v>0</v>
      </c>
      <c r="N163" s="224">
        <f ca="1">N164+N165</f>
        <v>0</v>
      </c>
      <c r="O163" s="224">
        <f t="shared" ca="1" si="47"/>
        <v>0</v>
      </c>
      <c r="P163" s="224">
        <f t="shared" ca="1" si="48"/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 t="shared" si="49"/>
        <v>0</v>
      </c>
      <c r="U163" s="224">
        <f t="shared" si="50"/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469">
        <v>0</v>
      </c>
      <c r="M164" s="83">
        <v>0</v>
      </c>
      <c r="N164" s="83">
        <v>0</v>
      </c>
      <c r="O164" s="83">
        <f t="shared" si="47"/>
        <v>0</v>
      </c>
      <c r="P164" s="83">
        <f t="shared" si="48"/>
        <v>0</v>
      </c>
      <c r="Q164" s="83">
        <v>0</v>
      </c>
      <c r="R164" s="83">
        <v>0</v>
      </c>
      <c r="S164" s="83">
        <v>0</v>
      </c>
      <c r="T164" s="83">
        <f t="shared" si="49"/>
        <v>0</v>
      </c>
      <c r="U164" s="83">
        <f t="shared" si="50"/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468">
        <f ca="1">IFERROR(__xludf.DUMMYFUNCTION("IMPORTRANGE(""https://docs.google.com/spreadsheets/d/1-uDff_7J0KD5mKrp0Vvzr7lt3OU09vwQwhkpOPPYv2Y/edit?usp=sharing"",""งบพรบ!CD26"")"),0)</f>
        <v>0</v>
      </c>
      <c r="M165" s="224">
        <f ca="1">IFERROR(__xludf.DUMMYFUNCTION("IMPORTRANGE(""https://docs.google.com/spreadsheets/d/1-uDff_7J0KD5mKrp0Vvzr7lt3OU09vwQwhkpOPPYv2Y/edit?usp=sharing"",""งบพรบ!CG26"")"),0)</f>
        <v>0</v>
      </c>
      <c r="N165" s="224">
        <f ca="1">IFERROR(__xludf.DUMMYFUNCTION("IMPORTRANGE(""https://docs.google.com/spreadsheets/d/1-uDff_7J0KD5mKrp0Vvzr7lt3OU09vwQwhkpOPPYv2Y/edit?usp=sharing"",""งบพรบ!CI26"")"),0)</f>
        <v>0</v>
      </c>
      <c r="O165" s="224">
        <f t="shared" ca="1" si="47"/>
        <v>0</v>
      </c>
      <c r="P165" s="224">
        <f t="shared" ca="1" si="48"/>
        <v>0</v>
      </c>
      <c r="Q165" s="224">
        <v>0</v>
      </c>
      <c r="R165" s="224">
        <v>0</v>
      </c>
      <c r="S165" s="224">
        <v>0</v>
      </c>
      <c r="T165" s="224">
        <f t="shared" si="49"/>
        <v>0</v>
      </c>
      <c r="U165" s="224">
        <f t="shared" si="50"/>
        <v>0</v>
      </c>
    </row>
    <row r="166" spans="1:21" ht="19.5" hidden="1" x14ac:dyDescent="0.3">
      <c r="A166" s="138"/>
      <c r="B166" s="139"/>
      <c r="C166" s="129" t="s">
        <v>18</v>
      </c>
      <c r="D166" s="498" t="s">
        <v>38</v>
      </c>
      <c r="E166" s="141"/>
      <c r="F166" s="141"/>
      <c r="G166" s="142"/>
      <c r="H166" s="178"/>
      <c r="I166" s="44"/>
      <c r="J166" s="44"/>
      <c r="K166" s="45"/>
      <c r="L166" s="465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hidden="1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IFERROR(__xludf.DUMMYFUNCTION("IMPORTRANGE(""https://docs.google.com/spreadsheets/d/1eHaY18a8A9IcSdp1K8H6x8fbOy06t2VsZHhMHf-1x7Y/edit?usp=sharing"",""แผน!Z26"")"),0)</f>
        <v>0</v>
      </c>
      <c r="J167" s="466">
        <v>0</v>
      </c>
      <c r="K167" s="224">
        <f ca="1">IF(I167&gt;0,J167*100/I167,0)</f>
        <v>0</v>
      </c>
      <c r="L167" s="465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375" t="s">
        <v>35</v>
      </c>
      <c r="I168" s="430">
        <f ca="1">IFERROR(__xludf.DUMMYFUNCTION("IMPORTRANGE(""https://docs.google.com/spreadsheets/d/1eHaY18a8A9IcSdp1K8H6x8fbOy06t2VsZHhMHf-1x7Y/edit?usp=sharing"",""แผน!Z26"")"),0)</f>
        <v>0</v>
      </c>
      <c r="J168" s="525">
        <v>0</v>
      </c>
      <c r="K168" s="83">
        <f ca="1">IF(I168&gt;0,J168*100/I168,0)</f>
        <v>0</v>
      </c>
      <c r="L168" s="465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31" t="s">
        <v>71</v>
      </c>
      <c r="E169" s="1"/>
      <c r="F169" s="1"/>
      <c r="G169" s="52"/>
      <c r="H169" s="663" t="s">
        <v>35</v>
      </c>
      <c r="I169" s="433">
        <f ca="1">IFERROR(__xludf.DUMMYFUNCTION("IMPORTRANGE(""https://docs.google.com/spreadsheets/d/1eHaY18a8A9IcSdp1K8H6x8fbOy06t2VsZHhMHf-1x7Y/edit?usp=sharing"",""แผน!Z26"")"),0)</f>
        <v>0</v>
      </c>
      <c r="J169" s="522">
        <v>0</v>
      </c>
      <c r="K169" s="521">
        <f ca="1">IF(I169&gt;0,J169*100/I169,0)</f>
        <v>0</v>
      </c>
      <c r="L169" s="46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662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661">
        <f ca="1">I183+I184</f>
        <v>7</v>
      </c>
      <c r="J172" s="661">
        <f>J183+J184</f>
        <v>7</v>
      </c>
      <c r="K172" s="660">
        <f ca="1">IF(I172&gt;0,J172*100/I172,0)</f>
        <v>100</v>
      </c>
      <c r="L172" s="659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472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471">
        <f ca="1">L174+L175</f>
        <v>19590</v>
      </c>
      <c r="M173" s="470">
        <f ca="1">M174+M175</f>
        <v>142570</v>
      </c>
      <c r="N173" s="470">
        <f ca="1">N174+N175</f>
        <v>139886</v>
      </c>
      <c r="O173" s="470">
        <f t="shared" ref="O173:O181" ca="1" si="53">IF(L173&gt;0,N173*100/L173,0)</f>
        <v>714.06840224604389</v>
      </c>
      <c r="P173" s="470">
        <f t="shared" ref="P173:P181" ca="1" si="54">IF(M173&gt;0,N173*100/M173,0)</f>
        <v>98.117416006172405</v>
      </c>
      <c r="Q173" s="470">
        <f ca="1">Q174+Q175</f>
        <v>0</v>
      </c>
      <c r="R173" s="470">
        <f ca="1">R174+R175</f>
        <v>0</v>
      </c>
      <c r="S173" s="470">
        <f ca="1">S174+S175</f>
        <v>0</v>
      </c>
      <c r="T173" s="470">
        <f t="shared" ref="T173:T181" ca="1" si="55">IF(Q173&gt;0,S173*100/Q173,0)</f>
        <v>0</v>
      </c>
      <c r="U173" s="470">
        <f t="shared" ref="U173:U181" ca="1" si="56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469">
        <f t="shared" ref="L174:N175" si="57">L177+L180</f>
        <v>0</v>
      </c>
      <c r="M174" s="83">
        <f t="shared" si="57"/>
        <v>0</v>
      </c>
      <c r="N174" s="83">
        <f t="shared" si="57"/>
        <v>0</v>
      </c>
      <c r="O174" s="83">
        <f t="shared" si="53"/>
        <v>0</v>
      </c>
      <c r="P174" s="83">
        <f t="shared" si="54"/>
        <v>0</v>
      </c>
      <c r="Q174" s="83">
        <f t="shared" ref="Q174:S175" si="58">Q177+Q180</f>
        <v>0</v>
      </c>
      <c r="R174" s="83">
        <f t="shared" si="58"/>
        <v>0</v>
      </c>
      <c r="S174" s="83">
        <f t="shared" si="58"/>
        <v>0</v>
      </c>
      <c r="T174" s="83">
        <f t="shared" si="55"/>
        <v>0</v>
      </c>
      <c r="U174" s="83">
        <f t="shared" si="56"/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468">
        <f t="shared" ca="1" si="57"/>
        <v>19590</v>
      </c>
      <c r="M175" s="224">
        <f t="shared" ca="1" si="57"/>
        <v>142570</v>
      </c>
      <c r="N175" s="224">
        <f t="shared" ca="1" si="57"/>
        <v>139886</v>
      </c>
      <c r="O175" s="224">
        <f t="shared" ca="1" si="53"/>
        <v>714.06840224604389</v>
      </c>
      <c r="P175" s="224">
        <f t="shared" ca="1" si="54"/>
        <v>98.117416006172405</v>
      </c>
      <c r="Q175" s="224">
        <f t="shared" ca="1" si="58"/>
        <v>0</v>
      </c>
      <c r="R175" s="224">
        <f t="shared" ca="1" si="58"/>
        <v>0</v>
      </c>
      <c r="S175" s="224">
        <f t="shared" ca="1" si="58"/>
        <v>0</v>
      </c>
      <c r="T175" s="224">
        <f t="shared" ca="1" si="55"/>
        <v>0</v>
      </c>
      <c r="U175" s="224">
        <f t="shared" ca="1" si="56"/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468">
        <f ca="1">L177+L178</f>
        <v>19590</v>
      </c>
      <c r="M176" s="224">
        <f ca="1">M177+M178</f>
        <v>142570</v>
      </c>
      <c r="N176" s="224">
        <f ca="1">N177+N178</f>
        <v>139886</v>
      </c>
      <c r="O176" s="224">
        <f t="shared" ca="1" si="53"/>
        <v>714.06840224604389</v>
      </c>
      <c r="P176" s="224">
        <f t="shared" ca="1" si="54"/>
        <v>98.117416006172405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t="shared" ca="1" si="55"/>
        <v>0</v>
      </c>
      <c r="U176" s="224">
        <f t="shared" ca="1" si="56"/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469">
        <v>0</v>
      </c>
      <c r="M177" s="83">
        <v>0</v>
      </c>
      <c r="N177" s="83">
        <v>0</v>
      </c>
      <c r="O177" s="83">
        <f t="shared" si="53"/>
        <v>0</v>
      </c>
      <c r="P177" s="83">
        <f t="shared" si="54"/>
        <v>0</v>
      </c>
      <c r="Q177" s="83">
        <v>0</v>
      </c>
      <c r="R177" s="83">
        <v>0</v>
      </c>
      <c r="S177" s="83">
        <v>0</v>
      </c>
      <c r="T177" s="83">
        <f t="shared" si="55"/>
        <v>0</v>
      </c>
      <c r="U177" s="83">
        <f t="shared" si="56"/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468">
        <f ca="1">IFERROR(__xludf.DUMMYFUNCTION("IMPORTRANGE(""https://docs.google.com/spreadsheets/d/1-uDff_7J0KD5mKrp0Vvzr7lt3OU09vwQwhkpOPPYv2Y/edit?usp=sharing"",""งบพรบ!CK26"")"),19590)</f>
        <v>19590</v>
      </c>
      <c r="M178" s="224">
        <f ca="1">IFERROR(__xludf.DUMMYFUNCTION("IMPORTRANGE(""https://docs.google.com/spreadsheets/d/1-uDff_7J0KD5mKrp0Vvzr7lt3OU09vwQwhkpOPPYv2Y/edit?usp=sharing"",""งบพรบ!CP26"")"),142570)</f>
        <v>142570</v>
      </c>
      <c r="N178" s="224">
        <f ca="1">IFERROR(__xludf.DUMMYFUNCTION("IMPORTRANGE(""https://docs.google.com/spreadsheets/d/1-uDff_7J0KD5mKrp0Vvzr7lt3OU09vwQwhkpOPPYv2Y/edit?usp=sharing"",""งบพรบ!CR26"")"),139886)</f>
        <v>139886</v>
      </c>
      <c r="O178" s="224">
        <f t="shared" ca="1" si="53"/>
        <v>714.06840224604389</v>
      </c>
      <c r="P178" s="224">
        <f t="shared" ca="1" si="54"/>
        <v>98.117416006172405</v>
      </c>
      <c r="Q178" s="224">
        <f ca="1">IFERROR(__xludf.DUMMYFUNCTION("IMPORTRANGE(""https://docs.google.com/spreadsheets/d/1ItG2mGa2ceCfYo0BwxsXqNm01IGEUdYcSSLTEv9YCik/edit?usp=sharing"",""เบิกจ่ายกองทุน!BE26"")"),0)</f>
        <v>0</v>
      </c>
      <c r="R178" s="224">
        <f ca="1">IFERROR(__xludf.DUMMYFUNCTION("IMPORTRANGE(""https://docs.google.com/spreadsheets/d/1ItG2mGa2ceCfYo0BwxsXqNm01IGEUdYcSSLTEv9YCik/edit?usp=sharing"",""เบิกจ่ายกองทุน!BF26"")"),0)</f>
        <v>0</v>
      </c>
      <c r="S178" s="224">
        <f ca="1">IFERROR(__xludf.DUMMYFUNCTION("IMPORTRANGE(""https://docs.google.com/spreadsheets/d/1ItG2mGa2ceCfYo0BwxsXqNm01IGEUdYcSSLTEv9YCik/edit?usp=sharing"",""เบิกจ่ายกองทุน!BG26"")"),0)</f>
        <v>0</v>
      </c>
      <c r="T178" s="224">
        <f t="shared" ca="1" si="55"/>
        <v>0</v>
      </c>
      <c r="U178" s="224">
        <f t="shared" ca="1" si="56"/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468">
        <f ca="1">L180+L181</f>
        <v>0</v>
      </c>
      <c r="M179" s="224">
        <f ca="1">M180+M181</f>
        <v>0</v>
      </c>
      <c r="N179" s="224">
        <f ca="1">N180+N181</f>
        <v>0</v>
      </c>
      <c r="O179" s="224">
        <f t="shared" ca="1" si="53"/>
        <v>0</v>
      </c>
      <c r="P179" s="224">
        <f t="shared" ca="1" si="54"/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 t="shared" si="55"/>
        <v>0</v>
      </c>
      <c r="U179" s="224">
        <f t="shared" si="56"/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469">
        <v>0</v>
      </c>
      <c r="M180" s="83">
        <v>0</v>
      </c>
      <c r="N180" s="83">
        <v>0</v>
      </c>
      <c r="O180" s="83">
        <f t="shared" si="53"/>
        <v>0</v>
      </c>
      <c r="P180" s="83">
        <f t="shared" si="54"/>
        <v>0</v>
      </c>
      <c r="Q180" s="83">
        <v>0</v>
      </c>
      <c r="R180" s="83">
        <v>0</v>
      </c>
      <c r="S180" s="83">
        <v>0</v>
      </c>
      <c r="T180" s="83">
        <f t="shared" si="55"/>
        <v>0</v>
      </c>
      <c r="U180" s="83">
        <f t="shared" si="56"/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468">
        <f ca="1">IFERROR(__xludf.DUMMYFUNCTION("IMPORTRANGE(""https://docs.google.com/spreadsheets/d/1-uDff_7J0KD5mKrp0Vvzr7lt3OU09vwQwhkpOPPYv2Y/edit?usp=sharing"",""งบพรบ!CN26"")"),0)</f>
        <v>0</v>
      </c>
      <c r="M181" s="224">
        <f ca="1">IFERROR(__xludf.DUMMYFUNCTION("IMPORTRANGE(""https://docs.google.com/spreadsheets/d/1-uDff_7J0KD5mKrp0Vvzr7lt3OU09vwQwhkpOPPYv2Y/edit?usp=sharing"",""งบพรบ!CQ26"")"),0)</f>
        <v>0</v>
      </c>
      <c r="N181" s="224">
        <f ca="1">IFERROR(__xludf.DUMMYFUNCTION("IMPORTRANGE(""https://docs.google.com/spreadsheets/d/1-uDff_7J0KD5mKrp0Vvzr7lt3OU09vwQwhkpOPPYv2Y/edit?usp=sharing"",""งบพรบ!CS26"")"),0)</f>
        <v>0</v>
      </c>
      <c r="O181" s="224">
        <f t="shared" ca="1" si="53"/>
        <v>0</v>
      </c>
      <c r="P181" s="224">
        <f t="shared" ca="1" si="54"/>
        <v>0</v>
      </c>
      <c r="Q181" s="224">
        <v>0</v>
      </c>
      <c r="R181" s="224">
        <v>0</v>
      </c>
      <c r="S181" s="224">
        <v>0</v>
      </c>
      <c r="T181" s="224">
        <f t="shared" si="55"/>
        <v>0</v>
      </c>
      <c r="U181" s="224">
        <f t="shared" si="56"/>
        <v>0</v>
      </c>
    </row>
    <row r="182" spans="1:21" ht="19.5" x14ac:dyDescent="0.3">
      <c r="A182" s="138"/>
      <c r="B182" s="139"/>
      <c r="C182" s="129" t="s">
        <v>18</v>
      </c>
      <c r="D182" s="498" t="s">
        <v>38</v>
      </c>
      <c r="E182" s="141"/>
      <c r="F182" s="141"/>
      <c r="G182" s="142"/>
      <c r="H182" s="178"/>
      <c r="I182" s="44"/>
      <c r="J182" s="44"/>
      <c r="K182" s="45"/>
      <c r="L182" s="465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IFERROR(__xludf.DUMMYFUNCTION("IMPORTRANGE(""https://docs.google.com/spreadsheets/d/1eHaY18a8A9IcSdp1K8H6x8fbOy06t2VsZHhMHf-1x7Y/edit?usp=sharing"",""แผน!AA26"")"),7)</f>
        <v>7</v>
      </c>
      <c r="J183" s="466">
        <v>7</v>
      </c>
      <c r="K183" s="224">
        <f ca="1">IF(I183&gt;0,J183*100/I183,0)</f>
        <v>100</v>
      </c>
      <c r="L183" s="465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14" t="s">
        <v>76</v>
      </c>
      <c r="E184" s="40"/>
      <c r="F184" s="40"/>
      <c r="G184" s="42"/>
      <c r="H184" s="526" t="s">
        <v>35</v>
      </c>
      <c r="I184" s="430">
        <v>0</v>
      </c>
      <c r="J184" s="430">
        <v>0</v>
      </c>
      <c r="K184" s="83">
        <f>IF(I184&gt;0,J184*100/I184,0)</f>
        <v>0</v>
      </c>
      <c r="L184" s="465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661">
        <f ca="1">I230+I231</f>
        <v>0</v>
      </c>
      <c r="J185" s="661">
        <f>J230+J231</f>
        <v>0</v>
      </c>
      <c r="K185" s="660">
        <f ca="1">IF(I185&gt;0,J185*100/I185,0)</f>
        <v>0</v>
      </c>
      <c r="L185" s="659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472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471">
        <f ca="1">L187+L188</f>
        <v>121500</v>
      </c>
      <c r="M186" s="470">
        <f ca="1">M187+M188</f>
        <v>113500</v>
      </c>
      <c r="N186" s="470">
        <f ca="1">N187+N188</f>
        <v>71133.34</v>
      </c>
      <c r="O186" s="470">
        <f t="shared" ref="O186:O194" ca="1" si="59">IF(L186&gt;0,N186*100/L186,0)</f>
        <v>58.545958847736628</v>
      </c>
      <c r="P186" s="470">
        <f t="shared" ref="P186:P194" ca="1" si="60">IF(M186&gt;0,N186*100/M186,0)</f>
        <v>62.67254625550661</v>
      </c>
      <c r="Q186" s="470">
        <f ca="1">Q187+Q188</f>
        <v>28000</v>
      </c>
      <c r="R186" s="470">
        <f ca="1">R187+R188</f>
        <v>28000</v>
      </c>
      <c r="S186" s="470">
        <f ca="1">S187+S188</f>
        <v>0</v>
      </c>
      <c r="T186" s="470">
        <f t="shared" ref="T186:T194" ca="1" si="61">IF(Q186&gt;0,S186*100/Q186,0)</f>
        <v>0</v>
      </c>
      <c r="U186" s="470">
        <f t="shared" ref="U186:U194" ca="1" si="62">IF(R186&gt;0,S186*100/R186,0)</f>
        <v>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469">
        <f t="shared" ref="L187:N188" si="63">L190+L193</f>
        <v>0</v>
      </c>
      <c r="M187" s="83">
        <f t="shared" si="63"/>
        <v>0</v>
      </c>
      <c r="N187" s="83">
        <f t="shared" si="63"/>
        <v>0</v>
      </c>
      <c r="O187" s="83">
        <f t="shared" si="59"/>
        <v>0</v>
      </c>
      <c r="P187" s="83">
        <f t="shared" si="60"/>
        <v>0</v>
      </c>
      <c r="Q187" s="83">
        <f t="shared" ref="Q187:S188" si="64">Q190+Q193</f>
        <v>0</v>
      </c>
      <c r="R187" s="83">
        <f t="shared" si="64"/>
        <v>0</v>
      </c>
      <c r="S187" s="83">
        <f t="shared" si="64"/>
        <v>0</v>
      </c>
      <c r="T187" s="83">
        <f t="shared" si="61"/>
        <v>0</v>
      </c>
      <c r="U187" s="83">
        <f t="shared" si="62"/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468">
        <f t="shared" ca="1" si="63"/>
        <v>121500</v>
      </c>
      <c r="M188" s="224">
        <f t="shared" ca="1" si="63"/>
        <v>113500</v>
      </c>
      <c r="N188" s="224">
        <f t="shared" ca="1" si="63"/>
        <v>71133.34</v>
      </c>
      <c r="O188" s="224">
        <f t="shared" ca="1" si="59"/>
        <v>58.545958847736628</v>
      </c>
      <c r="P188" s="224">
        <f t="shared" ca="1" si="60"/>
        <v>62.67254625550661</v>
      </c>
      <c r="Q188" s="224">
        <f t="shared" ca="1" si="64"/>
        <v>28000</v>
      </c>
      <c r="R188" s="224">
        <f t="shared" ca="1" si="64"/>
        <v>28000</v>
      </c>
      <c r="S188" s="224">
        <f t="shared" ca="1" si="64"/>
        <v>0</v>
      </c>
      <c r="T188" s="224">
        <f t="shared" ca="1" si="61"/>
        <v>0</v>
      </c>
      <c r="U188" s="224">
        <f t="shared" ca="1" si="62"/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468">
        <f ca="1">L190+L191</f>
        <v>121500</v>
      </c>
      <c r="M189" s="224">
        <f ca="1">M190+M191</f>
        <v>113500</v>
      </c>
      <c r="N189" s="224">
        <f ca="1">N190+N191</f>
        <v>71133.34</v>
      </c>
      <c r="O189" s="224">
        <f t="shared" ca="1" si="59"/>
        <v>58.545958847736628</v>
      </c>
      <c r="P189" s="224">
        <f t="shared" ca="1" si="60"/>
        <v>62.67254625550661</v>
      </c>
      <c r="Q189" s="224">
        <f ca="1">Q190+Q191</f>
        <v>28000</v>
      </c>
      <c r="R189" s="224">
        <f ca="1">R190+R191</f>
        <v>28000</v>
      </c>
      <c r="S189" s="224">
        <f ca="1">S190+S191</f>
        <v>0</v>
      </c>
      <c r="T189" s="224">
        <f t="shared" ca="1" si="61"/>
        <v>0</v>
      </c>
      <c r="U189" s="224">
        <f t="shared" ca="1" si="62"/>
        <v>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469">
        <v>0</v>
      </c>
      <c r="M190" s="83">
        <v>0</v>
      </c>
      <c r="N190" s="83">
        <v>0</v>
      </c>
      <c r="O190" s="83">
        <f t="shared" si="59"/>
        <v>0</v>
      </c>
      <c r="P190" s="83">
        <f t="shared" si="60"/>
        <v>0</v>
      </c>
      <c r="Q190" s="83">
        <v>0</v>
      </c>
      <c r="R190" s="83">
        <v>0</v>
      </c>
      <c r="S190" s="83">
        <v>0</v>
      </c>
      <c r="T190" s="83">
        <f t="shared" si="61"/>
        <v>0</v>
      </c>
      <c r="U190" s="83">
        <f t="shared" si="62"/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468">
        <f ca="1">IFERROR(__xludf.DUMMYFUNCTION("IMPORTRANGE(""https://docs.google.com/spreadsheets/d/1-uDff_7J0KD5mKrp0Vvzr7lt3OU09vwQwhkpOPPYv2Y/edit?usp=sharing"",""งบพรบ!CU26"")"),121500)</f>
        <v>121500</v>
      </c>
      <c r="M191" s="224">
        <f ca="1">IFERROR(__xludf.DUMMYFUNCTION("IMPORTRANGE(""https://docs.google.com/spreadsheets/d/1-uDff_7J0KD5mKrp0Vvzr7lt3OU09vwQwhkpOPPYv2Y/edit?usp=sharing"",""งบพรบ!CZ26"")"),113500)</f>
        <v>113500</v>
      </c>
      <c r="N191" s="224">
        <f ca="1">IFERROR(__xludf.DUMMYFUNCTION("IMPORTRANGE(""https://docs.google.com/spreadsheets/d/1-uDff_7J0KD5mKrp0Vvzr7lt3OU09vwQwhkpOPPYv2Y/edit?usp=sharing"",""งบพรบ!DB26"")"),71133.34)</f>
        <v>71133.34</v>
      </c>
      <c r="O191" s="224">
        <f t="shared" ca="1" si="59"/>
        <v>58.545958847736628</v>
      </c>
      <c r="P191" s="224">
        <f t="shared" ca="1" si="60"/>
        <v>62.67254625550661</v>
      </c>
      <c r="Q191" s="224">
        <f ca="1">IFERROR(__xludf.DUMMYFUNCTION("IMPORTRANGE(""https://docs.google.com/spreadsheets/d/1ItG2mGa2ceCfYo0BwxsXqNm01IGEUdYcSSLTEv9YCik/edit?usp=sharing"",""เบิกจ่ายกองทุน!AV26"")"),28000)</f>
        <v>28000</v>
      </c>
      <c r="R191" s="224">
        <f ca="1">IFERROR(__xludf.DUMMYFUNCTION("IMPORTRANGE(""https://docs.google.com/spreadsheets/d/1ItG2mGa2ceCfYo0BwxsXqNm01IGEUdYcSSLTEv9YCik/edit?usp=sharing"",""เบิกจ่ายกองทุน!AW26"")"),28000)</f>
        <v>28000</v>
      </c>
      <c r="S191" s="224">
        <f ca="1">IFERROR(__xludf.DUMMYFUNCTION("IMPORTRANGE(""https://docs.google.com/spreadsheets/d/1ItG2mGa2ceCfYo0BwxsXqNm01IGEUdYcSSLTEv9YCik/edit?usp=sharing"",""เบิกจ่ายกองทุน!AX26"")"),0)</f>
        <v>0</v>
      </c>
      <c r="T191" s="224">
        <f t="shared" ca="1" si="61"/>
        <v>0</v>
      </c>
      <c r="U191" s="224">
        <f t="shared" ca="1" si="62"/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468">
        <f ca="1">L193+L194</f>
        <v>0</v>
      </c>
      <c r="M192" s="224">
        <f ca="1">M193+M194</f>
        <v>0</v>
      </c>
      <c r="N192" s="224">
        <f ca="1">N193+N194</f>
        <v>0</v>
      </c>
      <c r="O192" s="224">
        <f t="shared" ca="1" si="59"/>
        <v>0</v>
      </c>
      <c r="P192" s="224">
        <f t="shared" ca="1" si="60"/>
        <v>0</v>
      </c>
      <c r="Q192" s="224">
        <f>Q193+Q194</f>
        <v>0</v>
      </c>
      <c r="R192" s="224">
        <f>R193+R194</f>
        <v>0</v>
      </c>
      <c r="S192" s="224">
        <f>S193+S194</f>
        <v>0</v>
      </c>
      <c r="T192" s="224">
        <f t="shared" si="61"/>
        <v>0</v>
      </c>
      <c r="U192" s="224">
        <f t="shared" si="62"/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469">
        <v>0</v>
      </c>
      <c r="M193" s="83">
        <v>0</v>
      </c>
      <c r="N193" s="83">
        <v>0</v>
      </c>
      <c r="O193" s="83">
        <f t="shared" si="59"/>
        <v>0</v>
      </c>
      <c r="P193" s="83">
        <f t="shared" si="60"/>
        <v>0</v>
      </c>
      <c r="Q193" s="83">
        <v>0</v>
      </c>
      <c r="R193" s="83">
        <v>0</v>
      </c>
      <c r="S193" s="83">
        <v>0</v>
      </c>
      <c r="T193" s="83">
        <f t="shared" si="61"/>
        <v>0</v>
      </c>
      <c r="U193" s="83">
        <f t="shared" si="62"/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468">
        <f ca="1">IFERROR(__xludf.DUMMYFUNCTION("IMPORTRANGE(""https://docs.google.com/spreadsheets/d/1-uDff_7J0KD5mKrp0Vvzr7lt3OU09vwQwhkpOPPYv2Y/edit?usp=sharing"",""งบพรบ!CX26"")"),0)</f>
        <v>0</v>
      </c>
      <c r="M194" s="224">
        <f ca="1">IFERROR(__xludf.DUMMYFUNCTION("IMPORTRANGE(""https://docs.google.com/spreadsheets/d/1-uDff_7J0KD5mKrp0Vvzr7lt3OU09vwQwhkpOPPYv2Y/edit?usp=sharing"",""งบพรบ!DA26"")"),0)</f>
        <v>0</v>
      </c>
      <c r="N194" s="224">
        <f ca="1">IFERROR(__xludf.DUMMYFUNCTION("IMPORTRANGE(""https://docs.google.com/spreadsheets/d/1-uDff_7J0KD5mKrp0Vvzr7lt3OU09vwQwhkpOPPYv2Y/edit?usp=sharing"",""งบพรบ!DC26"")"),0)</f>
        <v>0</v>
      </c>
      <c r="O194" s="224">
        <f t="shared" ca="1" si="59"/>
        <v>0</v>
      </c>
      <c r="P194" s="224">
        <f t="shared" ca="1" si="60"/>
        <v>0</v>
      </c>
      <c r="Q194" s="224">
        <v>0</v>
      </c>
      <c r="R194" s="224">
        <v>0</v>
      </c>
      <c r="S194" s="224">
        <v>0</v>
      </c>
      <c r="T194" s="224">
        <f t="shared" si="61"/>
        <v>0</v>
      </c>
      <c r="U194" s="224">
        <f t="shared" si="62"/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ca="1">I198</f>
        <v>4</v>
      </c>
      <c r="J195" s="303">
        <f>J198</f>
        <v>2</v>
      </c>
      <c r="K195" s="304">
        <f ca="1">IF(I195&gt;0,J195*100/I195,0)</f>
        <v>50</v>
      </c>
      <c r="L195" s="557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654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471">
        <f ca="1">IFERROR(__xludf.DUMMYFUNCTION("IMPORTRANGE(""https://docs.google.com/spreadsheets/d/1eHaY18a8A9IcSdp1K8H6x8fbOy06t2VsZHhMHf-1x7Y/edit?usp=sharing"",""แผน!AB26"")"),6000)</f>
        <v>6000</v>
      </c>
      <c r="M196" s="45"/>
      <c r="N196" s="658">
        <v>0</v>
      </c>
      <c r="O196" s="470">
        <f ca="1">IF(L196&gt;0,N196*100/L196,0)</f>
        <v>0</v>
      </c>
      <c r="P196" s="47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498" t="s">
        <v>38</v>
      </c>
      <c r="E197" s="141"/>
      <c r="F197" s="141"/>
      <c r="G197" s="142"/>
      <c r="H197" s="143"/>
      <c r="I197" s="44"/>
      <c r="J197" s="44"/>
      <c r="K197" s="45"/>
      <c r="L197" s="465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IFERROR(__xludf.DUMMYFUNCTION("IMPORTRANGE(""https://docs.google.com/spreadsheets/d/1eHaY18a8A9IcSdp1K8H6x8fbOy06t2VsZHhMHf-1x7Y/edit?usp=sharing"",""แผน!AE26"")"),4)</f>
        <v>4</v>
      </c>
      <c r="J198" s="466">
        <v>2</v>
      </c>
      <c r="K198" s="224">
        <f ca="1">IF(I198&gt;0,J198*100/I198,0)</f>
        <v>50</v>
      </c>
      <c r="L198" s="465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50</v>
      </c>
      <c r="K199" s="45"/>
      <c r="L199" s="465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466">
        <v>50</v>
      </c>
      <c r="K200" s="45"/>
      <c r="L200" s="465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466">
        <v>0</v>
      </c>
      <c r="K201" s="45"/>
      <c r="L201" s="465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ca="1">I209</f>
        <v>2</v>
      </c>
      <c r="J202" s="303">
        <f>J209</f>
        <v>0</v>
      </c>
      <c r="K202" s="304">
        <f ca="1">IF(I202&gt;0,J202*100/I202,0)</f>
        <v>0</v>
      </c>
      <c r="L202" s="557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654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471">
        <f ca="1">L204+L205+L206+L207</f>
        <v>8000</v>
      </c>
      <c r="M203" s="45"/>
      <c r="N203" s="470">
        <f>N204+N205+N206+N207</f>
        <v>0</v>
      </c>
      <c r="O203" s="470">
        <f ca="1">IF(L203&gt;0,N203*100/L203,0)</f>
        <v>0</v>
      </c>
      <c r="P203" s="470">
        <f>IF(M203&gt;0,N203*100/M203,0)</f>
        <v>0</v>
      </c>
      <c r="Q203" s="657">
        <f ca="1">Q204+Q205+Q206+Q207</f>
        <v>28000</v>
      </c>
      <c r="R203" s="656"/>
      <c r="S203" s="655">
        <f>S204+S205+S206+S207</f>
        <v>0</v>
      </c>
      <c r="T203" s="655">
        <f ca="1">IF(Q203&gt;0,S203*100/Q203,0)</f>
        <v>0</v>
      </c>
      <c r="U203" s="655">
        <f>IF(R203&gt;0,S203*100/R203,0)</f>
        <v>0</v>
      </c>
    </row>
    <row r="204" spans="1:21" ht="18.75" x14ac:dyDescent="0.25">
      <c r="A204" s="128"/>
      <c r="B204" s="158"/>
      <c r="C204" s="40"/>
      <c r="D204" s="653" t="s">
        <v>311</v>
      </c>
      <c r="E204" s="40"/>
      <c r="F204" s="40"/>
      <c r="G204" s="42"/>
      <c r="H204" s="134" t="s">
        <v>14</v>
      </c>
      <c r="I204" s="135"/>
      <c r="J204" s="135"/>
      <c r="K204" s="136"/>
      <c r="L204" s="468">
        <f ca="1">IFERROR(__xludf.DUMMYFUNCTION("IMPORTRANGE(""https://docs.google.com/spreadsheets/d/1eHaY18a8A9IcSdp1K8H6x8fbOy06t2VsZHhMHf-1x7Y/edit?usp=sharing"",""แผน!AG26"")"),1000)</f>
        <v>1000</v>
      </c>
      <c r="M204" s="45"/>
      <c r="N204" s="644">
        <v>0</v>
      </c>
      <c r="O204" s="136"/>
      <c r="P204" s="45"/>
      <c r="Q204" s="468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307</v>
      </c>
      <c r="E205" s="40"/>
      <c r="F205" s="40"/>
      <c r="G205" s="42"/>
      <c r="H205" s="43" t="s">
        <v>14</v>
      </c>
      <c r="I205" s="44"/>
      <c r="J205" s="44"/>
      <c r="K205" s="45"/>
      <c r="L205" s="468">
        <f ca="1">IFERROR(__xludf.DUMMYFUNCTION("IMPORTRANGE(""https://docs.google.com/spreadsheets/d/1eHaY18a8A9IcSdp1K8H6x8fbOy06t2VsZHhMHf-1x7Y/edit?usp=sharing"",""แผน!AH26"")"),0)</f>
        <v>0</v>
      </c>
      <c r="M205" s="45"/>
      <c r="N205" s="644">
        <v>0</v>
      </c>
      <c r="O205" s="136"/>
      <c r="P205" s="45"/>
      <c r="Q205" s="468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468">
        <f ca="1">IFERROR(__xludf.DUMMYFUNCTION("IMPORTRANGE(""https://docs.google.com/spreadsheets/d/1eHaY18a8A9IcSdp1K8H6x8fbOy06t2VsZHhMHf-1x7Y/edit?usp=sharing"",""แผน!AI26"")"),0)</f>
        <v>0</v>
      </c>
      <c r="M206" s="45"/>
      <c r="N206" s="644">
        <v>0</v>
      </c>
      <c r="O206" s="136"/>
      <c r="P206" s="45"/>
      <c r="Q206" s="468">
        <f ca="1">IFERROR(__xludf.DUMMYFUNCTION("IMPORTRANGE(""https://docs.google.com/spreadsheets/d/1eHaY18a8A9IcSdp1K8H6x8fbOy06t2VsZHhMHf-1x7Y/edit?usp=sharing"",""แผน!LV26"")"),28000)</f>
        <v>28000</v>
      </c>
      <c r="R206" s="45"/>
      <c r="S206" s="644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468">
        <f ca="1">IFERROR(__xludf.DUMMYFUNCTION("IMPORTRANGE(""https://docs.google.com/spreadsheets/d/1eHaY18a8A9IcSdp1K8H6x8fbOy06t2VsZHhMHf-1x7Y/edit?usp=sharing"",""แผน!AJ26"")"),7000)</f>
        <v>7000</v>
      </c>
      <c r="M207" s="45"/>
      <c r="N207" s="644">
        <v>0</v>
      </c>
      <c r="O207" s="136"/>
      <c r="P207" s="45"/>
      <c r="Q207" s="468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498" t="s">
        <v>38</v>
      </c>
      <c r="E208" s="141"/>
      <c r="F208" s="141"/>
      <c r="G208" s="142"/>
      <c r="H208" s="143"/>
      <c r="I208" s="135"/>
      <c r="J208" s="135"/>
      <c r="K208" s="136"/>
      <c r="L208" s="492"/>
      <c r="M208" s="136"/>
      <c r="N208" s="136"/>
      <c r="O208" s="136"/>
      <c r="P208" s="136"/>
      <c r="Q208" s="4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IFERROR(__xludf.DUMMYFUNCTION("IMPORTRANGE(""https://docs.google.com/spreadsheets/d/1eHaY18a8A9IcSdp1K8H6x8fbOy06t2VsZHhMHf-1x7Y/edit?usp=sharing"",""แผน!AK26"")"),2)</f>
        <v>2</v>
      </c>
      <c r="J209" s="466">
        <v>0</v>
      </c>
      <c r="K209" s="497">
        <f ca="1">IF(I209&gt;0,J209*100/I209,0)</f>
        <v>0</v>
      </c>
      <c r="L209" s="465"/>
      <c r="M209" s="45"/>
      <c r="N209" s="45"/>
      <c r="O209" s="45"/>
      <c r="P209" s="45"/>
      <c r="Q209" s="465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465"/>
      <c r="M210" s="45"/>
      <c r="N210" s="45"/>
      <c r="O210" s="45"/>
      <c r="P210" s="45"/>
      <c r="Q210" s="46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IFERROR(__xludf.DUMMYFUNCTION("IMPORTRANGE(""https://docs.google.com/spreadsheets/d/1eHaY18a8A9IcSdp1K8H6x8fbOy06t2VsZHhMHf-1x7Y/edit?usp=sharing"",""แผน!JX26"")"),1)</f>
        <v>1</v>
      </c>
      <c r="J211" s="466">
        <v>1</v>
      </c>
      <c r="K211" s="497">
        <f ca="1">IF(I211&gt;0,J211*100/I211,0)</f>
        <v>100</v>
      </c>
      <c r="L211" s="465"/>
      <c r="M211" s="45"/>
      <c r="N211" s="45"/>
      <c r="O211" s="45"/>
      <c r="P211" s="45"/>
      <c r="Q211" s="46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IFERROR(__xludf.DUMMYFUNCTION("IMPORTRANGE(""https://docs.google.com/spreadsheets/d/1eHaY18a8A9IcSdp1K8H6x8fbOy06t2VsZHhMHf-1x7Y/edit?usp=sharing"",""แผน!JY26"")"),1)</f>
        <v>1</v>
      </c>
      <c r="J212" s="466">
        <v>1</v>
      </c>
      <c r="K212" s="497">
        <f ca="1">IF(I212&gt;0,J212*100/I212,0)</f>
        <v>100</v>
      </c>
      <c r="L212" s="465"/>
      <c r="M212" s="45"/>
      <c r="N212" s="45"/>
      <c r="O212" s="45"/>
      <c r="P212" s="45"/>
      <c r="Q212" s="465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ca="1">I220</f>
        <v>0</v>
      </c>
      <c r="J213" s="303">
        <f>J220</f>
        <v>0</v>
      </c>
      <c r="K213" s="304">
        <f ca="1">IF(I213&gt;0,J213*100/I213,0)</f>
        <v>0</v>
      </c>
      <c r="L213" s="557"/>
      <c r="M213" s="219"/>
      <c r="N213" s="219"/>
      <c r="O213" s="219"/>
      <c r="P213" s="219"/>
      <c r="Q213" s="557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654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471">
        <f ca="1">L215+L216+L217</f>
        <v>0</v>
      </c>
      <c r="M214" s="45"/>
      <c r="N214" s="470">
        <f>N215+N216+N217</f>
        <v>0</v>
      </c>
      <c r="O214" s="470">
        <f ca="1">IF(L214&gt;0,N214*100/L214,0)</f>
        <v>0</v>
      </c>
      <c r="P214" s="470">
        <f>IF(M214&gt;0,N214*100/M214,0)</f>
        <v>0</v>
      </c>
      <c r="Q214" s="471">
        <f ca="1">Q215+Q216+Q217</f>
        <v>0</v>
      </c>
      <c r="R214" s="45"/>
      <c r="S214" s="470">
        <f>S215+S216+S217</f>
        <v>0</v>
      </c>
      <c r="T214" s="470">
        <f ca="1">IF(Q214&gt;0,S214*100/Q214,0)</f>
        <v>0</v>
      </c>
      <c r="U214" s="470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468">
        <f ca="1">IFERROR(__xludf.DUMMYFUNCTION("IMPORTRANGE(""https://docs.google.com/spreadsheets/d/1eHaY18a8A9IcSdp1K8H6x8fbOy06t2VsZHhMHf-1x7Y/edit?usp=sharing"",""แผน!AM26"")"),0)</f>
        <v>0</v>
      </c>
      <c r="M215" s="45"/>
      <c r="N215" s="644">
        <v>0</v>
      </c>
      <c r="O215" s="136"/>
      <c r="P215" s="45"/>
      <c r="Q215" s="468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468">
        <f ca="1">IFERROR(__xludf.DUMMYFUNCTION("IMPORTRANGE(""https://docs.google.com/spreadsheets/d/1eHaY18a8A9IcSdp1K8H6x8fbOy06t2VsZHhMHf-1x7Y/edit?usp=sharing"",""แผน!AN26"")"),0)</f>
        <v>0</v>
      </c>
      <c r="M216" s="45"/>
      <c r="N216" s="644">
        <v>0</v>
      </c>
      <c r="O216" s="136"/>
      <c r="P216" s="45"/>
      <c r="Q216" s="468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468">
        <f ca="1">IFERROR(__xludf.DUMMYFUNCTION("IMPORTRANGE(""https://docs.google.com/spreadsheets/d/1eHaY18a8A9IcSdp1K8H6x8fbOy06t2VsZHhMHf-1x7Y/edit?usp=sharing"",""แผน!AO26"")"),0)</f>
        <v>0</v>
      </c>
      <c r="M217" s="45"/>
      <c r="N217" s="644">
        <v>0</v>
      </c>
      <c r="O217" s="136"/>
      <c r="P217" s="45"/>
      <c r="Q217" s="468">
        <f ca="1">IFERROR(__xludf.DUMMYFUNCTION("IMPORTRANGE(""https://docs.google.com/spreadsheets/d/1eHaY18a8A9IcSdp1K8H6x8fbOy06t2VsZHhMHf-1x7Y/edit?usp=sharing"",""แผน!LY26"")"),0)</f>
        <v>0</v>
      </c>
      <c r="R217" s="45"/>
      <c r="S217" s="644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498" t="s">
        <v>38</v>
      </c>
      <c r="E218" s="141"/>
      <c r="F218" s="141"/>
      <c r="G218" s="142"/>
      <c r="H218" s="143"/>
      <c r="I218" s="135"/>
      <c r="J218" s="44"/>
      <c r="K218" s="45"/>
      <c r="L218" s="465"/>
      <c r="M218" s="45"/>
      <c r="N218" s="45"/>
      <c r="O218" s="136"/>
      <c r="P218" s="136"/>
      <c r="Q218" s="465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IFERROR(__xludf.DUMMYFUNCTION("IMPORTRANGE(""https://docs.google.com/spreadsheets/d/1eHaY18a8A9IcSdp1K8H6x8fbOy06t2VsZHhMHf-1x7Y/edit?usp=sharing"",""แผน!AP26"")"),0)</f>
        <v>0</v>
      </c>
      <c r="J219" s="466">
        <v>0</v>
      </c>
      <c r="K219" s="224">
        <f ca="1">IF(I219&gt;0,J219*100/I219,0)</f>
        <v>0</v>
      </c>
      <c r="L219" s="465"/>
      <c r="M219" s="45"/>
      <c r="N219" s="45"/>
      <c r="O219" s="45"/>
      <c r="P219" s="45"/>
      <c r="Q219" s="465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IFERROR(__xludf.DUMMYFUNCTION("IMPORTRANGE(""https://docs.google.com/spreadsheets/d/1eHaY18a8A9IcSdp1K8H6x8fbOy06t2VsZHhMHf-1x7Y/edit?usp=sharing"",""แผน!AP26"")"),0)</f>
        <v>0</v>
      </c>
      <c r="J220" s="466">
        <v>0</v>
      </c>
      <c r="K220" s="224">
        <f ca="1">IF(I220&gt;0,J220*100/I220,0)</f>
        <v>0</v>
      </c>
      <c r="L220" s="465"/>
      <c r="M220" s="45"/>
      <c r="N220" s="45"/>
      <c r="O220" s="45"/>
      <c r="P220" s="45"/>
      <c r="Q220" s="465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ca="1">I229</f>
        <v>50000</v>
      </c>
      <c r="J221" s="303">
        <f>J229</f>
        <v>0</v>
      </c>
      <c r="K221" s="304">
        <f ca="1">IF(I221&gt;0,J221*100/I221,0)</f>
        <v>0</v>
      </c>
      <c r="L221" s="557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654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471">
        <f ca="1">L223+L224+L225</f>
        <v>8500</v>
      </c>
      <c r="M222" s="45"/>
      <c r="N222" s="470">
        <f>N223+N224+N225</f>
        <v>0</v>
      </c>
      <c r="O222" s="470">
        <f ca="1">IF(L222&gt;0,N222*100/L222,0)</f>
        <v>0</v>
      </c>
      <c r="P222" s="47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653" t="s">
        <v>308</v>
      </c>
      <c r="E223" s="40"/>
      <c r="F223" s="40"/>
      <c r="G223" s="42"/>
      <c r="H223" s="134" t="s">
        <v>14</v>
      </c>
      <c r="I223" s="135"/>
      <c r="J223" s="135"/>
      <c r="K223" s="136"/>
      <c r="L223" s="468">
        <f ca="1">IFERROR(__xludf.DUMMYFUNCTION("IMPORTRANGE(""https://docs.google.com/spreadsheets/d/1eHaY18a8A9IcSdp1K8H6x8fbOy06t2VsZHhMHf-1x7Y/edit?usp=sharing"",""แผน!AR26"")"),2500)</f>
        <v>2500</v>
      </c>
      <c r="M223" s="45"/>
      <c r="N223" s="644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307</v>
      </c>
      <c r="E224" s="40"/>
      <c r="F224" s="40"/>
      <c r="G224" s="42"/>
      <c r="H224" s="134" t="s">
        <v>14</v>
      </c>
      <c r="I224" s="44"/>
      <c r="J224" s="44"/>
      <c r="K224" s="45"/>
      <c r="L224" s="468">
        <f ca="1">IFERROR(__xludf.DUMMYFUNCTION("IMPORTRANGE(""https://docs.google.com/spreadsheets/d/1eHaY18a8A9IcSdp1K8H6x8fbOy06t2VsZHhMHf-1x7Y/edit?usp=sharing"",""แผน!AS26"")"),6000)</f>
        <v>6000</v>
      </c>
      <c r="M224" s="45"/>
      <c r="N224" s="644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468">
        <f ca="1">IFERROR(__xludf.DUMMYFUNCTION("IMPORTRANGE(""https://docs.google.com/spreadsheets/d/1eHaY18a8A9IcSdp1K8H6x8fbOy06t2VsZHhMHf-1x7Y/edit?usp=sharing"",""แผน!AT26"")"),0)</f>
        <v>0</v>
      </c>
      <c r="M225" s="45"/>
      <c r="N225" s="644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498" t="s">
        <v>38</v>
      </c>
      <c r="E226" s="141"/>
      <c r="F226" s="141"/>
      <c r="G226" s="142"/>
      <c r="H226" s="143"/>
      <c r="I226" s="135"/>
      <c r="J226" s="135"/>
      <c r="K226" s="136"/>
      <c r="L226" s="4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4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IFERROR(__xludf.DUMMYFUNCTION("IMPORTRANGE(""https://docs.google.com/spreadsheets/d/1eHaY18a8A9IcSdp1K8H6x8fbOy06t2VsZHhMHf-1x7Y/edit?usp=sharing"",""แผน!AV26"")"),50000)</f>
        <v>50000</v>
      </c>
      <c r="J228" s="466">
        <v>50000</v>
      </c>
      <c r="K228" s="497">
        <f ca="1">IF(I228&gt;0,J228*100/I228,0)</f>
        <v>100</v>
      </c>
      <c r="L228" s="4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IFERROR(__xludf.DUMMYFUNCTION("IMPORTRANGE(""https://docs.google.com/spreadsheets/d/1eHaY18a8A9IcSdp1K8H6x8fbOy06t2VsZHhMHf-1x7Y/edit?usp=sharing"",""แผน!AV26"")"),50000)</f>
        <v>50000</v>
      </c>
      <c r="J229" s="466">
        <v>0</v>
      </c>
      <c r="K229" s="497">
        <f ca="1">IF(I229&gt;0,J229*100/I229,0)</f>
        <v>0</v>
      </c>
      <c r="L229" s="465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IFERROR(__xludf.DUMMYFUNCTION("IMPORTRANGE(""https://docs.google.com/spreadsheets/d/1eHaY18a8A9IcSdp1K8H6x8fbOy06t2VsZHhMHf-1x7Y/edit?usp=sharing"",""แผน!AU26"")"),0)</f>
        <v>0</v>
      </c>
      <c r="J230" s="466">
        <v>0</v>
      </c>
      <c r="K230" s="497">
        <f ca="1">IF(I230&gt;0,J230*100/I230,0)</f>
        <v>0</v>
      </c>
      <c r="L230" s="465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3">
        <f ca="1">I242+I253</f>
        <v>0</v>
      </c>
      <c r="J231" s="303">
        <f>J242+J253</f>
        <v>0</v>
      </c>
      <c r="K231" s="304">
        <f ca="1">IF(I231&gt;0,J231*100/I231,0)</f>
        <v>0</v>
      </c>
      <c r="L231" s="557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472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652">
        <f ca="1">L243+L254</f>
        <v>0</v>
      </c>
      <c r="M232" s="45"/>
      <c r="N232" s="651">
        <f>N243+N254</f>
        <v>0</v>
      </c>
      <c r="O232" s="45"/>
      <c r="P232" s="45"/>
      <c r="Q232" s="45"/>
      <c r="R232" s="45"/>
      <c r="S232" s="45"/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469">
        <f ca="1">L244+L255</f>
        <v>0</v>
      </c>
      <c r="M233" s="45"/>
      <c r="N233" s="83">
        <f>N244+N255</f>
        <v>0</v>
      </c>
      <c r="O233" s="45"/>
      <c r="P233" s="45"/>
      <c r="Q233" s="713">
        <v>0</v>
      </c>
      <c r="R233" s="712">
        <v>0</v>
      </c>
      <c r="S233" s="712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469">
        <f ca="1">L245+L256</f>
        <v>0</v>
      </c>
      <c r="M234" s="45"/>
      <c r="N234" s="83">
        <f>N245+N256</f>
        <v>0</v>
      </c>
      <c r="O234" s="45"/>
      <c r="P234" s="45"/>
      <c r="Q234" s="711">
        <v>0</v>
      </c>
      <c r="R234" s="710">
        <v>0</v>
      </c>
      <c r="S234" s="710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469">
        <f ca="1">L246+L257</f>
        <v>0</v>
      </c>
      <c r="M235" s="45"/>
      <c r="N235" s="83">
        <f>N246+N257</f>
        <v>0</v>
      </c>
      <c r="O235" s="45"/>
      <c r="P235" s="45"/>
      <c r="Q235" s="711">
        <v>0</v>
      </c>
      <c r="R235" s="710">
        <v>0</v>
      </c>
      <c r="S235" s="710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469">
        <f ca="1">L247+L258</f>
        <v>0</v>
      </c>
      <c r="M236" s="45"/>
      <c r="N236" s="83">
        <f>N247+N258</f>
        <v>0</v>
      </c>
      <c r="O236" s="45"/>
      <c r="P236" s="45"/>
      <c r="Q236" s="711">
        <v>0</v>
      </c>
      <c r="R236" s="710">
        <v>0</v>
      </c>
      <c r="S236" s="710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498" t="s">
        <v>38</v>
      </c>
      <c r="E237" s="141"/>
      <c r="F237" s="141"/>
      <c r="G237" s="142"/>
      <c r="H237" s="143"/>
      <c r="I237" s="135"/>
      <c r="J237" s="44"/>
      <c r="K237" s="45"/>
      <c r="L237" s="465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465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465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465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465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649" t="s">
        <v>111</v>
      </c>
      <c r="D242" s="214"/>
      <c r="E242" s="214"/>
      <c r="F242" s="214"/>
      <c r="G242" s="215"/>
      <c r="H242" s="648" t="s">
        <v>35</v>
      </c>
      <c r="I242" s="647">
        <f ca="1">I249</f>
        <v>0</v>
      </c>
      <c r="J242" s="647">
        <f>J249</f>
        <v>0</v>
      </c>
      <c r="K242" s="646">
        <f ca="1">IF(I242&gt;0,J242*100/I242,0)</f>
        <v>0</v>
      </c>
      <c r="L242" s="557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527" t="s">
        <v>18</v>
      </c>
      <c r="D243" s="494" t="s">
        <v>19</v>
      </c>
      <c r="E243" s="40"/>
      <c r="F243" s="40"/>
      <c r="G243" s="42"/>
      <c r="H243" s="372" t="s">
        <v>14</v>
      </c>
      <c r="I243" s="135"/>
      <c r="J243" s="135"/>
      <c r="K243" s="136"/>
      <c r="L243" s="471">
        <f ca="1">L244+L245+L246+L247</f>
        <v>0</v>
      </c>
      <c r="M243" s="45"/>
      <c r="N243" s="470">
        <f>N244+N245+N246+N247</f>
        <v>0</v>
      </c>
      <c r="O243" s="470">
        <f ca="1">IF(L243&gt;0,N243*100/L243,0)</f>
        <v>0</v>
      </c>
      <c r="P243" s="470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468">
        <f ca="1">IFERROR(__xludf.DUMMYFUNCTION("IMPORTRANGE(""https://docs.google.com/spreadsheets/d/1eHaY18a8A9IcSdp1K8H6x8fbOy06t2VsZHhMHf-1x7Y/edit?usp=sharing"",""แผน!AX26"")"),0)</f>
        <v>0</v>
      </c>
      <c r="M244" s="45"/>
      <c r="N244" s="644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468">
        <f ca="1">IFERROR(__xludf.DUMMYFUNCTION("IMPORTRANGE(""https://docs.google.com/spreadsheets/d/1eHaY18a8A9IcSdp1K8H6x8fbOy06t2VsZHhMHf-1x7Y/edit?usp=sharing"",""แผน!AY26"")"),0)</f>
        <v>0</v>
      </c>
      <c r="M245" s="45"/>
      <c r="N245" s="644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468">
        <f ca="1">IFERROR(__xludf.DUMMYFUNCTION("IMPORTRANGE(""https://docs.google.com/spreadsheets/d/1eHaY18a8A9IcSdp1K8H6x8fbOy06t2VsZHhMHf-1x7Y/edit?usp=sharing"",""แผน!AZ26"")"),0)</f>
        <v>0</v>
      </c>
      <c r="M246" s="45"/>
      <c r="N246" s="644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468">
        <f ca="1">IFERROR(__xludf.DUMMYFUNCTION("IMPORTRANGE(""https://docs.google.com/spreadsheets/d/1eHaY18a8A9IcSdp1K8H6x8fbOy06t2VsZHhMHf-1x7Y/edit?usp=sharing"",""แผน!BA26"")"),0)</f>
        <v>0</v>
      </c>
      <c r="M247" s="45"/>
      <c r="N247" s="644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643" t="s">
        <v>18</v>
      </c>
      <c r="D248" s="509" t="s">
        <v>38</v>
      </c>
      <c r="E248" s="141"/>
      <c r="F248" s="141"/>
      <c r="G248" s="142"/>
      <c r="H248" s="143"/>
      <c r="I248" s="135"/>
      <c r="J248" s="44"/>
      <c r="K248" s="45"/>
      <c r="L248" s="465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640" t="s">
        <v>35</v>
      </c>
      <c r="I249" s="430">
        <f ca="1">IFERROR(__xludf.DUMMYFUNCTION("IMPORTRANGE(""https://docs.google.com/spreadsheets/d/1eHaY18a8A9IcSdp1K8H6x8fbOy06t2VsZHhMHf-1x7Y/edit?usp=sharing"",""แผน!BG26"")"),0)</f>
        <v>0</v>
      </c>
      <c r="J249" s="525">
        <v>0</v>
      </c>
      <c r="K249" s="83">
        <f ca="1">IF(I249&gt;0,J249*100/I249,0)</f>
        <v>0</v>
      </c>
      <c r="L249" s="465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642" t="s">
        <v>43</v>
      </c>
      <c r="E250" s="145"/>
      <c r="F250" s="145"/>
      <c r="G250" s="143"/>
      <c r="H250" s="143"/>
      <c r="I250" s="44"/>
      <c r="J250" s="44"/>
      <c r="K250" s="45"/>
      <c r="L250" s="465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1" t="s">
        <v>109</v>
      </c>
      <c r="F251" s="145"/>
      <c r="G251" s="143"/>
      <c r="H251" s="640" t="s">
        <v>35</v>
      </c>
      <c r="I251" s="430">
        <v>0</v>
      </c>
      <c r="J251" s="525">
        <v>0</v>
      </c>
      <c r="K251" s="83">
        <f>IF(I251&gt;0,J251*100/I251,0)</f>
        <v>0</v>
      </c>
      <c r="L251" s="465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641" t="s">
        <v>110</v>
      </c>
      <c r="F252" s="145"/>
      <c r="G252" s="143"/>
      <c r="H252" s="640" t="s">
        <v>61</v>
      </c>
      <c r="I252" s="430">
        <v>0</v>
      </c>
      <c r="J252" s="525">
        <v>0</v>
      </c>
      <c r="K252" s="83">
        <f>IF(I252&gt;0,J252*100/I252,0)</f>
        <v>0</v>
      </c>
      <c r="L252" s="465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649" t="s">
        <v>112</v>
      </c>
      <c r="D253" s="214"/>
      <c r="E253" s="214"/>
      <c r="F253" s="214"/>
      <c r="G253" s="215"/>
      <c r="H253" s="648" t="s">
        <v>35</v>
      </c>
      <c r="I253" s="647">
        <f ca="1">I260</f>
        <v>0</v>
      </c>
      <c r="J253" s="647">
        <f>J260</f>
        <v>0</v>
      </c>
      <c r="K253" s="646">
        <f ca="1">IF(I253&gt;0,J253*100/I253,0)</f>
        <v>0</v>
      </c>
      <c r="L253" s="557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527" t="s">
        <v>18</v>
      </c>
      <c r="D254" s="645" t="s">
        <v>19</v>
      </c>
      <c r="E254" s="40"/>
      <c r="F254" s="40"/>
      <c r="G254" s="42"/>
      <c r="H254" s="372" t="s">
        <v>14</v>
      </c>
      <c r="I254" s="135"/>
      <c r="J254" s="135"/>
      <c r="K254" s="136"/>
      <c r="L254" s="471">
        <f ca="1">L255+L256+L257+L258</f>
        <v>0</v>
      </c>
      <c r="M254" s="45"/>
      <c r="N254" s="470">
        <f>N255+N256+N257+N258</f>
        <v>0</v>
      </c>
      <c r="O254" s="470">
        <f ca="1">IF(L254&gt;0,N254*100/L254,0)</f>
        <v>0</v>
      </c>
      <c r="P254" s="470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468">
        <f ca="1">IFERROR(__xludf.DUMMYFUNCTION("IMPORTRANGE(""https://docs.google.com/spreadsheets/d/1eHaY18a8A9IcSdp1K8H6x8fbOy06t2VsZHhMHf-1x7Y/edit?usp=sharing"",""แผน!BB26"")"),0)</f>
        <v>0</v>
      </c>
      <c r="M255" s="45"/>
      <c r="N255" s="644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468">
        <f ca="1">IFERROR(__xludf.DUMMYFUNCTION("IMPORTRANGE(""https://docs.google.com/spreadsheets/d/1eHaY18a8A9IcSdp1K8H6x8fbOy06t2VsZHhMHf-1x7Y/edit?usp=sharing"",""แผน!BC26"")"),0)</f>
        <v>0</v>
      </c>
      <c r="M256" s="45"/>
      <c r="N256" s="644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468">
        <f ca="1">IFERROR(__xludf.DUMMYFUNCTION("IMPORTRANGE(""https://docs.google.com/spreadsheets/d/1eHaY18a8A9IcSdp1K8H6x8fbOy06t2VsZHhMHf-1x7Y/edit?usp=sharing"",""แผน!BD26"")"),0)</f>
        <v>0</v>
      </c>
      <c r="M257" s="45"/>
      <c r="N257" s="644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468">
        <f ca="1">IFERROR(__xludf.DUMMYFUNCTION("IMPORTRANGE(""https://docs.google.com/spreadsheets/d/1eHaY18a8A9IcSdp1K8H6x8fbOy06t2VsZHhMHf-1x7Y/edit?usp=sharing"",""แผน!BE26"")"),0)</f>
        <v>0</v>
      </c>
      <c r="M258" s="45"/>
      <c r="N258" s="644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643" t="s">
        <v>18</v>
      </c>
      <c r="D259" s="509" t="s">
        <v>38</v>
      </c>
      <c r="E259" s="141"/>
      <c r="F259" s="141"/>
      <c r="G259" s="142"/>
      <c r="H259" s="143"/>
      <c r="I259" s="135"/>
      <c r="J259" s="44"/>
      <c r="K259" s="45"/>
      <c r="L259" s="465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640" t="s">
        <v>35</v>
      </c>
      <c r="I260" s="430">
        <f ca="1">IFERROR(__xludf.DUMMYFUNCTION("IMPORTRANGE(""https://docs.google.com/spreadsheets/d/1eHaY18a8A9IcSdp1K8H6x8fbOy06t2VsZHhMHf-1x7Y/edit?usp=sharing"",""แผน!BH26"")"),0)</f>
        <v>0</v>
      </c>
      <c r="J260" s="525">
        <v>0</v>
      </c>
      <c r="K260" s="83">
        <f ca="1">IF(I260&gt;0,J260*100/I260,0)</f>
        <v>0</v>
      </c>
      <c r="L260" s="465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642" t="s">
        <v>43</v>
      </c>
      <c r="E261" s="145"/>
      <c r="F261" s="145"/>
      <c r="G261" s="143"/>
      <c r="H261" s="143"/>
      <c r="I261" s="44"/>
      <c r="J261" s="44"/>
      <c r="K261" s="45"/>
      <c r="L261" s="465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1" t="s">
        <v>109</v>
      </c>
      <c r="F262" s="145"/>
      <c r="G262" s="143"/>
      <c r="H262" s="640" t="s">
        <v>35</v>
      </c>
      <c r="I262" s="44"/>
      <c r="J262" s="525">
        <v>0</v>
      </c>
      <c r="K262" s="83">
        <f>IF(I262&gt;0,J262*100/I262,0)</f>
        <v>0</v>
      </c>
      <c r="L262" s="465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641" t="s">
        <v>110</v>
      </c>
      <c r="F263" s="145"/>
      <c r="G263" s="143"/>
      <c r="H263" s="640" t="s">
        <v>61</v>
      </c>
      <c r="I263" s="44"/>
      <c r="J263" s="525">
        <v>0</v>
      </c>
      <c r="K263" s="83">
        <f>IF(I263&gt;0,J263*100/I263,0)</f>
        <v>0</v>
      </c>
      <c r="L263" s="465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639" t="s">
        <v>113</v>
      </c>
      <c r="B264" s="638"/>
      <c r="C264" s="638"/>
      <c r="D264" s="637"/>
      <c r="E264" s="637"/>
      <c r="F264" s="637"/>
      <c r="G264" s="636"/>
      <c r="H264" s="636"/>
      <c r="I264" s="635"/>
      <c r="J264" s="635"/>
      <c r="K264" s="633"/>
      <c r="L264" s="634"/>
      <c r="M264" s="633"/>
      <c r="N264" s="633"/>
      <c r="O264" s="633"/>
      <c r="P264" s="633"/>
      <c r="Q264" s="633"/>
      <c r="R264" s="633"/>
      <c r="S264" s="633"/>
      <c r="T264" s="633"/>
      <c r="U264" s="633"/>
    </row>
    <row r="265" spans="1:21" ht="19.5" x14ac:dyDescent="0.3">
      <c r="A265" s="632"/>
      <c r="B265" s="631" t="s">
        <v>114</v>
      </c>
      <c r="C265" s="630"/>
      <c r="D265" s="603"/>
      <c r="E265" s="603"/>
      <c r="F265" s="603"/>
      <c r="G265" s="602"/>
      <c r="H265" s="629" t="s">
        <v>35</v>
      </c>
      <c r="I265" s="628">
        <f ca="1">I276</f>
        <v>22</v>
      </c>
      <c r="J265" s="628">
        <f>J276</f>
        <v>0</v>
      </c>
      <c r="K265" s="627">
        <f ca="1">IF(I265&gt;0,J265*100/I265,0)</f>
        <v>0</v>
      </c>
      <c r="L265" s="626"/>
      <c r="M265" s="625"/>
      <c r="N265" s="625"/>
      <c r="O265" s="625"/>
      <c r="P265" s="625"/>
      <c r="Q265" s="625"/>
      <c r="R265" s="625"/>
      <c r="S265" s="625"/>
      <c r="T265" s="625"/>
      <c r="U265" s="625"/>
    </row>
    <row r="266" spans="1:21" ht="19.5" x14ac:dyDescent="0.3">
      <c r="A266" s="610"/>
      <c r="B266" s="609"/>
      <c r="C266" s="624" t="s">
        <v>18</v>
      </c>
      <c r="D266" s="623" t="s">
        <v>19</v>
      </c>
      <c r="E266" s="609"/>
      <c r="F266" s="609"/>
      <c r="G266" s="608"/>
      <c r="H266" s="622" t="s">
        <v>14</v>
      </c>
      <c r="I266" s="479"/>
      <c r="J266" s="479"/>
      <c r="K266" s="476"/>
      <c r="L266" s="621">
        <f ca="1">L267+L268</f>
        <v>0</v>
      </c>
      <c r="M266" s="620">
        <f ca="1">M267+M268</f>
        <v>5000</v>
      </c>
      <c r="N266" s="620">
        <f ca="1">N267+N268</f>
        <v>5000</v>
      </c>
      <c r="O266" s="620">
        <f t="shared" ref="O266:O274" ca="1" si="65">IF(L266&gt;0,N266*100/L266,0)</f>
        <v>0</v>
      </c>
      <c r="P266" s="620">
        <f t="shared" ref="P266:P274" ca="1" si="66">IF(M266&gt;0,N266*100/M266,0)</f>
        <v>100</v>
      </c>
      <c r="Q266" s="620">
        <f ca="1">Q267+Q268</f>
        <v>50660</v>
      </c>
      <c r="R266" s="620">
        <f ca="1">R267+R268</f>
        <v>50660</v>
      </c>
      <c r="S266" s="620">
        <f ca="1">S267+S268</f>
        <v>0</v>
      </c>
      <c r="T266" s="620">
        <f t="shared" ref="T266:T274" ca="1" si="67">IF(Q266&gt;0,S266*100/Q266,0)</f>
        <v>0</v>
      </c>
      <c r="U266" s="620">
        <f t="shared" ref="U266:U274" ca="1" si="68">IF(R266&gt;0,S266*100/R266,0)</f>
        <v>0</v>
      </c>
    </row>
    <row r="267" spans="1:21" ht="18.75" hidden="1" x14ac:dyDescent="0.25">
      <c r="A267" s="615"/>
      <c r="B267" s="614"/>
      <c r="C267" s="614"/>
      <c r="D267" s="614"/>
      <c r="E267" s="156" t="s">
        <v>20</v>
      </c>
      <c r="F267" s="614"/>
      <c r="G267" s="613"/>
      <c r="H267" s="157" t="s">
        <v>14</v>
      </c>
      <c r="I267" s="619"/>
      <c r="J267" s="619"/>
      <c r="K267" s="618"/>
      <c r="L267" s="469">
        <f t="shared" ref="L267:N268" si="69">L270+L273</f>
        <v>0</v>
      </c>
      <c r="M267" s="83">
        <f t="shared" si="69"/>
        <v>0</v>
      </c>
      <c r="N267" s="83">
        <f t="shared" si="69"/>
        <v>0</v>
      </c>
      <c r="O267" s="83">
        <f t="shared" si="65"/>
        <v>0</v>
      </c>
      <c r="P267" s="83">
        <f t="shared" si="66"/>
        <v>0</v>
      </c>
      <c r="Q267" s="83">
        <f t="shared" ref="Q267:S268" si="70">Q270+Q273</f>
        <v>0</v>
      </c>
      <c r="R267" s="83">
        <f t="shared" si="70"/>
        <v>0</v>
      </c>
      <c r="S267" s="83">
        <f t="shared" si="70"/>
        <v>0</v>
      </c>
      <c r="T267" s="83">
        <f t="shared" si="67"/>
        <v>0</v>
      </c>
      <c r="U267" s="83">
        <f t="shared" si="68"/>
        <v>0</v>
      </c>
    </row>
    <row r="268" spans="1:21" ht="18.75" hidden="1" x14ac:dyDescent="0.25">
      <c r="A268" s="610"/>
      <c r="B268" s="609"/>
      <c r="C268" s="609"/>
      <c r="D268" s="609"/>
      <c r="E268" s="605" t="s">
        <v>21</v>
      </c>
      <c r="F268" s="609"/>
      <c r="G268" s="608"/>
      <c r="H268" s="480" t="s">
        <v>14</v>
      </c>
      <c r="I268" s="479"/>
      <c r="J268" s="479"/>
      <c r="K268" s="476"/>
      <c r="L268" s="606">
        <f t="shared" ca="1" si="69"/>
        <v>0</v>
      </c>
      <c r="M268" s="486">
        <f t="shared" ca="1" si="69"/>
        <v>5000</v>
      </c>
      <c r="N268" s="486">
        <f t="shared" ca="1" si="69"/>
        <v>5000</v>
      </c>
      <c r="O268" s="486">
        <f t="shared" ca="1" si="65"/>
        <v>0</v>
      </c>
      <c r="P268" s="486">
        <f t="shared" ca="1" si="66"/>
        <v>100</v>
      </c>
      <c r="Q268" s="486">
        <f t="shared" ca="1" si="70"/>
        <v>50660</v>
      </c>
      <c r="R268" s="486">
        <f t="shared" ca="1" si="70"/>
        <v>50660</v>
      </c>
      <c r="S268" s="486">
        <f t="shared" ca="1" si="70"/>
        <v>0</v>
      </c>
      <c r="T268" s="486">
        <f t="shared" ca="1" si="67"/>
        <v>0</v>
      </c>
      <c r="U268" s="486">
        <f t="shared" ca="1" si="68"/>
        <v>0</v>
      </c>
    </row>
    <row r="269" spans="1:21" ht="18.75" x14ac:dyDescent="0.25">
      <c r="A269" s="610"/>
      <c r="B269" s="609"/>
      <c r="C269" s="609"/>
      <c r="D269" s="616" t="s">
        <v>22</v>
      </c>
      <c r="E269" s="609"/>
      <c r="F269" s="609"/>
      <c r="G269" s="608"/>
      <c r="H269" s="617" t="s">
        <v>14</v>
      </c>
      <c r="I269" s="601"/>
      <c r="J269" s="601"/>
      <c r="K269" s="599"/>
      <c r="L269" s="606">
        <f ca="1">L270+L271</f>
        <v>0</v>
      </c>
      <c r="M269" s="486">
        <f ca="1">M270+M271</f>
        <v>5000</v>
      </c>
      <c r="N269" s="486">
        <f ca="1">N270+N271</f>
        <v>5000</v>
      </c>
      <c r="O269" s="486">
        <f t="shared" ca="1" si="65"/>
        <v>0</v>
      </c>
      <c r="P269" s="486">
        <f t="shared" ca="1" si="66"/>
        <v>100</v>
      </c>
      <c r="Q269" s="486">
        <f ca="1">Q270+Q271</f>
        <v>50660</v>
      </c>
      <c r="R269" s="486">
        <f ca="1">R270+R271</f>
        <v>50660</v>
      </c>
      <c r="S269" s="486">
        <f ca="1">S270+S271</f>
        <v>0</v>
      </c>
      <c r="T269" s="486">
        <f t="shared" ca="1" si="67"/>
        <v>0</v>
      </c>
      <c r="U269" s="486">
        <f t="shared" ca="1" si="68"/>
        <v>0</v>
      </c>
    </row>
    <row r="270" spans="1:21" ht="18.75" hidden="1" x14ac:dyDescent="0.25">
      <c r="A270" s="615"/>
      <c r="B270" s="614"/>
      <c r="C270" s="614"/>
      <c r="D270" s="614"/>
      <c r="E270" s="156" t="s">
        <v>36</v>
      </c>
      <c r="F270" s="614"/>
      <c r="G270" s="613"/>
      <c r="H270" s="159" t="s">
        <v>14</v>
      </c>
      <c r="I270" s="612"/>
      <c r="J270" s="612"/>
      <c r="K270" s="611"/>
      <c r="L270" s="469">
        <v>0</v>
      </c>
      <c r="M270" s="83">
        <v>0</v>
      </c>
      <c r="N270" s="83">
        <v>0</v>
      </c>
      <c r="O270" s="83">
        <f t="shared" si="65"/>
        <v>0</v>
      </c>
      <c r="P270" s="83">
        <f t="shared" si="66"/>
        <v>0</v>
      </c>
      <c r="Q270" s="83">
        <v>0</v>
      </c>
      <c r="R270" s="83">
        <v>0</v>
      </c>
      <c r="S270" s="83">
        <v>0</v>
      </c>
      <c r="T270" s="83">
        <f t="shared" si="67"/>
        <v>0</v>
      </c>
      <c r="U270" s="83">
        <f t="shared" si="68"/>
        <v>0</v>
      </c>
    </row>
    <row r="271" spans="1:21" ht="18.75" hidden="1" x14ac:dyDescent="0.25">
      <c r="A271" s="610"/>
      <c r="B271" s="609"/>
      <c r="C271" s="609"/>
      <c r="D271" s="609"/>
      <c r="E271" s="605" t="s">
        <v>37</v>
      </c>
      <c r="F271" s="609"/>
      <c r="G271" s="608"/>
      <c r="H271" s="617" t="s">
        <v>14</v>
      </c>
      <c r="I271" s="601"/>
      <c r="J271" s="601"/>
      <c r="K271" s="599"/>
      <c r="L271" s="606">
        <f ca="1">IFERROR(__xludf.DUMMYFUNCTION("IMPORTRANGE(""https://docs.google.com/spreadsheets/d/1-uDff_7J0KD5mKrp0Vvzr7lt3OU09vwQwhkpOPPYv2Y/edit?usp=sharing"",""งบพรบ!DE26"")"),0)</f>
        <v>0</v>
      </c>
      <c r="M271" s="486">
        <f ca="1">IFERROR(__xludf.DUMMYFUNCTION("IMPORTRANGE(""https://docs.google.com/spreadsheets/d/1-uDff_7J0KD5mKrp0Vvzr7lt3OU09vwQwhkpOPPYv2Y/edit?usp=sharing"",""งบพรบ!DJ26"")"),5000)</f>
        <v>5000</v>
      </c>
      <c r="N271" s="486">
        <f ca="1">IFERROR(__xludf.DUMMYFUNCTION("IMPORTRANGE(""https://docs.google.com/spreadsheets/d/1-uDff_7J0KD5mKrp0Vvzr7lt3OU09vwQwhkpOPPYv2Y/edit?usp=sharing"",""งบพรบ!DL26"")"),5000)</f>
        <v>5000</v>
      </c>
      <c r="O271" s="486">
        <f t="shared" ca="1" si="65"/>
        <v>0</v>
      </c>
      <c r="P271" s="486">
        <f t="shared" ca="1" si="66"/>
        <v>100</v>
      </c>
      <c r="Q271" s="486">
        <f ca="1">IFERROR(__xludf.DUMMYFUNCTION("IMPORTRANGE(""https://docs.google.com/spreadsheets/d/1ItG2mGa2ceCfYo0BwxsXqNm01IGEUdYcSSLTEv9YCik/edit?usp=sharing"",""เบิกจ่ายกองทุน!AJ26"")"),50660)</f>
        <v>50660</v>
      </c>
      <c r="R271" s="486">
        <f ca="1">IFERROR(__xludf.DUMMYFUNCTION("IMPORTRANGE(""https://docs.google.com/spreadsheets/d/1ItG2mGa2ceCfYo0BwxsXqNm01IGEUdYcSSLTEv9YCik/edit?usp=sharing"",""เบิกจ่ายกองทุน!AK26"")"),50660)</f>
        <v>50660</v>
      </c>
      <c r="S271" s="486">
        <f ca="1">IFERROR(__xludf.DUMMYFUNCTION("IMPORTRANGE(""https://docs.google.com/spreadsheets/d/1ItG2mGa2ceCfYo0BwxsXqNm01IGEUdYcSSLTEv9YCik/edit?usp=sharing"",""เบิกจ่ายกองทุน!AL26"")"),0)</f>
        <v>0</v>
      </c>
      <c r="T271" s="486">
        <f t="shared" ca="1" si="67"/>
        <v>0</v>
      </c>
      <c r="U271" s="486">
        <f t="shared" ca="1" si="68"/>
        <v>0</v>
      </c>
    </row>
    <row r="272" spans="1:21" ht="18.75" x14ac:dyDescent="0.25">
      <c r="A272" s="610"/>
      <c r="B272" s="609"/>
      <c r="C272" s="609"/>
      <c r="D272" s="616" t="s">
        <v>23</v>
      </c>
      <c r="E272" s="609"/>
      <c r="F272" s="609"/>
      <c r="G272" s="608"/>
      <c r="H272" s="607" t="s">
        <v>14</v>
      </c>
      <c r="I272" s="601"/>
      <c r="J272" s="601"/>
      <c r="K272" s="599"/>
      <c r="L272" s="606">
        <f ca="1">L273+L274</f>
        <v>0</v>
      </c>
      <c r="M272" s="486">
        <f ca="1">M273+M274</f>
        <v>0</v>
      </c>
      <c r="N272" s="486">
        <f ca="1">N273+N274</f>
        <v>0</v>
      </c>
      <c r="O272" s="486">
        <f t="shared" ca="1" si="65"/>
        <v>0</v>
      </c>
      <c r="P272" s="486">
        <f t="shared" ca="1" si="66"/>
        <v>0</v>
      </c>
      <c r="Q272" s="486">
        <f>Q273+Q274</f>
        <v>0</v>
      </c>
      <c r="R272" s="486">
        <f>R273+R274</f>
        <v>0</v>
      </c>
      <c r="S272" s="486">
        <f>S273+S274</f>
        <v>0</v>
      </c>
      <c r="T272" s="486">
        <f t="shared" si="67"/>
        <v>0</v>
      </c>
      <c r="U272" s="486">
        <f t="shared" si="68"/>
        <v>0</v>
      </c>
    </row>
    <row r="273" spans="1:21" ht="18.75" hidden="1" x14ac:dyDescent="0.25">
      <c r="A273" s="615"/>
      <c r="B273" s="614"/>
      <c r="C273" s="614"/>
      <c r="D273" s="614"/>
      <c r="E273" s="156" t="s">
        <v>20</v>
      </c>
      <c r="F273" s="614"/>
      <c r="G273" s="613"/>
      <c r="H273" s="159" t="s">
        <v>14</v>
      </c>
      <c r="I273" s="612"/>
      <c r="J273" s="612"/>
      <c r="K273" s="611"/>
      <c r="L273" s="469">
        <v>0</v>
      </c>
      <c r="M273" s="83">
        <v>0</v>
      </c>
      <c r="N273" s="83">
        <v>0</v>
      </c>
      <c r="O273" s="83">
        <f t="shared" si="65"/>
        <v>0</v>
      </c>
      <c r="P273" s="83">
        <f t="shared" si="66"/>
        <v>0</v>
      </c>
      <c r="Q273" s="83">
        <v>0</v>
      </c>
      <c r="R273" s="83">
        <v>0</v>
      </c>
      <c r="S273" s="83">
        <v>0</v>
      </c>
      <c r="T273" s="83">
        <f t="shared" si="67"/>
        <v>0</v>
      </c>
      <c r="U273" s="83">
        <f t="shared" si="68"/>
        <v>0</v>
      </c>
    </row>
    <row r="274" spans="1:21" ht="18.75" hidden="1" x14ac:dyDescent="0.25">
      <c r="A274" s="610"/>
      <c r="B274" s="609"/>
      <c r="C274" s="609"/>
      <c r="D274" s="609"/>
      <c r="E274" s="605" t="s">
        <v>21</v>
      </c>
      <c r="F274" s="609"/>
      <c r="G274" s="608"/>
      <c r="H274" s="607" t="s">
        <v>14</v>
      </c>
      <c r="I274" s="601"/>
      <c r="J274" s="601"/>
      <c r="K274" s="599"/>
      <c r="L274" s="606">
        <f ca="1">IFERROR(__xludf.DUMMYFUNCTION("IMPORTRANGE(""https://docs.google.com/spreadsheets/d/1-uDff_7J0KD5mKrp0Vvzr7lt3OU09vwQwhkpOPPYv2Y/edit?usp=sharing"",""งบพรบ!DH26"")"),0)</f>
        <v>0</v>
      </c>
      <c r="M274" s="486">
        <f ca="1">IFERROR(__xludf.DUMMYFUNCTION("IMPORTRANGE(""https://docs.google.com/spreadsheets/d/1-uDff_7J0KD5mKrp0Vvzr7lt3OU09vwQwhkpOPPYv2Y/edit?usp=sharing"",""งบพรบ!DK26"")"),0)</f>
        <v>0</v>
      </c>
      <c r="N274" s="486">
        <f ca="1">IFERROR(__xludf.DUMMYFUNCTION("IMPORTRANGE(""https://docs.google.com/spreadsheets/d/1-uDff_7J0KD5mKrp0Vvzr7lt3OU09vwQwhkpOPPYv2Y/edit?usp=sharing"",""งบพรบ!DM26"")"),0)</f>
        <v>0</v>
      </c>
      <c r="O274" s="486">
        <f t="shared" ca="1" si="65"/>
        <v>0</v>
      </c>
      <c r="P274" s="486">
        <f t="shared" ca="1" si="66"/>
        <v>0</v>
      </c>
      <c r="Q274" s="486">
        <v>0</v>
      </c>
      <c r="R274" s="486">
        <v>0</v>
      </c>
      <c r="S274" s="486">
        <v>0</v>
      </c>
      <c r="T274" s="486">
        <f t="shared" si="67"/>
        <v>0</v>
      </c>
      <c r="U274" s="486">
        <f t="shared" si="68"/>
        <v>0</v>
      </c>
    </row>
    <row r="275" spans="1:21" ht="19.5" x14ac:dyDescent="0.3">
      <c r="A275" s="485"/>
      <c r="B275" s="484"/>
      <c r="C275" s="605" t="s">
        <v>18</v>
      </c>
      <c r="D275" s="604" t="s">
        <v>38</v>
      </c>
      <c r="E275" s="603"/>
      <c r="F275" s="603"/>
      <c r="G275" s="602"/>
      <c r="H275" s="481"/>
      <c r="I275" s="601"/>
      <c r="J275" s="601"/>
      <c r="K275" s="599"/>
      <c r="L275" s="600"/>
      <c r="M275" s="599"/>
      <c r="N275" s="599"/>
      <c r="O275" s="599"/>
      <c r="P275" s="599"/>
      <c r="Q275" s="599"/>
      <c r="R275" s="599"/>
      <c r="S275" s="599"/>
      <c r="T275" s="599"/>
      <c r="U275" s="599"/>
    </row>
    <row r="276" spans="1:21" ht="18.75" x14ac:dyDescent="0.25">
      <c r="A276" s="598"/>
      <c r="B276" s="597"/>
      <c r="C276" s="597"/>
      <c r="D276" s="596" t="s">
        <v>115</v>
      </c>
      <c r="E276" s="595"/>
      <c r="F276" s="595"/>
      <c r="G276" s="594"/>
      <c r="H276" s="593" t="s">
        <v>35</v>
      </c>
      <c r="I276" s="592">
        <f ca="1">IFERROR(__xludf.DUMMYFUNCTION("IMPORTRANGE(""https://docs.google.com/spreadsheets/d/1eHaY18a8A9IcSdp1K8H6x8fbOy06t2VsZHhMHf-1x7Y/edit?usp=sharing"",""แผน!EC26"")"),22)</f>
        <v>22</v>
      </c>
      <c r="J276" s="444">
        <v>0</v>
      </c>
      <c r="K276" s="591">
        <f ca="1">IF(I276&gt;0,J276*100/I276,0)</f>
        <v>0</v>
      </c>
      <c r="L276" s="465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590" t="s">
        <v>116</v>
      </c>
      <c r="E277" s="252"/>
      <c r="F277" s="252"/>
      <c r="G277" s="253"/>
      <c r="H277" s="589" t="s">
        <v>35</v>
      </c>
      <c r="I277" s="433">
        <v>0</v>
      </c>
      <c r="J277" s="433">
        <v>0</v>
      </c>
      <c r="K277" s="588">
        <v>0</v>
      </c>
      <c r="L277" s="587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58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585">
        <f ca="1">I293</f>
        <v>30</v>
      </c>
      <c r="J280" s="585">
        <f>J293</f>
        <v>30</v>
      </c>
      <c r="K280" s="584">
        <f ca="1">IF(I280&gt;0,J280*100/I280,0)</f>
        <v>100</v>
      </c>
      <c r="L280" s="583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585">
        <f ca="1">I292</f>
        <v>300</v>
      </c>
      <c r="J281" s="585">
        <f>J292</f>
        <v>300</v>
      </c>
      <c r="K281" s="584">
        <f ca="1">IF(I281&gt;0,J281*100/I281,0)</f>
        <v>100</v>
      </c>
      <c r="L281" s="583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472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471">
        <f ca="1">L283+L284</f>
        <v>85120</v>
      </c>
      <c r="M282" s="470">
        <f ca="1">M283+M284</f>
        <v>85120</v>
      </c>
      <c r="N282" s="470">
        <f ca="1">N283+N284</f>
        <v>65770</v>
      </c>
      <c r="O282" s="470">
        <f t="shared" ref="O282:O290" ca="1" si="71">IF(L282&gt;0,N282*100/L282,0)</f>
        <v>77.267387218045116</v>
      </c>
      <c r="P282" s="470">
        <f t="shared" ref="P282:P290" ca="1" si="72">IF(M282&gt;0,N282*100/M282,0)</f>
        <v>77.267387218045116</v>
      </c>
      <c r="Q282" s="470">
        <f>Q283+Q284</f>
        <v>0</v>
      </c>
      <c r="R282" s="470">
        <f>R283+R284</f>
        <v>0</v>
      </c>
      <c r="S282" s="470">
        <f>S283+S284</f>
        <v>0</v>
      </c>
      <c r="T282" s="470">
        <f t="shared" ref="T282:T290" si="73">IF(Q282&gt;0,S282*100/Q282,0)</f>
        <v>0</v>
      </c>
      <c r="U282" s="470">
        <f t="shared" ref="U282:U290" si="74"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469">
        <f t="shared" ref="L283:N284" si="75">L286+L289</f>
        <v>0</v>
      </c>
      <c r="M283" s="83">
        <f t="shared" si="75"/>
        <v>0</v>
      </c>
      <c r="N283" s="83">
        <f t="shared" si="75"/>
        <v>0</v>
      </c>
      <c r="O283" s="83">
        <f t="shared" si="71"/>
        <v>0</v>
      </c>
      <c r="P283" s="83">
        <f t="shared" si="72"/>
        <v>0</v>
      </c>
      <c r="Q283" s="83">
        <f t="shared" ref="Q283:S284" si="76">Q286+Q289</f>
        <v>0</v>
      </c>
      <c r="R283" s="83">
        <f t="shared" si="76"/>
        <v>0</v>
      </c>
      <c r="S283" s="83">
        <f t="shared" si="76"/>
        <v>0</v>
      </c>
      <c r="T283" s="83">
        <f t="shared" si="73"/>
        <v>0</v>
      </c>
      <c r="U283" s="83">
        <f t="shared" si="74"/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468">
        <f t="shared" ca="1" si="75"/>
        <v>85120</v>
      </c>
      <c r="M284" s="224">
        <f t="shared" ca="1" si="75"/>
        <v>85120</v>
      </c>
      <c r="N284" s="224">
        <f t="shared" ca="1" si="75"/>
        <v>65770</v>
      </c>
      <c r="O284" s="224">
        <f t="shared" ca="1" si="71"/>
        <v>77.267387218045116</v>
      </c>
      <c r="P284" s="224">
        <f t="shared" ca="1" si="72"/>
        <v>77.267387218045116</v>
      </c>
      <c r="Q284" s="224">
        <f t="shared" si="76"/>
        <v>0</v>
      </c>
      <c r="R284" s="224">
        <f t="shared" si="76"/>
        <v>0</v>
      </c>
      <c r="S284" s="224">
        <f t="shared" si="76"/>
        <v>0</v>
      </c>
      <c r="T284" s="224">
        <f t="shared" si="73"/>
        <v>0</v>
      </c>
      <c r="U284" s="224">
        <f t="shared" si="74"/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468">
        <f ca="1">L286+L287</f>
        <v>85120</v>
      </c>
      <c r="M285" s="224">
        <f ca="1">M286+M287</f>
        <v>85120</v>
      </c>
      <c r="N285" s="224">
        <f ca="1">N286+N287</f>
        <v>65770</v>
      </c>
      <c r="O285" s="224">
        <f t="shared" ca="1" si="71"/>
        <v>77.267387218045116</v>
      </c>
      <c r="P285" s="224">
        <f t="shared" ca="1" si="72"/>
        <v>77.267387218045116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 t="shared" si="73"/>
        <v>0</v>
      </c>
      <c r="U285" s="224">
        <f t="shared" si="74"/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469">
        <v>0</v>
      </c>
      <c r="M286" s="83">
        <v>0</v>
      </c>
      <c r="N286" s="83">
        <v>0</v>
      </c>
      <c r="O286" s="83">
        <f t="shared" si="71"/>
        <v>0</v>
      </c>
      <c r="P286" s="83">
        <f t="shared" si="72"/>
        <v>0</v>
      </c>
      <c r="Q286" s="83">
        <v>0</v>
      </c>
      <c r="R286" s="83">
        <v>0</v>
      </c>
      <c r="S286" s="83">
        <v>0</v>
      </c>
      <c r="T286" s="83">
        <f t="shared" si="73"/>
        <v>0</v>
      </c>
      <c r="U286" s="83">
        <f t="shared" si="74"/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468">
        <f ca="1">IFERROR(__xludf.DUMMYFUNCTION("IMPORTRANGE(""https://docs.google.com/spreadsheets/d/1-uDff_7J0KD5mKrp0Vvzr7lt3OU09vwQwhkpOPPYv2Y/edit?usp=sharing"",""งบพรบ!DO26"")"),85120)</f>
        <v>85120</v>
      </c>
      <c r="M287" s="224">
        <f ca="1">IFERROR(__xludf.DUMMYFUNCTION("IMPORTRANGE(""https://docs.google.com/spreadsheets/d/1-uDff_7J0KD5mKrp0Vvzr7lt3OU09vwQwhkpOPPYv2Y/edit?usp=sharing"",""งบพรบ!DT26"")"),85120)</f>
        <v>85120</v>
      </c>
      <c r="N287" s="224">
        <f ca="1">IFERROR(__xludf.DUMMYFUNCTION("IMPORTRANGE(""https://docs.google.com/spreadsheets/d/1-uDff_7J0KD5mKrp0Vvzr7lt3OU09vwQwhkpOPPYv2Y/edit?usp=sharing"",""งบพรบ!DV26"")"),65770)</f>
        <v>65770</v>
      </c>
      <c r="O287" s="224">
        <f t="shared" ca="1" si="71"/>
        <v>77.267387218045116</v>
      </c>
      <c r="P287" s="224">
        <f t="shared" ca="1" si="72"/>
        <v>77.267387218045116</v>
      </c>
      <c r="Q287" s="224">
        <v>0</v>
      </c>
      <c r="R287" s="224">
        <v>0</v>
      </c>
      <c r="S287" s="224">
        <v>0</v>
      </c>
      <c r="T287" s="83">
        <f t="shared" si="73"/>
        <v>0</v>
      </c>
      <c r="U287" s="83">
        <f t="shared" si="74"/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468">
        <f ca="1">L289+L290</f>
        <v>0</v>
      </c>
      <c r="M288" s="224">
        <f ca="1">M289+M290</f>
        <v>0</v>
      </c>
      <c r="N288" s="224">
        <f ca="1">N289+N290</f>
        <v>0</v>
      </c>
      <c r="O288" s="224">
        <f t="shared" ca="1" si="71"/>
        <v>0</v>
      </c>
      <c r="P288" s="224">
        <f t="shared" ca="1" si="72"/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 t="shared" si="73"/>
        <v>0</v>
      </c>
      <c r="U288" s="224">
        <f t="shared" si="74"/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469">
        <v>0</v>
      </c>
      <c r="M289" s="83">
        <v>0</v>
      </c>
      <c r="N289" s="83">
        <v>0</v>
      </c>
      <c r="O289" s="83">
        <f t="shared" si="71"/>
        <v>0</v>
      </c>
      <c r="P289" s="83">
        <f t="shared" si="72"/>
        <v>0</v>
      </c>
      <c r="Q289" s="83">
        <v>0</v>
      </c>
      <c r="R289" s="83">
        <v>0</v>
      </c>
      <c r="S289" s="83">
        <v>0</v>
      </c>
      <c r="T289" s="83">
        <f t="shared" si="73"/>
        <v>0</v>
      </c>
      <c r="U289" s="83">
        <f t="shared" si="74"/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468">
        <f ca="1">IFERROR(__xludf.DUMMYFUNCTION("IMPORTRANGE(""https://docs.google.com/spreadsheets/d/1-uDff_7J0KD5mKrp0Vvzr7lt3OU09vwQwhkpOPPYv2Y/edit?usp=sharing"",""งบพรบ!DR26"")"),0)</f>
        <v>0</v>
      </c>
      <c r="M290" s="224">
        <f ca="1">IFERROR(__xludf.DUMMYFUNCTION("IMPORTRANGE(""https://docs.google.com/spreadsheets/d/1-uDff_7J0KD5mKrp0Vvzr7lt3OU09vwQwhkpOPPYv2Y/edit?usp=sharing"",""งบพรบ!DU26"")"),0)</f>
        <v>0</v>
      </c>
      <c r="N290" s="224">
        <f ca="1">IFERROR(__xludf.DUMMYFUNCTION("IMPORTRANGE(""https://docs.google.com/spreadsheets/d/1-uDff_7J0KD5mKrp0Vvzr7lt3OU09vwQwhkpOPPYv2Y/edit?usp=sharing"",""งบพรบ!DW26"")"),0)</f>
        <v>0</v>
      </c>
      <c r="O290" s="224">
        <f t="shared" ca="1" si="71"/>
        <v>0</v>
      </c>
      <c r="P290" s="224">
        <f t="shared" ca="1" si="72"/>
        <v>0</v>
      </c>
      <c r="Q290" s="224">
        <v>0</v>
      </c>
      <c r="R290" s="224">
        <v>0</v>
      </c>
      <c r="S290" s="224">
        <v>0</v>
      </c>
      <c r="T290" s="224">
        <f t="shared" si="73"/>
        <v>0</v>
      </c>
      <c r="U290" s="224">
        <f t="shared" si="74"/>
        <v>0</v>
      </c>
    </row>
    <row r="291" spans="1:21" ht="19.5" x14ac:dyDescent="0.3">
      <c r="A291" s="138"/>
      <c r="B291" s="139"/>
      <c r="C291" s="129" t="s">
        <v>18</v>
      </c>
      <c r="D291" s="498" t="s">
        <v>38</v>
      </c>
      <c r="E291" s="141"/>
      <c r="F291" s="141"/>
      <c r="G291" s="142"/>
      <c r="H291" s="143"/>
      <c r="I291" s="135"/>
      <c r="J291" s="135"/>
      <c r="K291" s="136"/>
      <c r="L291" s="4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IFERROR(__xludf.DUMMYFUNCTION("IMPORTRANGE(""https://docs.google.com/spreadsheets/d/1eHaY18a8A9IcSdp1K8H6x8fbOy06t2VsZHhMHf-1x7Y/edit?usp=sharing"",""แผน!EE26"")"),300)</f>
        <v>300</v>
      </c>
      <c r="J292" s="466">
        <v>300</v>
      </c>
      <c r="K292" s="497">
        <f ca="1">IF(I292&gt;0,J292*100/I292,0)</f>
        <v>100</v>
      </c>
      <c r="L292" s="4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IFERROR(__xludf.DUMMYFUNCTION("IMPORTRANGE(""https://docs.google.com/spreadsheets/d/1eHaY18a8A9IcSdp1K8H6x8fbOy06t2VsZHhMHf-1x7Y/edit?usp=sharing"",""แผน!ED26"")"),30)</f>
        <v>30</v>
      </c>
      <c r="J293" s="328">
        <f>J296</f>
        <v>30</v>
      </c>
      <c r="K293" s="582">
        <f ca="1">IF(I293&gt;0,J293*100/I293,0)</f>
        <v>100</v>
      </c>
      <c r="L293" s="4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4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581">
        <f ca="1">IFERROR(__xludf.DUMMYFUNCTION("IMPORTRANGE(""https://docs.google.com/spreadsheets/d/1eHaY18a8A9IcSdp1K8H6x8fbOy06t2VsZHhMHf-1x7Y/edit?usp=sharing"",""แผน!ED26"")"),30)</f>
        <v>30</v>
      </c>
      <c r="J295" s="466">
        <v>30</v>
      </c>
      <c r="K295" s="497">
        <f ca="1">IF(I295&gt;0,J295*100/I295,0)</f>
        <v>100</v>
      </c>
      <c r="L295" s="4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581">
        <f ca="1">IFERROR(__xludf.DUMMYFUNCTION("IMPORTRANGE(""https://docs.google.com/spreadsheets/d/1eHaY18a8A9IcSdp1K8H6x8fbOy06t2VsZHhMHf-1x7Y/edit?usp=sharing"",""แผน!ED26"")"),30)</f>
        <v>30</v>
      </c>
      <c r="J296" s="466">
        <v>30</v>
      </c>
      <c r="K296" s="497">
        <f ca="1">IF(I296&gt;0,J296*100/I296,0)</f>
        <v>100</v>
      </c>
      <c r="L296" s="4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571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hidden="1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571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580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57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541">
        <f ca="1">I314</f>
        <v>30</v>
      </c>
      <c r="J302" s="541">
        <f>J314</f>
        <v>0</v>
      </c>
      <c r="K302" s="540">
        <f ca="1">IF(I302&gt;0,J302*100/I302,0)</f>
        <v>0</v>
      </c>
      <c r="L302" s="539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472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471">
        <f ca="1">L304+L305</f>
        <v>0</v>
      </c>
      <c r="M303" s="470">
        <f ca="1">M304+M305</f>
        <v>0</v>
      </c>
      <c r="N303" s="470">
        <f ca="1">N304+N305</f>
        <v>0</v>
      </c>
      <c r="O303" s="470">
        <f t="shared" ref="O303:O311" ca="1" si="77">IF(L303&gt;0,N303*100/L303,0)</f>
        <v>0</v>
      </c>
      <c r="P303" s="470">
        <f t="shared" ref="P303:P311" ca="1" si="78">IF(M303&gt;0,N303*100/M303,0)</f>
        <v>0</v>
      </c>
      <c r="Q303" s="470">
        <f ca="1">Q304+Q305</f>
        <v>260958.39</v>
      </c>
      <c r="R303" s="470">
        <f ca="1">R304+R305</f>
        <v>260958</v>
      </c>
      <c r="S303" s="470">
        <f ca="1">S304+S305</f>
        <v>0</v>
      </c>
      <c r="T303" s="470">
        <f t="shared" ref="T303:T311" ca="1" si="79">IF(Q303&gt;0,S303*100/Q303,0)</f>
        <v>0</v>
      </c>
      <c r="U303" s="470">
        <f t="shared" ref="U303:U311" ca="1" si="80">IF(R303&gt;0,S303*100/R303,0)</f>
        <v>0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469">
        <f t="shared" ref="L304:N305" si="81">L307+L310</f>
        <v>0</v>
      </c>
      <c r="M304" s="83">
        <f t="shared" si="81"/>
        <v>0</v>
      </c>
      <c r="N304" s="83">
        <f t="shared" si="81"/>
        <v>0</v>
      </c>
      <c r="O304" s="83">
        <f t="shared" si="77"/>
        <v>0</v>
      </c>
      <c r="P304" s="83">
        <f t="shared" si="78"/>
        <v>0</v>
      </c>
      <c r="Q304" s="83">
        <f t="shared" ref="Q304:S305" si="82">Q307+Q310</f>
        <v>0</v>
      </c>
      <c r="R304" s="83">
        <f t="shared" si="82"/>
        <v>0</v>
      </c>
      <c r="S304" s="83">
        <f t="shared" si="82"/>
        <v>0</v>
      </c>
      <c r="T304" s="83">
        <f t="shared" si="79"/>
        <v>0</v>
      </c>
      <c r="U304" s="83">
        <f t="shared" si="80"/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468">
        <f t="shared" ca="1" si="81"/>
        <v>0</v>
      </c>
      <c r="M305" s="224">
        <f t="shared" ca="1" si="81"/>
        <v>0</v>
      </c>
      <c r="N305" s="224">
        <f t="shared" ca="1" si="81"/>
        <v>0</v>
      </c>
      <c r="O305" s="224">
        <f t="shared" ca="1" si="77"/>
        <v>0</v>
      </c>
      <c r="P305" s="224">
        <f t="shared" ca="1" si="78"/>
        <v>0</v>
      </c>
      <c r="Q305" s="224">
        <f t="shared" ca="1" si="82"/>
        <v>260958.39</v>
      </c>
      <c r="R305" s="224">
        <f t="shared" ca="1" si="82"/>
        <v>260958</v>
      </c>
      <c r="S305" s="224">
        <f t="shared" ca="1" si="82"/>
        <v>0</v>
      </c>
      <c r="T305" s="224">
        <f t="shared" ca="1" si="79"/>
        <v>0</v>
      </c>
      <c r="U305" s="224">
        <f t="shared" ca="1" si="80"/>
        <v>0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468">
        <f ca="1">L307+L308</f>
        <v>0</v>
      </c>
      <c r="M306" s="224">
        <f ca="1">M307+M308</f>
        <v>0</v>
      </c>
      <c r="N306" s="224">
        <f ca="1">N307+N308</f>
        <v>0</v>
      </c>
      <c r="O306" s="224">
        <f t="shared" ca="1" si="77"/>
        <v>0</v>
      </c>
      <c r="P306" s="224">
        <f t="shared" ca="1" si="78"/>
        <v>0</v>
      </c>
      <c r="Q306" s="224">
        <f ca="1">Q307+Q308</f>
        <v>260958.39</v>
      </c>
      <c r="R306" s="224">
        <f ca="1">R307+R308</f>
        <v>260958</v>
      </c>
      <c r="S306" s="224">
        <f ca="1">S307+S308</f>
        <v>0</v>
      </c>
      <c r="T306" s="224">
        <f t="shared" ca="1" si="79"/>
        <v>0</v>
      </c>
      <c r="U306" s="224">
        <f t="shared" ca="1" si="80"/>
        <v>0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469">
        <v>0</v>
      </c>
      <c r="M307" s="83">
        <v>0</v>
      </c>
      <c r="N307" s="83">
        <v>0</v>
      </c>
      <c r="O307" s="83">
        <f t="shared" si="77"/>
        <v>0</v>
      </c>
      <c r="P307" s="83">
        <f t="shared" si="78"/>
        <v>0</v>
      </c>
      <c r="Q307" s="83">
        <v>0</v>
      </c>
      <c r="R307" s="83">
        <v>0</v>
      </c>
      <c r="S307" s="83">
        <v>0</v>
      </c>
      <c r="T307" s="83">
        <f t="shared" si="79"/>
        <v>0</v>
      </c>
      <c r="U307" s="83">
        <f t="shared" si="80"/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468">
        <f ca="1">IFERROR(__xludf.DUMMYFUNCTION("IMPORTRANGE(""https://docs.google.com/spreadsheets/d/1-uDff_7J0KD5mKrp0Vvzr7lt3OU09vwQwhkpOPPYv2Y/edit?usp=sharing"",""งบพรบ!DY26"")"),0)</f>
        <v>0</v>
      </c>
      <c r="M308" s="224">
        <f ca="1">IFERROR(__xludf.DUMMYFUNCTION("IMPORTRANGE(""https://docs.google.com/spreadsheets/d/1-uDff_7J0KD5mKrp0Vvzr7lt3OU09vwQwhkpOPPYv2Y/edit?usp=sharing"",""งบพรบ!ED26"")"),0)</f>
        <v>0</v>
      </c>
      <c r="N308" s="224">
        <f ca="1">IFERROR(__xludf.DUMMYFUNCTION("IMPORTRANGE(""https://docs.google.com/spreadsheets/d/1-uDff_7J0KD5mKrp0Vvzr7lt3OU09vwQwhkpOPPYv2Y/edit?usp=sharing"",""งบพรบ!EF26"")"),0)</f>
        <v>0</v>
      </c>
      <c r="O308" s="224">
        <f t="shared" ca="1" si="77"/>
        <v>0</v>
      </c>
      <c r="P308" s="224">
        <f t="shared" ca="1" si="78"/>
        <v>0</v>
      </c>
      <c r="Q308" s="224">
        <f ca="1">IFERROR(__xludf.DUMMYFUNCTION("IMPORTRANGE(""https://docs.google.com/spreadsheets/d/1ItG2mGa2ceCfYo0BwxsXqNm01IGEUdYcSSLTEv9YCik/edit?usp=sharing"",""เบิกจ่ายกองทุน!AP26"")"),260958.39)</f>
        <v>260958.39</v>
      </c>
      <c r="R308" s="224">
        <f ca="1">IFERROR(__xludf.DUMMYFUNCTION("IMPORTRANGE(""https://docs.google.com/spreadsheets/d/1ItG2mGa2ceCfYo0BwxsXqNm01IGEUdYcSSLTEv9YCik/edit?usp=sharing"",""เบิกจ่ายกองทุน!AQ26"")"),260958)</f>
        <v>260958</v>
      </c>
      <c r="S308" s="224">
        <f ca="1">IFERROR(__xludf.DUMMYFUNCTION("IMPORTRANGE(""https://docs.google.com/spreadsheets/d/1ItG2mGa2ceCfYo0BwxsXqNm01IGEUdYcSSLTEv9YCik/edit?usp=sharing"",""เบิกจ่ายกองทุน!AR26"")"),0)</f>
        <v>0</v>
      </c>
      <c r="T308" s="224">
        <f t="shared" ca="1" si="79"/>
        <v>0</v>
      </c>
      <c r="U308" s="224">
        <f t="shared" ca="1" si="80"/>
        <v>0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468">
        <f ca="1">L310+L311</f>
        <v>0</v>
      </c>
      <c r="M309" s="224">
        <f ca="1">M310+M311</f>
        <v>0</v>
      </c>
      <c r="N309" s="224">
        <f ca="1">N310+N311</f>
        <v>0</v>
      </c>
      <c r="O309" s="224">
        <f t="shared" ca="1" si="77"/>
        <v>0</v>
      </c>
      <c r="P309" s="224">
        <f t="shared" ca="1" si="78"/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 t="shared" si="79"/>
        <v>0</v>
      </c>
      <c r="U309" s="224">
        <f t="shared" si="80"/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469">
        <v>0</v>
      </c>
      <c r="M310" s="83">
        <v>0</v>
      </c>
      <c r="N310" s="83">
        <v>0</v>
      </c>
      <c r="O310" s="83">
        <f t="shared" si="77"/>
        <v>0</v>
      </c>
      <c r="P310" s="83">
        <f t="shared" si="78"/>
        <v>0</v>
      </c>
      <c r="Q310" s="83">
        <v>0</v>
      </c>
      <c r="R310" s="83">
        <v>0</v>
      </c>
      <c r="S310" s="83">
        <v>0</v>
      </c>
      <c r="T310" s="83">
        <f t="shared" si="79"/>
        <v>0</v>
      </c>
      <c r="U310" s="83">
        <f t="shared" si="80"/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468">
        <f ca="1">IFERROR(__xludf.DUMMYFUNCTION("IMPORTRANGE(""https://docs.google.com/spreadsheets/d/1-uDff_7J0KD5mKrp0Vvzr7lt3OU09vwQwhkpOPPYv2Y/edit?usp=sharing"",""งบพรบ!EB26"")"),0)</f>
        <v>0</v>
      </c>
      <c r="M311" s="224">
        <f ca="1">IFERROR(__xludf.DUMMYFUNCTION("IMPORTRANGE(""https://docs.google.com/spreadsheets/d/1-uDff_7J0KD5mKrp0Vvzr7lt3OU09vwQwhkpOPPYv2Y/edit?usp=sharing"",""งบพรบ!EE26"")"),0)</f>
        <v>0</v>
      </c>
      <c r="N311" s="224">
        <f ca="1">IFERROR(__xludf.DUMMYFUNCTION("IMPORTRANGE(""https://docs.google.com/spreadsheets/d/1-uDff_7J0KD5mKrp0Vvzr7lt3OU09vwQwhkpOPPYv2Y/edit?usp=sharing"",""งบพรบ!EG26"")"),0)</f>
        <v>0</v>
      </c>
      <c r="O311" s="224">
        <f t="shared" ca="1" si="77"/>
        <v>0</v>
      </c>
      <c r="P311" s="224">
        <f t="shared" ca="1" si="78"/>
        <v>0</v>
      </c>
      <c r="Q311" s="224">
        <v>0</v>
      </c>
      <c r="R311" s="224">
        <v>0</v>
      </c>
      <c r="S311" s="224">
        <v>0</v>
      </c>
      <c r="T311" s="224">
        <f t="shared" si="79"/>
        <v>0</v>
      </c>
      <c r="U311" s="224">
        <f t="shared" si="80"/>
        <v>0</v>
      </c>
    </row>
    <row r="312" spans="1:21" ht="19.5" x14ac:dyDescent="0.3">
      <c r="A312" s="138"/>
      <c r="B312" s="139"/>
      <c r="C312" s="129" t="s">
        <v>18</v>
      </c>
      <c r="D312" s="498" t="s">
        <v>38</v>
      </c>
      <c r="E312" s="141"/>
      <c r="F312" s="141"/>
      <c r="G312" s="142"/>
      <c r="H312" s="143"/>
      <c r="I312" s="44"/>
      <c r="J312" s="44"/>
      <c r="K312" s="45"/>
      <c r="L312" s="465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579"/>
      <c r="E313" s="18"/>
      <c r="F313" s="18"/>
      <c r="G313" s="19"/>
      <c r="H313" s="19"/>
      <c r="I313" s="20"/>
      <c r="J313" s="577"/>
      <c r="K313" s="21"/>
      <c r="L313" s="571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IFERROR(__xludf.DUMMYFUNCTION("IMPORTRANGE(""https://docs.google.com/spreadsheets/d/1eHaY18a8A9IcSdp1K8H6x8fbOy06t2VsZHhMHf-1x7Y/edit?usp=sharing"",""แผน!EF26"")"),30)</f>
        <v>30</v>
      </c>
      <c r="J314" s="466">
        <v>0</v>
      </c>
      <c r="K314" s="224">
        <f ca="1">IF(I314&gt;0,J314*100/I314,0)</f>
        <v>0</v>
      </c>
      <c r="L314" s="465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579"/>
      <c r="E315" s="18"/>
      <c r="F315" s="18"/>
      <c r="G315" s="19"/>
      <c r="H315" s="578"/>
      <c r="I315" s="577"/>
      <c r="J315" s="577"/>
      <c r="K315" s="576"/>
      <c r="L315" s="571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579"/>
      <c r="E316" s="18"/>
      <c r="F316" s="18"/>
      <c r="G316" s="19"/>
      <c r="H316" s="578"/>
      <c r="I316" s="577"/>
      <c r="J316" s="577"/>
      <c r="K316" s="576"/>
      <c r="L316" s="571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575"/>
      <c r="E317" s="18"/>
      <c r="F317" s="18"/>
      <c r="G317" s="19"/>
      <c r="H317" s="574"/>
      <c r="I317" s="573"/>
      <c r="J317" s="573"/>
      <c r="K317" s="572"/>
      <c r="L317" s="571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57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hidden="1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541">
        <f ca="1">I330</f>
        <v>0</v>
      </c>
      <c r="J319" s="541">
        <f>J330</f>
        <v>0</v>
      </c>
      <c r="K319" s="540">
        <f ca="1">IF(I319&gt;0,J319*100/I319,0)</f>
        <v>0</v>
      </c>
      <c r="L319" s="539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hidden="1" x14ac:dyDescent="0.3">
      <c r="A320" s="128"/>
      <c r="B320" s="40"/>
      <c r="C320" s="129" t="s">
        <v>18</v>
      </c>
      <c r="D320" s="472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471">
        <f ca="1">L321+L322</f>
        <v>0</v>
      </c>
      <c r="M320" s="470">
        <f ca="1">M321+M322</f>
        <v>0</v>
      </c>
      <c r="N320" s="470">
        <f ca="1">N321+N322</f>
        <v>0</v>
      </c>
      <c r="O320" s="470">
        <f t="shared" ref="O320:O328" ca="1" si="83">IF(L320&gt;0,N320*100/L320,0)</f>
        <v>0</v>
      </c>
      <c r="P320" s="470">
        <f t="shared" ref="P320:P328" ca="1" si="84">IF(M320&gt;0,N320*100/M320,0)</f>
        <v>0</v>
      </c>
      <c r="Q320" s="470">
        <f>Q321+Q322</f>
        <v>0</v>
      </c>
      <c r="R320" s="470">
        <f>R321+R322</f>
        <v>0</v>
      </c>
      <c r="S320" s="470">
        <f>S321+S322</f>
        <v>0</v>
      </c>
      <c r="T320" s="470">
        <f t="shared" ref="T320:T328" si="85">IF(Q320&gt;0,S320*100/Q320,0)</f>
        <v>0</v>
      </c>
      <c r="U320" s="470">
        <f t="shared" ref="U320:U328" si="86"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469">
        <f t="shared" ref="L321:N322" si="87">L324+L327</f>
        <v>0</v>
      </c>
      <c r="M321" s="83">
        <f t="shared" si="87"/>
        <v>0</v>
      </c>
      <c r="N321" s="83">
        <f t="shared" si="87"/>
        <v>0</v>
      </c>
      <c r="O321" s="83">
        <f t="shared" si="83"/>
        <v>0</v>
      </c>
      <c r="P321" s="83">
        <f t="shared" si="84"/>
        <v>0</v>
      </c>
      <c r="Q321" s="83">
        <f t="shared" ref="Q321:S322" si="88">Q324+Q327</f>
        <v>0</v>
      </c>
      <c r="R321" s="83">
        <f t="shared" si="88"/>
        <v>0</v>
      </c>
      <c r="S321" s="83">
        <f t="shared" si="88"/>
        <v>0</v>
      </c>
      <c r="T321" s="83">
        <f t="shared" si="85"/>
        <v>0</v>
      </c>
      <c r="U321" s="83">
        <f t="shared" si="86"/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468">
        <f t="shared" ca="1" si="87"/>
        <v>0</v>
      </c>
      <c r="M322" s="224">
        <f t="shared" ca="1" si="87"/>
        <v>0</v>
      </c>
      <c r="N322" s="224">
        <f t="shared" ca="1" si="87"/>
        <v>0</v>
      </c>
      <c r="O322" s="224">
        <f t="shared" ca="1" si="83"/>
        <v>0</v>
      </c>
      <c r="P322" s="224">
        <f t="shared" ca="1" si="84"/>
        <v>0</v>
      </c>
      <c r="Q322" s="224">
        <f t="shared" si="88"/>
        <v>0</v>
      </c>
      <c r="R322" s="224">
        <f t="shared" si="88"/>
        <v>0</v>
      </c>
      <c r="S322" s="224">
        <f t="shared" si="88"/>
        <v>0</v>
      </c>
      <c r="T322" s="224">
        <f t="shared" si="85"/>
        <v>0</v>
      </c>
      <c r="U322" s="224">
        <f t="shared" si="86"/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468">
        <f ca="1">L324+L325</f>
        <v>0</v>
      </c>
      <c r="M323" s="224">
        <f ca="1">M324+M325</f>
        <v>0</v>
      </c>
      <c r="N323" s="224">
        <f ca="1">N324+N325</f>
        <v>0</v>
      </c>
      <c r="O323" s="224">
        <f t="shared" ca="1" si="83"/>
        <v>0</v>
      </c>
      <c r="P323" s="224">
        <f t="shared" ca="1" si="84"/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 t="shared" si="85"/>
        <v>0</v>
      </c>
      <c r="U323" s="224">
        <f t="shared" si="86"/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469">
        <v>0</v>
      </c>
      <c r="M324" s="83">
        <v>0</v>
      </c>
      <c r="N324" s="83">
        <v>0</v>
      </c>
      <c r="O324" s="83">
        <f t="shared" si="83"/>
        <v>0</v>
      </c>
      <c r="P324" s="83">
        <f t="shared" si="84"/>
        <v>0</v>
      </c>
      <c r="Q324" s="83">
        <v>0</v>
      </c>
      <c r="R324" s="83">
        <v>0</v>
      </c>
      <c r="S324" s="83">
        <v>0</v>
      </c>
      <c r="T324" s="83">
        <f t="shared" si="85"/>
        <v>0</v>
      </c>
      <c r="U324" s="83">
        <f t="shared" si="86"/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468">
        <f ca="1">IFERROR(__xludf.DUMMYFUNCTION("IMPORTRANGE(""https://docs.google.com/spreadsheets/d/1-uDff_7J0KD5mKrp0Vvzr7lt3OU09vwQwhkpOPPYv2Y/edit?usp=sharing"",""งบพรบ!EI26"")"),0)</f>
        <v>0</v>
      </c>
      <c r="M325" s="224">
        <f ca="1">IFERROR(__xludf.DUMMYFUNCTION("IMPORTRANGE(""https://docs.google.com/spreadsheets/d/1-uDff_7J0KD5mKrp0Vvzr7lt3OU09vwQwhkpOPPYv2Y/edit?usp=sharing"",""งบพรบ!EN26"")"),0)</f>
        <v>0</v>
      </c>
      <c r="N325" s="224">
        <f ca="1">IFERROR(__xludf.DUMMYFUNCTION("IMPORTRANGE(""https://docs.google.com/spreadsheets/d/1-uDff_7J0KD5mKrp0Vvzr7lt3OU09vwQwhkpOPPYv2Y/edit?usp=sharing"",""งบพรบ!EP26"")"),0)</f>
        <v>0</v>
      </c>
      <c r="O325" s="224">
        <f t="shared" ca="1" si="83"/>
        <v>0</v>
      </c>
      <c r="P325" s="224">
        <f t="shared" ca="1" si="84"/>
        <v>0</v>
      </c>
      <c r="Q325" s="224">
        <v>0</v>
      </c>
      <c r="R325" s="224">
        <v>0</v>
      </c>
      <c r="S325" s="224">
        <v>0</v>
      </c>
      <c r="T325" s="224">
        <f t="shared" si="85"/>
        <v>0</v>
      </c>
      <c r="U325" s="224">
        <f t="shared" si="86"/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468">
        <f ca="1">L327+L328</f>
        <v>0</v>
      </c>
      <c r="M326" s="224">
        <f ca="1">M327+M328</f>
        <v>0</v>
      </c>
      <c r="N326" s="224">
        <f ca="1">N327+N328</f>
        <v>0</v>
      </c>
      <c r="O326" s="224">
        <f t="shared" ca="1" si="83"/>
        <v>0</v>
      </c>
      <c r="P326" s="224">
        <f t="shared" ca="1" si="84"/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 t="shared" si="85"/>
        <v>0</v>
      </c>
      <c r="U326" s="224">
        <f t="shared" si="86"/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469">
        <v>0</v>
      </c>
      <c r="M327" s="83">
        <v>0</v>
      </c>
      <c r="N327" s="83">
        <v>0</v>
      </c>
      <c r="O327" s="83">
        <f t="shared" si="83"/>
        <v>0</v>
      </c>
      <c r="P327" s="83">
        <f t="shared" si="84"/>
        <v>0</v>
      </c>
      <c r="Q327" s="83">
        <v>0</v>
      </c>
      <c r="R327" s="83">
        <v>0</v>
      </c>
      <c r="S327" s="83">
        <v>0</v>
      </c>
      <c r="T327" s="83">
        <f t="shared" si="85"/>
        <v>0</v>
      </c>
      <c r="U327" s="83">
        <f t="shared" si="86"/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468">
        <f ca="1">IFERROR(__xludf.DUMMYFUNCTION("IMPORTRANGE(""https://docs.google.com/spreadsheets/d/1-uDff_7J0KD5mKrp0Vvzr7lt3OU09vwQwhkpOPPYv2Y/edit?usp=sharing"",""งบพรบ!EL26"")"),0)</f>
        <v>0</v>
      </c>
      <c r="M328" s="224">
        <f ca="1">IFERROR(__xludf.DUMMYFUNCTION("IMPORTRANGE(""https://docs.google.com/spreadsheets/d/1-uDff_7J0KD5mKrp0Vvzr7lt3OU09vwQwhkpOPPYv2Y/edit?usp=sharing"",""งบพรบ!EO26"")"),0)</f>
        <v>0</v>
      </c>
      <c r="N328" s="224">
        <f ca="1">IFERROR(__xludf.DUMMYFUNCTION("IMPORTRANGE(""https://docs.google.com/spreadsheets/d/1-uDff_7J0KD5mKrp0Vvzr7lt3OU09vwQwhkpOPPYv2Y/edit?usp=sharing"",""งบพรบ!EQ26"")"),0)</f>
        <v>0</v>
      </c>
      <c r="O328" s="224">
        <f t="shared" ca="1" si="83"/>
        <v>0</v>
      </c>
      <c r="P328" s="224">
        <f t="shared" ca="1" si="84"/>
        <v>0</v>
      </c>
      <c r="Q328" s="224">
        <v>0</v>
      </c>
      <c r="R328" s="224">
        <v>0</v>
      </c>
      <c r="S328" s="224">
        <v>0</v>
      </c>
      <c r="T328" s="224">
        <f t="shared" si="85"/>
        <v>0</v>
      </c>
      <c r="U328" s="224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8" t="s">
        <v>38</v>
      </c>
      <c r="E329" s="141"/>
      <c r="F329" s="141"/>
      <c r="G329" s="142"/>
      <c r="H329" s="143"/>
      <c r="I329" s="135"/>
      <c r="J329" s="44"/>
      <c r="K329" s="45"/>
      <c r="L329" s="465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IFERROR(__xludf.DUMMYFUNCTION("IMPORTRANGE(""https://docs.google.com/spreadsheets/d/1eHaY18a8A9IcSdp1K8H6x8fbOy06t2VsZHhMHf-1x7Y/edit?usp=sharing"",""แผน!EJ26"")"),0)</f>
        <v>0</v>
      </c>
      <c r="J330" s="466">
        <v>0</v>
      </c>
      <c r="K330" s="224">
        <f ca="1">IF(I330&gt;0,J330*100/I330,0)</f>
        <v>0</v>
      </c>
      <c r="L330" s="465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57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569">
        <f ca="1">I344</f>
        <v>1340</v>
      </c>
      <c r="J332" s="568">
        <f ca="1">J344+J347+J348+J349+J353</f>
        <v>8116</v>
      </c>
      <c r="K332" s="567">
        <f ca="1">IF(I332&gt;0,J332*100/I332,0)</f>
        <v>605.67164179104475</v>
      </c>
      <c r="L332" s="539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472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471">
        <f ca="1">L334+L335</f>
        <v>110000</v>
      </c>
      <c r="M333" s="470">
        <f ca="1">M334+M335</f>
        <v>115000</v>
      </c>
      <c r="N333" s="470">
        <f ca="1">N334+N335</f>
        <v>78270</v>
      </c>
      <c r="O333" s="470">
        <f t="shared" ref="O333:O341" ca="1" si="89">IF(L333&gt;0,N333*100/L333,0)</f>
        <v>71.154545454545456</v>
      </c>
      <c r="P333" s="470">
        <f t="shared" ref="P333:P341" ca="1" si="90">IF(M333&gt;0,N333*100/M333,0)</f>
        <v>68.060869565217388</v>
      </c>
      <c r="Q333" s="470">
        <f>Q334+Q335</f>
        <v>0</v>
      </c>
      <c r="R333" s="470">
        <f>R334+R335</f>
        <v>0</v>
      </c>
      <c r="S333" s="470">
        <f>S334+S335</f>
        <v>0</v>
      </c>
      <c r="T333" s="470">
        <f t="shared" ref="T333:T341" si="91">IF(Q333&gt;0,S333*100/Q333,0)</f>
        <v>0</v>
      </c>
      <c r="U333" s="470">
        <f t="shared" ref="U333:U341" si="92"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469">
        <f t="shared" ref="L334:N335" si="93">L337+L340</f>
        <v>0</v>
      </c>
      <c r="M334" s="83">
        <f t="shared" si="93"/>
        <v>0</v>
      </c>
      <c r="N334" s="83">
        <f t="shared" si="93"/>
        <v>0</v>
      </c>
      <c r="O334" s="83">
        <f t="shared" si="89"/>
        <v>0</v>
      </c>
      <c r="P334" s="83">
        <f t="shared" si="90"/>
        <v>0</v>
      </c>
      <c r="Q334" s="83">
        <f t="shared" ref="Q334:S335" si="94">Q337+Q340</f>
        <v>0</v>
      </c>
      <c r="R334" s="83">
        <f t="shared" si="94"/>
        <v>0</v>
      </c>
      <c r="S334" s="83">
        <f t="shared" si="94"/>
        <v>0</v>
      </c>
      <c r="T334" s="83">
        <f t="shared" si="91"/>
        <v>0</v>
      </c>
      <c r="U334" s="83">
        <f t="shared" si="92"/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468">
        <f t="shared" ca="1" si="93"/>
        <v>110000</v>
      </c>
      <c r="M335" s="224">
        <f t="shared" ca="1" si="93"/>
        <v>115000</v>
      </c>
      <c r="N335" s="224">
        <f t="shared" ca="1" si="93"/>
        <v>78270</v>
      </c>
      <c r="O335" s="224">
        <f t="shared" ca="1" si="89"/>
        <v>71.154545454545456</v>
      </c>
      <c r="P335" s="224">
        <f t="shared" ca="1" si="90"/>
        <v>68.060869565217388</v>
      </c>
      <c r="Q335" s="224">
        <f t="shared" si="94"/>
        <v>0</v>
      </c>
      <c r="R335" s="224">
        <f t="shared" si="94"/>
        <v>0</v>
      </c>
      <c r="S335" s="224">
        <f t="shared" si="94"/>
        <v>0</v>
      </c>
      <c r="T335" s="224">
        <f t="shared" si="91"/>
        <v>0</v>
      </c>
      <c r="U335" s="224">
        <f t="shared" si="92"/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468">
        <f ca="1">L337+L338</f>
        <v>110000</v>
      </c>
      <c r="M336" s="224">
        <f ca="1">M337+M338</f>
        <v>115000</v>
      </c>
      <c r="N336" s="224">
        <f ca="1">N337+N338</f>
        <v>78270</v>
      </c>
      <c r="O336" s="224">
        <f t="shared" ca="1" si="89"/>
        <v>71.154545454545456</v>
      </c>
      <c r="P336" s="224">
        <f t="shared" ca="1" si="90"/>
        <v>68.060869565217388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 t="shared" si="91"/>
        <v>0</v>
      </c>
      <c r="U336" s="224">
        <f t="shared" si="92"/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469">
        <v>0</v>
      </c>
      <c r="M337" s="83">
        <v>0</v>
      </c>
      <c r="N337" s="83">
        <v>0</v>
      </c>
      <c r="O337" s="83">
        <f t="shared" si="89"/>
        <v>0</v>
      </c>
      <c r="P337" s="83">
        <f t="shared" si="90"/>
        <v>0</v>
      </c>
      <c r="Q337" s="83">
        <v>0</v>
      </c>
      <c r="R337" s="83">
        <v>0</v>
      </c>
      <c r="S337" s="83">
        <v>0</v>
      </c>
      <c r="T337" s="83">
        <f t="shared" si="91"/>
        <v>0</v>
      </c>
      <c r="U337" s="83">
        <f t="shared" si="92"/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468">
        <f ca="1">IFERROR(__xludf.DUMMYFUNCTION("IMPORTRANGE(""https://docs.google.com/spreadsheets/d/1-uDff_7J0KD5mKrp0Vvzr7lt3OU09vwQwhkpOPPYv2Y/edit?usp=sharing"",""งบพรบ!ES26"")"),110000)</f>
        <v>110000</v>
      </c>
      <c r="M338" s="224">
        <f ca="1">IFERROR(__xludf.DUMMYFUNCTION("IMPORTRANGE(""https://docs.google.com/spreadsheets/d/1-uDff_7J0KD5mKrp0Vvzr7lt3OU09vwQwhkpOPPYv2Y/edit?usp=sharing"",""งบพรบ!EX26"")"),115000)</f>
        <v>115000</v>
      </c>
      <c r="N338" s="224">
        <f ca="1">IFERROR(__xludf.DUMMYFUNCTION("IMPORTRANGE(""https://docs.google.com/spreadsheets/d/1-uDff_7J0KD5mKrp0Vvzr7lt3OU09vwQwhkpOPPYv2Y/edit?usp=sharing"",""งบพรบ!EZ26"")"),78270)</f>
        <v>78270</v>
      </c>
      <c r="O338" s="224">
        <f t="shared" ca="1" si="89"/>
        <v>71.154545454545456</v>
      </c>
      <c r="P338" s="224">
        <f t="shared" ca="1" si="90"/>
        <v>68.060869565217388</v>
      </c>
      <c r="Q338" s="224">
        <v>0</v>
      </c>
      <c r="R338" s="224">
        <v>0</v>
      </c>
      <c r="S338" s="224">
        <v>0</v>
      </c>
      <c r="T338" s="224">
        <f t="shared" si="91"/>
        <v>0</v>
      </c>
      <c r="U338" s="224">
        <f t="shared" si="92"/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468">
        <f ca="1">L340+L341</f>
        <v>0</v>
      </c>
      <c r="M339" s="224">
        <f ca="1">M340+M341</f>
        <v>0</v>
      </c>
      <c r="N339" s="224">
        <f ca="1">N340+N341</f>
        <v>0</v>
      </c>
      <c r="O339" s="224">
        <f t="shared" ca="1" si="89"/>
        <v>0</v>
      </c>
      <c r="P339" s="224">
        <f t="shared" ca="1" si="90"/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 t="shared" si="91"/>
        <v>0</v>
      </c>
      <c r="U339" s="224">
        <f t="shared" si="92"/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469">
        <v>0</v>
      </c>
      <c r="M340" s="83">
        <v>0</v>
      </c>
      <c r="N340" s="83">
        <v>0</v>
      </c>
      <c r="O340" s="83">
        <f t="shared" si="89"/>
        <v>0</v>
      </c>
      <c r="P340" s="83">
        <f t="shared" si="90"/>
        <v>0</v>
      </c>
      <c r="Q340" s="83">
        <v>0</v>
      </c>
      <c r="R340" s="83">
        <v>0</v>
      </c>
      <c r="S340" s="83">
        <v>0</v>
      </c>
      <c r="T340" s="83">
        <f t="shared" si="91"/>
        <v>0</v>
      </c>
      <c r="U340" s="83">
        <f t="shared" si="92"/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468">
        <f ca="1">IFERROR(__xludf.DUMMYFUNCTION("IMPORTRANGE(""https://docs.google.com/spreadsheets/d/1-uDff_7J0KD5mKrp0Vvzr7lt3OU09vwQwhkpOPPYv2Y/edit?usp=sharing"",""งบพรบ!EV26"")"),0)</f>
        <v>0</v>
      </c>
      <c r="M341" s="224">
        <f ca="1">IFERROR(__xludf.DUMMYFUNCTION("IMPORTRANGE(""https://docs.google.com/spreadsheets/d/1-uDff_7J0KD5mKrp0Vvzr7lt3OU09vwQwhkpOPPYv2Y/edit?usp=sharing"",""งบพรบ!EY26"")"),0)</f>
        <v>0</v>
      </c>
      <c r="N341" s="224">
        <f ca="1">IFERROR(__xludf.DUMMYFUNCTION("IMPORTRANGE(""https://docs.google.com/spreadsheets/d/1-uDff_7J0KD5mKrp0Vvzr7lt3OU09vwQwhkpOPPYv2Y/edit?usp=sharing"",""งบพรบ!FA26"")"),0)</f>
        <v>0</v>
      </c>
      <c r="O341" s="224">
        <f t="shared" ca="1" si="89"/>
        <v>0</v>
      </c>
      <c r="P341" s="224">
        <f t="shared" ca="1" si="90"/>
        <v>0</v>
      </c>
      <c r="Q341" s="224">
        <v>0</v>
      </c>
      <c r="R341" s="224">
        <v>0</v>
      </c>
      <c r="S341" s="224">
        <v>0</v>
      </c>
      <c r="T341" s="224">
        <f t="shared" si="91"/>
        <v>0</v>
      </c>
      <c r="U341" s="224">
        <f t="shared" si="92"/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465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566"/>
      <c r="B343" s="563"/>
      <c r="C343" s="565"/>
      <c r="D343" s="563"/>
      <c r="E343" s="564" t="s">
        <v>137</v>
      </c>
      <c r="F343" s="563"/>
      <c r="G343" s="562"/>
      <c r="H343" s="561" t="s">
        <v>35</v>
      </c>
      <c r="I343" s="560">
        <v>0</v>
      </c>
      <c r="J343" s="560">
        <f ca="1">J344+J347+J348+J349</f>
        <v>3516</v>
      </c>
      <c r="K343" s="559">
        <v>0</v>
      </c>
      <c r="L343" s="557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IFERROR(__xludf.DUMMYFUNCTION("IMPORTRANGE(""https://docs.google.com/spreadsheets/d/1eHaY18a8A9IcSdp1K8H6x8fbOy06t2VsZHhMHf-1x7Y/edit?usp=sharing"",""แผน!EK26"")"),1340)</f>
        <v>1340</v>
      </c>
      <c r="J344" s="184">
        <f ca="1">IFERROR(__xludf.DUMMYFUNCTION("IMPORTRANGE(""https://docs.google.com/spreadsheets/d/1awYsYK3VOup2i3Pq_Yjnu8DRu_mYwSBnCR2QPthd0rU/edit?usp=sharing"",""ศูนย์ยกเว้นโฉนด!D26"")"),3385)</f>
        <v>3385</v>
      </c>
      <c r="K344" s="224">
        <f ca="1">IF(I344&gt;0,J344*100/I344,0)</f>
        <v>252.61194029850745</v>
      </c>
      <c r="L344" s="465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465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IFERROR(__xludf.DUMMYFUNCTION("IMPORTRANGE(""https://docs.google.com/spreadsheets/d/1eHaY18a8A9IcSdp1K8H6x8fbOy06t2VsZHhMHf-1x7Y/edit?usp=sharing"",""แผน!EL26"")"),5)</f>
        <v>5</v>
      </c>
      <c r="J346" s="184">
        <f ca="1">IFERROR(__xludf.DUMMYFUNCTION("IMPORTRANGE(""https://docs.google.com/spreadsheets/d/1awYsYK3VOup2i3Pq_Yjnu8DRu_mYwSBnCR2QPthd0rU/edit?usp=sharing"",""ศูนย์รวม!E26"")"),3)</f>
        <v>3</v>
      </c>
      <c r="K346" s="224">
        <f ca="1">IF(I346&gt;0,J346*100/I346,0)</f>
        <v>60</v>
      </c>
      <c r="L346" s="465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IFERROR(__xludf.DUMMYFUNCTION("IMPORTRANGE(""https://docs.google.com/spreadsheets/d/1awYsYK3VOup2i3Pq_Yjnu8DRu_mYwSBnCR2QPthd0rU/edit?usp=sharing"",""ศูนย์ยกเว้นโฉนด!F26"")"),128)</f>
        <v>128</v>
      </c>
      <c r="K347" s="45"/>
      <c r="L347" s="465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IFERROR(__xludf.DUMMYFUNCTION("IMPORTRANGE(""https://docs.google.com/spreadsheets/d/1awYsYK3VOup2i3Pq_Yjnu8DRu_mYwSBnCR2QPthd0rU/edit?usp=sharing"",""ศูนย์ยกเว้นโฉนด!G26"")"),3)</f>
        <v>3</v>
      </c>
      <c r="K348" s="45"/>
      <c r="L348" s="465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IFERROR(__xludf.DUMMYFUNCTION("IMPORTRANGE(""https://docs.google.com/spreadsheets/d/1awYsYK3VOup2i3Pq_Yjnu8DRu_mYwSBnCR2QPthd0rU/edit?usp=sharing"",""ศูนย์ยกเว้นโฉนด!H26"")"),0)</f>
        <v>0</v>
      </c>
      <c r="K349" s="45"/>
      <c r="L349" s="465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0"/>
      <c r="F350" s="40"/>
      <c r="G350" s="42"/>
      <c r="H350" s="180"/>
      <c r="I350" s="44"/>
      <c r="J350" s="44"/>
      <c r="K350" s="45"/>
      <c r="L350" s="465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558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6395</v>
      </c>
      <c r="K351" s="304">
        <v>0</v>
      </c>
      <c r="L351" s="557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IFERROR(__xludf.DUMMYFUNCTION("IMPORTRANGE(""https://docs.google.com/spreadsheets/d/1awYsYK3VOup2i3Pq_Yjnu8DRu_mYwSBnCR2QPthd0rU/edit?usp=sharing"",""โฉนดM3!G26"")"),1795)</f>
        <v>1795</v>
      </c>
      <c r="K352" s="45"/>
      <c r="L352" s="465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IFERROR(__xludf.DUMMYFUNCTION("IMPORTRANGE(""https://docs.google.com/spreadsheets/d/1awYsYK3VOup2i3Pq_Yjnu8DRu_mYwSBnCR2QPthd0rU/edit?usp=sharing"",""โฉนดM3!H26"")"),4600)</f>
        <v>4600</v>
      </c>
      <c r="K353" s="45"/>
      <c r="L353" s="465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0"/>
      <c r="F354" s="40"/>
      <c r="G354" s="42"/>
      <c r="H354" s="180"/>
      <c r="I354" s="44"/>
      <c r="J354" s="44"/>
      <c r="K354" s="45"/>
      <c r="L354" s="465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539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472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471">
        <f ca="1">L357+L358</f>
        <v>568695</v>
      </c>
      <c r="M356" s="470">
        <f ca="1">M357+M358</f>
        <v>568695</v>
      </c>
      <c r="N356" s="470">
        <f ca="1">N357+N358</f>
        <v>297253.40999999997</v>
      </c>
      <c r="O356" s="470">
        <f t="shared" ref="O356:O364" ca="1" si="95">IF(L356&gt;0,N356*100/L356,0)</f>
        <v>52.26939044654867</v>
      </c>
      <c r="P356" s="470">
        <f t="shared" ref="P356:P364" ca="1" si="96">IF(M356&gt;0,N356*100/M356,0)</f>
        <v>52.26939044654867</v>
      </c>
      <c r="Q356" s="470">
        <f>Q357+Q358</f>
        <v>0</v>
      </c>
      <c r="R356" s="470">
        <f>R357+R358</f>
        <v>0</v>
      </c>
      <c r="S356" s="470">
        <f>S357+S358</f>
        <v>0</v>
      </c>
      <c r="T356" s="470">
        <f t="shared" ref="T356:T364" si="97">IF(Q356&gt;0,S356*100/Q356,0)</f>
        <v>0</v>
      </c>
      <c r="U356" s="470">
        <f t="shared" ref="U356:U364" si="98"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469">
        <f t="shared" ref="L357:N358" si="99">L360+L363</f>
        <v>0</v>
      </c>
      <c r="M357" s="83">
        <f t="shared" si="99"/>
        <v>0</v>
      </c>
      <c r="N357" s="83">
        <f t="shared" si="99"/>
        <v>0</v>
      </c>
      <c r="O357" s="83">
        <f t="shared" si="95"/>
        <v>0</v>
      </c>
      <c r="P357" s="83">
        <f t="shared" si="96"/>
        <v>0</v>
      </c>
      <c r="Q357" s="83">
        <f t="shared" ref="Q357:S358" si="100">Q360+Q363</f>
        <v>0</v>
      </c>
      <c r="R357" s="83">
        <f t="shared" si="100"/>
        <v>0</v>
      </c>
      <c r="S357" s="83">
        <f t="shared" si="100"/>
        <v>0</v>
      </c>
      <c r="T357" s="83">
        <f t="shared" si="97"/>
        <v>0</v>
      </c>
      <c r="U357" s="83">
        <f t="shared" si="98"/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468">
        <f t="shared" ca="1" si="99"/>
        <v>568695</v>
      </c>
      <c r="M358" s="224">
        <f t="shared" ca="1" si="99"/>
        <v>568695</v>
      </c>
      <c r="N358" s="224">
        <f t="shared" ca="1" si="99"/>
        <v>297253.40999999997</v>
      </c>
      <c r="O358" s="224">
        <f t="shared" ca="1" si="95"/>
        <v>52.26939044654867</v>
      </c>
      <c r="P358" s="224">
        <f t="shared" ca="1" si="96"/>
        <v>52.26939044654867</v>
      </c>
      <c r="Q358" s="224">
        <f t="shared" si="100"/>
        <v>0</v>
      </c>
      <c r="R358" s="224">
        <f t="shared" si="100"/>
        <v>0</v>
      </c>
      <c r="S358" s="224">
        <f t="shared" si="100"/>
        <v>0</v>
      </c>
      <c r="T358" s="224">
        <f t="shared" si="97"/>
        <v>0</v>
      </c>
      <c r="U358" s="224">
        <f t="shared" si="98"/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468">
        <f ca="1">L360+L361</f>
        <v>568695</v>
      </c>
      <c r="M359" s="224">
        <f ca="1">M360+M361</f>
        <v>568695</v>
      </c>
      <c r="N359" s="224">
        <f ca="1">N360+N361</f>
        <v>297253.40999999997</v>
      </c>
      <c r="O359" s="224">
        <f t="shared" ca="1" si="95"/>
        <v>52.26939044654867</v>
      </c>
      <c r="P359" s="224">
        <f t="shared" ca="1" si="96"/>
        <v>52.26939044654867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 t="shared" si="97"/>
        <v>0</v>
      </c>
      <c r="U359" s="224">
        <f t="shared" si="98"/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469">
        <v>0</v>
      </c>
      <c r="M360" s="83">
        <v>0</v>
      </c>
      <c r="N360" s="83">
        <v>0</v>
      </c>
      <c r="O360" s="83">
        <f t="shared" si="95"/>
        <v>0</v>
      </c>
      <c r="P360" s="83">
        <f t="shared" si="96"/>
        <v>0</v>
      </c>
      <c r="Q360" s="83">
        <v>0</v>
      </c>
      <c r="R360" s="83">
        <v>0</v>
      </c>
      <c r="S360" s="83">
        <v>0</v>
      </c>
      <c r="T360" s="83">
        <f t="shared" si="97"/>
        <v>0</v>
      </c>
      <c r="U360" s="83">
        <f t="shared" si="98"/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468">
        <f ca="1">IFERROR(__xludf.DUMMYFUNCTION("IMPORTRANGE(""https://docs.google.com/spreadsheets/d/1-uDff_7J0KD5mKrp0Vvzr7lt3OU09vwQwhkpOPPYv2Y/edit?usp=sharing"",""งบพรบ!FC26"")"),568695)</f>
        <v>568695</v>
      </c>
      <c r="M361" s="224">
        <f ca="1">IFERROR(__xludf.DUMMYFUNCTION("IMPORTRANGE(""https://docs.google.com/spreadsheets/d/1-uDff_7J0KD5mKrp0Vvzr7lt3OU09vwQwhkpOPPYv2Y/edit?usp=sharing"",""งบพรบ!FH26"")"),568695)</f>
        <v>568695</v>
      </c>
      <c r="N361" s="224">
        <f ca="1">IFERROR(__xludf.DUMMYFUNCTION("IMPORTRANGE(""https://docs.google.com/spreadsheets/d/1-uDff_7J0KD5mKrp0Vvzr7lt3OU09vwQwhkpOPPYv2Y/edit?usp=sharing"",""งบพรบ!FJ26"")"),297253.41)</f>
        <v>297253.40999999997</v>
      </c>
      <c r="O361" s="224">
        <f t="shared" ca="1" si="95"/>
        <v>52.26939044654867</v>
      </c>
      <c r="P361" s="224">
        <f t="shared" ca="1" si="96"/>
        <v>52.26939044654867</v>
      </c>
      <c r="Q361" s="224">
        <v>0</v>
      </c>
      <c r="R361" s="224">
        <v>0</v>
      </c>
      <c r="S361" s="224">
        <v>0</v>
      </c>
      <c r="T361" s="224">
        <f t="shared" si="97"/>
        <v>0</v>
      </c>
      <c r="U361" s="224">
        <f t="shared" si="98"/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468">
        <f ca="1">L363+L364</f>
        <v>0</v>
      </c>
      <c r="M362" s="224">
        <f ca="1">M363+M364</f>
        <v>0</v>
      </c>
      <c r="N362" s="224">
        <f ca="1">N363+N364</f>
        <v>0</v>
      </c>
      <c r="O362" s="224">
        <f t="shared" ca="1" si="95"/>
        <v>0</v>
      </c>
      <c r="P362" s="224">
        <f t="shared" ca="1" si="96"/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 t="shared" si="97"/>
        <v>0</v>
      </c>
      <c r="U362" s="224">
        <f t="shared" si="98"/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469">
        <v>0</v>
      </c>
      <c r="M363" s="83">
        <v>0</v>
      </c>
      <c r="N363" s="83">
        <v>0</v>
      </c>
      <c r="O363" s="83">
        <f t="shared" si="95"/>
        <v>0</v>
      </c>
      <c r="P363" s="83">
        <f t="shared" si="96"/>
        <v>0</v>
      </c>
      <c r="Q363" s="83">
        <v>0</v>
      </c>
      <c r="R363" s="83">
        <v>0</v>
      </c>
      <c r="S363" s="83">
        <v>0</v>
      </c>
      <c r="T363" s="83">
        <f t="shared" si="97"/>
        <v>0</v>
      </c>
      <c r="U363" s="83">
        <f t="shared" si="98"/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468">
        <f ca="1">IFERROR(__xludf.DUMMYFUNCTION("IMPORTRANGE(""https://docs.google.com/spreadsheets/d/1-uDff_7J0KD5mKrp0Vvzr7lt3OU09vwQwhkpOPPYv2Y/edit?usp=sharing"",""งบพรบ!FF26"")"),0)</f>
        <v>0</v>
      </c>
      <c r="M364" s="224">
        <f ca="1">IFERROR(__xludf.DUMMYFUNCTION("IMPORTRANGE(""https://docs.google.com/spreadsheets/d/1-uDff_7J0KD5mKrp0Vvzr7lt3OU09vwQwhkpOPPYv2Y/edit?usp=sharing"",""งบพรบ!FI26"")"),0)</f>
        <v>0</v>
      </c>
      <c r="N364" s="224">
        <f ca="1">IFERROR(__xludf.DUMMYFUNCTION("IMPORTRANGE(""https://docs.google.com/spreadsheets/d/1-uDff_7J0KD5mKrp0Vvzr7lt3OU09vwQwhkpOPPYv2Y/edit?usp=sharing"",""งบพรบ!FK26"")"),0)</f>
        <v>0</v>
      </c>
      <c r="O364" s="224">
        <f t="shared" ca="1" si="95"/>
        <v>0</v>
      </c>
      <c r="P364" s="224">
        <f t="shared" ca="1" si="96"/>
        <v>0</v>
      </c>
      <c r="Q364" s="224">
        <v>0</v>
      </c>
      <c r="R364" s="224">
        <v>0</v>
      </c>
      <c r="S364" s="224">
        <v>0</v>
      </c>
      <c r="T364" s="224">
        <f t="shared" si="97"/>
        <v>0</v>
      </c>
      <c r="U364" s="224">
        <f t="shared" si="98"/>
        <v>0</v>
      </c>
    </row>
    <row r="365" spans="1:21" ht="19.5" x14ac:dyDescent="0.3">
      <c r="A365" s="211"/>
      <c r="B365" s="212"/>
      <c r="C365" s="214"/>
      <c r="D365" s="558" t="s">
        <v>149</v>
      </c>
      <c r="E365" s="214"/>
      <c r="F365" s="214"/>
      <c r="G365" s="215"/>
      <c r="H365" s="223" t="s">
        <v>35</v>
      </c>
      <c r="I365" s="303">
        <f ca="1">I371</f>
        <v>446</v>
      </c>
      <c r="J365" s="303">
        <f ca="1">J371</f>
        <v>443</v>
      </c>
      <c r="K365" s="304">
        <f ca="1">IF(I365&gt;0,J365*100/I365,0)</f>
        <v>99.327354260089692</v>
      </c>
      <c r="L365" s="557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498" t="s">
        <v>38</v>
      </c>
      <c r="E366" s="141"/>
      <c r="F366" s="141"/>
      <c r="G366" s="142"/>
      <c r="H366" s="143"/>
      <c r="I366" s="44"/>
      <c r="J366" s="44"/>
      <c r="K366" s="45"/>
      <c r="L366" s="4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IFERROR(__xludf.DUMMYFUNCTION("IMPORTRANGE(""https://docs.google.com/spreadsheets/d/1tdoBKaGub7dwA3U6UFTqxio9LNnvDCQjHKmttSEBsFQ/edit?usp=sharing"",""จัดที่ดิน!AB26"")"),232)</f>
        <v>232</v>
      </c>
      <c r="K367" s="224">
        <f t="shared" ref="K367:K372" si="101">IF(I367&gt;0,J367*100/I367,0)</f>
        <v>0</v>
      </c>
      <c r="L367" s="4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IFERROR(__xludf.DUMMYFUNCTION("IMPORTRANGE(""https://docs.google.com/spreadsheets/d/1eHaY18a8A9IcSdp1K8H6x8fbOy06t2VsZHhMHf-1x7Y/edit?usp=sharing"",""แผน!EW26"")"),735)</f>
        <v>735</v>
      </c>
      <c r="J368" s="556">
        <f ca="1">IFERROR(__xludf.DUMMYFUNCTION("IMPORTRANGE(""https://docs.google.com/spreadsheets/d/1tdoBKaGub7dwA3U6UFTqxio9LNnvDCQjHKmttSEBsFQ/edit?usp=sharing"",""จัดที่ดิน!AC26"")"),950.35)</f>
        <v>950.35</v>
      </c>
      <c r="K368" s="224">
        <f t="shared" ca="1" si="101"/>
        <v>129.29931972789115</v>
      </c>
      <c r="L368" s="4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IFERROR(__xludf.DUMMYFUNCTION("IMPORTRANGE(""https://docs.google.com/spreadsheets/d/1eHaY18a8A9IcSdp1K8H6x8fbOy06t2VsZHhMHf-1x7Y/edit?usp=sharing"",""แผน!EX26"")"),446)</f>
        <v>446</v>
      </c>
      <c r="J369" s="184">
        <f ca="1">IFERROR(__xludf.DUMMYFUNCTION("IMPORTRANGE(""https://docs.google.com/spreadsheets/d/1tdoBKaGub7dwA3U6UFTqxio9LNnvDCQjHKmttSEBsFQ/edit?usp=sharing"",""จัดที่ดิน!AD26"")"),510)</f>
        <v>510</v>
      </c>
      <c r="K369" s="224">
        <f t="shared" ca="1" si="101"/>
        <v>114.34977578475336</v>
      </c>
      <c r="L369" s="4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556">
        <f ca="1">IFERROR(__xludf.DUMMYFUNCTION("IMPORTRANGE(""https://docs.google.com/spreadsheets/d/1tdoBKaGub7dwA3U6UFTqxio9LNnvDCQjHKmttSEBsFQ/edit?usp=sharing"",""จัดที่ดิน!AE26"")"),2693.18)</f>
        <v>2693.18</v>
      </c>
      <c r="K370" s="224">
        <f t="shared" si="101"/>
        <v>0</v>
      </c>
      <c r="L370" s="4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IFERROR(__xludf.DUMMYFUNCTION("IMPORTRANGE(""https://docs.google.com/spreadsheets/d/1eHaY18a8A9IcSdp1K8H6x8fbOy06t2VsZHhMHf-1x7Y/edit?usp=sharing"",""แผน!EY26"")"),446)</f>
        <v>446</v>
      </c>
      <c r="J371" s="184">
        <f ca="1">IFERROR(__xludf.DUMMYFUNCTION("IMPORTRANGE(""https://docs.google.com/spreadsheets/d/1tdoBKaGub7dwA3U6UFTqxio9LNnvDCQjHKmttSEBsFQ/edit?usp=sharing"",""จัดที่ดิน!AF26"")"),443)</f>
        <v>443</v>
      </c>
      <c r="K371" s="224">
        <f t="shared" ca="1" si="101"/>
        <v>99.327354260089692</v>
      </c>
      <c r="L371" s="4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556">
        <f ca="1">IFERROR(__xludf.DUMMYFUNCTION("IMPORTRANGE(""https://docs.google.com/spreadsheets/d/1tdoBKaGub7dwA3U6UFTqxio9LNnvDCQjHKmttSEBsFQ/edit?usp=sharing"",""จัดที่ดิน!AG26"")"),2503.02)</f>
        <v>2503.02</v>
      </c>
      <c r="K372" s="224">
        <f t="shared" si="101"/>
        <v>0</v>
      </c>
      <c r="L372" s="4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2"/>
      <c r="H373" s="52"/>
      <c r="I373" s="54"/>
      <c r="J373" s="54"/>
      <c r="K373" s="3"/>
      <c r="L373" s="46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555"/>
      <c r="B374" s="554" t="s">
        <v>153</v>
      </c>
      <c r="C374" s="553"/>
      <c r="D374" s="552"/>
      <c r="E374" s="551"/>
      <c r="F374" s="551"/>
      <c r="G374" s="550"/>
      <c r="H374" s="549" t="s">
        <v>46</v>
      </c>
      <c r="I374" s="548">
        <f ca="1">I386+I388</f>
        <v>2000</v>
      </c>
      <c r="J374" s="548">
        <f ca="1">J386+J388</f>
        <v>0</v>
      </c>
      <c r="K374" s="547">
        <f ca="1">IF(I374&gt;0,J374*100/I374,0)</f>
        <v>0</v>
      </c>
      <c r="L374" s="539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128"/>
      <c r="B375" s="158"/>
      <c r="C375" s="161" t="s">
        <v>18</v>
      </c>
      <c r="D375" s="544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471">
        <f>L376+L377</f>
        <v>0</v>
      </c>
      <c r="M375" s="470">
        <f>M376+M377</f>
        <v>0</v>
      </c>
      <c r="N375" s="470">
        <f>N376+N377</f>
        <v>0</v>
      </c>
      <c r="O375" s="470">
        <f t="shared" ref="O375:O383" si="102">IF(L375&gt;0,N375*100/L375,0)</f>
        <v>0</v>
      </c>
      <c r="P375" s="470">
        <f t="shared" ref="P375:P383" si="103">IF(M375&gt;0,N375*100/M375,0)</f>
        <v>0</v>
      </c>
      <c r="Q375" s="470">
        <f ca="1">Q376+Q377</f>
        <v>125000</v>
      </c>
      <c r="R375" s="470">
        <f ca="1">R376+R377</f>
        <v>0</v>
      </c>
      <c r="S375" s="470">
        <f ca="1">S376+S377</f>
        <v>0</v>
      </c>
      <c r="T375" s="470">
        <f t="shared" ref="T375:T383" ca="1" si="104">IF(Q375&gt;0,S375*100/Q375,0)</f>
        <v>0</v>
      </c>
      <c r="U375" s="470">
        <f t="shared" ref="U375:U383" ca="1" si="105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469">
        <f t="shared" ref="L376:N377" si="106">L379+L382</f>
        <v>0</v>
      </c>
      <c r="M376" s="83">
        <f t="shared" si="106"/>
        <v>0</v>
      </c>
      <c r="N376" s="83">
        <f t="shared" si="106"/>
        <v>0</v>
      </c>
      <c r="O376" s="83">
        <f t="shared" si="102"/>
        <v>0</v>
      </c>
      <c r="P376" s="83">
        <f t="shared" si="103"/>
        <v>0</v>
      </c>
      <c r="Q376" s="83">
        <f t="shared" ref="Q376:S377" si="107">Q379+Q382</f>
        <v>0</v>
      </c>
      <c r="R376" s="83">
        <f t="shared" si="107"/>
        <v>0</v>
      </c>
      <c r="S376" s="83">
        <f t="shared" si="107"/>
        <v>0</v>
      </c>
      <c r="T376" s="83">
        <f t="shared" si="104"/>
        <v>0</v>
      </c>
      <c r="U376" s="83">
        <f t="shared" si="105"/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468">
        <f t="shared" si="106"/>
        <v>0</v>
      </c>
      <c r="M377" s="224">
        <f t="shared" si="106"/>
        <v>0</v>
      </c>
      <c r="N377" s="224">
        <f t="shared" si="106"/>
        <v>0</v>
      </c>
      <c r="O377" s="224">
        <f t="shared" si="102"/>
        <v>0</v>
      </c>
      <c r="P377" s="224">
        <f t="shared" si="103"/>
        <v>0</v>
      </c>
      <c r="Q377" s="224">
        <f t="shared" ca="1" si="107"/>
        <v>125000</v>
      </c>
      <c r="R377" s="224">
        <f t="shared" ca="1" si="107"/>
        <v>0</v>
      </c>
      <c r="S377" s="224">
        <f t="shared" ca="1" si="107"/>
        <v>0</v>
      </c>
      <c r="T377" s="224">
        <f t="shared" ca="1" si="104"/>
        <v>0</v>
      </c>
      <c r="U377" s="224">
        <f t="shared" ca="1" si="105"/>
        <v>0</v>
      </c>
    </row>
    <row r="378" spans="1:21" ht="18.75" x14ac:dyDescent="0.25">
      <c r="A378" s="128"/>
      <c r="B378" s="158"/>
      <c r="C378" s="158"/>
      <c r="D378" s="53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468">
        <f>L379+L380</f>
        <v>0</v>
      </c>
      <c r="M378" s="224">
        <f>M379+M380</f>
        <v>0</v>
      </c>
      <c r="N378" s="224">
        <f>N379+N380</f>
        <v>0</v>
      </c>
      <c r="O378" s="224">
        <f t="shared" si="102"/>
        <v>0</v>
      </c>
      <c r="P378" s="224">
        <f t="shared" si="103"/>
        <v>0</v>
      </c>
      <c r="Q378" s="224">
        <f ca="1">Q379+Q380</f>
        <v>125000</v>
      </c>
      <c r="R378" s="224">
        <f ca="1">R379+R380</f>
        <v>0</v>
      </c>
      <c r="S378" s="224">
        <f ca="1">S379+S380</f>
        <v>0</v>
      </c>
      <c r="T378" s="224">
        <f t="shared" ca="1" si="104"/>
        <v>0</v>
      </c>
      <c r="U378" s="224">
        <f t="shared" ca="1" si="105"/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469">
        <v>0</v>
      </c>
      <c r="M379" s="83">
        <v>0</v>
      </c>
      <c r="N379" s="83">
        <v>0</v>
      </c>
      <c r="O379" s="83">
        <f t="shared" si="102"/>
        <v>0</v>
      </c>
      <c r="P379" s="83">
        <f t="shared" si="103"/>
        <v>0</v>
      </c>
      <c r="Q379" s="83">
        <v>0</v>
      </c>
      <c r="R379" s="83">
        <v>0</v>
      </c>
      <c r="S379" s="83">
        <v>0</v>
      </c>
      <c r="T379" s="83">
        <f t="shared" si="104"/>
        <v>0</v>
      </c>
      <c r="U379" s="83">
        <f t="shared" si="105"/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468">
        <v>0</v>
      </c>
      <c r="M380" s="224">
        <v>0</v>
      </c>
      <c r="N380" s="224">
        <v>0</v>
      </c>
      <c r="O380" s="224">
        <f t="shared" si="102"/>
        <v>0</v>
      </c>
      <c r="P380" s="224">
        <f t="shared" si="103"/>
        <v>0</v>
      </c>
      <c r="Q380" s="224">
        <f ca="1">IFERROR(__xludf.DUMMYFUNCTION("IMPORTRANGE(""https://docs.google.com/spreadsheets/d/1ItG2mGa2ceCfYo0BwxsXqNm01IGEUdYcSSLTEv9YCik/edit?usp=sharing"",""เบิกจ่ายกองทุน!AY26"")"),125000)</f>
        <v>125000</v>
      </c>
      <c r="R380" s="224">
        <f ca="1">IFERROR(__xludf.DUMMYFUNCTION("IMPORTRANGE(""https://docs.google.com/spreadsheets/d/1ItG2mGa2ceCfYo0BwxsXqNm01IGEUdYcSSLTEv9YCik/edit?usp=sharing"",""เบิกจ่ายกองทุน!AZ26"")"),0)</f>
        <v>0</v>
      </c>
      <c r="S380" s="224">
        <f ca="1">IFERROR(__xludf.DUMMYFUNCTION("IMPORTRANGE(""https://docs.google.com/spreadsheets/d/1ItG2mGa2ceCfYo0BwxsXqNm01IGEUdYcSSLTEv9YCik/edit?usp=sharing"",""เบิกจ่ายกองทุน!BA26"")"),0)</f>
        <v>0</v>
      </c>
      <c r="T380" s="224">
        <f t="shared" ca="1" si="104"/>
        <v>0</v>
      </c>
      <c r="U380" s="224">
        <f t="shared" ca="1" si="105"/>
        <v>0</v>
      </c>
    </row>
    <row r="381" spans="1:21" ht="18.75" x14ac:dyDescent="0.25">
      <c r="A381" s="128"/>
      <c r="B381" s="158"/>
      <c r="C381" s="158"/>
      <c r="D381" s="53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468">
        <f>L382+L383</f>
        <v>0</v>
      </c>
      <c r="M381" s="224">
        <f>M382+M383</f>
        <v>0</v>
      </c>
      <c r="N381" s="224">
        <f>N382+N383</f>
        <v>0</v>
      </c>
      <c r="O381" s="224">
        <f t="shared" si="102"/>
        <v>0</v>
      </c>
      <c r="P381" s="224">
        <f t="shared" si="103"/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 t="shared" si="104"/>
        <v>0</v>
      </c>
      <c r="U381" s="224">
        <f t="shared" si="105"/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469">
        <v>0</v>
      </c>
      <c r="M382" s="83">
        <v>0</v>
      </c>
      <c r="N382" s="83">
        <v>0</v>
      </c>
      <c r="O382" s="83">
        <f t="shared" si="102"/>
        <v>0</v>
      </c>
      <c r="P382" s="83">
        <f t="shared" si="103"/>
        <v>0</v>
      </c>
      <c r="Q382" s="83">
        <v>0</v>
      </c>
      <c r="R382" s="83">
        <v>0</v>
      </c>
      <c r="S382" s="83">
        <v>0</v>
      </c>
      <c r="T382" s="83">
        <f t="shared" si="104"/>
        <v>0</v>
      </c>
      <c r="U382" s="83">
        <f t="shared" si="105"/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468">
        <v>0</v>
      </c>
      <c r="M383" s="224">
        <v>0</v>
      </c>
      <c r="N383" s="224">
        <v>0</v>
      </c>
      <c r="O383" s="224">
        <f t="shared" si="102"/>
        <v>0</v>
      </c>
      <c r="P383" s="224">
        <f t="shared" si="103"/>
        <v>0</v>
      </c>
      <c r="Q383" s="224">
        <v>0</v>
      </c>
      <c r="R383" s="224">
        <v>0</v>
      </c>
      <c r="S383" s="224">
        <v>0</v>
      </c>
      <c r="T383" s="224">
        <f t="shared" si="104"/>
        <v>0</v>
      </c>
      <c r="U383" s="224">
        <f t="shared" si="105"/>
        <v>0</v>
      </c>
    </row>
    <row r="384" spans="1:21" ht="19.5" x14ac:dyDescent="0.3">
      <c r="A384" s="138"/>
      <c r="B384" s="139"/>
      <c r="C384" s="161" t="s">
        <v>18</v>
      </c>
      <c r="D384" s="491" t="s">
        <v>38</v>
      </c>
      <c r="E384" s="141"/>
      <c r="F384" s="141"/>
      <c r="G384" s="142"/>
      <c r="H384" s="178"/>
      <c r="I384" s="135"/>
      <c r="J384" s="44"/>
      <c r="K384" s="45"/>
      <c r="L384" s="465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IFERROR(__xludf.DUMMYFUNCTION("IMPORTRANGE(""https://docs.google.com/spreadsheets/d/1w5rwWK1o49a35cNtocGL0gxDwhFSTZUQu90BiH9_zqM/edit?usp=sharing"",""RTK!H26"")"),0)</f>
        <v>0</v>
      </c>
      <c r="K385" s="224">
        <f>IF(I385&gt;0,J385*100/I385,0)</f>
        <v>0</v>
      </c>
      <c r="L385" s="465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IFERROR(__xludf.DUMMYFUNCTION("IMPORTRANGE(""https://docs.google.com/spreadsheets/d/1w5rwWK1o49a35cNtocGL0gxDwhFSTZUQu90BiH9_zqM/edit?usp=sharing"",""RTK!G26"")"),2000)</f>
        <v>2000</v>
      </c>
      <c r="J386" s="184">
        <f ca="1">IFERROR(__xludf.DUMMYFUNCTION("IMPORTRANGE(""https://docs.google.com/spreadsheets/d/1w5rwWK1o49a35cNtocGL0gxDwhFSTZUQu90BiH9_zqM/edit?usp=sharing"",""RTK!I26"")"),0)</f>
        <v>0</v>
      </c>
      <c r="K386" s="224">
        <f ca="1">IF(I386&gt;0,J386*100/I386,0)</f>
        <v>0</v>
      </c>
      <c r="L386" s="465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545"/>
      <c r="B387" s="545"/>
      <c r="C387" s="545"/>
      <c r="D387" s="545"/>
      <c r="E387" s="546" t="s">
        <v>155</v>
      </c>
      <c r="F387" s="545"/>
      <c r="G387" s="488"/>
      <c r="H387" s="480" t="s">
        <v>34</v>
      </c>
      <c r="I387" s="487">
        <v>0</v>
      </c>
      <c r="J387" s="487">
        <f ca="1">IFERROR(__xludf.DUMMYFUNCTION("IMPORTRANGE(""https://docs.google.com/spreadsheets/d/1w5rwWK1o49a35cNtocGL0gxDwhFSTZUQu90BiH9_zqM/edit?usp=sharing"",""RTK!L26"")"),0)</f>
        <v>0</v>
      </c>
      <c r="K387" s="486">
        <f>IF(I387&gt;0,J387*100/I387,0)</f>
        <v>0</v>
      </c>
      <c r="L387" s="477"/>
      <c r="M387" s="476"/>
      <c r="N387" s="476"/>
      <c r="O387" s="476"/>
      <c r="P387" s="476"/>
      <c r="Q387" s="476"/>
      <c r="R387" s="476"/>
      <c r="S387" s="476"/>
      <c r="T387" s="476"/>
      <c r="U387" s="476"/>
    </row>
    <row r="388" spans="1:21" ht="18.75" x14ac:dyDescent="0.25">
      <c r="A388" s="545"/>
      <c r="B388" s="545"/>
      <c r="C388" s="545"/>
      <c r="D388" s="545"/>
      <c r="E388" s="545"/>
      <c r="F388" s="545"/>
      <c r="G388" s="488"/>
      <c r="H388" s="480" t="s">
        <v>46</v>
      </c>
      <c r="I388" s="487">
        <f ca="1">IFERROR(__xludf.DUMMYFUNCTION("IMPORTRANGE(""https://docs.google.com/spreadsheets/d/1w5rwWK1o49a35cNtocGL0gxDwhFSTZUQu90BiH9_zqM/edit?usp=sharing"",""RTK!K26"")"),0)</f>
        <v>0</v>
      </c>
      <c r="J388" s="487">
        <f ca="1">IFERROR(__xludf.DUMMYFUNCTION("IMPORTRANGE(""https://docs.google.com/spreadsheets/d/1w5rwWK1o49a35cNtocGL0gxDwhFSTZUQu90BiH9_zqM/edit?usp=sharing"",""RTK!M26"")"),0)</f>
        <v>0</v>
      </c>
      <c r="K388" s="486">
        <f ca="1">IF(I388&gt;0,J388*100/I388,0)</f>
        <v>0</v>
      </c>
      <c r="L388" s="477"/>
      <c r="M388" s="476"/>
      <c r="N388" s="476"/>
      <c r="O388" s="476"/>
      <c r="P388" s="476"/>
      <c r="Q388" s="476"/>
      <c r="R388" s="476"/>
      <c r="S388" s="476"/>
      <c r="T388" s="476"/>
      <c r="U388" s="476"/>
    </row>
    <row r="389" spans="1:21" ht="12.75" hidden="1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11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16"/>
      <c r="B390" s="316"/>
      <c r="C390" s="316"/>
      <c r="D390" s="316"/>
      <c r="E390" s="316"/>
      <c r="F390" s="316"/>
      <c r="G390" s="317"/>
      <c r="H390" s="317"/>
      <c r="I390" s="318"/>
      <c r="J390" s="318"/>
      <c r="K390" s="319"/>
      <c r="L390" s="496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hidden="1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>I402</f>
        <v>0</v>
      </c>
      <c r="J391" s="307">
        <f>J402</f>
        <v>0</v>
      </c>
      <c r="K391" s="540">
        <f>IF(I391&gt;0,J391*100/I391,0)</f>
        <v>0</v>
      </c>
      <c r="L391" s="539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hidden="1" x14ac:dyDescent="0.3">
      <c r="A392" s="128"/>
      <c r="B392" s="158"/>
      <c r="C392" s="161" t="s">
        <v>18</v>
      </c>
      <c r="D392" s="54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471">
        <f>L393+L394</f>
        <v>0</v>
      </c>
      <c r="M392" s="470">
        <f>M393+M394</f>
        <v>0</v>
      </c>
      <c r="N392" s="470">
        <f>N393+N394</f>
        <v>0</v>
      </c>
      <c r="O392" s="470">
        <f t="shared" ref="O392:O400" si="108">IF(L392&gt;0,N392*100/L392,0)</f>
        <v>0</v>
      </c>
      <c r="P392" s="470">
        <f t="shared" ref="P392:P400" si="109">IF(M392&gt;0,N392*100/M392,0)</f>
        <v>0</v>
      </c>
      <c r="Q392" s="470">
        <f>Q393+Q394</f>
        <v>0</v>
      </c>
      <c r="R392" s="470">
        <f>R393+R394</f>
        <v>0</v>
      </c>
      <c r="S392" s="470">
        <f>S393+S394</f>
        <v>0</v>
      </c>
      <c r="T392" s="470">
        <f t="shared" ref="T392:T400" si="110">IF(Q392&gt;0,S392*100/Q392,0)</f>
        <v>0</v>
      </c>
      <c r="U392" s="470">
        <f t="shared" ref="U392:U400" si="11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469">
        <f t="shared" ref="L393:N394" si="112">L396+L399</f>
        <v>0</v>
      </c>
      <c r="M393" s="83">
        <f t="shared" si="112"/>
        <v>0</v>
      </c>
      <c r="N393" s="83">
        <f t="shared" si="112"/>
        <v>0</v>
      </c>
      <c r="O393" s="83">
        <f t="shared" si="108"/>
        <v>0</v>
      </c>
      <c r="P393" s="83">
        <f t="shared" si="109"/>
        <v>0</v>
      </c>
      <c r="Q393" s="83">
        <f t="shared" ref="Q393:S394" si="113">Q396+Q399</f>
        <v>0</v>
      </c>
      <c r="R393" s="83">
        <f t="shared" si="113"/>
        <v>0</v>
      </c>
      <c r="S393" s="83">
        <f t="shared" si="113"/>
        <v>0</v>
      </c>
      <c r="T393" s="83">
        <f t="shared" si="110"/>
        <v>0</v>
      </c>
      <c r="U393" s="83">
        <f t="shared" si="111"/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468">
        <f t="shared" si="112"/>
        <v>0</v>
      </c>
      <c r="M394" s="224">
        <f t="shared" si="112"/>
        <v>0</v>
      </c>
      <c r="N394" s="224">
        <f t="shared" si="112"/>
        <v>0</v>
      </c>
      <c r="O394" s="224">
        <f t="shared" si="108"/>
        <v>0</v>
      </c>
      <c r="P394" s="224">
        <f t="shared" si="109"/>
        <v>0</v>
      </c>
      <c r="Q394" s="224">
        <f t="shared" si="113"/>
        <v>0</v>
      </c>
      <c r="R394" s="224">
        <f t="shared" si="113"/>
        <v>0</v>
      </c>
      <c r="S394" s="224">
        <f t="shared" si="113"/>
        <v>0</v>
      </c>
      <c r="T394" s="224">
        <f t="shared" si="110"/>
        <v>0</v>
      </c>
      <c r="U394" s="224">
        <f t="shared" si="111"/>
        <v>0</v>
      </c>
    </row>
    <row r="395" spans="1:21" ht="18.75" hidden="1" x14ac:dyDescent="0.25">
      <c r="A395" s="128"/>
      <c r="B395" s="158"/>
      <c r="C395" s="158"/>
      <c r="D395" s="53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468">
        <f>L396+L397</f>
        <v>0</v>
      </c>
      <c r="M395" s="224">
        <f>M396+M397</f>
        <v>0</v>
      </c>
      <c r="N395" s="224">
        <f>N396+N397</f>
        <v>0</v>
      </c>
      <c r="O395" s="224">
        <f t="shared" si="108"/>
        <v>0</v>
      </c>
      <c r="P395" s="224">
        <f t="shared" si="109"/>
        <v>0</v>
      </c>
      <c r="Q395" s="224">
        <f>Q396+Q397</f>
        <v>0</v>
      </c>
      <c r="R395" s="224">
        <f>R396+R397</f>
        <v>0</v>
      </c>
      <c r="S395" s="224">
        <f>S396+S397</f>
        <v>0</v>
      </c>
      <c r="T395" s="224">
        <f t="shared" si="110"/>
        <v>0</v>
      </c>
      <c r="U395" s="224">
        <f t="shared" si="111"/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469">
        <v>0</v>
      </c>
      <c r="M396" s="83">
        <v>0</v>
      </c>
      <c r="N396" s="83">
        <v>0</v>
      </c>
      <c r="O396" s="83">
        <f t="shared" si="108"/>
        <v>0</v>
      </c>
      <c r="P396" s="83">
        <f t="shared" si="109"/>
        <v>0</v>
      </c>
      <c r="Q396" s="83">
        <v>0</v>
      </c>
      <c r="R396" s="83">
        <v>0</v>
      </c>
      <c r="S396" s="83">
        <v>0</v>
      </c>
      <c r="T396" s="83">
        <f t="shared" si="110"/>
        <v>0</v>
      </c>
      <c r="U396" s="83">
        <f t="shared" si="111"/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468">
        <v>0</v>
      </c>
      <c r="M397" s="224">
        <v>0</v>
      </c>
      <c r="N397" s="224">
        <v>0</v>
      </c>
      <c r="O397" s="224">
        <f t="shared" si="108"/>
        <v>0</v>
      </c>
      <c r="P397" s="224">
        <f t="shared" si="109"/>
        <v>0</v>
      </c>
      <c r="Q397" s="224">
        <v>0</v>
      </c>
      <c r="R397" s="224">
        <v>0</v>
      </c>
      <c r="S397" s="224">
        <v>0</v>
      </c>
      <c r="T397" s="224">
        <f t="shared" si="110"/>
        <v>0</v>
      </c>
      <c r="U397" s="224">
        <f t="shared" si="111"/>
        <v>0</v>
      </c>
    </row>
    <row r="398" spans="1:21" ht="18.75" hidden="1" x14ac:dyDescent="0.25">
      <c r="A398" s="128"/>
      <c r="B398" s="158"/>
      <c r="C398" s="158"/>
      <c r="D398" s="53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468">
        <f>L399+L400</f>
        <v>0</v>
      </c>
      <c r="M398" s="224">
        <f>M399+M400</f>
        <v>0</v>
      </c>
      <c r="N398" s="224">
        <f>N399+N400</f>
        <v>0</v>
      </c>
      <c r="O398" s="224">
        <f t="shared" si="108"/>
        <v>0</v>
      </c>
      <c r="P398" s="224">
        <f t="shared" si="109"/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 t="shared" si="110"/>
        <v>0</v>
      </c>
      <c r="U398" s="224">
        <f t="shared" si="111"/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469">
        <v>0</v>
      </c>
      <c r="M399" s="83">
        <v>0</v>
      </c>
      <c r="N399" s="83">
        <v>0</v>
      </c>
      <c r="O399" s="83">
        <f t="shared" si="108"/>
        <v>0</v>
      </c>
      <c r="P399" s="83">
        <f t="shared" si="109"/>
        <v>0</v>
      </c>
      <c r="Q399" s="83">
        <v>0</v>
      </c>
      <c r="R399" s="83">
        <v>0</v>
      </c>
      <c r="S399" s="83">
        <v>0</v>
      </c>
      <c r="T399" s="83">
        <f t="shared" si="110"/>
        <v>0</v>
      </c>
      <c r="U399" s="83">
        <f t="shared" si="111"/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468">
        <v>0</v>
      </c>
      <c r="M400" s="224">
        <v>0</v>
      </c>
      <c r="N400" s="224">
        <v>0</v>
      </c>
      <c r="O400" s="224">
        <f t="shared" si="108"/>
        <v>0</v>
      </c>
      <c r="P400" s="224">
        <f t="shared" si="109"/>
        <v>0</v>
      </c>
      <c r="Q400" s="224">
        <v>0</v>
      </c>
      <c r="R400" s="224">
        <v>0</v>
      </c>
      <c r="S400" s="224">
        <v>0</v>
      </c>
      <c r="T400" s="224">
        <f t="shared" si="110"/>
        <v>0</v>
      </c>
      <c r="U400" s="224">
        <f t="shared" si="111"/>
        <v>0</v>
      </c>
    </row>
    <row r="401" spans="1:21" ht="19.5" hidden="1" x14ac:dyDescent="0.3">
      <c r="A401" s="138"/>
      <c r="B401" s="139"/>
      <c r="C401" s="161" t="s">
        <v>18</v>
      </c>
      <c r="D401" s="491" t="s">
        <v>38</v>
      </c>
      <c r="E401" s="141"/>
      <c r="F401" s="141"/>
      <c r="G401" s="142"/>
      <c r="H401" s="178"/>
      <c r="I401" s="135"/>
      <c r="J401" s="44"/>
      <c r="K401" s="45"/>
      <c r="L401" s="465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11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11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11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11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11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11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11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11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11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496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hidden="1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541">
        <f ca="1">I423</f>
        <v>0</v>
      </c>
      <c r="J412" s="541">
        <f>J423</f>
        <v>0</v>
      </c>
      <c r="K412" s="540">
        <f ca="1">IF(I412&gt;0,J412*100/I412,0)</f>
        <v>0</v>
      </c>
      <c r="L412" s="539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hidden="1" x14ac:dyDescent="0.3">
      <c r="A413" s="128"/>
      <c r="B413" s="158"/>
      <c r="C413" s="322" t="s">
        <v>18</v>
      </c>
      <c r="D413" s="819" t="s">
        <v>19</v>
      </c>
      <c r="E413" s="800"/>
      <c r="F413" s="800"/>
      <c r="G413" s="801"/>
      <c r="H413" s="323" t="s">
        <v>14</v>
      </c>
      <c r="I413" s="44"/>
      <c r="J413" s="44"/>
      <c r="K413" s="45"/>
      <c r="L413" s="471">
        <f>L414+L415</f>
        <v>0</v>
      </c>
      <c r="M413" s="470">
        <f>M414+M415</f>
        <v>0</v>
      </c>
      <c r="N413" s="470">
        <f>N414+N415</f>
        <v>0</v>
      </c>
      <c r="O413" s="470">
        <f t="shared" ref="O413:O421" si="114">IF(L413&gt;0,N413*100/L413,0)</f>
        <v>0</v>
      </c>
      <c r="P413" s="470">
        <f t="shared" ref="P413:P421" si="115">IF(M413&gt;0,N413*100/M413,0)</f>
        <v>0</v>
      </c>
      <c r="Q413" s="470">
        <f ca="1">Q414+Q415</f>
        <v>0</v>
      </c>
      <c r="R413" s="470">
        <f ca="1">R414+R415</f>
        <v>0</v>
      </c>
      <c r="S413" s="470">
        <f ca="1">S414+S415</f>
        <v>0</v>
      </c>
      <c r="T413" s="470">
        <f t="shared" ref="T413:T421" ca="1" si="116">IF(Q413&gt;0,S413*100/Q413,0)</f>
        <v>0</v>
      </c>
      <c r="U413" s="470">
        <f t="shared" ref="U413:U421" ca="1" si="117">IF(R413&gt;0,S413*100/R413,0)</f>
        <v>0</v>
      </c>
    </row>
    <row r="414" spans="1:21" ht="18.75" hidden="1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469">
        <f t="shared" ref="L414:N415" si="118">L417+L420</f>
        <v>0</v>
      </c>
      <c r="M414" s="83">
        <f t="shared" si="118"/>
        <v>0</v>
      </c>
      <c r="N414" s="83">
        <f t="shared" si="118"/>
        <v>0</v>
      </c>
      <c r="O414" s="83">
        <f t="shared" si="114"/>
        <v>0</v>
      </c>
      <c r="P414" s="83">
        <f t="shared" si="115"/>
        <v>0</v>
      </c>
      <c r="Q414" s="83">
        <f t="shared" ref="Q414:S415" si="119">Q417+Q420</f>
        <v>0</v>
      </c>
      <c r="R414" s="83">
        <f t="shared" si="119"/>
        <v>0</v>
      </c>
      <c r="S414" s="83">
        <f t="shared" si="119"/>
        <v>0</v>
      </c>
      <c r="T414" s="83">
        <f t="shared" si="116"/>
        <v>0</v>
      </c>
      <c r="U414" s="83">
        <f t="shared" si="117"/>
        <v>0</v>
      </c>
    </row>
    <row r="415" spans="1:21" ht="18.75" hidden="1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468">
        <f t="shared" si="118"/>
        <v>0</v>
      </c>
      <c r="M415" s="224">
        <f t="shared" si="118"/>
        <v>0</v>
      </c>
      <c r="N415" s="224">
        <f t="shared" si="118"/>
        <v>0</v>
      </c>
      <c r="O415" s="224">
        <f t="shared" si="114"/>
        <v>0</v>
      </c>
      <c r="P415" s="224">
        <f t="shared" si="115"/>
        <v>0</v>
      </c>
      <c r="Q415" s="224">
        <f t="shared" ca="1" si="119"/>
        <v>0</v>
      </c>
      <c r="R415" s="224">
        <f t="shared" ca="1" si="119"/>
        <v>0</v>
      </c>
      <c r="S415" s="224">
        <f t="shared" ca="1" si="119"/>
        <v>0</v>
      </c>
      <c r="T415" s="224">
        <f t="shared" ca="1" si="116"/>
        <v>0</v>
      </c>
      <c r="U415" s="224">
        <f t="shared" ca="1" si="117"/>
        <v>0</v>
      </c>
    </row>
    <row r="416" spans="1:21" ht="19.5" hidden="1" x14ac:dyDescent="0.3">
      <c r="A416" s="128"/>
      <c r="B416" s="158"/>
      <c r="C416" s="158"/>
      <c r="D416" s="54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468">
        <f>L417+L418</f>
        <v>0</v>
      </c>
      <c r="M416" s="224">
        <f>M417+M418</f>
        <v>0</v>
      </c>
      <c r="N416" s="224">
        <f>N417+N418</f>
        <v>0</v>
      </c>
      <c r="O416" s="224">
        <f t="shared" si="114"/>
        <v>0</v>
      </c>
      <c r="P416" s="224">
        <f t="shared" si="115"/>
        <v>0</v>
      </c>
      <c r="Q416" s="224">
        <f ca="1">Q417+Q418</f>
        <v>0</v>
      </c>
      <c r="R416" s="224">
        <f ca="1">R417+R418</f>
        <v>0</v>
      </c>
      <c r="S416" s="224">
        <f ca="1">S417+S418</f>
        <v>0</v>
      </c>
      <c r="T416" s="224">
        <f t="shared" ca="1" si="116"/>
        <v>0</v>
      </c>
      <c r="U416" s="224">
        <f t="shared" ca="1" si="117"/>
        <v>0</v>
      </c>
    </row>
    <row r="417" spans="1:21" ht="18.75" hidden="1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469">
        <v>0</v>
      </c>
      <c r="M417" s="83">
        <v>0</v>
      </c>
      <c r="N417" s="83">
        <v>0</v>
      </c>
      <c r="O417" s="83">
        <f t="shared" si="114"/>
        <v>0</v>
      </c>
      <c r="P417" s="83">
        <f t="shared" si="115"/>
        <v>0</v>
      </c>
      <c r="Q417" s="83">
        <v>0</v>
      </c>
      <c r="R417" s="83">
        <v>0</v>
      </c>
      <c r="S417" s="83">
        <v>0</v>
      </c>
      <c r="T417" s="83">
        <f t="shared" si="116"/>
        <v>0</v>
      </c>
      <c r="U417" s="83">
        <f t="shared" si="117"/>
        <v>0</v>
      </c>
    </row>
    <row r="418" spans="1:21" ht="18.75" hidden="1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468">
        <v>0</v>
      </c>
      <c r="M418" s="224">
        <v>0</v>
      </c>
      <c r="N418" s="224">
        <v>0</v>
      </c>
      <c r="O418" s="224">
        <f t="shared" si="114"/>
        <v>0</v>
      </c>
      <c r="P418" s="224">
        <f t="shared" si="115"/>
        <v>0</v>
      </c>
      <c r="Q418" s="224">
        <f ca="1">IFERROR(__xludf.DUMMYFUNCTION("IMPORTRANGE(""https://docs.google.com/spreadsheets/d/1ItG2mGa2ceCfYo0BwxsXqNm01IGEUdYcSSLTEv9YCik/edit?usp=sharing"",""เบิกจ่ายกองทุน!BH26"")"),0)</f>
        <v>0</v>
      </c>
      <c r="R418" s="224">
        <f ca="1">IFERROR(__xludf.DUMMYFUNCTION("IMPORTRANGE(""https://docs.google.com/spreadsheets/d/1ItG2mGa2ceCfYo0BwxsXqNm01IGEUdYcSSLTEv9YCik/edit?usp=sharing"",""เบิกจ่ายกองทุน!BI26"")"),0)</f>
        <v>0</v>
      </c>
      <c r="S418" s="224">
        <f ca="1">IFERROR(__xludf.DUMMYFUNCTION("IMPORTRANGE(""https://docs.google.com/spreadsheets/d/1ItG2mGa2ceCfYo0BwxsXqNm01IGEUdYcSSLTEv9YCik/edit?usp=sharing"",""เบิกจ่ายกองทุน!BJ26"")"),0)</f>
        <v>0</v>
      </c>
      <c r="T418" s="224">
        <f t="shared" ca="1" si="116"/>
        <v>0</v>
      </c>
      <c r="U418" s="224">
        <f t="shared" ca="1" si="117"/>
        <v>0</v>
      </c>
    </row>
    <row r="419" spans="1:21" ht="19.5" hidden="1" x14ac:dyDescent="0.3">
      <c r="A419" s="128"/>
      <c r="B419" s="158"/>
      <c r="C419" s="158"/>
      <c r="D419" s="54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468">
        <f>L420+L421</f>
        <v>0</v>
      </c>
      <c r="M419" s="224">
        <f>M420+M421</f>
        <v>0</v>
      </c>
      <c r="N419" s="224">
        <f>N420+N421</f>
        <v>0</v>
      </c>
      <c r="O419" s="224">
        <f t="shared" si="114"/>
        <v>0</v>
      </c>
      <c r="P419" s="224">
        <f t="shared" si="115"/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 t="shared" si="116"/>
        <v>0</v>
      </c>
      <c r="U419" s="224">
        <f t="shared" si="117"/>
        <v>0</v>
      </c>
    </row>
    <row r="420" spans="1:21" ht="18.75" hidden="1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469">
        <v>0</v>
      </c>
      <c r="M420" s="83">
        <v>0</v>
      </c>
      <c r="N420" s="83">
        <v>0</v>
      </c>
      <c r="O420" s="83">
        <f t="shared" si="114"/>
        <v>0</v>
      </c>
      <c r="P420" s="83">
        <f t="shared" si="115"/>
        <v>0</v>
      </c>
      <c r="Q420" s="83">
        <v>0</v>
      </c>
      <c r="R420" s="83">
        <v>0</v>
      </c>
      <c r="S420" s="83">
        <v>0</v>
      </c>
      <c r="T420" s="83">
        <f t="shared" si="116"/>
        <v>0</v>
      </c>
      <c r="U420" s="83">
        <f t="shared" si="117"/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468">
        <v>0</v>
      </c>
      <c r="M421" s="224">
        <v>0</v>
      </c>
      <c r="N421" s="224">
        <v>0</v>
      </c>
      <c r="O421" s="224">
        <f t="shared" si="114"/>
        <v>0</v>
      </c>
      <c r="P421" s="224">
        <f t="shared" si="115"/>
        <v>0</v>
      </c>
      <c r="Q421" s="224">
        <v>0</v>
      </c>
      <c r="R421" s="224">
        <v>0</v>
      </c>
      <c r="S421" s="224">
        <v>0</v>
      </c>
      <c r="T421" s="224">
        <f t="shared" si="116"/>
        <v>0</v>
      </c>
      <c r="U421" s="224">
        <f t="shared" si="117"/>
        <v>0</v>
      </c>
    </row>
    <row r="422" spans="1:21" ht="19.5" hidden="1" x14ac:dyDescent="0.3">
      <c r="A422" s="208"/>
      <c r="B422" s="158"/>
      <c r="C422" s="322" t="s">
        <v>18</v>
      </c>
      <c r="D422" s="543" t="s">
        <v>38</v>
      </c>
      <c r="E422" s="158"/>
      <c r="F422" s="158"/>
      <c r="G422" s="180"/>
      <c r="H422" s="180"/>
      <c r="I422" s="44"/>
      <c r="J422" s="44"/>
      <c r="K422" s="45"/>
      <c r="L422" s="465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ca="1">I440</f>
        <v>0</v>
      </c>
      <c r="J423" s="328">
        <f>J440</f>
        <v>0</v>
      </c>
      <c r="K423" s="470">
        <f ca="1">IF(I423&gt;0,J423*100/I423,0)</f>
        <v>0</v>
      </c>
      <c r="L423" s="465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IFERROR(__xludf.DUMMYFUNCTION("IMPORTRANGE(""https://docs.google.com/spreadsheets/d/1eHaY18a8A9IcSdp1K8H6x8fbOy06t2VsZHhMHf-1x7Y/edit?usp=sharing"",""แผน!HJ26"")"),0)</f>
        <v>0</v>
      </c>
      <c r="J424" s="328">
        <f>J426+J428+J430</f>
        <v>0</v>
      </c>
      <c r="K424" s="470">
        <f ca="1">IF(I424&gt;0,J424*100/I424,0)</f>
        <v>0</v>
      </c>
      <c r="L424" s="465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IFERROR(__xludf.DUMMYFUNCTION("IMPORTRANGE(""https://docs.google.com/spreadsheets/d/1eHaY18a8A9IcSdp1K8H6x8fbOy06t2VsZHhMHf-1x7Y/edit?usp=sharing"",""แผน!HK26"")"),0)</f>
        <v>0</v>
      </c>
      <c r="J425" s="328">
        <f>J427+J429+J431</f>
        <v>0</v>
      </c>
      <c r="K425" s="470">
        <f ca="1">IF(I425&gt;0,J425*100/I425,0)</f>
        <v>0</v>
      </c>
      <c r="L425" s="465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465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465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465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465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465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465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IFERROR(__xludf.DUMMYFUNCTION("IMPORTRANGE(""https://docs.google.com/spreadsheets/d/1eHaY18a8A9IcSdp1K8H6x8fbOy06t2VsZHhMHf-1x7Y/edit?usp=sharing"",""แผน!HJ26"")"),0)</f>
        <v>0</v>
      </c>
      <c r="J432" s="328">
        <f>J434+J436+J438</f>
        <v>0</v>
      </c>
      <c r="K432" s="470">
        <f ca="1">IF(I432&gt;0,J432*100/I432,0)</f>
        <v>0</v>
      </c>
      <c r="L432" s="465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IFERROR(__xludf.DUMMYFUNCTION("IMPORTRANGE(""https://docs.google.com/spreadsheets/d/1eHaY18a8A9IcSdp1K8H6x8fbOy06t2VsZHhMHf-1x7Y/edit?usp=sharing"",""แผน!HK26"")"),0)</f>
        <v>0</v>
      </c>
      <c r="J433" s="328">
        <f>J435+J437+J439</f>
        <v>0</v>
      </c>
      <c r="K433" s="470">
        <f ca="1">IF(I433&gt;0,J433*100/I433,0)</f>
        <v>0</v>
      </c>
      <c r="L433" s="465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465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465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465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465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465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465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IFERROR(__xludf.DUMMYFUNCTION("IMPORTRANGE(""https://docs.google.com/spreadsheets/d/1eHaY18a8A9IcSdp1K8H6x8fbOy06t2VsZHhMHf-1x7Y/edit?usp=sharing"",""แผน!HJ26"")"),0)</f>
        <v>0</v>
      </c>
      <c r="J440" s="328">
        <f>J442+J444+J446+J452+J454</f>
        <v>0</v>
      </c>
      <c r="K440" s="470">
        <f ca="1">IF(I440&gt;0,J440*100/I440,0)</f>
        <v>0</v>
      </c>
      <c r="L440" s="465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IFERROR(__xludf.DUMMYFUNCTION("IMPORTRANGE(""https://docs.google.com/spreadsheets/d/1eHaY18a8A9IcSdp1K8H6x8fbOy06t2VsZHhMHf-1x7Y/edit?usp=sharing"",""แผน!HK26"")"),0)</f>
        <v>0</v>
      </c>
      <c r="J441" s="328">
        <f>J443+J445+J447+J453+J455</f>
        <v>0</v>
      </c>
      <c r="K441" s="470">
        <f ca="1">IF(I441&gt;0,J441*100/I441,0)</f>
        <v>0</v>
      </c>
      <c r="L441" s="465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465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465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465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465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>J448+J450</f>
        <v>0</v>
      </c>
      <c r="K446" s="45"/>
      <c r="L446" s="465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>J449+J451</f>
        <v>0</v>
      </c>
      <c r="K447" s="45"/>
      <c r="L447" s="465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465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465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465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465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465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465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542"/>
      <c r="K454" s="45"/>
      <c r="L454" s="465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465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hidden="1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ca="1">I457</f>
        <v>0</v>
      </c>
      <c r="J456" s="328">
        <f>J457</f>
        <v>0</v>
      </c>
      <c r="K456" s="470">
        <f ca="1">IF(I456&gt;0,J456*100/I456,0)</f>
        <v>0</v>
      </c>
      <c r="L456" s="465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IFERROR(__xludf.DUMMYFUNCTION("IMPORTRANGE(""https://docs.google.com/spreadsheets/d/1eHaY18a8A9IcSdp1K8H6x8fbOy06t2VsZHhMHf-1x7Y/edit?usp=sharing"",""แผน!HL26"")"),0)</f>
        <v>0</v>
      </c>
      <c r="J457" s="328">
        <f>J459+J467+J473</f>
        <v>0</v>
      </c>
      <c r="K457" s="470">
        <f ca="1">IF(I457&gt;0,J457*100/I457,0)</f>
        <v>0</v>
      </c>
      <c r="L457" s="465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IFERROR(__xludf.DUMMYFUNCTION("IMPORTRANGE(""https://docs.google.com/spreadsheets/d/1eHaY18a8A9IcSdp1K8H6x8fbOy06t2VsZHhMHf-1x7Y/edit?usp=sharing"",""แผน!HM26"")"),0)</f>
        <v>0</v>
      </c>
      <c r="J458" s="328">
        <f>J460+J468+J474</f>
        <v>0</v>
      </c>
      <c r="K458" s="470">
        <f ca="1">IF(I458&gt;0,J458*100/I458,0)</f>
        <v>0</v>
      </c>
      <c r="L458" s="465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hidden="1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>J461+J463</f>
        <v>0</v>
      </c>
      <c r="K459" s="45"/>
      <c r="L459" s="465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>J462+J464</f>
        <v>0</v>
      </c>
      <c r="K460" s="45"/>
      <c r="L460" s="465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465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465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465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465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465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465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>J469+J471</f>
        <v>0</v>
      </c>
      <c r="K467" s="45"/>
      <c r="L467" s="465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>J470+J472</f>
        <v>0</v>
      </c>
      <c r="K468" s="45"/>
      <c r="L468" s="465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465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465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465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465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465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465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470">
        <f>IF(I475&gt;0,J475*100/I475,0)</f>
        <v>0</v>
      </c>
      <c r="L475" s="465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>J478+J480</f>
        <v>0</v>
      </c>
      <c r="K476" s="470">
        <f>IF(I476&gt;0,J476*100/I476,0)</f>
        <v>0</v>
      </c>
      <c r="L476" s="465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>J479+J481</f>
        <v>0</v>
      </c>
      <c r="K477" s="470">
        <f>IF(I477&gt;0,J477*100/I477,0)</f>
        <v>0</v>
      </c>
      <c r="L477" s="465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hidden="1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465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465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465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465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IFERROR(__xludf.DUMMYFUNCTION("IMPORTRANGE(""https://docs.google.com/spreadsheets/d/1eHaY18a8A9IcSdp1K8H6x8fbOy06t2VsZHhMHf-1x7Y/edit?usp=sharing"",""แผน!HN26"")"),0)</f>
        <v>0</v>
      </c>
      <c r="K482" s="45"/>
      <c r="L482" s="465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IFERROR(__xludf.DUMMYFUNCTION("IMPORTRANGE(""https://docs.google.com/spreadsheets/d/1eHaY18a8A9IcSdp1K8H6x8fbOy06t2VsZHhMHf-1x7Y/edit?usp=sharing"",""แผน!HO26"")"),0)</f>
        <v>0</v>
      </c>
      <c r="K483" s="45"/>
      <c r="L483" s="465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>J480</f>
        <v>0</v>
      </c>
      <c r="J484" s="328">
        <f>J486+J488+J490</f>
        <v>0</v>
      </c>
      <c r="K484" s="470">
        <f>IF(I484&gt;0,J484*100/I484,0)</f>
        <v>0</v>
      </c>
      <c r="L484" s="465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>J481</f>
        <v>0</v>
      </c>
      <c r="J485" s="328">
        <f>J487+J489+J491</f>
        <v>0</v>
      </c>
      <c r="K485" s="470">
        <f>IF(I485&gt;0,J485*100/I485,0)</f>
        <v>0</v>
      </c>
      <c r="L485" s="465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hidden="1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465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465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465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465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465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46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541">
        <f ca="1">I503</f>
        <v>0</v>
      </c>
      <c r="J492" s="541">
        <f ca="1">J503</f>
        <v>0</v>
      </c>
      <c r="K492" s="540">
        <f ca="1">IF(I492&gt;0,J492*100/I492,0)</f>
        <v>0</v>
      </c>
      <c r="L492" s="539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hidden="1" x14ac:dyDescent="0.3">
      <c r="A493" s="128"/>
      <c r="B493" s="158"/>
      <c r="C493" s="177" t="s">
        <v>18</v>
      </c>
      <c r="D493" s="819" t="s">
        <v>19</v>
      </c>
      <c r="E493" s="800"/>
      <c r="F493" s="800"/>
      <c r="G493" s="42"/>
      <c r="H493" s="221" t="s">
        <v>14</v>
      </c>
      <c r="I493" s="44"/>
      <c r="J493" s="44"/>
      <c r="K493" s="45"/>
      <c r="L493" s="471">
        <f>L494+L495</f>
        <v>0</v>
      </c>
      <c r="M493" s="470">
        <f>M494+M495</f>
        <v>0</v>
      </c>
      <c r="N493" s="470">
        <f>N494+N495</f>
        <v>0</v>
      </c>
      <c r="O493" s="470">
        <f t="shared" ref="O493:O501" si="120">IF(L493&gt;0,N493*100/L493,0)</f>
        <v>0</v>
      </c>
      <c r="P493" s="470">
        <f t="shared" ref="P493:P501" si="121">IF(M493&gt;0,N493*100/M493,0)</f>
        <v>0</v>
      </c>
      <c r="Q493" s="470">
        <f ca="1">Q494+Q495</f>
        <v>0</v>
      </c>
      <c r="R493" s="470">
        <f ca="1">R494+R495</f>
        <v>0</v>
      </c>
      <c r="S493" s="470">
        <f ca="1">S494+S495</f>
        <v>0</v>
      </c>
      <c r="T493" s="470">
        <f t="shared" ref="T493:T501" ca="1" si="122">IF(Q493&gt;0,S493*100/Q493,0)</f>
        <v>0</v>
      </c>
      <c r="U493" s="470">
        <f t="shared" ref="U493:U501" ca="1" si="123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469">
        <f t="shared" ref="L494:N495" si="124">L497+L500</f>
        <v>0</v>
      </c>
      <c r="M494" s="83">
        <f t="shared" si="124"/>
        <v>0</v>
      </c>
      <c r="N494" s="83">
        <f t="shared" si="124"/>
        <v>0</v>
      </c>
      <c r="O494" s="83">
        <f t="shared" si="120"/>
        <v>0</v>
      </c>
      <c r="P494" s="83">
        <f t="shared" si="121"/>
        <v>0</v>
      </c>
      <c r="Q494" s="83">
        <f t="shared" ref="Q494:S495" si="125">Q497+Q500</f>
        <v>0</v>
      </c>
      <c r="R494" s="83">
        <f t="shared" si="125"/>
        <v>0</v>
      </c>
      <c r="S494" s="83">
        <f t="shared" si="125"/>
        <v>0</v>
      </c>
      <c r="T494" s="83">
        <f t="shared" si="122"/>
        <v>0</v>
      </c>
      <c r="U494" s="83">
        <f t="shared" si="123"/>
        <v>0</v>
      </c>
    </row>
    <row r="495" spans="1:21" ht="18.75" hidden="1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468">
        <f t="shared" si="124"/>
        <v>0</v>
      </c>
      <c r="M495" s="224">
        <f t="shared" si="124"/>
        <v>0</v>
      </c>
      <c r="N495" s="224">
        <f t="shared" si="124"/>
        <v>0</v>
      </c>
      <c r="O495" s="224">
        <f t="shared" si="120"/>
        <v>0</v>
      </c>
      <c r="P495" s="224">
        <f t="shared" si="121"/>
        <v>0</v>
      </c>
      <c r="Q495" s="224">
        <f t="shared" ca="1" si="125"/>
        <v>0</v>
      </c>
      <c r="R495" s="224">
        <f t="shared" ca="1" si="125"/>
        <v>0</v>
      </c>
      <c r="S495" s="224">
        <f t="shared" ca="1" si="125"/>
        <v>0</v>
      </c>
      <c r="T495" s="224">
        <f t="shared" ca="1" si="122"/>
        <v>0</v>
      </c>
      <c r="U495" s="224">
        <f t="shared" ca="1" si="123"/>
        <v>0</v>
      </c>
    </row>
    <row r="496" spans="1:21" ht="18.75" hidden="1" x14ac:dyDescent="0.25">
      <c r="A496" s="128"/>
      <c r="B496" s="158"/>
      <c r="C496" s="158"/>
      <c r="D496" s="53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468">
        <f>L497+L498</f>
        <v>0</v>
      </c>
      <c r="M496" s="224">
        <f>M497+M498</f>
        <v>0</v>
      </c>
      <c r="N496" s="224">
        <f>N497+N498</f>
        <v>0</v>
      </c>
      <c r="O496" s="224">
        <f t="shared" si="120"/>
        <v>0</v>
      </c>
      <c r="P496" s="224">
        <f t="shared" si="121"/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t="shared" ca="1" si="122"/>
        <v>0</v>
      </c>
      <c r="U496" s="224">
        <f t="shared" ca="1" si="123"/>
        <v>0</v>
      </c>
    </row>
    <row r="497" spans="1:21" ht="18.75" hidden="1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469">
        <v>0</v>
      </c>
      <c r="M497" s="83">
        <v>0</v>
      </c>
      <c r="N497" s="83">
        <v>0</v>
      </c>
      <c r="O497" s="83">
        <f t="shared" si="120"/>
        <v>0</v>
      </c>
      <c r="P497" s="83">
        <f t="shared" si="121"/>
        <v>0</v>
      </c>
      <c r="Q497" s="83">
        <v>0</v>
      </c>
      <c r="R497" s="83">
        <v>0</v>
      </c>
      <c r="S497" s="83">
        <v>0</v>
      </c>
      <c r="T497" s="83">
        <f t="shared" si="122"/>
        <v>0</v>
      </c>
      <c r="U497" s="83">
        <f t="shared" si="123"/>
        <v>0</v>
      </c>
    </row>
    <row r="498" spans="1:21" ht="18.75" hidden="1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468">
        <v>0</v>
      </c>
      <c r="M498" s="224">
        <v>0</v>
      </c>
      <c r="N498" s="224">
        <v>0</v>
      </c>
      <c r="O498" s="224">
        <f t="shared" si="120"/>
        <v>0</v>
      </c>
      <c r="P498" s="224">
        <f t="shared" si="121"/>
        <v>0</v>
      </c>
      <c r="Q498" s="224">
        <f ca="1">IFERROR(__xludf.DUMMYFUNCTION("IMPORTRANGE(""https://docs.google.com/spreadsheets/d/1ItG2mGa2ceCfYo0BwxsXqNm01IGEUdYcSSLTEv9YCik/edit?usp=sharing"",""เบิกจ่ายกองทุน!X26"")"),0)</f>
        <v>0</v>
      </c>
      <c r="R498" s="224">
        <f ca="1">IFERROR(__xludf.DUMMYFUNCTION("IMPORTRANGE(""https://docs.google.com/spreadsheets/d/1ItG2mGa2ceCfYo0BwxsXqNm01IGEUdYcSSLTEv9YCik/edit?usp=sharing"",""เบิกจ่ายกองทุน!Y26"")"),0)</f>
        <v>0</v>
      </c>
      <c r="S498" s="224">
        <f ca="1">IFERROR(__xludf.DUMMYFUNCTION("IMPORTRANGE(""https://docs.google.com/spreadsheets/d/1ItG2mGa2ceCfYo0BwxsXqNm01IGEUdYcSSLTEv9YCik/edit?usp=sharing"",""เบิกจ่ายกองทุน!Z26"")"),0)</f>
        <v>0</v>
      </c>
      <c r="T498" s="224">
        <f t="shared" ca="1" si="122"/>
        <v>0</v>
      </c>
      <c r="U498" s="224">
        <f t="shared" ca="1" si="123"/>
        <v>0</v>
      </c>
    </row>
    <row r="499" spans="1:21" ht="18.75" hidden="1" x14ac:dyDescent="0.25">
      <c r="A499" s="128"/>
      <c r="B499" s="158"/>
      <c r="C499" s="158"/>
      <c r="D499" s="53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468">
        <f>L500+L501</f>
        <v>0</v>
      </c>
      <c r="M499" s="224">
        <f>M500+M501</f>
        <v>0</v>
      </c>
      <c r="N499" s="224">
        <f>N500+N501</f>
        <v>0</v>
      </c>
      <c r="O499" s="224">
        <f t="shared" si="120"/>
        <v>0</v>
      </c>
      <c r="P499" s="224">
        <f t="shared" si="121"/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 t="shared" si="122"/>
        <v>0</v>
      </c>
      <c r="U499" s="224">
        <f t="shared" si="123"/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469">
        <v>0</v>
      </c>
      <c r="M500" s="83">
        <v>0</v>
      </c>
      <c r="N500" s="83">
        <v>0</v>
      </c>
      <c r="O500" s="83">
        <f t="shared" si="120"/>
        <v>0</v>
      </c>
      <c r="P500" s="83">
        <f t="shared" si="121"/>
        <v>0</v>
      </c>
      <c r="Q500" s="83">
        <v>0</v>
      </c>
      <c r="R500" s="83">
        <v>0</v>
      </c>
      <c r="S500" s="83">
        <v>0</v>
      </c>
      <c r="T500" s="83">
        <f t="shared" si="122"/>
        <v>0</v>
      </c>
      <c r="U500" s="83">
        <f t="shared" si="123"/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468">
        <v>0</v>
      </c>
      <c r="M501" s="224">
        <v>0</v>
      </c>
      <c r="N501" s="224">
        <v>0</v>
      </c>
      <c r="O501" s="224">
        <f t="shared" si="120"/>
        <v>0</v>
      </c>
      <c r="P501" s="224">
        <f t="shared" si="121"/>
        <v>0</v>
      </c>
      <c r="Q501" s="224">
        <v>0</v>
      </c>
      <c r="R501" s="224">
        <v>0</v>
      </c>
      <c r="S501" s="224">
        <v>0</v>
      </c>
      <c r="T501" s="224">
        <f t="shared" si="122"/>
        <v>0</v>
      </c>
      <c r="U501" s="224">
        <f t="shared" si="123"/>
        <v>0</v>
      </c>
    </row>
    <row r="502" spans="1:21" ht="19.5" hidden="1" x14ac:dyDescent="0.3">
      <c r="A502" s="138"/>
      <c r="B502" s="139"/>
      <c r="C502" s="177" t="s">
        <v>18</v>
      </c>
      <c r="D502" s="491" t="s">
        <v>38</v>
      </c>
      <c r="E502" s="141"/>
      <c r="F502" s="141"/>
      <c r="G502" s="142"/>
      <c r="H502" s="178"/>
      <c r="I502" s="135"/>
      <c r="J502" s="135"/>
      <c r="K502" s="136"/>
      <c r="L502" s="4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IFERROR(__xludf.DUMMYFUNCTION("IMPORTRANGE(""https://docs.google.com/spreadsheets/d/1eHaY18a8A9IcSdp1K8H6x8fbOy06t2VsZHhMHf-1x7Y/edit?usp=sharing"",""แผน!GX26"")"),0)</f>
        <v>0</v>
      </c>
      <c r="J503" s="328">
        <f ca="1">IF(AND(J504=I504,J505=I505,J506=I506,J507=I507),I503,0)</f>
        <v>0</v>
      </c>
      <c r="K503" s="470">
        <f t="shared" ref="K503:K509" ca="1" si="126">IF(I503&gt;0,J503*100/I503,0)</f>
        <v>0</v>
      </c>
      <c r="L503" s="465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IFERROR(__xludf.DUMMYFUNCTION("IMPORTRANGE(""https://docs.google.com/spreadsheets/d/1eHaY18a8A9IcSdp1K8H6x8fbOy06t2VsZHhMHf-1x7Y/edit?usp=sharing"",""แผน!GY26"")"),0)</f>
        <v>0</v>
      </c>
      <c r="J504" s="466">
        <v>0</v>
      </c>
      <c r="K504" s="224">
        <f t="shared" ca="1" si="126"/>
        <v>0</v>
      </c>
      <c r="L504" s="465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IFERROR(__xludf.DUMMYFUNCTION("IMPORTRANGE(""https://docs.google.com/spreadsheets/d/1eHaY18a8A9IcSdp1K8H6x8fbOy06t2VsZHhMHf-1x7Y/edit?usp=sharing"",""แผน!GZ26"")"),0)</f>
        <v>0</v>
      </c>
      <c r="J505" s="466">
        <v>0</v>
      </c>
      <c r="K505" s="224">
        <f t="shared" ca="1" si="126"/>
        <v>0</v>
      </c>
      <c r="L505" s="465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IFERROR(__xludf.DUMMYFUNCTION("IMPORTRANGE(""https://docs.google.com/spreadsheets/d/1eHaY18a8A9IcSdp1K8H6x8fbOy06t2VsZHhMHf-1x7Y/edit?usp=sharing"",""แผน!HA26"")"),0)</f>
        <v>0</v>
      </c>
      <c r="J506" s="466">
        <v>0</v>
      </c>
      <c r="K506" s="224">
        <f t="shared" ca="1" si="126"/>
        <v>0</v>
      </c>
      <c r="L506" s="465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IFERROR(__xludf.DUMMYFUNCTION("IMPORTRANGE(""https://docs.google.com/spreadsheets/d/1eHaY18a8A9IcSdp1K8H6x8fbOy06t2VsZHhMHf-1x7Y/edit?usp=sharing"",""แผน!HB26"")"),0)</f>
        <v>0</v>
      </c>
      <c r="J507" s="466">
        <v>0</v>
      </c>
      <c r="K507" s="224">
        <f t="shared" ca="1" si="126"/>
        <v>0</v>
      </c>
      <c r="L507" s="465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 t="shared" si="126"/>
        <v>0</v>
      </c>
      <c r="L508" s="465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IFERROR(__xludf.DUMMYFUNCTION("IMPORTRANGE(""https://docs.google.com/spreadsheets/d/1eHaY18a8A9IcSdp1K8H6x8fbOy06t2VsZHhMHf-1x7Y/edit?usp=sharing"",""แผน!HC26"")"),0)</f>
        <v>0</v>
      </c>
      <c r="J509" s="464">
        <v>0</v>
      </c>
      <c r="K509" s="455">
        <f t="shared" ca="1" si="126"/>
        <v>0</v>
      </c>
      <c r="L509" s="46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537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536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hidden="1" x14ac:dyDescent="0.3">
      <c r="A511" s="535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534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hidden="1" x14ac:dyDescent="0.3">
      <c r="A512" s="349"/>
      <c r="B512" s="533" t="s">
        <v>207</v>
      </c>
      <c r="C512" s="351"/>
      <c r="D512" s="352"/>
      <c r="E512" s="352"/>
      <c r="F512" s="352"/>
      <c r="G512" s="353"/>
      <c r="H512" s="532" t="s">
        <v>61</v>
      </c>
      <c r="I512" s="531">
        <f>I524</f>
        <v>0</v>
      </c>
      <c r="J512" s="531">
        <f>J524</f>
        <v>0</v>
      </c>
      <c r="K512" s="530">
        <f>IF(I512&gt;0,J512*100/I512,0)</f>
        <v>0</v>
      </c>
      <c r="L512" s="512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hidden="1" x14ac:dyDescent="0.3">
      <c r="A513" s="128"/>
      <c r="B513" s="40"/>
      <c r="C513" s="527" t="s">
        <v>18</v>
      </c>
      <c r="D513" s="494" t="s">
        <v>19</v>
      </c>
      <c r="E513" s="40"/>
      <c r="F513" s="40"/>
      <c r="G513" s="42"/>
      <c r="H513" s="529" t="s">
        <v>14</v>
      </c>
      <c r="I513" s="44"/>
      <c r="J513" s="44"/>
      <c r="K513" s="45"/>
      <c r="L513" s="471">
        <f ca="1">L514+L515</f>
        <v>0</v>
      </c>
      <c r="M513" s="470">
        <f ca="1">M514+M515</f>
        <v>0</v>
      </c>
      <c r="N513" s="470">
        <f ca="1">N514+N515</f>
        <v>0</v>
      </c>
      <c r="O513" s="470">
        <f t="shared" ref="O513:O521" ca="1" si="127">IF(L513&gt;0,N513*100/L513,0)</f>
        <v>0</v>
      </c>
      <c r="P513" s="470">
        <f t="shared" ref="P513:P521" ca="1" si="128">IF(M513&gt;0,N513*100/M513,0)</f>
        <v>0</v>
      </c>
      <c r="Q513" s="470">
        <f>Q514+Q515</f>
        <v>0</v>
      </c>
      <c r="R513" s="470">
        <f>R514+R515</f>
        <v>0</v>
      </c>
      <c r="S513" s="470">
        <f>S514+S515</f>
        <v>0</v>
      </c>
      <c r="T513" s="470">
        <f t="shared" ref="T513:T521" si="129">IF(Q513&gt;0,S513*100/Q513,0)</f>
        <v>0</v>
      </c>
      <c r="U513" s="470">
        <f t="shared" ref="U513:U521" si="130"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469">
        <f t="shared" ref="L514:N515" si="131">L517+L520</f>
        <v>0</v>
      </c>
      <c r="M514" s="83">
        <f t="shared" si="131"/>
        <v>0</v>
      </c>
      <c r="N514" s="83">
        <f t="shared" si="131"/>
        <v>0</v>
      </c>
      <c r="O514" s="83">
        <f t="shared" si="127"/>
        <v>0</v>
      </c>
      <c r="P514" s="83">
        <f t="shared" si="128"/>
        <v>0</v>
      </c>
      <c r="Q514" s="83">
        <f t="shared" ref="Q514:S515" si="132">Q517+Q520</f>
        <v>0</v>
      </c>
      <c r="R514" s="83">
        <f t="shared" si="132"/>
        <v>0</v>
      </c>
      <c r="S514" s="83">
        <f t="shared" si="132"/>
        <v>0</v>
      </c>
      <c r="T514" s="83">
        <f t="shared" si="129"/>
        <v>0</v>
      </c>
      <c r="U514" s="83">
        <f t="shared" si="130"/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468">
        <f t="shared" ca="1" si="131"/>
        <v>0</v>
      </c>
      <c r="M515" s="224">
        <f t="shared" ca="1" si="131"/>
        <v>0</v>
      </c>
      <c r="N515" s="224">
        <f t="shared" ca="1" si="131"/>
        <v>0</v>
      </c>
      <c r="O515" s="224">
        <f t="shared" ca="1" si="127"/>
        <v>0</v>
      </c>
      <c r="P515" s="224">
        <f t="shared" ca="1" si="128"/>
        <v>0</v>
      </c>
      <c r="Q515" s="224">
        <f t="shared" si="132"/>
        <v>0</v>
      </c>
      <c r="R515" s="224">
        <f t="shared" si="132"/>
        <v>0</v>
      </c>
      <c r="S515" s="224">
        <f t="shared" si="132"/>
        <v>0</v>
      </c>
      <c r="T515" s="224">
        <f t="shared" si="129"/>
        <v>0</v>
      </c>
      <c r="U515" s="224">
        <f t="shared" si="130"/>
        <v>0</v>
      </c>
    </row>
    <row r="516" spans="1:21" ht="18.75" hidden="1" x14ac:dyDescent="0.25">
      <c r="A516" s="128"/>
      <c r="B516" s="40"/>
      <c r="C516" s="40"/>
      <c r="D516" s="52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468">
        <f ca="1">L517+L518</f>
        <v>0</v>
      </c>
      <c r="M516" s="224">
        <f ca="1">M517+M518</f>
        <v>0</v>
      </c>
      <c r="N516" s="224">
        <f ca="1">N517+N518</f>
        <v>0</v>
      </c>
      <c r="O516" s="224">
        <f t="shared" ca="1" si="127"/>
        <v>0</v>
      </c>
      <c r="P516" s="224">
        <f t="shared" ca="1" si="128"/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 t="shared" si="129"/>
        <v>0</v>
      </c>
      <c r="U516" s="224">
        <f t="shared" si="130"/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469">
        <v>0</v>
      </c>
      <c r="M517" s="83">
        <v>0</v>
      </c>
      <c r="N517" s="83">
        <v>0</v>
      </c>
      <c r="O517" s="83">
        <f t="shared" si="127"/>
        <v>0</v>
      </c>
      <c r="P517" s="83">
        <f t="shared" si="128"/>
        <v>0</v>
      </c>
      <c r="Q517" s="83">
        <v>0</v>
      </c>
      <c r="R517" s="83">
        <v>0</v>
      </c>
      <c r="S517" s="83">
        <v>0</v>
      </c>
      <c r="T517" s="83">
        <f t="shared" si="129"/>
        <v>0</v>
      </c>
      <c r="U517" s="83">
        <f t="shared" si="130"/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468">
        <f ca="1">IFERROR(__xludf.DUMMYFUNCTION("IMPORTRANGE(""https://docs.google.com/spreadsheets/d/1-uDff_7J0KD5mKrp0Vvzr7lt3OU09vwQwhkpOPPYv2Y/edit?usp=sharing"",""งบพรบ!FM26"")"),0)</f>
        <v>0</v>
      </c>
      <c r="M518" s="224">
        <f ca="1">IFERROR(__xludf.DUMMYFUNCTION("IMPORTRANGE(""https://docs.google.com/spreadsheets/d/1-uDff_7J0KD5mKrp0Vvzr7lt3OU09vwQwhkpOPPYv2Y/edit?usp=sharing"",""งบพรบ!FR26"")"),0)</f>
        <v>0</v>
      </c>
      <c r="N518" s="224">
        <f ca="1">IFERROR(__xludf.DUMMYFUNCTION("IMPORTRANGE(""https://docs.google.com/spreadsheets/d/1-uDff_7J0KD5mKrp0Vvzr7lt3OU09vwQwhkpOPPYv2Y/edit?usp=sharing"",""งบพรบ!FT26"")"),0)</f>
        <v>0</v>
      </c>
      <c r="O518" s="224">
        <f t="shared" ca="1" si="127"/>
        <v>0</v>
      </c>
      <c r="P518" s="224">
        <f t="shared" ca="1" si="128"/>
        <v>0</v>
      </c>
      <c r="Q518" s="224">
        <v>0</v>
      </c>
      <c r="R518" s="224">
        <v>0</v>
      </c>
      <c r="S518" s="224">
        <v>0</v>
      </c>
      <c r="T518" s="224">
        <f t="shared" si="129"/>
        <v>0</v>
      </c>
      <c r="U518" s="224">
        <f t="shared" si="130"/>
        <v>0</v>
      </c>
    </row>
    <row r="519" spans="1:21" ht="18.75" hidden="1" x14ac:dyDescent="0.25">
      <c r="A519" s="128"/>
      <c r="B519" s="40"/>
      <c r="C519" s="40"/>
      <c r="D519" s="528" t="s">
        <v>23</v>
      </c>
      <c r="E519" s="40"/>
      <c r="F519" s="40"/>
      <c r="G519" s="42"/>
      <c r="H519" s="375" t="s">
        <v>14</v>
      </c>
      <c r="I519" s="135"/>
      <c r="J519" s="135"/>
      <c r="K519" s="136"/>
      <c r="L519" s="468">
        <f ca="1">L520+L521</f>
        <v>0</v>
      </c>
      <c r="M519" s="224">
        <f ca="1">M520+M521</f>
        <v>0</v>
      </c>
      <c r="N519" s="224">
        <f ca="1">N520+N521</f>
        <v>0</v>
      </c>
      <c r="O519" s="224">
        <f t="shared" ca="1" si="127"/>
        <v>0</v>
      </c>
      <c r="P519" s="224">
        <f t="shared" ca="1" si="128"/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 t="shared" si="129"/>
        <v>0</v>
      </c>
      <c r="U519" s="224">
        <f t="shared" si="130"/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469">
        <v>0</v>
      </c>
      <c r="M520" s="83">
        <v>0</v>
      </c>
      <c r="N520" s="83">
        <v>0</v>
      </c>
      <c r="O520" s="83">
        <f t="shared" si="127"/>
        <v>0</v>
      </c>
      <c r="P520" s="83">
        <f t="shared" si="128"/>
        <v>0</v>
      </c>
      <c r="Q520" s="83">
        <v>0</v>
      </c>
      <c r="R520" s="83">
        <v>0</v>
      </c>
      <c r="S520" s="83">
        <v>0</v>
      </c>
      <c r="T520" s="83">
        <f t="shared" si="129"/>
        <v>0</v>
      </c>
      <c r="U520" s="83">
        <f t="shared" si="130"/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375" t="s">
        <v>14</v>
      </c>
      <c r="I521" s="135"/>
      <c r="J521" s="135"/>
      <c r="K521" s="136"/>
      <c r="L521" s="468">
        <f ca="1">IFERROR(__xludf.DUMMYFUNCTION("IMPORTRANGE(""https://docs.google.com/spreadsheets/d/1-uDff_7J0KD5mKrp0Vvzr7lt3OU09vwQwhkpOPPYv2Y/edit?usp=sharing"",""งบพรบ!FP26"")"),0)</f>
        <v>0</v>
      </c>
      <c r="M521" s="224">
        <f ca="1">IFERROR(__xludf.DUMMYFUNCTION("IMPORTRANGE(""https://docs.google.com/spreadsheets/d/1-uDff_7J0KD5mKrp0Vvzr7lt3OU09vwQwhkpOPPYv2Y/edit?usp=sharing"",""งบพรบ!FS26"")"),0)</f>
        <v>0</v>
      </c>
      <c r="N521" s="224">
        <f ca="1">IFERROR(__xludf.DUMMYFUNCTION("IMPORTRANGE(""https://docs.google.com/spreadsheets/d/1-uDff_7J0KD5mKrp0Vvzr7lt3OU09vwQwhkpOPPYv2Y/edit?usp=sharing"",""งบพรบ!FU26"")"),0)</f>
        <v>0</v>
      </c>
      <c r="O521" s="224">
        <f t="shared" ca="1" si="127"/>
        <v>0</v>
      </c>
      <c r="P521" s="224">
        <f t="shared" ca="1" si="128"/>
        <v>0</v>
      </c>
      <c r="Q521" s="224">
        <v>0</v>
      </c>
      <c r="R521" s="224">
        <v>0</v>
      </c>
      <c r="S521" s="224">
        <v>0</v>
      </c>
      <c r="T521" s="224">
        <f t="shared" si="129"/>
        <v>0</v>
      </c>
      <c r="U521" s="224">
        <f t="shared" si="130"/>
        <v>0</v>
      </c>
    </row>
    <row r="522" spans="1:21" ht="19.5" hidden="1" x14ac:dyDescent="0.3">
      <c r="A522" s="138"/>
      <c r="B522" s="139"/>
      <c r="C522" s="527" t="s">
        <v>18</v>
      </c>
      <c r="D522" s="509" t="s">
        <v>38</v>
      </c>
      <c r="E522" s="141"/>
      <c r="F522" s="141"/>
      <c r="G522" s="142"/>
      <c r="H522" s="143"/>
      <c r="I522" s="135"/>
      <c r="J522" s="44"/>
      <c r="K522" s="45"/>
      <c r="L522" s="465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208</v>
      </c>
      <c r="E523" s="139"/>
      <c r="F523" s="40"/>
      <c r="G523" s="42"/>
      <c r="H523" s="526" t="s">
        <v>11</v>
      </c>
      <c r="I523" s="430">
        <v>0</v>
      </c>
      <c r="J523" s="525">
        <v>0</v>
      </c>
      <c r="K523" s="83">
        <f>IF(I523&gt;0,J523*100/I523,0)</f>
        <v>0</v>
      </c>
      <c r="L523" s="465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29"/>
      <c r="B524" s="1"/>
      <c r="C524" s="2"/>
      <c r="D524" s="524" t="s">
        <v>209</v>
      </c>
      <c r="E524" s="250"/>
      <c r="F524" s="1"/>
      <c r="G524" s="52"/>
      <c r="H524" s="523" t="s">
        <v>61</v>
      </c>
      <c r="I524" s="433">
        <v>0</v>
      </c>
      <c r="J524" s="522">
        <v>0</v>
      </c>
      <c r="K524" s="521">
        <f>IF(I524&gt;0,J524*100/I524,0)</f>
        <v>0</v>
      </c>
      <c r="L524" s="465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520"/>
      <c r="B525" s="519"/>
      <c r="C525" s="519"/>
      <c r="D525" s="518"/>
      <c r="E525" s="518"/>
      <c r="F525" s="518"/>
      <c r="G525" s="517"/>
      <c r="H525" s="516"/>
      <c r="I525" s="515"/>
      <c r="J525" s="515"/>
      <c r="K525" s="514"/>
      <c r="L525" s="511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11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11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11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11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11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11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496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hidden="1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64">
        <f>I545</f>
        <v>0</v>
      </c>
      <c r="J533" s="364">
        <f>J545</f>
        <v>0</v>
      </c>
      <c r="K533" s="513">
        <f>IF(I533&gt;0,J533*100/I533,0)</f>
        <v>0</v>
      </c>
      <c r="L533" s="512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hidden="1" x14ac:dyDescent="0.3">
      <c r="A534" s="128"/>
      <c r="B534" s="40"/>
      <c r="C534" s="129" t="s">
        <v>18</v>
      </c>
      <c r="D534" s="472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471">
        <f>L535+L536</f>
        <v>0</v>
      </c>
      <c r="M534" s="470">
        <f>M535+M536</f>
        <v>0</v>
      </c>
      <c r="N534" s="470">
        <f>N535+N536</f>
        <v>0</v>
      </c>
      <c r="O534" s="470">
        <f t="shared" ref="O534:O542" si="133">IF(L534&gt;0,N534*100/L534,0)</f>
        <v>0</v>
      </c>
      <c r="P534" s="470">
        <f t="shared" ref="P534:P542" si="134">IF(M534&gt;0,N534*100/M534,0)</f>
        <v>0</v>
      </c>
      <c r="Q534" s="470">
        <f>Q535+Q536</f>
        <v>0</v>
      </c>
      <c r="R534" s="470">
        <f>R535+R536</f>
        <v>0</v>
      </c>
      <c r="S534" s="470">
        <f>S535+S536</f>
        <v>0</v>
      </c>
      <c r="T534" s="470">
        <f t="shared" ref="T534:T542" si="135">IF(Q534&gt;0,S534*100/Q534,0)</f>
        <v>0</v>
      </c>
      <c r="U534" s="470">
        <f t="shared" ref="U534:U542" si="136"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469">
        <f t="shared" ref="L535:N536" si="137">L538+L541</f>
        <v>0</v>
      </c>
      <c r="M535" s="83">
        <f t="shared" si="137"/>
        <v>0</v>
      </c>
      <c r="N535" s="83">
        <f t="shared" si="137"/>
        <v>0</v>
      </c>
      <c r="O535" s="83">
        <f t="shared" si="133"/>
        <v>0</v>
      </c>
      <c r="P535" s="83">
        <f t="shared" si="134"/>
        <v>0</v>
      </c>
      <c r="Q535" s="83">
        <f t="shared" ref="Q535:S536" si="138">Q538+Q541</f>
        <v>0</v>
      </c>
      <c r="R535" s="83">
        <f t="shared" si="138"/>
        <v>0</v>
      </c>
      <c r="S535" s="83">
        <f t="shared" si="138"/>
        <v>0</v>
      </c>
      <c r="T535" s="83">
        <f t="shared" si="135"/>
        <v>0</v>
      </c>
      <c r="U535" s="83">
        <f t="shared" si="136"/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468">
        <f t="shared" si="137"/>
        <v>0</v>
      </c>
      <c r="M536" s="224">
        <f t="shared" si="137"/>
        <v>0</v>
      </c>
      <c r="N536" s="224">
        <f t="shared" si="137"/>
        <v>0</v>
      </c>
      <c r="O536" s="224">
        <f t="shared" si="133"/>
        <v>0</v>
      </c>
      <c r="P536" s="224">
        <f t="shared" si="134"/>
        <v>0</v>
      </c>
      <c r="Q536" s="224">
        <f t="shared" si="138"/>
        <v>0</v>
      </c>
      <c r="R536" s="224">
        <f t="shared" si="138"/>
        <v>0</v>
      </c>
      <c r="S536" s="224">
        <f t="shared" si="138"/>
        <v>0</v>
      </c>
      <c r="T536" s="224">
        <f t="shared" si="135"/>
        <v>0</v>
      </c>
      <c r="U536" s="224">
        <f t="shared" si="136"/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468">
        <f>L538+L539</f>
        <v>0</v>
      </c>
      <c r="M537" s="224">
        <f>M538+M539</f>
        <v>0</v>
      </c>
      <c r="N537" s="224">
        <f>N538+N539</f>
        <v>0</v>
      </c>
      <c r="O537" s="224">
        <f t="shared" si="133"/>
        <v>0</v>
      </c>
      <c r="P537" s="224">
        <f t="shared" si="134"/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 t="shared" si="135"/>
        <v>0</v>
      </c>
      <c r="U537" s="224">
        <f t="shared" si="136"/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469">
        <v>0</v>
      </c>
      <c r="M538" s="83">
        <v>0</v>
      </c>
      <c r="N538" s="83">
        <v>0</v>
      </c>
      <c r="O538" s="83">
        <f t="shared" si="133"/>
        <v>0</v>
      </c>
      <c r="P538" s="83">
        <f t="shared" si="134"/>
        <v>0</v>
      </c>
      <c r="Q538" s="83">
        <v>0</v>
      </c>
      <c r="R538" s="83">
        <v>0</v>
      </c>
      <c r="S538" s="83">
        <v>0</v>
      </c>
      <c r="T538" s="83">
        <f t="shared" si="135"/>
        <v>0</v>
      </c>
      <c r="U538" s="83">
        <f t="shared" si="136"/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468">
        <v>0</v>
      </c>
      <c r="M539" s="224">
        <v>0</v>
      </c>
      <c r="N539" s="224">
        <v>0</v>
      </c>
      <c r="O539" s="224">
        <f t="shared" si="133"/>
        <v>0</v>
      </c>
      <c r="P539" s="224">
        <f t="shared" si="134"/>
        <v>0</v>
      </c>
      <c r="Q539" s="224">
        <v>0</v>
      </c>
      <c r="R539" s="224">
        <v>0</v>
      </c>
      <c r="S539" s="224">
        <v>0</v>
      </c>
      <c r="T539" s="224">
        <f t="shared" si="135"/>
        <v>0</v>
      </c>
      <c r="U539" s="224">
        <f t="shared" si="136"/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468">
        <f>L541+L542</f>
        <v>0</v>
      </c>
      <c r="M540" s="224">
        <f>M541+M542</f>
        <v>0</v>
      </c>
      <c r="N540" s="224">
        <f>N541+N542</f>
        <v>0</v>
      </c>
      <c r="O540" s="224">
        <f t="shared" si="133"/>
        <v>0</v>
      </c>
      <c r="P540" s="224">
        <f t="shared" si="134"/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 t="shared" si="135"/>
        <v>0</v>
      </c>
      <c r="U540" s="224">
        <f t="shared" si="136"/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469">
        <v>0</v>
      </c>
      <c r="M541" s="83">
        <v>0</v>
      </c>
      <c r="N541" s="83">
        <v>0</v>
      </c>
      <c r="O541" s="83">
        <f t="shared" si="133"/>
        <v>0</v>
      </c>
      <c r="P541" s="83">
        <f t="shared" si="134"/>
        <v>0</v>
      </c>
      <c r="Q541" s="83">
        <v>0</v>
      </c>
      <c r="R541" s="83">
        <v>0</v>
      </c>
      <c r="S541" s="83">
        <v>0</v>
      </c>
      <c r="T541" s="83">
        <f t="shared" si="135"/>
        <v>0</v>
      </c>
      <c r="U541" s="83">
        <f t="shared" si="136"/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468">
        <v>0</v>
      </c>
      <c r="M542" s="224">
        <v>0</v>
      </c>
      <c r="N542" s="224">
        <v>0</v>
      </c>
      <c r="O542" s="224">
        <f t="shared" si="133"/>
        <v>0</v>
      </c>
      <c r="P542" s="224">
        <f t="shared" si="134"/>
        <v>0</v>
      </c>
      <c r="Q542" s="224">
        <v>0</v>
      </c>
      <c r="R542" s="224">
        <v>0</v>
      </c>
      <c r="S542" s="224">
        <v>0</v>
      </c>
      <c r="T542" s="224">
        <f t="shared" si="135"/>
        <v>0</v>
      </c>
      <c r="U542" s="224">
        <f t="shared" si="136"/>
        <v>0</v>
      </c>
    </row>
    <row r="543" spans="1:21" ht="19.5" hidden="1" x14ac:dyDescent="0.3">
      <c r="A543" s="138"/>
      <c r="B543" s="139"/>
      <c r="C543" s="365" t="s">
        <v>18</v>
      </c>
      <c r="D543" s="498" t="s">
        <v>38</v>
      </c>
      <c r="E543" s="141"/>
      <c r="F543" s="141"/>
      <c r="G543" s="142"/>
      <c r="H543" s="143"/>
      <c r="I543" s="135"/>
      <c r="J543" s="44"/>
      <c r="K543" s="45"/>
      <c r="L543" s="465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11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11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11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11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11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11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11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11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11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496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hidden="1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64">
        <f>I566</f>
        <v>0</v>
      </c>
      <c r="J554" s="364">
        <f>J566</f>
        <v>0</v>
      </c>
      <c r="K554" s="513">
        <f>IF(I554&gt;0,J554*100/I554,0)</f>
        <v>0</v>
      </c>
      <c r="L554" s="512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hidden="1" x14ac:dyDescent="0.3">
      <c r="A555" s="128"/>
      <c r="B555" s="40"/>
      <c r="C555" s="129" t="s">
        <v>18</v>
      </c>
      <c r="D555" s="472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471">
        <f>L556+L557</f>
        <v>0</v>
      </c>
      <c r="M555" s="470">
        <f>M556+M557</f>
        <v>0</v>
      </c>
      <c r="N555" s="470">
        <f>N556+N557</f>
        <v>0</v>
      </c>
      <c r="O555" s="470">
        <f t="shared" ref="O555:O563" si="139">IF(L555&gt;0,N555*100/L555,0)</f>
        <v>0</v>
      </c>
      <c r="P555" s="470">
        <f t="shared" ref="P555:P563" si="140">IF(M555&gt;0,N555*100/M555,0)</f>
        <v>0</v>
      </c>
      <c r="Q555" s="470">
        <f>Q556+Q557</f>
        <v>0</v>
      </c>
      <c r="R555" s="470">
        <f>R556+R557</f>
        <v>0</v>
      </c>
      <c r="S555" s="470">
        <f>S556+S557</f>
        <v>0</v>
      </c>
      <c r="T555" s="470">
        <f t="shared" ref="T555:T563" si="141">IF(Q555&gt;0,S555*100/Q555,0)</f>
        <v>0</v>
      </c>
      <c r="U555" s="470">
        <f t="shared" ref="U555:U563" si="142"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469">
        <f t="shared" ref="L556:N557" si="143">L559+L562</f>
        <v>0</v>
      </c>
      <c r="M556" s="83">
        <f t="shared" si="143"/>
        <v>0</v>
      </c>
      <c r="N556" s="83">
        <f t="shared" si="143"/>
        <v>0</v>
      </c>
      <c r="O556" s="83">
        <f t="shared" si="139"/>
        <v>0</v>
      </c>
      <c r="P556" s="83">
        <f t="shared" si="140"/>
        <v>0</v>
      </c>
      <c r="Q556" s="83">
        <f t="shared" ref="Q556:S557" si="144">Q559+Q562</f>
        <v>0</v>
      </c>
      <c r="R556" s="83">
        <f t="shared" si="144"/>
        <v>0</v>
      </c>
      <c r="S556" s="83">
        <f t="shared" si="144"/>
        <v>0</v>
      </c>
      <c r="T556" s="83">
        <f t="shared" si="141"/>
        <v>0</v>
      </c>
      <c r="U556" s="83">
        <f t="shared" si="142"/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468">
        <f t="shared" si="143"/>
        <v>0</v>
      </c>
      <c r="M557" s="224">
        <f t="shared" si="143"/>
        <v>0</v>
      </c>
      <c r="N557" s="224">
        <f t="shared" si="143"/>
        <v>0</v>
      </c>
      <c r="O557" s="224">
        <f t="shared" si="139"/>
        <v>0</v>
      </c>
      <c r="P557" s="224">
        <f t="shared" si="140"/>
        <v>0</v>
      </c>
      <c r="Q557" s="224">
        <f t="shared" si="144"/>
        <v>0</v>
      </c>
      <c r="R557" s="224">
        <f t="shared" si="144"/>
        <v>0</v>
      </c>
      <c r="S557" s="224">
        <f t="shared" si="144"/>
        <v>0</v>
      </c>
      <c r="T557" s="224">
        <f t="shared" si="141"/>
        <v>0</v>
      </c>
      <c r="U557" s="224">
        <f t="shared" si="142"/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468">
        <f>L559+L560</f>
        <v>0</v>
      </c>
      <c r="M558" s="224">
        <f>M559+M560</f>
        <v>0</v>
      </c>
      <c r="N558" s="224">
        <f>N559+N560</f>
        <v>0</v>
      </c>
      <c r="O558" s="224">
        <f t="shared" si="139"/>
        <v>0</v>
      </c>
      <c r="P558" s="224">
        <f t="shared" si="140"/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 t="shared" si="141"/>
        <v>0</v>
      </c>
      <c r="U558" s="224">
        <f t="shared" si="142"/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469">
        <v>0</v>
      </c>
      <c r="M559" s="83">
        <v>0</v>
      </c>
      <c r="N559" s="83">
        <v>0</v>
      </c>
      <c r="O559" s="83">
        <f t="shared" si="139"/>
        <v>0</v>
      </c>
      <c r="P559" s="83">
        <f t="shared" si="140"/>
        <v>0</v>
      </c>
      <c r="Q559" s="83">
        <v>0</v>
      </c>
      <c r="R559" s="83">
        <v>0</v>
      </c>
      <c r="S559" s="83">
        <v>0</v>
      </c>
      <c r="T559" s="83">
        <f t="shared" si="141"/>
        <v>0</v>
      </c>
      <c r="U559" s="83">
        <f t="shared" si="142"/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468">
        <v>0</v>
      </c>
      <c r="M560" s="224">
        <v>0</v>
      </c>
      <c r="N560" s="224">
        <v>0</v>
      </c>
      <c r="O560" s="224">
        <f t="shared" si="139"/>
        <v>0</v>
      </c>
      <c r="P560" s="224">
        <f t="shared" si="140"/>
        <v>0</v>
      </c>
      <c r="Q560" s="224">
        <v>0</v>
      </c>
      <c r="R560" s="224">
        <v>0</v>
      </c>
      <c r="S560" s="224">
        <v>0</v>
      </c>
      <c r="T560" s="224">
        <f t="shared" si="141"/>
        <v>0</v>
      </c>
      <c r="U560" s="224">
        <f t="shared" si="142"/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468">
        <f>L562+L563</f>
        <v>0</v>
      </c>
      <c r="M561" s="224">
        <f>M562+M563</f>
        <v>0</v>
      </c>
      <c r="N561" s="224">
        <f>N562+N563</f>
        <v>0</v>
      </c>
      <c r="O561" s="224">
        <f t="shared" si="139"/>
        <v>0</v>
      </c>
      <c r="P561" s="224">
        <f t="shared" si="140"/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 t="shared" si="141"/>
        <v>0</v>
      </c>
      <c r="U561" s="224">
        <f t="shared" si="142"/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469">
        <v>0</v>
      </c>
      <c r="M562" s="83">
        <v>0</v>
      </c>
      <c r="N562" s="83">
        <v>0</v>
      </c>
      <c r="O562" s="83">
        <f t="shared" si="139"/>
        <v>0</v>
      </c>
      <c r="P562" s="83">
        <f t="shared" si="140"/>
        <v>0</v>
      </c>
      <c r="Q562" s="83">
        <v>0</v>
      </c>
      <c r="R562" s="83">
        <v>0</v>
      </c>
      <c r="S562" s="83">
        <v>0</v>
      </c>
      <c r="T562" s="83">
        <f t="shared" si="141"/>
        <v>0</v>
      </c>
      <c r="U562" s="83">
        <f t="shared" si="142"/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468">
        <v>0</v>
      </c>
      <c r="M563" s="224">
        <v>0</v>
      </c>
      <c r="N563" s="224">
        <v>0</v>
      </c>
      <c r="O563" s="224">
        <f t="shared" si="139"/>
        <v>0</v>
      </c>
      <c r="P563" s="224">
        <f t="shared" si="140"/>
        <v>0</v>
      </c>
      <c r="Q563" s="224">
        <v>0</v>
      </c>
      <c r="R563" s="224">
        <v>0</v>
      </c>
      <c r="S563" s="224">
        <v>0</v>
      </c>
      <c r="T563" s="224">
        <f t="shared" si="141"/>
        <v>0</v>
      </c>
      <c r="U563" s="224">
        <f t="shared" si="142"/>
        <v>0</v>
      </c>
    </row>
    <row r="564" spans="1:21" ht="19.5" hidden="1" x14ac:dyDescent="0.3">
      <c r="A564" s="138"/>
      <c r="B564" s="139"/>
      <c r="C564" s="365" t="s">
        <v>18</v>
      </c>
      <c r="D564" s="498" t="s">
        <v>38</v>
      </c>
      <c r="E564" s="141"/>
      <c r="F564" s="141"/>
      <c r="G564" s="142"/>
      <c r="H564" s="143"/>
      <c r="I564" s="135"/>
      <c r="J564" s="44"/>
      <c r="K564" s="45"/>
      <c r="L564" s="465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11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11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11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11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11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11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11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11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11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496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hidden="1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64">
        <f>I587</f>
        <v>0</v>
      </c>
      <c r="J575" s="364">
        <f>J587</f>
        <v>0</v>
      </c>
      <c r="K575" s="513">
        <f>IF(I575&gt;0,J575*100/I575,0)</f>
        <v>0</v>
      </c>
      <c r="L575" s="512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hidden="1" x14ac:dyDescent="0.3">
      <c r="A576" s="128"/>
      <c r="B576" s="40"/>
      <c r="C576" s="129" t="s">
        <v>18</v>
      </c>
      <c r="D576" s="472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471">
        <f>L577+L578</f>
        <v>0</v>
      </c>
      <c r="M576" s="470">
        <f>M577+M578</f>
        <v>0</v>
      </c>
      <c r="N576" s="470">
        <f>N577+N578</f>
        <v>0</v>
      </c>
      <c r="O576" s="470">
        <f t="shared" ref="O576:O584" si="145">IF(L576&gt;0,N576*100/L576,0)</f>
        <v>0</v>
      </c>
      <c r="P576" s="470">
        <f t="shared" ref="P576:P584" si="146">IF(M576&gt;0,N576*100/M576,0)</f>
        <v>0</v>
      </c>
      <c r="Q576" s="470">
        <f>Q577+Q578</f>
        <v>0</v>
      </c>
      <c r="R576" s="470">
        <f>R577+R578</f>
        <v>0</v>
      </c>
      <c r="S576" s="470">
        <f>S577+S578</f>
        <v>0</v>
      </c>
      <c r="T576" s="470">
        <f t="shared" ref="T576:T584" si="147">IF(Q576&gt;0,S576*100/Q576,0)</f>
        <v>0</v>
      </c>
      <c r="U576" s="470">
        <f t="shared" ref="U576:U584" si="148"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469">
        <f t="shared" ref="L577:N578" si="149">L580+L583</f>
        <v>0</v>
      </c>
      <c r="M577" s="83">
        <f t="shared" si="149"/>
        <v>0</v>
      </c>
      <c r="N577" s="83">
        <f t="shared" si="149"/>
        <v>0</v>
      </c>
      <c r="O577" s="83">
        <f t="shared" si="145"/>
        <v>0</v>
      </c>
      <c r="P577" s="83">
        <f t="shared" si="146"/>
        <v>0</v>
      </c>
      <c r="Q577" s="83">
        <f t="shared" ref="Q577:S578" si="150">Q580+Q583</f>
        <v>0</v>
      </c>
      <c r="R577" s="83">
        <f t="shared" si="150"/>
        <v>0</v>
      </c>
      <c r="S577" s="83">
        <f t="shared" si="150"/>
        <v>0</v>
      </c>
      <c r="T577" s="83">
        <f t="shared" si="147"/>
        <v>0</v>
      </c>
      <c r="U577" s="83">
        <f t="shared" si="148"/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468">
        <f t="shared" si="149"/>
        <v>0</v>
      </c>
      <c r="M578" s="224">
        <f t="shared" si="149"/>
        <v>0</v>
      </c>
      <c r="N578" s="224">
        <f t="shared" si="149"/>
        <v>0</v>
      </c>
      <c r="O578" s="224">
        <f t="shared" si="145"/>
        <v>0</v>
      </c>
      <c r="P578" s="224">
        <f t="shared" si="146"/>
        <v>0</v>
      </c>
      <c r="Q578" s="224">
        <f t="shared" si="150"/>
        <v>0</v>
      </c>
      <c r="R578" s="224">
        <f t="shared" si="150"/>
        <v>0</v>
      </c>
      <c r="S578" s="224">
        <f t="shared" si="150"/>
        <v>0</v>
      </c>
      <c r="T578" s="224">
        <f t="shared" si="147"/>
        <v>0</v>
      </c>
      <c r="U578" s="224">
        <f t="shared" si="148"/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468">
        <f>L580+L581</f>
        <v>0</v>
      </c>
      <c r="M579" s="224">
        <f>M580+M581</f>
        <v>0</v>
      </c>
      <c r="N579" s="224">
        <f>N580+N581</f>
        <v>0</v>
      </c>
      <c r="O579" s="224">
        <f t="shared" si="145"/>
        <v>0</v>
      </c>
      <c r="P579" s="224">
        <f t="shared" si="146"/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 t="shared" si="147"/>
        <v>0</v>
      </c>
      <c r="U579" s="224">
        <f t="shared" si="148"/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469">
        <v>0</v>
      </c>
      <c r="M580" s="83">
        <v>0</v>
      </c>
      <c r="N580" s="83">
        <v>0</v>
      </c>
      <c r="O580" s="83">
        <f t="shared" si="145"/>
        <v>0</v>
      </c>
      <c r="P580" s="83">
        <f t="shared" si="146"/>
        <v>0</v>
      </c>
      <c r="Q580" s="83">
        <v>0</v>
      </c>
      <c r="R580" s="83">
        <v>0</v>
      </c>
      <c r="S580" s="83">
        <v>0</v>
      </c>
      <c r="T580" s="83">
        <f t="shared" si="147"/>
        <v>0</v>
      </c>
      <c r="U580" s="83">
        <f t="shared" si="148"/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468">
        <v>0</v>
      </c>
      <c r="M581" s="224">
        <v>0</v>
      </c>
      <c r="N581" s="224">
        <v>0</v>
      </c>
      <c r="O581" s="224">
        <f t="shared" si="145"/>
        <v>0</v>
      </c>
      <c r="P581" s="224">
        <f t="shared" si="146"/>
        <v>0</v>
      </c>
      <c r="Q581" s="224">
        <v>0</v>
      </c>
      <c r="R581" s="224">
        <v>0</v>
      </c>
      <c r="S581" s="224">
        <v>0</v>
      </c>
      <c r="T581" s="224">
        <f t="shared" si="147"/>
        <v>0</v>
      </c>
      <c r="U581" s="224">
        <f t="shared" si="148"/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468">
        <f>L583+L584</f>
        <v>0</v>
      </c>
      <c r="M582" s="224">
        <f>M583+M584</f>
        <v>0</v>
      </c>
      <c r="N582" s="224">
        <f>N583+N584</f>
        <v>0</v>
      </c>
      <c r="O582" s="224">
        <f t="shared" si="145"/>
        <v>0</v>
      </c>
      <c r="P582" s="224">
        <f t="shared" si="146"/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 t="shared" si="147"/>
        <v>0</v>
      </c>
      <c r="U582" s="224">
        <f t="shared" si="148"/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469">
        <v>0</v>
      </c>
      <c r="M583" s="83">
        <v>0</v>
      </c>
      <c r="N583" s="83">
        <v>0</v>
      </c>
      <c r="O583" s="83">
        <f t="shared" si="145"/>
        <v>0</v>
      </c>
      <c r="P583" s="83">
        <f t="shared" si="146"/>
        <v>0</v>
      </c>
      <c r="Q583" s="83">
        <v>0</v>
      </c>
      <c r="R583" s="83">
        <v>0</v>
      </c>
      <c r="S583" s="83">
        <v>0</v>
      </c>
      <c r="T583" s="83">
        <f t="shared" si="147"/>
        <v>0</v>
      </c>
      <c r="U583" s="83">
        <f t="shared" si="148"/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468">
        <v>0</v>
      </c>
      <c r="M584" s="224">
        <v>0</v>
      </c>
      <c r="N584" s="224">
        <v>0</v>
      </c>
      <c r="O584" s="224">
        <f t="shared" si="145"/>
        <v>0</v>
      </c>
      <c r="P584" s="224">
        <f t="shared" si="146"/>
        <v>0</v>
      </c>
      <c r="Q584" s="224">
        <v>0</v>
      </c>
      <c r="R584" s="224">
        <v>0</v>
      </c>
      <c r="S584" s="224">
        <v>0</v>
      </c>
      <c r="T584" s="224">
        <f t="shared" si="147"/>
        <v>0</v>
      </c>
      <c r="U584" s="224">
        <f t="shared" si="148"/>
        <v>0</v>
      </c>
    </row>
    <row r="585" spans="1:21" ht="19.5" hidden="1" x14ac:dyDescent="0.3">
      <c r="A585" s="138"/>
      <c r="B585" s="139"/>
      <c r="C585" s="365" t="s">
        <v>18</v>
      </c>
      <c r="D585" s="498" t="s">
        <v>38</v>
      </c>
      <c r="E585" s="141"/>
      <c r="F585" s="141"/>
      <c r="G585" s="142"/>
      <c r="H585" s="143"/>
      <c r="I585" s="135"/>
      <c r="J585" s="44"/>
      <c r="K585" s="45"/>
      <c r="L585" s="465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11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11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11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11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11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11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11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11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11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496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hidden="1" x14ac:dyDescent="0.3">
      <c r="A596" s="366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67" t="s">
        <v>214</v>
      </c>
      <c r="C597" s="172"/>
      <c r="D597" s="125"/>
      <c r="E597" s="27"/>
      <c r="F597" s="27"/>
      <c r="G597" s="27"/>
      <c r="H597" s="368" t="s">
        <v>99</v>
      </c>
      <c r="I597" s="182"/>
      <c r="J597" s="32"/>
      <c r="K597" s="33"/>
      <c r="L597" s="510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369"/>
      <c r="B598" s="370" t="s">
        <v>215</v>
      </c>
      <c r="C598" s="125"/>
      <c r="D598" s="27"/>
      <c r="E598" s="27"/>
      <c r="F598" s="27"/>
      <c r="G598" s="30"/>
      <c r="H598" s="371" t="s">
        <v>35</v>
      </c>
      <c r="I598" s="32"/>
      <c r="J598" s="32"/>
      <c r="K598" s="33"/>
      <c r="L598" s="510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820" t="s">
        <v>19</v>
      </c>
      <c r="E599" s="793"/>
      <c r="F599" s="793"/>
      <c r="G599" s="794"/>
      <c r="H599" s="372" t="s">
        <v>14</v>
      </c>
      <c r="I599" s="44"/>
      <c r="J599" s="44"/>
      <c r="K599" s="45"/>
      <c r="L599" s="471">
        <f>L600+L601</f>
        <v>0</v>
      </c>
      <c r="M599" s="470">
        <f>M600+M601</f>
        <v>0</v>
      </c>
      <c r="N599" s="470">
        <f>N600+N601</f>
        <v>0</v>
      </c>
      <c r="O599" s="470">
        <f t="shared" ref="O599:O607" si="151">IF(L599&gt;0,N599*100/L599,0)</f>
        <v>0</v>
      </c>
      <c r="P599" s="470">
        <f t="shared" ref="P599:P607" si="152">IF(M599&gt;0,N599*100/M599,0)</f>
        <v>0</v>
      </c>
      <c r="Q599" s="470">
        <f>Q600+Q601</f>
        <v>0</v>
      </c>
      <c r="R599" s="470">
        <f>R600+R601</f>
        <v>0</v>
      </c>
      <c r="S599" s="470">
        <f>S600+S601</f>
        <v>0</v>
      </c>
      <c r="T599" s="470">
        <f t="shared" ref="T599:T607" si="153">IF(Q599&gt;0,S599*100/Q599,0)</f>
        <v>0</v>
      </c>
      <c r="U599" s="470">
        <f t="shared" ref="U599:U607" si="154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469">
        <f t="shared" ref="L600:N601" si="155">L603+L606</f>
        <v>0</v>
      </c>
      <c r="M600" s="83">
        <f t="shared" si="155"/>
        <v>0</v>
      </c>
      <c r="N600" s="83">
        <f t="shared" si="155"/>
        <v>0</v>
      </c>
      <c r="O600" s="83">
        <f t="shared" si="151"/>
        <v>0</v>
      </c>
      <c r="P600" s="83">
        <f t="shared" si="152"/>
        <v>0</v>
      </c>
      <c r="Q600" s="83">
        <f t="shared" ref="Q600:S601" si="156">Q603+Q606</f>
        <v>0</v>
      </c>
      <c r="R600" s="83">
        <f t="shared" si="156"/>
        <v>0</v>
      </c>
      <c r="S600" s="83">
        <f t="shared" si="156"/>
        <v>0</v>
      </c>
      <c r="T600" s="83">
        <f t="shared" si="153"/>
        <v>0</v>
      </c>
      <c r="U600" s="83">
        <f t="shared" si="154"/>
        <v>0</v>
      </c>
    </row>
    <row r="601" spans="1:21" ht="18.75" hidden="1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468">
        <f t="shared" si="155"/>
        <v>0</v>
      </c>
      <c r="M601" s="224">
        <f t="shared" si="155"/>
        <v>0</v>
      </c>
      <c r="N601" s="224">
        <f t="shared" si="155"/>
        <v>0</v>
      </c>
      <c r="O601" s="224">
        <f t="shared" si="151"/>
        <v>0</v>
      </c>
      <c r="P601" s="224">
        <f t="shared" si="152"/>
        <v>0</v>
      </c>
      <c r="Q601" s="224">
        <f t="shared" si="156"/>
        <v>0</v>
      </c>
      <c r="R601" s="224">
        <f t="shared" si="156"/>
        <v>0</v>
      </c>
      <c r="S601" s="224">
        <f t="shared" si="156"/>
        <v>0</v>
      </c>
      <c r="T601" s="224">
        <f t="shared" si="153"/>
        <v>0</v>
      </c>
      <c r="U601" s="224">
        <f t="shared" si="154"/>
        <v>0</v>
      </c>
    </row>
    <row r="602" spans="1:21" ht="19.5" hidden="1" x14ac:dyDescent="0.3">
      <c r="A602" s="128"/>
      <c r="B602" s="158"/>
      <c r="C602" s="158"/>
      <c r="D602" s="494" t="s">
        <v>22</v>
      </c>
      <c r="E602" s="40"/>
      <c r="F602" s="40"/>
      <c r="G602" s="42"/>
      <c r="H602" s="372" t="s">
        <v>14</v>
      </c>
      <c r="I602" s="135"/>
      <c r="J602" s="135"/>
      <c r="K602" s="136"/>
      <c r="L602" s="468">
        <f>L603+L604</f>
        <v>0</v>
      </c>
      <c r="M602" s="224">
        <f>M603+M604</f>
        <v>0</v>
      </c>
      <c r="N602" s="224">
        <f>N603+N604</f>
        <v>0</v>
      </c>
      <c r="O602" s="224">
        <f t="shared" si="151"/>
        <v>0</v>
      </c>
      <c r="P602" s="224">
        <f t="shared" si="152"/>
        <v>0</v>
      </c>
      <c r="Q602" s="224">
        <f>Q603+Q604</f>
        <v>0</v>
      </c>
      <c r="R602" s="224">
        <f>R603+R604</f>
        <v>0</v>
      </c>
      <c r="S602" s="224">
        <f>S603+S604</f>
        <v>0</v>
      </c>
      <c r="T602" s="224">
        <f t="shared" si="153"/>
        <v>0</v>
      </c>
      <c r="U602" s="224">
        <f t="shared" si="154"/>
        <v>0</v>
      </c>
    </row>
    <row r="603" spans="1:21" ht="18.75" hidden="1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469">
        <v>0</v>
      </c>
      <c r="M603" s="83">
        <v>0</v>
      </c>
      <c r="N603" s="83">
        <v>0</v>
      </c>
      <c r="O603" s="83">
        <f t="shared" si="151"/>
        <v>0</v>
      </c>
      <c r="P603" s="83">
        <f t="shared" si="152"/>
        <v>0</v>
      </c>
      <c r="Q603" s="83">
        <v>0</v>
      </c>
      <c r="R603" s="83">
        <v>0</v>
      </c>
      <c r="S603" s="83">
        <v>0</v>
      </c>
      <c r="T603" s="83">
        <f t="shared" si="153"/>
        <v>0</v>
      </c>
      <c r="U603" s="83">
        <f t="shared" si="154"/>
        <v>0</v>
      </c>
    </row>
    <row r="604" spans="1:21" ht="18.75" hidden="1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468">
        <v>0</v>
      </c>
      <c r="M604" s="224">
        <v>0</v>
      </c>
      <c r="N604" s="224">
        <v>0</v>
      </c>
      <c r="O604" s="224">
        <f t="shared" si="151"/>
        <v>0</v>
      </c>
      <c r="P604" s="224">
        <f t="shared" si="152"/>
        <v>0</v>
      </c>
      <c r="Q604" s="224">
        <v>0</v>
      </c>
      <c r="R604" s="224">
        <v>0</v>
      </c>
      <c r="S604" s="224">
        <v>0</v>
      </c>
      <c r="T604" s="224">
        <f t="shared" si="153"/>
        <v>0</v>
      </c>
      <c r="U604" s="224">
        <f t="shared" si="154"/>
        <v>0</v>
      </c>
    </row>
    <row r="605" spans="1:21" ht="19.5" hidden="1" x14ac:dyDescent="0.3">
      <c r="A605" s="128"/>
      <c r="B605" s="158"/>
      <c r="C605" s="158"/>
      <c r="D605" s="494" t="s">
        <v>23</v>
      </c>
      <c r="E605" s="158"/>
      <c r="F605" s="40"/>
      <c r="G605" s="42"/>
      <c r="H605" s="374" t="s">
        <v>14</v>
      </c>
      <c r="I605" s="135"/>
      <c r="J605" s="135"/>
      <c r="K605" s="136"/>
      <c r="L605" s="468">
        <f>L606+L607</f>
        <v>0</v>
      </c>
      <c r="M605" s="224">
        <f>M606+M607</f>
        <v>0</v>
      </c>
      <c r="N605" s="224">
        <f>N606+N607</f>
        <v>0</v>
      </c>
      <c r="O605" s="224">
        <f t="shared" si="151"/>
        <v>0</v>
      </c>
      <c r="P605" s="224">
        <f t="shared" si="152"/>
        <v>0</v>
      </c>
      <c r="Q605" s="224">
        <f>Q606+Q607</f>
        <v>0</v>
      </c>
      <c r="R605" s="224">
        <f>R606+R607</f>
        <v>0</v>
      </c>
      <c r="S605" s="224">
        <f>S606+S607</f>
        <v>0</v>
      </c>
      <c r="T605" s="224">
        <f t="shared" si="153"/>
        <v>0</v>
      </c>
      <c r="U605" s="224">
        <f t="shared" si="154"/>
        <v>0</v>
      </c>
    </row>
    <row r="606" spans="1:21" ht="18.75" hidden="1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469">
        <v>0</v>
      </c>
      <c r="M606" s="83">
        <v>0</v>
      </c>
      <c r="N606" s="83">
        <v>0</v>
      </c>
      <c r="O606" s="83">
        <f t="shared" si="151"/>
        <v>0</v>
      </c>
      <c r="P606" s="83">
        <f t="shared" si="152"/>
        <v>0</v>
      </c>
      <c r="Q606" s="83">
        <v>0</v>
      </c>
      <c r="R606" s="83">
        <v>0</v>
      </c>
      <c r="S606" s="83">
        <v>0</v>
      </c>
      <c r="T606" s="83">
        <f t="shared" si="153"/>
        <v>0</v>
      </c>
      <c r="U606" s="83">
        <f t="shared" si="154"/>
        <v>0</v>
      </c>
    </row>
    <row r="607" spans="1:21" ht="18.75" hidden="1" x14ac:dyDescent="0.25">
      <c r="A607" s="128"/>
      <c r="B607" s="158"/>
      <c r="C607" s="158"/>
      <c r="D607" s="40"/>
      <c r="E607" s="314" t="s">
        <v>21</v>
      </c>
      <c r="F607" s="40"/>
      <c r="G607" s="42"/>
      <c r="H607" s="375" t="s">
        <v>14</v>
      </c>
      <c r="I607" s="135"/>
      <c r="J607" s="135"/>
      <c r="K607" s="136"/>
      <c r="L607" s="468">
        <v>0</v>
      </c>
      <c r="M607" s="224">
        <v>0</v>
      </c>
      <c r="N607" s="224">
        <v>0</v>
      </c>
      <c r="O607" s="224">
        <f t="shared" si="151"/>
        <v>0</v>
      </c>
      <c r="P607" s="224">
        <f t="shared" si="152"/>
        <v>0</v>
      </c>
      <c r="Q607" s="224">
        <v>0</v>
      </c>
      <c r="R607" s="224">
        <v>0</v>
      </c>
      <c r="S607" s="224">
        <v>0</v>
      </c>
      <c r="T607" s="224">
        <f t="shared" si="153"/>
        <v>0</v>
      </c>
      <c r="U607" s="224">
        <f t="shared" si="154"/>
        <v>0</v>
      </c>
    </row>
    <row r="608" spans="1:21" ht="19.5" hidden="1" x14ac:dyDescent="0.3">
      <c r="A608" s="138"/>
      <c r="B608" s="139"/>
      <c r="C608" s="177" t="s">
        <v>18</v>
      </c>
      <c r="D608" s="509" t="s">
        <v>38</v>
      </c>
      <c r="E608" s="141"/>
      <c r="F608" s="141"/>
      <c r="G608" s="142"/>
      <c r="H608" s="178"/>
      <c r="I608" s="135"/>
      <c r="J608" s="135"/>
      <c r="K608" s="136"/>
      <c r="L608" s="465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377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465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377" t="s">
        <v>217</v>
      </c>
      <c r="E610" s="145"/>
      <c r="F610" s="145"/>
      <c r="G610" s="143"/>
      <c r="H610" s="372" t="s">
        <v>35</v>
      </c>
      <c r="I610" s="44"/>
      <c r="J610" s="44"/>
      <c r="K610" s="136"/>
      <c r="L610" s="465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377" t="s">
        <v>218</v>
      </c>
      <c r="F611" s="145"/>
      <c r="G611" s="143"/>
      <c r="H611" s="375" t="s">
        <v>35</v>
      </c>
      <c r="I611" s="44"/>
      <c r="J611" s="44"/>
      <c r="K611" s="136"/>
      <c r="L611" s="465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378"/>
      <c r="B612" s="379"/>
      <c r="C612" s="379"/>
      <c r="D612" s="379"/>
      <c r="E612" s="380" t="s">
        <v>219</v>
      </c>
      <c r="F612" s="381"/>
      <c r="G612" s="382"/>
      <c r="H612" s="383" t="s">
        <v>35</v>
      </c>
      <c r="I612" s="384"/>
      <c r="J612" s="384"/>
      <c r="K612" s="385"/>
      <c r="L612" s="508"/>
      <c r="M612" s="386"/>
      <c r="N612" s="386"/>
      <c r="O612" s="386"/>
      <c r="P612" s="386"/>
      <c r="Q612" s="386"/>
      <c r="R612" s="386"/>
      <c r="S612" s="386"/>
      <c r="T612" s="386"/>
      <c r="U612" s="386"/>
    </row>
    <row r="613" spans="1:21" ht="19.5" hidden="1" x14ac:dyDescent="0.3">
      <c r="A613" s="387" t="s">
        <v>220</v>
      </c>
      <c r="B613" s="388"/>
      <c r="C613" s="388"/>
      <c r="D613" s="389"/>
      <c r="E613" s="389"/>
      <c r="F613" s="389"/>
      <c r="G613" s="390"/>
      <c r="H613" s="391"/>
      <c r="I613" s="392"/>
      <c r="J613" s="392"/>
      <c r="K613" s="393"/>
      <c r="L613" s="507"/>
      <c r="M613" s="393"/>
      <c r="N613" s="393"/>
      <c r="O613" s="393"/>
      <c r="P613" s="393"/>
      <c r="Q613" s="393"/>
      <c r="R613" s="393"/>
      <c r="S613" s="393"/>
      <c r="T613" s="393"/>
      <c r="U613" s="393"/>
    </row>
    <row r="614" spans="1:21" ht="19.5" x14ac:dyDescent="0.3">
      <c r="A614" s="394"/>
      <c r="B614" s="395" t="s">
        <v>221</v>
      </c>
      <c r="C614" s="394"/>
      <c r="D614" s="396"/>
      <c r="E614" s="396"/>
      <c r="F614" s="396"/>
      <c r="G614" s="397"/>
      <c r="H614" s="398"/>
      <c r="I614" s="399"/>
      <c r="J614" s="399"/>
      <c r="K614" s="400"/>
      <c r="L614" s="473"/>
      <c r="M614" s="400"/>
      <c r="N614" s="400"/>
      <c r="O614" s="400"/>
      <c r="P614" s="400"/>
      <c r="Q614" s="400"/>
      <c r="R614" s="400"/>
      <c r="S614" s="400"/>
      <c r="T614" s="400"/>
      <c r="U614" s="400"/>
    </row>
    <row r="615" spans="1:21" ht="19.5" x14ac:dyDescent="0.3">
      <c r="A615" s="401"/>
      <c r="B615" s="402" t="s">
        <v>222</v>
      </c>
      <c r="C615" s="401"/>
      <c r="D615" s="403"/>
      <c r="E615" s="403"/>
      <c r="F615" s="403"/>
      <c r="G615" s="404"/>
      <c r="H615" s="405" t="s">
        <v>46</v>
      </c>
      <c r="I615" s="506">
        <f ca="1">I626</f>
        <v>50</v>
      </c>
      <c r="J615" s="506">
        <f>J626</f>
        <v>0</v>
      </c>
      <c r="K615" s="505">
        <f ca="1">IF(I615&gt;0,J615*100/I615,0)</f>
        <v>0</v>
      </c>
      <c r="L615" s="504"/>
      <c r="M615" s="408"/>
      <c r="N615" s="408"/>
      <c r="O615" s="408"/>
      <c r="P615" s="408"/>
      <c r="Q615" s="408"/>
      <c r="R615" s="408"/>
      <c r="S615" s="408"/>
      <c r="T615" s="408"/>
      <c r="U615" s="408"/>
    </row>
    <row r="616" spans="1:21" ht="19.5" x14ac:dyDescent="0.3">
      <c r="A616" s="128"/>
      <c r="B616" s="158"/>
      <c r="C616" s="177" t="s">
        <v>18</v>
      </c>
      <c r="D616" s="821" t="s">
        <v>19</v>
      </c>
      <c r="E616" s="793"/>
      <c r="F616" s="793"/>
      <c r="G616" s="794"/>
      <c r="H616" s="221" t="s">
        <v>14</v>
      </c>
      <c r="I616" s="44"/>
      <c r="J616" s="44"/>
      <c r="K616" s="45"/>
      <c r="L616" s="471">
        <f>L617+L618</f>
        <v>0</v>
      </c>
      <c r="M616" s="470">
        <f>M617+M618</f>
        <v>0</v>
      </c>
      <c r="N616" s="470">
        <f>N617+N618</f>
        <v>0</v>
      </c>
      <c r="O616" s="470">
        <f t="shared" ref="O616:O624" si="157">IF(L616&gt;0,N616*100/L616,0)</f>
        <v>0</v>
      </c>
      <c r="P616" s="470">
        <f t="shared" ref="P616:P624" si="158">IF(M616&gt;0,N616*100/M616,0)</f>
        <v>0</v>
      </c>
      <c r="Q616" s="470">
        <f ca="1">Q617+Q618</f>
        <v>6825</v>
      </c>
      <c r="R616" s="470">
        <f ca="1">R617+R618</f>
        <v>6825</v>
      </c>
      <c r="S616" s="470">
        <f ca="1">S617+S618</f>
        <v>1000</v>
      </c>
      <c r="T616" s="470">
        <f t="shared" ref="T616:T624" ca="1" si="159">IF(Q616&gt;0,S616*100/Q616,0)</f>
        <v>14.652014652014651</v>
      </c>
      <c r="U616" s="470">
        <f t="shared" ref="U616:U624" ca="1" si="160">IF(R616&gt;0,S616*100/R616,0)</f>
        <v>14.652014652014651</v>
      </c>
    </row>
    <row r="617" spans="1:21" ht="18.75" hidden="1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469">
        <f t="shared" ref="L617:N618" si="161">L620+L623</f>
        <v>0</v>
      </c>
      <c r="M617" s="83">
        <f t="shared" si="161"/>
        <v>0</v>
      </c>
      <c r="N617" s="83">
        <f t="shared" si="161"/>
        <v>0</v>
      </c>
      <c r="O617" s="83">
        <f t="shared" si="157"/>
        <v>0</v>
      </c>
      <c r="P617" s="83">
        <f t="shared" si="158"/>
        <v>0</v>
      </c>
      <c r="Q617" s="83">
        <f t="shared" ref="Q617:S618" si="162">Q620+Q623</f>
        <v>0</v>
      </c>
      <c r="R617" s="83">
        <f t="shared" si="162"/>
        <v>0</v>
      </c>
      <c r="S617" s="83">
        <f t="shared" si="162"/>
        <v>0</v>
      </c>
      <c r="T617" s="83">
        <f t="shared" si="159"/>
        <v>0</v>
      </c>
      <c r="U617" s="83">
        <f t="shared" si="160"/>
        <v>0</v>
      </c>
    </row>
    <row r="618" spans="1:21" ht="18.75" hidden="1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468">
        <f t="shared" si="161"/>
        <v>0</v>
      </c>
      <c r="M618" s="224">
        <f t="shared" si="161"/>
        <v>0</v>
      </c>
      <c r="N618" s="224">
        <f t="shared" si="161"/>
        <v>0</v>
      </c>
      <c r="O618" s="224">
        <f t="shared" si="157"/>
        <v>0</v>
      </c>
      <c r="P618" s="224">
        <f t="shared" si="158"/>
        <v>0</v>
      </c>
      <c r="Q618" s="224">
        <f t="shared" ca="1" si="162"/>
        <v>6825</v>
      </c>
      <c r="R618" s="224">
        <f t="shared" ca="1" si="162"/>
        <v>6825</v>
      </c>
      <c r="S618" s="224">
        <f t="shared" ca="1" si="162"/>
        <v>1000</v>
      </c>
      <c r="T618" s="224">
        <f t="shared" ca="1" si="159"/>
        <v>14.652014652014651</v>
      </c>
      <c r="U618" s="224">
        <f t="shared" ca="1" si="160"/>
        <v>14.652014652014651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468">
        <f>L620+L621</f>
        <v>0</v>
      </c>
      <c r="M619" s="224">
        <f>M620+M621</f>
        <v>0</v>
      </c>
      <c r="N619" s="224">
        <f>N620+N621</f>
        <v>0</v>
      </c>
      <c r="O619" s="224">
        <f t="shared" si="157"/>
        <v>0</v>
      </c>
      <c r="P619" s="224">
        <f t="shared" si="158"/>
        <v>0</v>
      </c>
      <c r="Q619" s="224">
        <f ca="1">Q620+Q621</f>
        <v>6825</v>
      </c>
      <c r="R619" s="224">
        <f ca="1">R620+R621</f>
        <v>6825</v>
      </c>
      <c r="S619" s="224">
        <f ca="1">S620+S621</f>
        <v>1000</v>
      </c>
      <c r="T619" s="224">
        <f t="shared" ca="1" si="159"/>
        <v>14.652014652014651</v>
      </c>
      <c r="U619" s="224">
        <f t="shared" ca="1" si="160"/>
        <v>14.652014652014651</v>
      </c>
    </row>
    <row r="620" spans="1:21" ht="18.75" hidden="1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469">
        <v>0</v>
      </c>
      <c r="M620" s="83">
        <v>0</v>
      </c>
      <c r="N620" s="83">
        <v>0</v>
      </c>
      <c r="O620" s="83">
        <f t="shared" si="157"/>
        <v>0</v>
      </c>
      <c r="P620" s="83">
        <f t="shared" si="158"/>
        <v>0</v>
      </c>
      <c r="Q620" s="83">
        <v>0</v>
      </c>
      <c r="R620" s="83">
        <v>0</v>
      </c>
      <c r="S620" s="83">
        <v>0</v>
      </c>
      <c r="T620" s="83">
        <f t="shared" si="159"/>
        <v>0</v>
      </c>
      <c r="U620" s="83">
        <f t="shared" si="160"/>
        <v>0</v>
      </c>
    </row>
    <row r="621" spans="1:21" ht="18.75" hidden="1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468">
        <v>0</v>
      </c>
      <c r="M621" s="224">
        <v>0</v>
      </c>
      <c r="N621" s="224">
        <v>0</v>
      </c>
      <c r="O621" s="224">
        <f t="shared" si="157"/>
        <v>0</v>
      </c>
      <c r="P621" s="224">
        <f t="shared" si="158"/>
        <v>0</v>
      </c>
      <c r="Q621" s="224">
        <f ca="1">IFERROR(__xludf.DUMMYFUNCTION("IMPORTRANGE(""https://docs.google.com/spreadsheets/d/1ItG2mGa2ceCfYo0BwxsXqNm01IGEUdYcSSLTEv9YCik/edit?usp=sharing"",""เบิกจ่ายกองทุน!F26"")"),6825)</f>
        <v>6825</v>
      </c>
      <c r="R621" s="224">
        <f ca="1">IFERROR(__xludf.DUMMYFUNCTION("IMPORTRANGE(""https://docs.google.com/spreadsheets/d/1ItG2mGa2ceCfYo0BwxsXqNm01IGEUdYcSSLTEv9YCik/edit?usp=sharing"",""เบิกจ่ายกองทุน!G26"")"),6825)</f>
        <v>6825</v>
      </c>
      <c r="S621" s="224">
        <f ca="1">IFERROR(__xludf.DUMMYFUNCTION("IMPORTRANGE(""https://docs.google.com/spreadsheets/d/1ItG2mGa2ceCfYo0BwxsXqNm01IGEUdYcSSLTEv9YCik/edit?usp=sharing"",""เบิกจ่ายกองทุน!H26"")"),1000)</f>
        <v>1000</v>
      </c>
      <c r="T621" s="224">
        <f t="shared" ca="1" si="159"/>
        <v>14.652014652014651</v>
      </c>
      <c r="U621" s="224">
        <f t="shared" ca="1" si="160"/>
        <v>14.652014652014651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468">
        <f>L623+L624</f>
        <v>0</v>
      </c>
      <c r="M622" s="224">
        <f>M623+M624</f>
        <v>0</v>
      </c>
      <c r="N622" s="224">
        <f>N623+N624</f>
        <v>0</v>
      </c>
      <c r="O622" s="224">
        <f t="shared" si="157"/>
        <v>0</v>
      </c>
      <c r="P622" s="224">
        <f t="shared" si="158"/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 t="shared" si="159"/>
        <v>0</v>
      </c>
      <c r="U622" s="224">
        <f t="shared" si="160"/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469">
        <v>0</v>
      </c>
      <c r="M623" s="83">
        <v>0</v>
      </c>
      <c r="N623" s="83">
        <v>0</v>
      </c>
      <c r="O623" s="83">
        <f t="shared" si="157"/>
        <v>0</v>
      </c>
      <c r="P623" s="83">
        <f t="shared" si="158"/>
        <v>0</v>
      </c>
      <c r="Q623" s="83">
        <v>0</v>
      </c>
      <c r="R623" s="83">
        <v>0</v>
      </c>
      <c r="S623" s="83">
        <v>0</v>
      </c>
      <c r="T623" s="83">
        <f t="shared" si="159"/>
        <v>0</v>
      </c>
      <c r="U623" s="83">
        <f t="shared" si="160"/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468">
        <v>0</v>
      </c>
      <c r="M624" s="224">
        <v>0</v>
      </c>
      <c r="N624" s="224">
        <v>0</v>
      </c>
      <c r="O624" s="224">
        <f t="shared" si="157"/>
        <v>0</v>
      </c>
      <c r="P624" s="224">
        <f t="shared" si="158"/>
        <v>0</v>
      </c>
      <c r="Q624" s="224">
        <v>0</v>
      </c>
      <c r="R624" s="224">
        <v>0</v>
      </c>
      <c r="S624" s="224">
        <v>0</v>
      </c>
      <c r="T624" s="224">
        <f t="shared" si="159"/>
        <v>0</v>
      </c>
      <c r="U624" s="224">
        <f t="shared" si="160"/>
        <v>0</v>
      </c>
    </row>
    <row r="625" spans="1:21" ht="19.5" x14ac:dyDescent="0.3">
      <c r="A625" s="138"/>
      <c r="B625" s="139"/>
      <c r="C625" s="177" t="s">
        <v>18</v>
      </c>
      <c r="D625" s="467" t="s">
        <v>38</v>
      </c>
      <c r="E625" s="141"/>
      <c r="F625" s="141"/>
      <c r="G625" s="142"/>
      <c r="H625" s="178"/>
      <c r="I625" s="135"/>
      <c r="J625" s="135"/>
      <c r="K625" s="136"/>
      <c r="L625" s="4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10" t="s">
        <v>223</v>
      </c>
      <c r="E626" s="145"/>
      <c r="F626" s="145"/>
      <c r="G626" s="143"/>
      <c r="H626" s="411" t="s">
        <v>46</v>
      </c>
      <c r="I626" s="328">
        <f ca="1">IFERROR(__xludf.DUMMYFUNCTION("IMPORTRANGE(""https://docs.google.com/spreadsheets/d/1eHaY18a8A9IcSdp1K8H6x8fbOy06t2VsZHhMHf-1x7Y/edit?usp=sharing"",""แผน!ID26"")"),50)</f>
        <v>50</v>
      </c>
      <c r="J626" s="328">
        <f>J632</f>
        <v>0</v>
      </c>
      <c r="K626" s="470">
        <f ca="1">IF(I626&gt;0,J626*100/I626,0)</f>
        <v>0</v>
      </c>
      <c r="L626" s="4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IFERROR(__xludf.DUMMYFUNCTION("IMPORTRANGE(""https://docs.google.com/spreadsheets/d/1eHaY18a8A9IcSdp1K8H6x8fbOy06t2VsZHhMHf-1x7Y/edit?usp=sharing"",""แผน!IC26"")"),0)</f>
        <v>0</v>
      </c>
      <c r="J627" s="466">
        <v>0</v>
      </c>
      <c r="K627" s="224">
        <f ca="1">IF(I627&gt;0,(J627*100)/I627,0)</f>
        <v>0</v>
      </c>
      <c r="L627" s="4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IFERROR(__xludf.DUMMYFUNCTION("IMPORTRANGE(""https://docs.google.com/spreadsheets/d/1eHaY18a8A9IcSdp1K8H6x8fbOy06t2VsZHhMHf-1x7Y/edit?usp=sharing"",""แผน!IC26"")"),0)</f>
        <v>0</v>
      </c>
      <c r="J628" s="466">
        <v>0</v>
      </c>
      <c r="K628" s="224">
        <f ca="1">IF(I628&gt;0,(J628*100)/I628,0)</f>
        <v>0</v>
      </c>
      <c r="L628" s="4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466">
        <v>0</v>
      </c>
      <c r="K629" s="224">
        <f ca="1">IF(I$626&gt;0,J629*100/I$626,0)</f>
        <v>0</v>
      </c>
      <c r="L629" s="4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466">
        <v>0</v>
      </c>
      <c r="K630" s="224">
        <f ca="1">IF(I$626&gt;0,J630*100/I$626,0)</f>
        <v>0</v>
      </c>
      <c r="L630" s="4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466">
        <v>0</v>
      </c>
      <c r="K631" s="224">
        <f ca="1">IF(I$626&gt;0,J631*100/I$626,0)</f>
        <v>0</v>
      </c>
      <c r="L631" s="4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470">
        <f ca="1">IF(I626&gt;0,J632*100/I626,0)</f>
        <v>0</v>
      </c>
      <c r="L632" s="4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466">
        <v>0</v>
      </c>
      <c r="K633" s="45"/>
      <c r="L633" s="4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466">
        <v>0</v>
      </c>
      <c r="K634" s="45"/>
      <c r="L634" s="4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10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IFERROR(__xludf.DUMMYFUNCTION("IMPORTRANGE(""https://docs.google.com/spreadsheets/d/1eHaY18a8A9IcSdp1K8H6x8fbOy06t2VsZHhMHf-1x7Y/edit?usp=sharing"",""แผน!IE26"")"),0)</f>
        <v>0</v>
      </c>
      <c r="J635" s="328">
        <f>J636</f>
        <v>0</v>
      </c>
      <c r="K635" s="470">
        <f ca="1">IF(I635&gt;0,J635*100/I635,0)</f>
        <v>0</v>
      </c>
      <c r="L635" s="4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4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466">
        <v>0</v>
      </c>
      <c r="K637" s="45"/>
      <c r="L637" s="4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466">
        <v>0</v>
      </c>
      <c r="K638" s="45"/>
      <c r="L638" s="4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466">
        <v>0</v>
      </c>
      <c r="K639" s="45"/>
      <c r="L639" s="4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466">
        <v>0</v>
      </c>
      <c r="K640" s="45"/>
      <c r="L640" s="4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01"/>
      <c r="B641" s="402" t="s">
        <v>236</v>
      </c>
      <c r="C641" s="401"/>
      <c r="D641" s="403"/>
      <c r="E641" s="403"/>
      <c r="F641" s="403"/>
      <c r="G641" s="404"/>
      <c r="H641" s="412"/>
      <c r="I641" s="413"/>
      <c r="J641" s="413"/>
      <c r="K641" s="408"/>
      <c r="L641" s="504"/>
      <c r="M641" s="408"/>
      <c r="N641" s="408"/>
      <c r="O641" s="408"/>
      <c r="P641" s="408"/>
      <c r="Q641" s="408"/>
      <c r="R641" s="408"/>
      <c r="S641" s="408"/>
      <c r="T641" s="408"/>
      <c r="U641" s="408"/>
    </row>
    <row r="642" spans="1:21" ht="19.5" hidden="1" x14ac:dyDescent="0.3">
      <c r="A642" s="128"/>
      <c r="B642" s="158"/>
      <c r="C642" s="209" t="s">
        <v>18</v>
      </c>
      <c r="D642" s="821" t="s">
        <v>19</v>
      </c>
      <c r="E642" s="793"/>
      <c r="F642" s="793"/>
      <c r="G642" s="794"/>
      <c r="H642" s="221" t="s">
        <v>14</v>
      </c>
      <c r="I642" s="44"/>
      <c r="J642" s="44"/>
      <c r="K642" s="45"/>
      <c r="L642" s="471">
        <f>L643+L644</f>
        <v>0</v>
      </c>
      <c r="M642" s="470">
        <f>M643+M644</f>
        <v>0</v>
      </c>
      <c r="N642" s="470">
        <f>N643+N644</f>
        <v>0</v>
      </c>
      <c r="O642" s="470">
        <f t="shared" ref="O642:O650" si="163">IF(L642&gt;0,N642*100/L642,0)</f>
        <v>0</v>
      </c>
      <c r="P642" s="470">
        <f t="shared" ref="P642:P650" si="164">IF(M642&gt;0,N642*100/M642,0)</f>
        <v>0</v>
      </c>
      <c r="Q642" s="470">
        <f ca="1">Q643+Q644</f>
        <v>0</v>
      </c>
      <c r="R642" s="470">
        <f ca="1">R643+R644</f>
        <v>0</v>
      </c>
      <c r="S642" s="470">
        <f ca="1">S643+S644</f>
        <v>0</v>
      </c>
      <c r="T642" s="470">
        <f t="shared" ref="T642:T650" ca="1" si="165">IF(Q642&gt;0,S642*100/Q642,0)</f>
        <v>0</v>
      </c>
      <c r="U642" s="470">
        <f t="shared" ref="U642:U650" ca="1" si="166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469">
        <f t="shared" ref="L643:N644" si="167">L646+L649</f>
        <v>0</v>
      </c>
      <c r="M643" s="83">
        <f t="shared" si="167"/>
        <v>0</v>
      </c>
      <c r="N643" s="83">
        <f t="shared" si="167"/>
        <v>0</v>
      </c>
      <c r="O643" s="83">
        <f t="shared" si="163"/>
        <v>0</v>
      </c>
      <c r="P643" s="83">
        <f t="shared" si="164"/>
        <v>0</v>
      </c>
      <c r="Q643" s="83">
        <f t="shared" ref="Q643:S644" si="168">Q646+Q649</f>
        <v>0</v>
      </c>
      <c r="R643" s="83">
        <f t="shared" si="168"/>
        <v>0</v>
      </c>
      <c r="S643" s="83">
        <f t="shared" si="168"/>
        <v>0</v>
      </c>
      <c r="T643" s="83">
        <f t="shared" si="165"/>
        <v>0</v>
      </c>
      <c r="U643" s="83">
        <f t="shared" si="166"/>
        <v>0</v>
      </c>
    </row>
    <row r="644" spans="1:21" ht="18.75" hidden="1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468">
        <f t="shared" si="167"/>
        <v>0</v>
      </c>
      <c r="M644" s="224">
        <f t="shared" si="167"/>
        <v>0</v>
      </c>
      <c r="N644" s="224">
        <f t="shared" si="167"/>
        <v>0</v>
      </c>
      <c r="O644" s="224">
        <f t="shared" si="163"/>
        <v>0</v>
      </c>
      <c r="P644" s="224">
        <f t="shared" si="164"/>
        <v>0</v>
      </c>
      <c r="Q644" s="224">
        <f t="shared" ca="1" si="168"/>
        <v>0</v>
      </c>
      <c r="R644" s="224">
        <f t="shared" ca="1" si="168"/>
        <v>0</v>
      </c>
      <c r="S644" s="224">
        <f t="shared" ca="1" si="168"/>
        <v>0</v>
      </c>
      <c r="T644" s="224">
        <f t="shared" ca="1" si="165"/>
        <v>0</v>
      </c>
      <c r="U644" s="224">
        <f t="shared" ca="1" si="166"/>
        <v>0</v>
      </c>
    </row>
    <row r="645" spans="1:21" ht="18.75" hidden="1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468">
        <f>L646+L647</f>
        <v>0</v>
      </c>
      <c r="M645" s="224">
        <f>M646+M647</f>
        <v>0</v>
      </c>
      <c r="N645" s="224">
        <f>N646+N647</f>
        <v>0</v>
      </c>
      <c r="O645" s="224">
        <f t="shared" si="163"/>
        <v>0</v>
      </c>
      <c r="P645" s="224">
        <f t="shared" si="164"/>
        <v>0</v>
      </c>
      <c r="Q645" s="224">
        <f ca="1">Q646+Q647</f>
        <v>0</v>
      </c>
      <c r="R645" s="224">
        <f ca="1">R646+R647</f>
        <v>0</v>
      </c>
      <c r="S645" s="224">
        <f ca="1">S646+S647</f>
        <v>0</v>
      </c>
      <c r="T645" s="224">
        <f t="shared" ca="1" si="165"/>
        <v>0</v>
      </c>
      <c r="U645" s="224">
        <f t="shared" ca="1" si="166"/>
        <v>0</v>
      </c>
    </row>
    <row r="646" spans="1:21" ht="18.75" hidden="1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469">
        <v>0</v>
      </c>
      <c r="M646" s="83">
        <v>0</v>
      </c>
      <c r="N646" s="83">
        <v>0</v>
      </c>
      <c r="O646" s="83">
        <f t="shared" si="163"/>
        <v>0</v>
      </c>
      <c r="P646" s="83">
        <f t="shared" si="164"/>
        <v>0</v>
      </c>
      <c r="Q646" s="83">
        <v>0</v>
      </c>
      <c r="R646" s="83">
        <v>0</v>
      </c>
      <c r="S646" s="83">
        <v>0</v>
      </c>
      <c r="T646" s="83">
        <f t="shared" si="165"/>
        <v>0</v>
      </c>
      <c r="U646" s="83">
        <f t="shared" si="166"/>
        <v>0</v>
      </c>
    </row>
    <row r="647" spans="1:21" ht="18.75" hidden="1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468">
        <v>0</v>
      </c>
      <c r="M647" s="224">
        <v>0</v>
      </c>
      <c r="N647" s="224">
        <v>0</v>
      </c>
      <c r="O647" s="224">
        <f t="shared" si="163"/>
        <v>0</v>
      </c>
      <c r="P647" s="224">
        <f t="shared" si="164"/>
        <v>0</v>
      </c>
      <c r="Q647" s="224">
        <f ca="1">IFERROR(__xludf.DUMMYFUNCTION("IMPORTRANGE(""https://docs.google.com/spreadsheets/d/1ItG2mGa2ceCfYo0BwxsXqNm01IGEUdYcSSLTEv9YCik/edit?usp=sharing"",""เบิกจ่ายกองทุน!I26"")"),0)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IFERROR(__xludf.DUMMYFUNCTION("IMPORTRANGE(""https://docs.google.com/spreadsheets/d/1ItG2mGa2ceCfYo0BwxsXqNm01IGEUdYcSSLTEv9YCik/edit?usp=sharing"",""เบิกจ่ายกองทุน!J26"")"),0)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IFERROR(__xludf.DUMMYFUNCTION("IMPORTRANGE(""https://docs.google.com/spreadsheets/d/1ItG2mGa2ceCfYo0BwxsXqNm01IGEUdYcSSLTEv9YCik/edit?usp=sharing"",""เบิกจ่ายกองทุน!K26"")"),0)</f>
        <v>0</v>
      </c>
      <c r="T647" s="224">
        <f t="shared" ca="1" si="165"/>
        <v>0</v>
      </c>
      <c r="U647" s="224">
        <f t="shared" ca="1" si="166"/>
        <v>0</v>
      </c>
    </row>
    <row r="648" spans="1:21" ht="18.75" hidden="1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468">
        <f>L649+L650</f>
        <v>0</v>
      </c>
      <c r="M648" s="224">
        <f>M649+M650</f>
        <v>0</v>
      </c>
      <c r="N648" s="224">
        <f>N649+N650</f>
        <v>0</v>
      </c>
      <c r="O648" s="224">
        <f t="shared" si="163"/>
        <v>0</v>
      </c>
      <c r="P648" s="224">
        <f t="shared" si="164"/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 t="shared" si="165"/>
        <v>0</v>
      </c>
      <c r="U648" s="224">
        <f t="shared" si="166"/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469">
        <v>0</v>
      </c>
      <c r="M649" s="83">
        <v>0</v>
      </c>
      <c r="N649" s="83">
        <v>0</v>
      </c>
      <c r="O649" s="83">
        <f t="shared" si="163"/>
        <v>0</v>
      </c>
      <c r="P649" s="83">
        <f t="shared" si="164"/>
        <v>0</v>
      </c>
      <c r="Q649" s="83">
        <v>0</v>
      </c>
      <c r="R649" s="83">
        <v>0</v>
      </c>
      <c r="S649" s="83">
        <v>0</v>
      </c>
      <c r="T649" s="83">
        <f t="shared" si="165"/>
        <v>0</v>
      </c>
      <c r="U649" s="83">
        <f t="shared" si="166"/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468">
        <v>0</v>
      </c>
      <c r="M650" s="224">
        <v>0</v>
      </c>
      <c r="N650" s="224">
        <v>0</v>
      </c>
      <c r="O650" s="224">
        <f t="shared" si="163"/>
        <v>0</v>
      </c>
      <c r="P650" s="224">
        <f t="shared" si="164"/>
        <v>0</v>
      </c>
      <c r="Q650" s="224">
        <v>0</v>
      </c>
      <c r="R650" s="224">
        <v>0</v>
      </c>
      <c r="S650" s="224">
        <v>0</v>
      </c>
      <c r="T650" s="224">
        <f t="shared" si="165"/>
        <v>0</v>
      </c>
      <c r="U650" s="224">
        <f t="shared" si="166"/>
        <v>0</v>
      </c>
    </row>
    <row r="651" spans="1:21" ht="19.5" hidden="1" x14ac:dyDescent="0.3">
      <c r="A651" s="138"/>
      <c r="B651" s="139"/>
      <c r="C651" s="209" t="s">
        <v>18</v>
      </c>
      <c r="D651" s="503" t="s">
        <v>38</v>
      </c>
      <c r="E651" s="141"/>
      <c r="F651" s="141"/>
      <c r="G651" s="142"/>
      <c r="H651" s="178"/>
      <c r="I651" s="135"/>
      <c r="J651" s="135"/>
      <c r="K651" s="136"/>
      <c r="L651" s="4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502">
        <f ca="1">IFERROR(__xludf.DUMMYFUNCTION("IMPORTRANGE(""https://docs.google.com/spreadsheets/d/1eHaY18a8A9IcSdp1K8H6x8fbOy06t2VsZHhMHf-1x7Y/edit?usp=sharing"",""แผน!IF26"")"),0)</f>
        <v>0</v>
      </c>
      <c r="J652" s="184">
        <f ca="1">IFERROR(__xludf.DUMMYFUNCTION("IMPORTRANGE(""https://docs.google.com/spreadsheets/d/1tdoBKaGub7dwA3U6UFTqxio9LNnvDCQjHKmttSEBsFQ/edit?usp=sharing"",""จัดที่ดิน!AU26"")"),0)</f>
        <v>0</v>
      </c>
      <c r="K652" s="224">
        <f ca="1">IF(I652&gt;0,J652*100/I652,0)</f>
        <v>0</v>
      </c>
      <c r="L652" s="465"/>
      <c r="M652" s="45"/>
      <c r="N652" s="416"/>
      <c r="O652" s="45"/>
      <c r="P652" s="45"/>
      <c r="Q652" s="45"/>
      <c r="R652" s="45"/>
      <c r="S652" s="416"/>
      <c r="T652" s="45"/>
      <c r="U652" s="45"/>
    </row>
    <row r="653" spans="1:21" ht="18.75" hidden="1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502">
        <f ca="1">IFERROR(__xludf.DUMMYFUNCTION("IMPORTRANGE(""https://docs.google.com/spreadsheets/d/1eHaY18a8A9IcSdp1K8H6x8fbOy06t2VsZHhMHf-1x7Y/edit?usp=sharing"",""แผน!IG26"")"),0)</f>
        <v>0</v>
      </c>
      <c r="J653" s="184">
        <f ca="1">IFERROR(__xludf.DUMMYFUNCTION("IMPORTRANGE(""https://docs.google.com/spreadsheets/d/1tdoBKaGub7dwA3U6UFTqxio9LNnvDCQjHKmttSEBsFQ/edit?usp=sharing"",""จัดที่ดิน!AW26"")"),0)</f>
        <v>0</v>
      </c>
      <c r="K653" s="224">
        <f ca="1">IF(I653&gt;0,J653*100/I653,0)</f>
        <v>0</v>
      </c>
      <c r="L653" s="465"/>
      <c r="M653" s="45"/>
      <c r="N653" s="416"/>
      <c r="O653" s="45"/>
      <c r="P653" s="45"/>
      <c r="Q653" s="45"/>
      <c r="R653" s="45"/>
      <c r="S653" s="416"/>
      <c r="T653" s="45"/>
      <c r="U653" s="45"/>
    </row>
    <row r="654" spans="1:21" ht="19.5" hidden="1" x14ac:dyDescent="0.3">
      <c r="A654" s="208"/>
      <c r="B654" s="158"/>
      <c r="C654" s="158"/>
      <c r="D654" s="47" t="s">
        <v>239</v>
      </c>
      <c r="E654" s="40"/>
      <c r="F654" s="40"/>
      <c r="G654" s="42"/>
      <c r="H654" s="411" t="s">
        <v>46</v>
      </c>
      <c r="I654" s="501">
        <f ca="1">IFERROR(__xludf.DUMMYFUNCTION("IMPORTRANGE(""https://docs.google.com/spreadsheets/d/1eHaY18a8A9IcSdp1K8H6x8fbOy06t2VsZHhMHf-1x7Y/edit?usp=sharing"",""แผน!IH26"")"),0)</f>
        <v>0</v>
      </c>
      <c r="J654" s="328">
        <f>J657+J660</f>
        <v>0</v>
      </c>
      <c r="K654" s="470">
        <f ca="1">IF(I654&gt;0,J654*100/I654,0)</f>
        <v>0</v>
      </c>
      <c r="L654" s="465"/>
      <c r="M654" s="45"/>
      <c r="N654" s="416"/>
      <c r="O654" s="45"/>
      <c r="P654" s="45"/>
      <c r="Q654" s="45"/>
      <c r="R654" s="45"/>
      <c r="S654" s="416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466">
        <v>0</v>
      </c>
      <c r="K655" s="45"/>
      <c r="L655" s="465"/>
      <c r="M655" s="45"/>
      <c r="N655" s="416"/>
      <c r="O655" s="45"/>
      <c r="P655" s="45"/>
      <c r="Q655" s="45"/>
      <c r="R655" s="45"/>
      <c r="S655" s="416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466">
        <v>0</v>
      </c>
      <c r="K656" s="45"/>
      <c r="L656" s="465"/>
      <c r="M656" s="45"/>
      <c r="N656" s="416"/>
      <c r="O656" s="45"/>
      <c r="P656" s="45"/>
      <c r="Q656" s="45"/>
      <c r="R656" s="45"/>
      <c r="S656" s="416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02">
        <f ca="1">IFERROR(__xludf.DUMMYFUNCTION("IMPORTRANGE(""https://docs.google.com/spreadsheets/d/1eHaY18a8A9IcSdp1K8H6x8fbOy06t2VsZHhMHf-1x7Y/edit?usp=sharing"",""แผน!II26"")"),0)</f>
        <v>0</v>
      </c>
      <c r="J657" s="466">
        <v>0</v>
      </c>
      <c r="K657" s="45"/>
      <c r="L657" s="465"/>
      <c r="M657" s="45"/>
      <c r="N657" s="416"/>
      <c r="O657" s="45"/>
      <c r="P657" s="45"/>
      <c r="Q657" s="45"/>
      <c r="R657" s="45"/>
      <c r="S657" s="416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466">
        <v>0</v>
      </c>
      <c r="K658" s="45"/>
      <c r="L658" s="465"/>
      <c r="M658" s="45"/>
      <c r="N658" s="416"/>
      <c r="O658" s="45"/>
      <c r="P658" s="45"/>
      <c r="Q658" s="45"/>
      <c r="R658" s="45"/>
      <c r="S658" s="416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466">
        <v>0</v>
      </c>
      <c r="K659" s="45"/>
      <c r="L659" s="465"/>
      <c r="M659" s="45"/>
      <c r="N659" s="416"/>
      <c r="O659" s="45"/>
      <c r="P659" s="45"/>
      <c r="Q659" s="45"/>
      <c r="R659" s="45"/>
      <c r="S659" s="416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02">
        <f ca="1">IFERROR(__xludf.DUMMYFUNCTION("IMPORTRANGE(""https://docs.google.com/spreadsheets/d/1eHaY18a8A9IcSdp1K8H6x8fbOy06t2VsZHhMHf-1x7Y/edit?usp=sharing"",""แผน!IJ26"")"),0)</f>
        <v>0</v>
      </c>
      <c r="J660" s="466">
        <v>0</v>
      </c>
      <c r="K660" s="45"/>
      <c r="L660" s="465"/>
      <c r="M660" s="45"/>
      <c r="N660" s="416"/>
      <c r="O660" s="45"/>
      <c r="P660" s="45"/>
      <c r="Q660" s="45"/>
      <c r="R660" s="45"/>
      <c r="S660" s="416"/>
      <c r="T660" s="45"/>
      <c r="U660" s="45"/>
    </row>
    <row r="661" spans="1:21" ht="19.5" hidden="1" x14ac:dyDescent="0.3">
      <c r="A661" s="208"/>
      <c r="B661" s="158"/>
      <c r="C661" s="158"/>
      <c r="D661" s="332" t="s">
        <v>242</v>
      </c>
      <c r="E661" s="40"/>
      <c r="F661" s="40"/>
      <c r="G661" s="42"/>
      <c r="H661" s="411" t="s">
        <v>46</v>
      </c>
      <c r="I661" s="501">
        <f ca="1">IFERROR(__xludf.DUMMYFUNCTION("IMPORTRANGE(""https://docs.google.com/spreadsheets/d/1eHaY18a8A9IcSdp1K8H6x8fbOy06t2VsZHhMHf-1x7Y/edit?usp=sharing"",""แผน!IK26"")"),0)</f>
        <v>0</v>
      </c>
      <c r="J661" s="328">
        <f>J667+J670</f>
        <v>0</v>
      </c>
      <c r="K661" s="470">
        <f ca="1">IF(I661&gt;0,J661*100/I661,0)</f>
        <v>0</v>
      </c>
      <c r="L661" s="465"/>
      <c r="M661" s="45"/>
      <c r="N661" s="416"/>
      <c r="O661" s="45"/>
      <c r="P661" s="45"/>
      <c r="Q661" s="45"/>
      <c r="R661" s="45"/>
      <c r="S661" s="416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466">
        <v>0</v>
      </c>
      <c r="K662" s="45"/>
      <c r="L662" s="500"/>
      <c r="M662" s="45"/>
      <c r="N662" s="416"/>
      <c r="O662" s="45"/>
      <c r="P662" s="45"/>
      <c r="Q662" s="416"/>
      <c r="R662" s="45"/>
      <c r="S662" s="416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466">
        <v>0</v>
      </c>
      <c r="K663" s="45"/>
      <c r="L663" s="500"/>
      <c r="M663" s="45"/>
      <c r="N663" s="416"/>
      <c r="O663" s="45"/>
      <c r="P663" s="45"/>
      <c r="Q663" s="416"/>
      <c r="R663" s="45"/>
      <c r="S663" s="416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500"/>
      <c r="M664" s="45"/>
      <c r="N664" s="416"/>
      <c r="O664" s="45"/>
      <c r="P664" s="45"/>
      <c r="Q664" s="416"/>
      <c r="R664" s="45"/>
      <c r="S664" s="416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466">
        <v>0</v>
      </c>
      <c r="K665" s="45"/>
      <c r="L665" s="500"/>
      <c r="M665" s="45"/>
      <c r="N665" s="416"/>
      <c r="O665" s="45"/>
      <c r="P665" s="45"/>
      <c r="Q665" s="416"/>
      <c r="R665" s="45"/>
      <c r="S665" s="416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466">
        <v>0</v>
      </c>
      <c r="K666" s="45"/>
      <c r="L666" s="500"/>
      <c r="M666" s="45"/>
      <c r="N666" s="416"/>
      <c r="O666" s="45"/>
      <c r="P666" s="45"/>
      <c r="Q666" s="416"/>
      <c r="R666" s="45"/>
      <c r="S666" s="416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466">
        <v>0</v>
      </c>
      <c r="K667" s="45"/>
      <c r="L667" s="500"/>
      <c r="M667" s="45"/>
      <c r="N667" s="416"/>
      <c r="O667" s="45"/>
      <c r="P667" s="45"/>
      <c r="Q667" s="416"/>
      <c r="R667" s="45"/>
      <c r="S667" s="416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466">
        <v>0</v>
      </c>
      <c r="K668" s="45"/>
      <c r="L668" s="500"/>
      <c r="M668" s="45"/>
      <c r="N668" s="416"/>
      <c r="O668" s="45"/>
      <c r="P668" s="45"/>
      <c r="Q668" s="416"/>
      <c r="R668" s="45"/>
      <c r="S668" s="416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466">
        <v>0</v>
      </c>
      <c r="K669" s="45"/>
      <c r="L669" s="500"/>
      <c r="M669" s="45"/>
      <c r="N669" s="416"/>
      <c r="O669" s="45"/>
      <c r="P669" s="45"/>
      <c r="Q669" s="416"/>
      <c r="R669" s="45"/>
      <c r="S669" s="416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466">
        <v>0</v>
      </c>
      <c r="K670" s="45"/>
      <c r="L670" s="500"/>
      <c r="M670" s="45"/>
      <c r="N670" s="416"/>
      <c r="O670" s="45"/>
      <c r="P670" s="45"/>
      <c r="Q670" s="416"/>
      <c r="R670" s="45"/>
      <c r="S670" s="416"/>
      <c r="T670" s="45"/>
      <c r="U670" s="45"/>
    </row>
    <row r="671" spans="1:21" ht="18.75" hidden="1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IFERROR(__xludf.DUMMYFUNCTION("IMPORTRANGE(""https://docs.google.com/spreadsheets/d/1tdoBKaGub7dwA3U6UFTqxio9LNnvDCQjHKmttSEBsFQ/edit?usp=sharing"",""จัดที่ดิน!AY26"")"),0)</f>
        <v>0</v>
      </c>
      <c r="K671" s="45"/>
      <c r="L671" s="465"/>
      <c r="M671" s="45"/>
      <c r="N671" s="416"/>
      <c r="O671" s="45"/>
      <c r="P671" s="45"/>
      <c r="Q671" s="45"/>
      <c r="R671" s="45"/>
      <c r="S671" s="416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IFERROR(__xludf.DUMMYFUNCTION("IMPORTRANGE(""https://docs.google.com/spreadsheets/d/1tdoBKaGub7dwA3U6UFTqxio9LNnvDCQjHKmttSEBsFQ/edit?usp=sharing"",""จัดที่ดิน!AZ26"")"),0)</f>
        <v>0</v>
      </c>
      <c r="K672" s="45"/>
      <c r="L672" s="500"/>
      <c r="M672" s="45"/>
      <c r="N672" s="416"/>
      <c r="O672" s="45"/>
      <c r="P672" s="45"/>
      <c r="Q672" s="416"/>
      <c r="R672" s="45"/>
      <c r="S672" s="416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02">
        <f ca="1">IFERROR(__xludf.DUMMYFUNCTION("IMPORTRANGE(""https://docs.google.com/spreadsheets/d/1eHaY18a8A9IcSdp1K8H6x8fbOy06t2VsZHhMHf-1x7Y/edit?usp=sharing"",""แผน!IL26"")"),0)</f>
        <v>0</v>
      </c>
      <c r="J673" s="184">
        <f ca="1">IFERROR(__xludf.DUMMYFUNCTION("IMPORTRANGE(""https://docs.google.com/spreadsheets/d/1tdoBKaGub7dwA3U6UFTqxio9LNnvDCQjHKmttSEBsFQ/edit?usp=sharing"",""จัดที่ดิน!BA26"")"),0)</f>
        <v>0</v>
      </c>
      <c r="K673" s="224">
        <f ca="1">IF(I673&gt;0,J673*100/I673,0)</f>
        <v>0</v>
      </c>
      <c r="L673" s="500"/>
      <c r="M673" s="45"/>
      <c r="N673" s="416"/>
      <c r="O673" s="45"/>
      <c r="P673" s="45"/>
      <c r="Q673" s="416"/>
      <c r="R673" s="45"/>
      <c r="S673" s="416"/>
      <c r="T673" s="45"/>
      <c r="U673" s="45"/>
    </row>
    <row r="674" spans="1:21" ht="19.5" hidden="1" x14ac:dyDescent="0.3">
      <c r="A674" s="208"/>
      <c r="B674" s="158"/>
      <c r="C674" s="158"/>
      <c r="D674" s="47" t="s">
        <v>248</v>
      </c>
      <c r="E674" s="40"/>
      <c r="F674" s="40"/>
      <c r="G674" s="42"/>
      <c r="H674" s="411" t="s">
        <v>35</v>
      </c>
      <c r="I674" s="501">
        <f ca="1">IFERROR(__xludf.DUMMYFUNCTION("IMPORTRANGE(""https://docs.google.com/spreadsheets/d/1eHaY18a8A9IcSdp1K8H6x8fbOy06t2VsZHhMHf-1x7Y/edit?usp=sharing"",""แผน!IM26"")"),0)</f>
        <v>0</v>
      </c>
      <c r="J674" s="328">
        <f ca="1">J676+J679</f>
        <v>0</v>
      </c>
      <c r="K674" s="470">
        <f ca="1">IF(I674&gt;0,J674*100/I674,0)</f>
        <v>0</v>
      </c>
      <c r="L674" s="500"/>
      <c r="M674" s="45"/>
      <c r="N674" s="416"/>
      <c r="O674" s="45"/>
      <c r="P674" s="45"/>
      <c r="Q674" s="416"/>
      <c r="R674" s="45"/>
      <c r="S674" s="416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11" t="s">
        <v>46</v>
      </c>
      <c r="I675" s="501">
        <f ca="1">IFERROR(__xludf.DUMMYFUNCTION("IMPORTRANGE(""https://docs.google.com/spreadsheets/d/1eHaY18a8A9IcSdp1K8H6x8fbOy06t2VsZHhMHf-1x7Y/edit?usp=sharing"",""แผน!IN26"")"),0)</f>
        <v>0</v>
      </c>
      <c r="J675" s="328">
        <f ca="1">J678+J681</f>
        <v>0</v>
      </c>
      <c r="K675" s="470">
        <f ca="1">IF(I675&gt;0,J675*100/I675,0)</f>
        <v>0</v>
      </c>
      <c r="L675" s="465"/>
      <c r="M675" s="45"/>
      <c r="N675" s="416"/>
      <c r="O675" s="45"/>
      <c r="P675" s="45"/>
      <c r="Q675" s="45"/>
      <c r="R675" s="45"/>
      <c r="S675" s="416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502">
        <f ca="1">IFERROR(__xludf.DUMMYFUNCTION("IMPORTRANGE(""https://docs.google.com/spreadsheets/d/1eHaY18a8A9IcSdp1K8H6x8fbOy06t2VsZHhMHf-1x7Y/edit?usp=sharing"",""แผน!IO26"")"),0)</f>
        <v>0</v>
      </c>
      <c r="J676" s="184">
        <f ca="1">IFERROR(__xludf.DUMMYFUNCTION("IMPORTRANGE(""https://docs.google.com/spreadsheets/d/1tdoBKaGub7dwA3U6UFTqxio9LNnvDCQjHKmttSEBsFQ/edit?usp=sharing"",""จัดที่ดิน!BF26"")"),0)</f>
        <v>0</v>
      </c>
      <c r="K676" s="224">
        <f ca="1">IF(I676&gt;0,J676*100/I676,0)</f>
        <v>0</v>
      </c>
      <c r="L676" s="465"/>
      <c r="M676" s="45"/>
      <c r="N676" s="416"/>
      <c r="O676" s="45"/>
      <c r="P676" s="45"/>
      <c r="Q676" s="45"/>
      <c r="R676" s="45"/>
      <c r="S676" s="416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IFERROR(__xludf.DUMMYFUNCTION("IMPORTRANGE(""https://docs.google.com/spreadsheets/d/1tdoBKaGub7dwA3U6UFTqxio9LNnvDCQjHKmttSEBsFQ/edit?usp=sharing"",""จัดที่ดิน!BG26"")"),0)</f>
        <v>0</v>
      </c>
      <c r="K677" s="45"/>
      <c r="L677" s="500"/>
      <c r="M677" s="45"/>
      <c r="N677" s="416"/>
      <c r="O677" s="45"/>
      <c r="P677" s="45"/>
      <c r="Q677" s="416"/>
      <c r="R677" s="45"/>
      <c r="S677" s="416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02">
        <f ca="1">IFERROR(__xludf.DUMMYFUNCTION("IMPORTRANGE(""https://docs.google.com/spreadsheets/d/1eHaY18a8A9IcSdp1K8H6x8fbOy06t2VsZHhMHf-1x7Y/edit?usp=sharing"",""แผน!IP26"")"),0)</f>
        <v>0</v>
      </c>
      <c r="J678" s="184">
        <f ca="1">IFERROR(__xludf.DUMMYFUNCTION("IMPORTRANGE(""https://docs.google.com/spreadsheets/d/1tdoBKaGub7dwA3U6UFTqxio9LNnvDCQjHKmttSEBsFQ/edit?usp=sharing"",""จัดที่ดิน!BH26"")"),0)</f>
        <v>0</v>
      </c>
      <c r="K678" s="224">
        <f ca="1">IF(I678&gt;0,J678*100/I678,0)</f>
        <v>0</v>
      </c>
      <c r="L678" s="500"/>
      <c r="M678" s="45"/>
      <c r="N678" s="416"/>
      <c r="O678" s="45"/>
      <c r="P678" s="45"/>
      <c r="Q678" s="416"/>
      <c r="R678" s="45"/>
      <c r="S678" s="416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502">
        <f ca="1">IFERROR(__xludf.DUMMYFUNCTION("IMPORTRANGE(""https://docs.google.com/spreadsheets/d/1eHaY18a8A9IcSdp1K8H6x8fbOy06t2VsZHhMHf-1x7Y/edit?usp=sharing"",""แผน!IQ26"")"),0)</f>
        <v>0</v>
      </c>
      <c r="J679" s="184">
        <f ca="1">IFERROR(__xludf.DUMMYFUNCTION("IMPORTRANGE(""https://docs.google.com/spreadsheets/d/1tdoBKaGub7dwA3U6UFTqxio9LNnvDCQjHKmttSEBsFQ/edit?usp=sharing"",""จัดที่ดิน!BK26"")"),0)</f>
        <v>0</v>
      </c>
      <c r="K679" s="224">
        <f ca="1">IF(I679&gt;0,J679*100/I679,0)</f>
        <v>0</v>
      </c>
      <c r="L679" s="465"/>
      <c r="M679" s="45"/>
      <c r="N679" s="416"/>
      <c r="O679" s="45"/>
      <c r="P679" s="45"/>
      <c r="Q679" s="45"/>
      <c r="R679" s="45"/>
      <c r="S679" s="416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IFERROR(__xludf.DUMMYFUNCTION("IMPORTRANGE(""https://docs.google.com/spreadsheets/d/1tdoBKaGub7dwA3U6UFTqxio9LNnvDCQjHKmttSEBsFQ/edit?usp=sharing"",""จัดที่ดิน!BL26"")"),0)</f>
        <v>0</v>
      </c>
      <c r="K680" s="45"/>
      <c r="L680" s="500"/>
      <c r="M680" s="45"/>
      <c r="N680" s="416"/>
      <c r="O680" s="45"/>
      <c r="P680" s="45"/>
      <c r="Q680" s="416"/>
      <c r="R680" s="45"/>
      <c r="S680" s="416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02">
        <f ca="1">IFERROR(__xludf.DUMMYFUNCTION("IMPORTRANGE(""https://docs.google.com/spreadsheets/d/1eHaY18a8A9IcSdp1K8H6x8fbOy06t2VsZHhMHf-1x7Y/edit?usp=sharing"",""แผน!IR26"")"),0)</f>
        <v>0</v>
      </c>
      <c r="J681" s="184">
        <f ca="1">IFERROR(__xludf.DUMMYFUNCTION("IMPORTRANGE(""https://docs.google.com/spreadsheets/d/1tdoBKaGub7dwA3U6UFTqxio9LNnvDCQjHKmttSEBsFQ/edit?usp=sharing"",""จัดที่ดิน!BM26"")"),0)</f>
        <v>0</v>
      </c>
      <c r="K681" s="224">
        <f ca="1">IF(I681&gt;0,J681*100/I681,0)</f>
        <v>0</v>
      </c>
      <c r="L681" s="500"/>
      <c r="M681" s="45"/>
      <c r="N681" s="416"/>
      <c r="O681" s="45"/>
      <c r="P681" s="45"/>
      <c r="Q681" s="416"/>
      <c r="R681" s="45"/>
      <c r="S681" s="416"/>
      <c r="T681" s="45"/>
      <c r="U681" s="45"/>
    </row>
    <row r="682" spans="1:21" ht="19.5" hidden="1" x14ac:dyDescent="0.3">
      <c r="A682" s="208"/>
      <c r="B682" s="158"/>
      <c r="C682" s="158"/>
      <c r="D682" s="47" t="s">
        <v>251</v>
      </c>
      <c r="E682" s="40"/>
      <c r="F682" s="40"/>
      <c r="G682" s="42"/>
      <c r="H682" s="411" t="s">
        <v>46</v>
      </c>
      <c r="I682" s="501">
        <f ca="1">IFERROR(__xludf.DUMMYFUNCTION("IMPORTRANGE(""https://docs.google.com/spreadsheets/d/1eHaY18a8A9IcSdp1K8H6x8fbOy06t2VsZHhMHf-1x7Y/edit?usp=sharing"",""แผน!IS26"")"),0)</f>
        <v>0</v>
      </c>
      <c r="J682" s="328">
        <f>J685+J688</f>
        <v>0</v>
      </c>
      <c r="K682" s="470">
        <f ca="1">IF(I682&gt;0,J682*100/I682,0)</f>
        <v>0</v>
      </c>
      <c r="L682" s="465"/>
      <c r="M682" s="45"/>
      <c r="N682" s="416"/>
      <c r="O682" s="45"/>
      <c r="P682" s="45"/>
      <c r="Q682" s="45"/>
      <c r="R682" s="45"/>
      <c r="S682" s="416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466">
        <v>0</v>
      </c>
      <c r="K683" s="45"/>
      <c r="L683" s="500"/>
      <c r="M683" s="45"/>
      <c r="N683" s="416"/>
      <c r="O683" s="45"/>
      <c r="P683" s="45"/>
      <c r="Q683" s="416"/>
      <c r="R683" s="45"/>
      <c r="S683" s="416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466">
        <v>0</v>
      </c>
      <c r="K684" s="45"/>
      <c r="L684" s="500"/>
      <c r="M684" s="45"/>
      <c r="N684" s="416"/>
      <c r="O684" s="45"/>
      <c r="P684" s="45"/>
      <c r="Q684" s="416"/>
      <c r="R684" s="45"/>
      <c r="S684" s="416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466">
        <v>0</v>
      </c>
      <c r="K685" s="45"/>
      <c r="L685" s="500"/>
      <c r="M685" s="45"/>
      <c r="N685" s="416"/>
      <c r="O685" s="45"/>
      <c r="P685" s="45"/>
      <c r="Q685" s="416"/>
      <c r="R685" s="45"/>
      <c r="S685" s="416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466">
        <v>0</v>
      </c>
      <c r="K686" s="45"/>
      <c r="L686" s="500"/>
      <c r="M686" s="45"/>
      <c r="N686" s="416"/>
      <c r="O686" s="45"/>
      <c r="P686" s="45"/>
      <c r="Q686" s="416"/>
      <c r="R686" s="45"/>
      <c r="S686" s="416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466">
        <v>0</v>
      </c>
      <c r="K687" s="45"/>
      <c r="L687" s="500"/>
      <c r="M687" s="45"/>
      <c r="N687" s="416"/>
      <c r="O687" s="45"/>
      <c r="P687" s="45"/>
      <c r="Q687" s="416"/>
      <c r="R687" s="45"/>
      <c r="S687" s="416"/>
      <c r="T687" s="45"/>
      <c r="U687" s="45"/>
    </row>
    <row r="688" spans="1:21" ht="19.5" hidden="1" x14ac:dyDescent="0.3">
      <c r="A688" s="249"/>
      <c r="B688" s="419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464">
        <v>0</v>
      </c>
      <c r="K688" s="3"/>
      <c r="L688" s="499"/>
      <c r="M688" s="3"/>
      <c r="N688" s="420"/>
      <c r="O688" s="3"/>
      <c r="P688" s="3"/>
      <c r="Q688" s="420"/>
      <c r="R688" s="3"/>
      <c r="S688" s="420"/>
      <c r="T688" s="3"/>
      <c r="U688" s="3"/>
    </row>
    <row r="689" spans="1:21" ht="19.5" x14ac:dyDescent="0.3">
      <c r="A689" s="394"/>
      <c r="B689" s="395" t="s">
        <v>255</v>
      </c>
      <c r="C689" s="394"/>
      <c r="D689" s="396"/>
      <c r="E689" s="396"/>
      <c r="F689" s="396"/>
      <c r="G689" s="397"/>
      <c r="H689" s="434" t="s">
        <v>35</v>
      </c>
      <c r="I689" s="475">
        <f ca="1">I707</f>
        <v>110</v>
      </c>
      <c r="J689" s="475">
        <f ca="1">J707</f>
        <v>0</v>
      </c>
      <c r="K689" s="474">
        <f ca="1">IF(I689&gt;0,J689*100/I689,0)</f>
        <v>0</v>
      </c>
      <c r="L689" s="473"/>
      <c r="M689" s="400"/>
      <c r="N689" s="400"/>
      <c r="O689" s="400"/>
      <c r="P689" s="400"/>
      <c r="Q689" s="400"/>
      <c r="R689" s="400"/>
      <c r="S689" s="400"/>
      <c r="T689" s="400"/>
      <c r="U689" s="400"/>
    </row>
    <row r="690" spans="1:21" ht="19.5" x14ac:dyDescent="0.3">
      <c r="A690" s="128"/>
      <c r="B690" s="158"/>
      <c r="C690" s="177" t="s">
        <v>18</v>
      </c>
      <c r="D690" s="821" t="s">
        <v>19</v>
      </c>
      <c r="E690" s="793"/>
      <c r="F690" s="793"/>
      <c r="G690" s="794"/>
      <c r="H690" s="221" t="s">
        <v>14</v>
      </c>
      <c r="I690" s="44"/>
      <c r="J690" s="44"/>
      <c r="K690" s="45"/>
      <c r="L690" s="471">
        <f>L691+L692</f>
        <v>0</v>
      </c>
      <c r="M690" s="470">
        <f>M691+M692</f>
        <v>0</v>
      </c>
      <c r="N690" s="470">
        <f>N691+N692</f>
        <v>0</v>
      </c>
      <c r="O690" s="470">
        <f t="shared" ref="O690:O698" si="169">IF(L690&gt;0,N690*100/L690,0)</f>
        <v>0</v>
      </c>
      <c r="P690" s="470">
        <f t="shared" ref="P690:P698" si="170">IF(M690&gt;0,N690*100/M690,0)</f>
        <v>0</v>
      </c>
      <c r="Q690" s="470">
        <f ca="1">Q691+Q692</f>
        <v>298240</v>
      </c>
      <c r="R690" s="470">
        <f ca="1">R691+R692</f>
        <v>298240</v>
      </c>
      <c r="S690" s="470">
        <f ca="1">S691+S692</f>
        <v>81710</v>
      </c>
      <c r="T690" s="470">
        <f t="shared" ref="T690:T698" ca="1" si="171">IF(Q690&gt;0,S690*100/Q690,0)</f>
        <v>27.397398068669528</v>
      </c>
      <c r="U690" s="470">
        <f t="shared" ref="U690:U698" ca="1" si="172">IF(R690&gt;0,S690*100/R690,0)</f>
        <v>27.397398068669528</v>
      </c>
    </row>
    <row r="691" spans="1:21" ht="18.75" hidden="1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469">
        <f t="shared" ref="L691:N692" si="173">L694+L697</f>
        <v>0</v>
      </c>
      <c r="M691" s="83">
        <f t="shared" si="173"/>
        <v>0</v>
      </c>
      <c r="N691" s="83">
        <f t="shared" si="173"/>
        <v>0</v>
      </c>
      <c r="O691" s="83">
        <f t="shared" si="169"/>
        <v>0</v>
      </c>
      <c r="P691" s="83">
        <f t="shared" si="170"/>
        <v>0</v>
      </c>
      <c r="Q691" s="83">
        <f t="shared" ref="Q691:S692" si="174">Q694+Q697</f>
        <v>0</v>
      </c>
      <c r="R691" s="83">
        <f t="shared" si="174"/>
        <v>0</v>
      </c>
      <c r="S691" s="83">
        <f t="shared" si="174"/>
        <v>0</v>
      </c>
      <c r="T691" s="83">
        <f t="shared" si="171"/>
        <v>0</v>
      </c>
      <c r="U691" s="83">
        <f t="shared" si="172"/>
        <v>0</v>
      </c>
    </row>
    <row r="692" spans="1:21" ht="18.75" hidden="1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468">
        <f t="shared" si="173"/>
        <v>0</v>
      </c>
      <c r="M692" s="224">
        <f t="shared" si="173"/>
        <v>0</v>
      </c>
      <c r="N692" s="224">
        <f t="shared" si="173"/>
        <v>0</v>
      </c>
      <c r="O692" s="224">
        <f t="shared" si="169"/>
        <v>0</v>
      </c>
      <c r="P692" s="224">
        <f t="shared" si="170"/>
        <v>0</v>
      </c>
      <c r="Q692" s="224">
        <f t="shared" ca="1" si="174"/>
        <v>298240</v>
      </c>
      <c r="R692" s="224">
        <f t="shared" ca="1" si="174"/>
        <v>298240</v>
      </c>
      <c r="S692" s="224">
        <f t="shared" ca="1" si="174"/>
        <v>81710</v>
      </c>
      <c r="T692" s="224">
        <f t="shared" ca="1" si="171"/>
        <v>27.397398068669528</v>
      </c>
      <c r="U692" s="224">
        <f t="shared" ca="1" si="172"/>
        <v>27.397398068669528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468">
        <f>L694+L695</f>
        <v>0</v>
      </c>
      <c r="M693" s="224">
        <f>M694+M695</f>
        <v>0</v>
      </c>
      <c r="N693" s="224">
        <f>N694+N695</f>
        <v>0</v>
      </c>
      <c r="O693" s="224">
        <f t="shared" si="169"/>
        <v>0</v>
      </c>
      <c r="P693" s="224">
        <f t="shared" si="170"/>
        <v>0</v>
      </c>
      <c r="Q693" s="224">
        <f ca="1">Q694+Q695</f>
        <v>298240</v>
      </c>
      <c r="R693" s="224">
        <f ca="1">R694+R695</f>
        <v>298240</v>
      </c>
      <c r="S693" s="224">
        <f ca="1">S694+S695</f>
        <v>81710</v>
      </c>
      <c r="T693" s="224">
        <f t="shared" ca="1" si="171"/>
        <v>27.397398068669528</v>
      </c>
      <c r="U693" s="224">
        <f t="shared" ca="1" si="172"/>
        <v>27.397398068669528</v>
      </c>
    </row>
    <row r="694" spans="1:21" ht="18.75" hidden="1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469">
        <v>0</v>
      </c>
      <c r="M694" s="83">
        <v>0</v>
      </c>
      <c r="N694" s="83">
        <v>0</v>
      </c>
      <c r="O694" s="83">
        <f t="shared" si="169"/>
        <v>0</v>
      </c>
      <c r="P694" s="83">
        <f t="shared" si="170"/>
        <v>0</v>
      </c>
      <c r="Q694" s="83">
        <v>0</v>
      </c>
      <c r="R694" s="83">
        <v>0</v>
      </c>
      <c r="S694" s="83">
        <v>0</v>
      </c>
      <c r="T694" s="83">
        <f t="shared" si="171"/>
        <v>0</v>
      </c>
      <c r="U694" s="83">
        <f t="shared" si="172"/>
        <v>0</v>
      </c>
    </row>
    <row r="695" spans="1:21" ht="18.75" hidden="1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468">
        <v>0</v>
      </c>
      <c r="M695" s="224">
        <v>0</v>
      </c>
      <c r="N695" s="224">
        <v>0</v>
      </c>
      <c r="O695" s="224">
        <f t="shared" si="169"/>
        <v>0</v>
      </c>
      <c r="P695" s="224">
        <f t="shared" si="170"/>
        <v>0</v>
      </c>
      <c r="Q695" s="224">
        <f ca="1">IFERROR(__xludf.DUMMYFUNCTION("IMPORTRANGE(""https://docs.google.com/spreadsheets/d/1ItG2mGa2ceCfYo0BwxsXqNm01IGEUdYcSSLTEv9YCik/edit?usp=sharing"",""เบิกจ่ายกองทุน!L26"")"),298240)</f>
        <v>298240</v>
      </c>
      <c r="R695" s="224">
        <f ca="1">IFERROR(__xludf.DUMMYFUNCTION("IMPORTRANGE(""https://docs.google.com/spreadsheets/d/1ItG2mGa2ceCfYo0BwxsXqNm01IGEUdYcSSLTEv9YCik/edit?usp=sharing"",""เบิกจ่ายกองทุน!M26"")"),298240)</f>
        <v>298240</v>
      </c>
      <c r="S695" s="224">
        <f ca="1">IFERROR(__xludf.DUMMYFUNCTION("IMPORTRANGE(""https://docs.google.com/spreadsheets/d/1ItG2mGa2ceCfYo0BwxsXqNm01IGEUdYcSSLTEv9YCik/edit?usp=sharing"",""เบิกจ่ายกองทุน!N26"")"),81710)</f>
        <v>81710</v>
      </c>
      <c r="T695" s="224">
        <f t="shared" ca="1" si="171"/>
        <v>27.397398068669528</v>
      </c>
      <c r="U695" s="224">
        <f t="shared" ca="1" si="172"/>
        <v>27.397398068669528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468">
        <f>L697+L698</f>
        <v>0</v>
      </c>
      <c r="M696" s="224">
        <f>M697+M698</f>
        <v>0</v>
      </c>
      <c r="N696" s="224">
        <f>N697+N698</f>
        <v>0</v>
      </c>
      <c r="O696" s="224">
        <f t="shared" si="169"/>
        <v>0</v>
      </c>
      <c r="P696" s="224">
        <f t="shared" si="170"/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 t="shared" si="171"/>
        <v>0</v>
      </c>
      <c r="U696" s="224">
        <f t="shared" si="172"/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469">
        <v>0</v>
      </c>
      <c r="M697" s="83">
        <v>0</v>
      </c>
      <c r="N697" s="83">
        <v>0</v>
      </c>
      <c r="O697" s="83">
        <f t="shared" si="169"/>
        <v>0</v>
      </c>
      <c r="P697" s="83">
        <f t="shared" si="170"/>
        <v>0</v>
      </c>
      <c r="Q697" s="83">
        <v>0</v>
      </c>
      <c r="R697" s="83">
        <v>0</v>
      </c>
      <c r="S697" s="83">
        <v>0</v>
      </c>
      <c r="T697" s="83">
        <f t="shared" si="171"/>
        <v>0</v>
      </c>
      <c r="U697" s="83">
        <f t="shared" si="172"/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468">
        <v>0</v>
      </c>
      <c r="M698" s="224">
        <v>0</v>
      </c>
      <c r="N698" s="224">
        <v>0</v>
      </c>
      <c r="O698" s="224">
        <f t="shared" si="169"/>
        <v>0</v>
      </c>
      <c r="P698" s="224">
        <f t="shared" si="170"/>
        <v>0</v>
      </c>
      <c r="Q698" s="224">
        <v>0</v>
      </c>
      <c r="R698" s="224">
        <v>0</v>
      </c>
      <c r="S698" s="224">
        <v>0</v>
      </c>
      <c r="T698" s="224">
        <f t="shared" si="171"/>
        <v>0</v>
      </c>
      <c r="U698" s="224">
        <f t="shared" si="172"/>
        <v>0</v>
      </c>
    </row>
    <row r="699" spans="1:21" ht="19.5" x14ac:dyDescent="0.3">
      <c r="A699" s="138"/>
      <c r="B699" s="139"/>
      <c r="C699" s="177" t="s">
        <v>18</v>
      </c>
      <c r="D699" s="498" t="s">
        <v>38</v>
      </c>
      <c r="E699" s="141"/>
      <c r="F699" s="141"/>
      <c r="G699" s="141"/>
      <c r="H699" s="178"/>
      <c r="I699" s="135"/>
      <c r="J699" s="135"/>
      <c r="K699" s="136"/>
      <c r="L699" s="465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IFERROR(__xludf.DUMMYFUNCTION("IMPORTRANGE(""https://docs.google.com/spreadsheets/d/1eHaY18a8A9IcSdp1K8H6x8fbOy06t2VsZHhMHf-1x7Y/edit?usp=sharing"",""แผน!LC26"")"),4)</f>
        <v>4</v>
      </c>
      <c r="J700" s="466">
        <v>0</v>
      </c>
      <c r="K700" s="497">
        <f t="shared" ref="K700:K710" ca="1" si="175">IF(I700&gt;0,J700*100/I700,0)</f>
        <v>0</v>
      </c>
      <c r="L700" s="4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24" t="s">
        <v>258</v>
      </c>
      <c r="F701" s="145"/>
      <c r="G701" s="143"/>
      <c r="H701" s="131" t="s">
        <v>35</v>
      </c>
      <c r="I701" s="328">
        <f ca="1">I703+I705</f>
        <v>113</v>
      </c>
      <c r="J701" s="328">
        <f ca="1">J703+J705</f>
        <v>21</v>
      </c>
      <c r="K701" s="470">
        <f t="shared" ca="1" si="175"/>
        <v>18.584070796460178</v>
      </c>
      <c r="L701" s="4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18.690000000000001</v>
      </c>
      <c r="K702" s="470">
        <f t="shared" si="175"/>
        <v>0</v>
      </c>
      <c r="L702" s="4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IFERROR(__xludf.DUMMYFUNCTION("IMPORTRANGE(""https://docs.google.com/spreadsheets/d/1eHaY18a8A9IcSdp1K8H6x8fbOy06t2VsZHhMHf-1x7Y/edit?usp=sharing"",""แผน!LJ26"")"),110)</f>
        <v>110</v>
      </c>
      <c r="J703" s="184">
        <f ca="1">IFERROR(__xludf.DUMMYFUNCTION("IMPORTRANGE(""https://docs.google.com/spreadsheets/d/1tdoBKaGub7dwA3U6UFTqxio9LNnvDCQjHKmttSEBsFQ/edit?usp=sharing"",""จัดที่ดิน!AP26"")"),21)</f>
        <v>21</v>
      </c>
      <c r="K703" s="224">
        <f t="shared" ca="1" si="175"/>
        <v>19.09090909090909</v>
      </c>
      <c r="L703" s="4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IFERROR(__xludf.DUMMYFUNCTION("IMPORTRANGE(""https://docs.google.com/spreadsheets/d/1tdoBKaGub7dwA3U6UFTqxio9LNnvDCQjHKmttSEBsFQ/edit?usp=sharing"",""จัดที่ดิน!AQ26"")"),18.69)</f>
        <v>18.690000000000001</v>
      </c>
      <c r="K704" s="224">
        <f t="shared" si="175"/>
        <v>0</v>
      </c>
      <c r="L704" s="4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IFERROR(__xludf.DUMMYFUNCTION("IMPORTRANGE(""https://docs.google.com/spreadsheets/d/1eHaY18a8A9IcSdp1K8H6x8fbOy06t2VsZHhMHf-1x7Y/edit?usp=sharing"",""แผน!LK26"")"),3)</f>
        <v>3</v>
      </c>
      <c r="J705" s="184">
        <f ca="1">IFERROR(__xludf.DUMMYFUNCTION("IMPORTRANGE(""https://docs.google.com/spreadsheets/d/1tdoBKaGub7dwA3U6UFTqxio9LNnvDCQjHKmttSEBsFQ/edit?usp=sharing"",""จัดที่ดิน!AR26"")"),0)</f>
        <v>0</v>
      </c>
      <c r="K705" s="497">
        <f t="shared" ca="1" si="175"/>
        <v>0</v>
      </c>
      <c r="L705" s="4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IFERROR(__xludf.DUMMYFUNCTION("IMPORTRANGE(""https://docs.google.com/spreadsheets/d/1tdoBKaGub7dwA3U6UFTqxio9LNnvDCQjHKmttSEBsFQ/edit?usp=sharing"",""จัดที่ดิน!AS26"")"),0)</f>
        <v>0</v>
      </c>
      <c r="K706" s="224">
        <f t="shared" si="175"/>
        <v>0</v>
      </c>
      <c r="L706" s="4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IFERROR(__xludf.DUMMYFUNCTION("IMPORTRANGE(""https://docs.google.com/spreadsheets/d/1eHaY18a8A9IcSdp1K8H6x8fbOy06t2VsZHhMHf-1x7Y/edit?usp=sharing"",""แผน!LJ26"")"),110)</f>
        <v>110</v>
      </c>
      <c r="J707" s="184">
        <f ca="1">IFERROR(__xludf.DUMMYFUNCTION("IMPORTRANGE(""https://docs.google.com/spreadsheets/d/1tdoBKaGub7dwA3U6UFTqxio9LNnvDCQjHKmttSEBsFQ/edit?usp=sharing"",""จัดที่ดิน!BN26"")"),0)</f>
        <v>0</v>
      </c>
      <c r="K707" s="224">
        <f t="shared" ca="1" si="175"/>
        <v>0</v>
      </c>
      <c r="L707" s="4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25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IFERROR(__xludf.DUMMYFUNCTION("IMPORTRANGE(""https://docs.google.com/spreadsheets/d/1tdoBKaGub7dwA3U6UFTqxio9LNnvDCQjHKmttSEBsFQ/edit?usp=sharing"",""จัดที่ดิน!BO26"")"),0)</f>
        <v>0</v>
      </c>
      <c r="K708" s="224">
        <f t="shared" si="175"/>
        <v>0</v>
      </c>
      <c r="L708" s="4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IFERROR(__xludf.DUMMYFUNCTION("IMPORTRANGE(""https://docs.google.com/spreadsheets/d/1eHaY18a8A9IcSdp1K8H6x8fbOy06t2VsZHhMHf-1x7Y/edit?usp=sharing"",""แผน!LK26"")"),3)</f>
        <v>3</v>
      </c>
      <c r="J709" s="184">
        <f ca="1">IFERROR(__xludf.DUMMYFUNCTION("IMPORTRANGE(""https://docs.google.com/spreadsheets/d/1tdoBKaGub7dwA3U6UFTqxio9LNnvDCQjHKmttSEBsFQ/edit?usp=sharing"",""จัดที่ดิน!BP26"")"),2)</f>
        <v>2</v>
      </c>
      <c r="K709" s="224">
        <f t="shared" ca="1" si="175"/>
        <v>66.666666666666671</v>
      </c>
      <c r="L709" s="465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25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IFERROR(__xludf.DUMMYFUNCTION("IMPORTRANGE(""https://docs.google.com/spreadsheets/d/1tdoBKaGub7dwA3U6UFTqxio9LNnvDCQjHKmttSEBsFQ/edit?usp=sharing"",""จัดที่ดิน!BQ26"")"),0)</f>
        <v>0</v>
      </c>
      <c r="K710" s="224">
        <f t="shared" si="175"/>
        <v>0</v>
      </c>
      <c r="L710" s="465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496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hidden="1" x14ac:dyDescent="0.3">
      <c r="A712" s="394"/>
      <c r="B712" s="426" t="s">
        <v>265</v>
      </c>
      <c r="C712" s="394"/>
      <c r="D712" s="396"/>
      <c r="E712" s="396"/>
      <c r="F712" s="396"/>
      <c r="G712" s="397"/>
      <c r="H712" s="427" t="s">
        <v>46</v>
      </c>
      <c r="I712" s="399"/>
      <c r="J712" s="399">
        <f>J724</f>
        <v>0</v>
      </c>
      <c r="K712" s="495">
        <f>IF(I712&gt;0,J712*100/I712,0)</f>
        <v>0</v>
      </c>
      <c r="L712" s="473"/>
      <c r="M712" s="400"/>
      <c r="N712" s="400"/>
      <c r="O712" s="400"/>
      <c r="P712" s="400"/>
      <c r="Q712" s="400"/>
      <c r="R712" s="400"/>
      <c r="S712" s="400"/>
      <c r="T712" s="400"/>
      <c r="U712" s="400"/>
    </row>
    <row r="713" spans="1:21" ht="19.5" hidden="1" x14ac:dyDescent="0.3">
      <c r="A713" s="394"/>
      <c r="B713" s="426" t="s">
        <v>266</v>
      </c>
      <c r="C713" s="394"/>
      <c r="D713" s="396"/>
      <c r="E713" s="396"/>
      <c r="F713" s="396"/>
      <c r="G713" s="397"/>
      <c r="H713" s="398"/>
      <c r="I713" s="399"/>
      <c r="J713" s="399"/>
      <c r="K713" s="400"/>
      <c r="L713" s="47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128"/>
      <c r="B714" s="158"/>
      <c r="C714" s="314" t="s">
        <v>18</v>
      </c>
      <c r="D714" s="820" t="s">
        <v>19</v>
      </c>
      <c r="E714" s="793"/>
      <c r="F714" s="793"/>
      <c r="G714" s="794"/>
      <c r="H714" s="372" t="s">
        <v>14</v>
      </c>
      <c r="I714" s="44"/>
      <c r="J714" s="44"/>
      <c r="K714" s="45"/>
      <c r="L714" s="471">
        <f>L715+L716</f>
        <v>0</v>
      </c>
      <c r="M714" s="470">
        <f>M715+M716</f>
        <v>0</v>
      </c>
      <c r="N714" s="470">
        <f>N715+N716</f>
        <v>0</v>
      </c>
      <c r="O714" s="470">
        <f t="shared" ref="O714:O722" si="176">IF(L714&gt;0,N714*100/L714,0)</f>
        <v>0</v>
      </c>
      <c r="P714" s="470">
        <f t="shared" ref="P714:P722" si="177">IF(M714&gt;0,N714*100/M714,0)</f>
        <v>0</v>
      </c>
      <c r="Q714" s="470">
        <f>Q715+Q716</f>
        <v>0</v>
      </c>
      <c r="R714" s="470">
        <f>R715+R716</f>
        <v>0</v>
      </c>
      <c r="S714" s="470">
        <f>S715+S716</f>
        <v>0</v>
      </c>
      <c r="T714" s="470">
        <f t="shared" ref="T714:T722" si="178">IF(Q714&gt;0,S714*100/Q714,0)</f>
        <v>0</v>
      </c>
      <c r="U714" s="470">
        <f t="shared" ref="U714:U722" si="179"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469">
        <f t="shared" ref="L715:N716" si="180">L718+L721</f>
        <v>0</v>
      </c>
      <c r="M715" s="83">
        <f t="shared" si="180"/>
        <v>0</v>
      </c>
      <c r="N715" s="83">
        <f t="shared" si="180"/>
        <v>0</v>
      </c>
      <c r="O715" s="83">
        <f t="shared" si="176"/>
        <v>0</v>
      </c>
      <c r="P715" s="83">
        <f t="shared" si="177"/>
        <v>0</v>
      </c>
      <c r="Q715" s="83">
        <f t="shared" ref="Q715:S716" si="181">Q718+Q721</f>
        <v>0</v>
      </c>
      <c r="R715" s="83">
        <f t="shared" si="181"/>
        <v>0</v>
      </c>
      <c r="S715" s="83">
        <f t="shared" si="181"/>
        <v>0</v>
      </c>
      <c r="T715" s="83">
        <f t="shared" si="178"/>
        <v>0</v>
      </c>
      <c r="U715" s="83">
        <f t="shared" si="179"/>
        <v>0</v>
      </c>
    </row>
    <row r="716" spans="1:21" ht="18.75" hidden="1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468">
        <f t="shared" si="180"/>
        <v>0</v>
      </c>
      <c r="M716" s="224">
        <f t="shared" si="180"/>
        <v>0</v>
      </c>
      <c r="N716" s="224">
        <f t="shared" si="180"/>
        <v>0</v>
      </c>
      <c r="O716" s="224">
        <f t="shared" si="176"/>
        <v>0</v>
      </c>
      <c r="P716" s="224">
        <f t="shared" si="177"/>
        <v>0</v>
      </c>
      <c r="Q716" s="224">
        <f t="shared" si="181"/>
        <v>0</v>
      </c>
      <c r="R716" s="224">
        <f t="shared" si="181"/>
        <v>0</v>
      </c>
      <c r="S716" s="224">
        <f t="shared" si="181"/>
        <v>0</v>
      </c>
      <c r="T716" s="224">
        <f t="shared" si="178"/>
        <v>0</v>
      </c>
      <c r="U716" s="224">
        <f t="shared" si="179"/>
        <v>0</v>
      </c>
    </row>
    <row r="717" spans="1:21" ht="19.5" hidden="1" x14ac:dyDescent="0.3">
      <c r="A717" s="128"/>
      <c r="B717" s="158"/>
      <c r="C717" s="158"/>
      <c r="D717" s="494" t="s">
        <v>22</v>
      </c>
      <c r="E717" s="40"/>
      <c r="F717" s="40"/>
      <c r="G717" s="42"/>
      <c r="H717" s="372" t="s">
        <v>14</v>
      </c>
      <c r="I717" s="135"/>
      <c r="J717" s="135"/>
      <c r="K717" s="136"/>
      <c r="L717" s="468">
        <f>L718+L719</f>
        <v>0</v>
      </c>
      <c r="M717" s="224">
        <f>M718+M719</f>
        <v>0</v>
      </c>
      <c r="N717" s="224">
        <f>N718+N719</f>
        <v>0</v>
      </c>
      <c r="O717" s="224">
        <f t="shared" si="176"/>
        <v>0</v>
      </c>
      <c r="P717" s="224">
        <f t="shared" si="177"/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 t="shared" si="178"/>
        <v>0</v>
      </c>
      <c r="U717" s="224">
        <f t="shared" si="179"/>
        <v>0</v>
      </c>
    </row>
    <row r="718" spans="1:21" ht="18.75" hidden="1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469">
        <v>0</v>
      </c>
      <c r="M718" s="83">
        <v>0</v>
      </c>
      <c r="N718" s="83">
        <v>0</v>
      </c>
      <c r="O718" s="83">
        <f t="shared" si="176"/>
        <v>0</v>
      </c>
      <c r="P718" s="83">
        <f t="shared" si="177"/>
        <v>0</v>
      </c>
      <c r="Q718" s="83">
        <v>0</v>
      </c>
      <c r="R718" s="83">
        <v>0</v>
      </c>
      <c r="S718" s="83">
        <v>0</v>
      </c>
      <c r="T718" s="83">
        <f t="shared" si="178"/>
        <v>0</v>
      </c>
      <c r="U718" s="83">
        <f t="shared" si="179"/>
        <v>0</v>
      </c>
    </row>
    <row r="719" spans="1:21" ht="18.75" hidden="1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468">
        <v>0</v>
      </c>
      <c r="M719" s="224">
        <v>0</v>
      </c>
      <c r="N719" s="224">
        <v>0</v>
      </c>
      <c r="O719" s="224">
        <f t="shared" si="176"/>
        <v>0</v>
      </c>
      <c r="P719" s="224">
        <f t="shared" si="177"/>
        <v>0</v>
      </c>
      <c r="Q719" s="224">
        <v>0</v>
      </c>
      <c r="R719" s="224">
        <v>0</v>
      </c>
      <c r="S719" s="224">
        <v>0</v>
      </c>
      <c r="T719" s="224">
        <f t="shared" si="178"/>
        <v>0</v>
      </c>
      <c r="U719" s="224">
        <f t="shared" si="179"/>
        <v>0</v>
      </c>
    </row>
    <row r="720" spans="1:21" ht="19.5" hidden="1" x14ac:dyDescent="0.3">
      <c r="A720" s="128"/>
      <c r="B720" s="158"/>
      <c r="C720" s="158"/>
      <c r="D720" s="494" t="s">
        <v>23</v>
      </c>
      <c r="E720" s="40"/>
      <c r="F720" s="40"/>
      <c r="G720" s="42"/>
      <c r="H720" s="374" t="s">
        <v>14</v>
      </c>
      <c r="I720" s="135"/>
      <c r="J720" s="135"/>
      <c r="K720" s="136"/>
      <c r="L720" s="468">
        <f>L721+L722</f>
        <v>0</v>
      </c>
      <c r="M720" s="224">
        <f>M721+M722</f>
        <v>0</v>
      </c>
      <c r="N720" s="224">
        <f>N721+N722</f>
        <v>0</v>
      </c>
      <c r="O720" s="224">
        <f t="shared" si="176"/>
        <v>0</v>
      </c>
      <c r="P720" s="224">
        <f t="shared" si="177"/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 t="shared" si="178"/>
        <v>0</v>
      </c>
      <c r="U720" s="224">
        <f t="shared" si="179"/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469">
        <v>0</v>
      </c>
      <c r="M721" s="83">
        <v>0</v>
      </c>
      <c r="N721" s="83">
        <v>0</v>
      </c>
      <c r="O721" s="83">
        <f t="shared" si="176"/>
        <v>0</v>
      </c>
      <c r="P721" s="83">
        <f t="shared" si="177"/>
        <v>0</v>
      </c>
      <c r="Q721" s="83">
        <v>0</v>
      </c>
      <c r="R721" s="83">
        <v>0</v>
      </c>
      <c r="S721" s="83">
        <v>0</v>
      </c>
      <c r="T721" s="83">
        <f t="shared" si="178"/>
        <v>0</v>
      </c>
      <c r="U721" s="83">
        <f t="shared" si="179"/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375" t="s">
        <v>14</v>
      </c>
      <c r="I722" s="135"/>
      <c r="J722" s="135"/>
      <c r="K722" s="136"/>
      <c r="L722" s="468">
        <v>0</v>
      </c>
      <c r="M722" s="224">
        <v>0</v>
      </c>
      <c r="N722" s="224">
        <v>0</v>
      </c>
      <c r="O722" s="224">
        <f t="shared" si="176"/>
        <v>0</v>
      </c>
      <c r="P722" s="224">
        <f t="shared" si="177"/>
        <v>0</v>
      </c>
      <c r="Q722" s="224">
        <v>0</v>
      </c>
      <c r="R722" s="224">
        <v>0</v>
      </c>
      <c r="S722" s="224">
        <v>0</v>
      </c>
      <c r="T722" s="224">
        <f t="shared" si="178"/>
        <v>0</v>
      </c>
      <c r="U722" s="224">
        <f t="shared" si="179"/>
        <v>0</v>
      </c>
    </row>
    <row r="723" spans="1:21" ht="19.5" hidden="1" x14ac:dyDescent="0.3">
      <c r="A723" s="138"/>
      <c r="B723" s="139"/>
      <c r="C723" s="314" t="s">
        <v>18</v>
      </c>
      <c r="D723" s="493" t="s">
        <v>38</v>
      </c>
      <c r="E723" s="141"/>
      <c r="F723" s="141"/>
      <c r="G723" s="142"/>
      <c r="H723" s="178"/>
      <c r="I723" s="135"/>
      <c r="J723" s="135"/>
      <c r="K723" s="136"/>
      <c r="L723" s="4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30">
        <v>0</v>
      </c>
      <c r="J724" s="44"/>
      <c r="K724" s="45"/>
      <c r="L724" s="465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29"/>
      <c r="B725" s="2"/>
      <c r="C725" s="2"/>
      <c r="D725" s="1"/>
      <c r="E725" s="431" t="s">
        <v>268</v>
      </c>
      <c r="F725" s="1"/>
      <c r="G725" s="52"/>
      <c r="H725" s="432" t="s">
        <v>46</v>
      </c>
      <c r="I725" s="433">
        <v>0</v>
      </c>
      <c r="J725" s="54"/>
      <c r="K725" s="3"/>
      <c r="L725" s="46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94"/>
      <c r="B726" s="395" t="s">
        <v>269</v>
      </c>
      <c r="C726" s="394"/>
      <c r="D726" s="396"/>
      <c r="E726" s="396"/>
      <c r="F726" s="396"/>
      <c r="G726" s="397"/>
      <c r="H726" s="434" t="s">
        <v>35</v>
      </c>
      <c r="I726" s="475">
        <f ca="1">IFERROR(__xludf.DUMMYFUNCTION("IMPORTRANGE(""https://docs.google.com/spreadsheets/d/1eHaY18a8A9IcSdp1K8H6x8fbOy06t2VsZHhMHf-1x7Y/edit?usp=sharing"",""แผน!GA26"")"),51)</f>
        <v>51</v>
      </c>
      <c r="J726" s="475">
        <f>J742+J746+J749</f>
        <v>50</v>
      </c>
      <c r="K726" s="474">
        <f ca="1">IF(I726&gt;0,J726*100/I726,0)</f>
        <v>98.039215686274517</v>
      </c>
      <c r="L726" s="473"/>
      <c r="M726" s="400"/>
      <c r="N726" s="400"/>
      <c r="O726" s="400"/>
      <c r="P726" s="400"/>
      <c r="Q726" s="400"/>
      <c r="R726" s="400"/>
      <c r="S726" s="400"/>
      <c r="T726" s="400"/>
      <c r="U726" s="400"/>
    </row>
    <row r="727" spans="1:21" ht="19.5" x14ac:dyDescent="0.3">
      <c r="A727" s="436"/>
      <c r="B727" s="394"/>
      <c r="C727" s="394"/>
      <c r="D727" s="396"/>
      <c r="E727" s="396"/>
      <c r="F727" s="396"/>
      <c r="G727" s="397"/>
      <c r="H727" s="434" t="s">
        <v>46</v>
      </c>
      <c r="I727" s="475">
        <f ca="1">IFERROR(__xludf.DUMMYFUNCTION("IMPORTRANGE(""https://docs.google.com/spreadsheets/d/1eHaY18a8A9IcSdp1K8H6x8fbOy06t2VsZHhMHf-1x7Y/edit?usp=sharing"",""แผน!FZ26"")"),500)</f>
        <v>500</v>
      </c>
      <c r="J727" s="475">
        <f>J752+J755</f>
        <v>0</v>
      </c>
      <c r="K727" s="474">
        <f ca="1">IF(I727&gt;0,J727*100/I727,0)</f>
        <v>0</v>
      </c>
      <c r="L727" s="47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128"/>
      <c r="B728" s="158"/>
      <c r="C728" s="177" t="s">
        <v>18</v>
      </c>
      <c r="D728" s="821" t="s">
        <v>19</v>
      </c>
      <c r="E728" s="793"/>
      <c r="F728" s="793"/>
      <c r="G728" s="794"/>
      <c r="H728" s="221" t="s">
        <v>14</v>
      </c>
      <c r="I728" s="44"/>
      <c r="J728" s="44"/>
      <c r="K728" s="45"/>
      <c r="L728" s="471">
        <f>L729+L730</f>
        <v>0</v>
      </c>
      <c r="M728" s="470">
        <f>M729+M730</f>
        <v>0</v>
      </c>
      <c r="N728" s="470">
        <f>N729+N730</f>
        <v>0</v>
      </c>
      <c r="O728" s="470">
        <f t="shared" ref="O728:O736" si="182">IF(L728&gt;0,N728*100/L728,0)</f>
        <v>0</v>
      </c>
      <c r="P728" s="470">
        <f t="shared" ref="P728:P736" si="183">IF(M728&gt;0,N728*100/M728,0)</f>
        <v>0</v>
      </c>
      <c r="Q728" s="470">
        <f ca="1">Q729+Q730</f>
        <v>379090</v>
      </c>
      <c r="R728" s="470">
        <f ca="1">R729+R730</f>
        <v>379090</v>
      </c>
      <c r="S728" s="470">
        <f ca="1">S729+S730</f>
        <v>60570</v>
      </c>
      <c r="T728" s="470">
        <f t="shared" ref="T728:T736" ca="1" si="184">IF(Q728&gt;0,S728*100/Q728,0)</f>
        <v>15.977736157640665</v>
      </c>
      <c r="U728" s="470">
        <f t="shared" ref="U728:U736" ca="1" si="185">IF(R728&gt;0,S728*100/R728,0)</f>
        <v>15.977736157640665</v>
      </c>
    </row>
    <row r="729" spans="1:21" ht="18.75" hidden="1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469">
        <f t="shared" ref="L729:N730" si="186">L732+L735</f>
        <v>0</v>
      </c>
      <c r="M729" s="83">
        <f t="shared" si="186"/>
        <v>0</v>
      </c>
      <c r="N729" s="83">
        <f t="shared" si="186"/>
        <v>0</v>
      </c>
      <c r="O729" s="83">
        <f t="shared" si="182"/>
        <v>0</v>
      </c>
      <c r="P729" s="83">
        <f t="shared" si="183"/>
        <v>0</v>
      </c>
      <c r="Q729" s="83">
        <f t="shared" ref="Q729:S730" si="187">Q732+Q735</f>
        <v>0</v>
      </c>
      <c r="R729" s="83">
        <f t="shared" si="187"/>
        <v>0</v>
      </c>
      <c r="S729" s="83">
        <f t="shared" si="187"/>
        <v>0</v>
      </c>
      <c r="T729" s="83">
        <f t="shared" si="184"/>
        <v>0</v>
      </c>
      <c r="U729" s="83">
        <f t="shared" si="185"/>
        <v>0</v>
      </c>
    </row>
    <row r="730" spans="1:21" ht="18.75" hidden="1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468">
        <f t="shared" si="186"/>
        <v>0</v>
      </c>
      <c r="M730" s="224">
        <f t="shared" si="186"/>
        <v>0</v>
      </c>
      <c r="N730" s="224">
        <f t="shared" si="186"/>
        <v>0</v>
      </c>
      <c r="O730" s="224">
        <f t="shared" si="182"/>
        <v>0</v>
      </c>
      <c r="P730" s="224">
        <f t="shared" si="183"/>
        <v>0</v>
      </c>
      <c r="Q730" s="224">
        <f t="shared" ca="1" si="187"/>
        <v>379090</v>
      </c>
      <c r="R730" s="224">
        <f t="shared" ca="1" si="187"/>
        <v>379090</v>
      </c>
      <c r="S730" s="224">
        <f t="shared" ca="1" si="187"/>
        <v>60570</v>
      </c>
      <c r="T730" s="224">
        <f t="shared" ca="1" si="184"/>
        <v>15.977736157640665</v>
      </c>
      <c r="U730" s="224">
        <f t="shared" ca="1" si="185"/>
        <v>15.977736157640665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468">
        <f>L732+L733</f>
        <v>0</v>
      </c>
      <c r="M731" s="224">
        <f>M732+M733</f>
        <v>0</v>
      </c>
      <c r="N731" s="224">
        <f>N732+N733</f>
        <v>0</v>
      </c>
      <c r="O731" s="224">
        <f t="shared" si="182"/>
        <v>0</v>
      </c>
      <c r="P731" s="224">
        <f t="shared" si="183"/>
        <v>0</v>
      </c>
      <c r="Q731" s="224">
        <f ca="1">Q732+Q733</f>
        <v>379090</v>
      </c>
      <c r="R731" s="224">
        <f ca="1">R732+R733</f>
        <v>379090</v>
      </c>
      <c r="S731" s="224">
        <f ca="1">S732+S733</f>
        <v>60570</v>
      </c>
      <c r="T731" s="224">
        <f t="shared" ca="1" si="184"/>
        <v>15.977736157640665</v>
      </c>
      <c r="U731" s="224">
        <f t="shared" ca="1" si="185"/>
        <v>15.977736157640665</v>
      </c>
    </row>
    <row r="732" spans="1:21" ht="18.75" hidden="1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469">
        <v>0</v>
      </c>
      <c r="M732" s="83">
        <v>0</v>
      </c>
      <c r="N732" s="83">
        <v>0</v>
      </c>
      <c r="O732" s="83">
        <f t="shared" si="182"/>
        <v>0</v>
      </c>
      <c r="P732" s="83">
        <f t="shared" si="183"/>
        <v>0</v>
      </c>
      <c r="Q732" s="83">
        <v>0</v>
      </c>
      <c r="R732" s="83">
        <v>0</v>
      </c>
      <c r="S732" s="83">
        <v>0</v>
      </c>
      <c r="T732" s="83">
        <f t="shared" si="184"/>
        <v>0</v>
      </c>
      <c r="U732" s="83">
        <f t="shared" si="185"/>
        <v>0</v>
      </c>
    </row>
    <row r="733" spans="1:21" ht="18.75" hidden="1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468">
        <v>0</v>
      </c>
      <c r="M733" s="224">
        <v>0</v>
      </c>
      <c r="N733" s="224">
        <v>0</v>
      </c>
      <c r="O733" s="224">
        <f t="shared" si="182"/>
        <v>0</v>
      </c>
      <c r="P733" s="224">
        <f t="shared" si="183"/>
        <v>0</v>
      </c>
      <c r="Q733" s="224">
        <f ca="1">IFERROR(__xludf.DUMMYFUNCTION("IMPORTRANGE(""https://docs.google.com/spreadsheets/d/1ItG2mGa2ceCfYo0BwxsXqNm01IGEUdYcSSLTEv9YCik/edit?usp=sharing"",""เบิกจ่ายกองทุน!O26"")"),379090)</f>
        <v>379090</v>
      </c>
      <c r="R733" s="224">
        <f ca="1">IFERROR(__xludf.DUMMYFUNCTION("IMPORTRANGE(""https://docs.google.com/spreadsheets/d/1ItG2mGa2ceCfYo0BwxsXqNm01IGEUdYcSSLTEv9YCik/edit?usp=sharing"",""เบิกจ่ายกองทุน!P26"")"),379090)</f>
        <v>379090</v>
      </c>
      <c r="S733" s="224">
        <f ca="1">IFERROR(__xludf.DUMMYFUNCTION("IMPORTRANGE(""https://docs.google.com/spreadsheets/d/1ItG2mGa2ceCfYo0BwxsXqNm01IGEUdYcSSLTEv9YCik/edit?usp=sharing"",""เบิกจ่ายกองทุน!Q26"")"),60570)</f>
        <v>60570</v>
      </c>
      <c r="T733" s="224">
        <f t="shared" ca="1" si="184"/>
        <v>15.977736157640665</v>
      </c>
      <c r="U733" s="224">
        <f t="shared" ca="1" si="185"/>
        <v>15.977736157640665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468">
        <f>L735+L736</f>
        <v>0</v>
      </c>
      <c r="M734" s="224">
        <f>M735+M736</f>
        <v>0</v>
      </c>
      <c r="N734" s="224">
        <f>N735+N736</f>
        <v>0</v>
      </c>
      <c r="O734" s="224">
        <f t="shared" si="182"/>
        <v>0</v>
      </c>
      <c r="P734" s="224">
        <f t="shared" si="183"/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 t="shared" si="184"/>
        <v>0</v>
      </c>
      <c r="U734" s="224">
        <f t="shared" si="185"/>
        <v>0</v>
      </c>
    </row>
    <row r="735" spans="1:21" ht="18.75" hidden="1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469">
        <v>0</v>
      </c>
      <c r="M735" s="83">
        <v>0</v>
      </c>
      <c r="N735" s="83">
        <v>0</v>
      </c>
      <c r="O735" s="83">
        <f t="shared" si="182"/>
        <v>0</v>
      </c>
      <c r="P735" s="83">
        <f t="shared" si="183"/>
        <v>0</v>
      </c>
      <c r="Q735" s="83">
        <v>0</v>
      </c>
      <c r="R735" s="83">
        <v>0</v>
      </c>
      <c r="S735" s="83">
        <v>0</v>
      </c>
      <c r="T735" s="83">
        <f t="shared" si="184"/>
        <v>0</v>
      </c>
      <c r="U735" s="83">
        <f t="shared" si="185"/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468">
        <v>0</v>
      </c>
      <c r="M736" s="224">
        <v>0</v>
      </c>
      <c r="N736" s="224">
        <v>0</v>
      </c>
      <c r="O736" s="224">
        <f t="shared" si="182"/>
        <v>0</v>
      </c>
      <c r="P736" s="224">
        <f t="shared" si="183"/>
        <v>0</v>
      </c>
      <c r="Q736" s="224">
        <v>0</v>
      </c>
      <c r="R736" s="224">
        <v>0</v>
      </c>
      <c r="S736" s="224">
        <v>0</v>
      </c>
      <c r="T736" s="224">
        <f t="shared" si="184"/>
        <v>0</v>
      </c>
      <c r="U736" s="224">
        <f t="shared" si="185"/>
        <v>0</v>
      </c>
    </row>
    <row r="737" spans="1:21" ht="19.5" x14ac:dyDescent="0.3">
      <c r="A737" s="138"/>
      <c r="B737" s="139"/>
      <c r="C737" s="177" t="s">
        <v>18</v>
      </c>
      <c r="D737" s="491" t="s">
        <v>38</v>
      </c>
      <c r="E737" s="203"/>
      <c r="F737" s="141"/>
      <c r="G737" s="142"/>
      <c r="H737" s="178"/>
      <c r="I737" s="44"/>
      <c r="J737" s="44"/>
      <c r="K737" s="45"/>
      <c r="L737" s="465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7" t="s">
        <v>121</v>
      </c>
      <c r="E738" s="139"/>
      <c r="F738" s="139"/>
      <c r="G738" s="143"/>
      <c r="H738" s="180"/>
      <c r="I738" s="44"/>
      <c r="J738" s="44"/>
      <c r="K738" s="45"/>
      <c r="L738" s="465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10" t="s">
        <v>270</v>
      </c>
      <c r="F739" s="139"/>
      <c r="G739" s="143"/>
      <c r="H739" s="180"/>
      <c r="I739" s="44"/>
      <c r="J739" s="44"/>
      <c r="K739" s="45"/>
      <c r="L739" s="465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10" t="s">
        <v>271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IFERROR(__xludf.DUMMYFUNCTION("IMPORTRANGE(""https://docs.google.com/spreadsheets/d/1eHaY18a8A9IcSdp1K8H6x8fbOy06t2VsZHhMHf-1x7Y/edit?usp=sharing"",""แผน!GB26"")"),400)</f>
        <v>400</v>
      </c>
      <c r="J740" s="466">
        <v>400</v>
      </c>
      <c r="K740" s="224">
        <f ca="1">IF(I740&gt;0,J740*100/I740,0)</f>
        <v>100</v>
      </c>
      <c r="L740" s="465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485"/>
      <c r="B741" s="484"/>
      <c r="C741" s="484"/>
      <c r="D741" s="484"/>
      <c r="E741" s="484"/>
      <c r="F741" s="489" t="s">
        <v>306</v>
      </c>
      <c r="G741" s="481"/>
      <c r="H741" s="480" t="s">
        <v>35</v>
      </c>
      <c r="I741" s="479"/>
      <c r="J741" s="478">
        <v>65</v>
      </c>
      <c r="K741" s="476"/>
      <c r="L741" s="477"/>
      <c r="M741" s="476"/>
      <c r="N741" s="476"/>
      <c r="O741" s="476"/>
      <c r="P741" s="476"/>
      <c r="Q741" s="476"/>
      <c r="R741" s="476"/>
      <c r="S741" s="476"/>
      <c r="T741" s="476"/>
      <c r="U741" s="476"/>
    </row>
    <row r="742" spans="1:21" ht="18.75" x14ac:dyDescent="0.25">
      <c r="A742" s="485"/>
      <c r="B742" s="484"/>
      <c r="C742" s="484"/>
      <c r="D742" s="484"/>
      <c r="E742" s="484"/>
      <c r="F742" s="489" t="s">
        <v>305</v>
      </c>
      <c r="G742" s="481"/>
      <c r="H742" s="480" t="s">
        <v>35</v>
      </c>
      <c r="I742" s="487">
        <f ca="1">IFERROR(__xludf.DUMMYFUNCTION("IMPORTRANGE(""https://docs.google.com/spreadsheets/d/1eHaY18a8A9IcSdp1K8H6x8fbOy06t2VsZHhMHf-1x7Y/edit?usp=sharing"",""แผน!GC26"")"),40)</f>
        <v>40</v>
      </c>
      <c r="J742" s="478">
        <v>40</v>
      </c>
      <c r="K742" s="486">
        <f ca="1">IF(I742&gt;0,J742*100/I742,0)</f>
        <v>100</v>
      </c>
      <c r="L742" s="477"/>
      <c r="M742" s="476"/>
      <c r="N742" s="476"/>
      <c r="O742" s="476"/>
      <c r="P742" s="476"/>
      <c r="Q742" s="476"/>
      <c r="R742" s="476"/>
      <c r="S742" s="476"/>
      <c r="T742" s="476"/>
      <c r="U742" s="476"/>
    </row>
    <row r="743" spans="1:21" ht="18.75" x14ac:dyDescent="0.25">
      <c r="A743" s="485"/>
      <c r="B743" s="484"/>
      <c r="C743" s="484"/>
      <c r="D743" s="484"/>
      <c r="E743" s="489" t="s">
        <v>274</v>
      </c>
      <c r="F743" s="484"/>
      <c r="G743" s="481"/>
      <c r="H743" s="488"/>
      <c r="I743" s="479"/>
      <c r="J743" s="479"/>
      <c r="K743" s="476"/>
      <c r="L743" s="477"/>
      <c r="M743" s="476"/>
      <c r="N743" s="476"/>
      <c r="O743" s="476"/>
      <c r="P743" s="476"/>
      <c r="Q743" s="476"/>
      <c r="R743" s="476"/>
      <c r="S743" s="476"/>
      <c r="T743" s="476"/>
      <c r="U743" s="476"/>
    </row>
    <row r="744" spans="1:21" ht="18.75" x14ac:dyDescent="0.25">
      <c r="A744" s="485"/>
      <c r="B744" s="484"/>
      <c r="C744" s="484"/>
      <c r="D744" s="484"/>
      <c r="E744" s="484"/>
      <c r="F744" s="489" t="s">
        <v>271</v>
      </c>
      <c r="G744" s="481"/>
      <c r="H744" s="480" t="s">
        <v>46</v>
      </c>
      <c r="I744" s="487">
        <f ca="1">IFERROR(__xludf.DUMMYFUNCTION("IMPORTRANGE(""https://docs.google.com/spreadsheets/d/1eHaY18a8A9IcSdp1K8H6x8fbOy06t2VsZHhMHf-1x7Y/edit?usp=sharing"",""แผน!GD26"")"),100)</f>
        <v>100</v>
      </c>
      <c r="J744" s="478">
        <v>100</v>
      </c>
      <c r="K744" s="486">
        <f ca="1">IF(I744&gt;0,J744*100/I744,0)</f>
        <v>100</v>
      </c>
      <c r="L744" s="477"/>
      <c r="M744" s="476"/>
      <c r="N744" s="476"/>
      <c r="O744" s="476"/>
      <c r="P744" s="476"/>
      <c r="Q744" s="476"/>
      <c r="R744" s="476"/>
      <c r="S744" s="476"/>
      <c r="T744" s="476"/>
      <c r="U744" s="476"/>
    </row>
    <row r="745" spans="1:21" ht="18.75" x14ac:dyDescent="0.25">
      <c r="A745" s="485"/>
      <c r="B745" s="484"/>
      <c r="C745" s="484"/>
      <c r="D745" s="484"/>
      <c r="E745" s="484"/>
      <c r="F745" s="489" t="s">
        <v>304</v>
      </c>
      <c r="G745" s="481"/>
      <c r="H745" s="480" t="s">
        <v>35</v>
      </c>
      <c r="I745" s="479"/>
      <c r="J745" s="478">
        <v>15</v>
      </c>
      <c r="K745" s="476"/>
      <c r="L745" s="477"/>
      <c r="M745" s="476"/>
      <c r="N745" s="476"/>
      <c r="O745" s="476"/>
      <c r="P745" s="476"/>
      <c r="Q745" s="476"/>
      <c r="R745" s="476"/>
      <c r="S745" s="476"/>
      <c r="T745" s="476"/>
      <c r="U745" s="476"/>
    </row>
    <row r="746" spans="1:21" ht="18.75" x14ac:dyDescent="0.25">
      <c r="A746" s="485"/>
      <c r="B746" s="484"/>
      <c r="C746" s="484"/>
      <c r="D746" s="484"/>
      <c r="E746" s="484"/>
      <c r="F746" s="489" t="s">
        <v>303</v>
      </c>
      <c r="G746" s="481"/>
      <c r="H746" s="480" t="s">
        <v>35</v>
      </c>
      <c r="I746" s="487">
        <f ca="1">IFERROR(__xludf.DUMMYFUNCTION("IMPORTRANGE(""https://docs.google.com/spreadsheets/d/1eHaY18a8A9IcSdp1K8H6x8fbOy06t2VsZHhMHf-1x7Y/edit?usp=sharing"",""แผน!GE26"")"),10)</f>
        <v>10</v>
      </c>
      <c r="J746" s="478">
        <v>10</v>
      </c>
      <c r="K746" s="486">
        <f ca="1">IF(I746&gt;0,J746*100/I746,0)</f>
        <v>100</v>
      </c>
      <c r="L746" s="477"/>
      <c r="M746" s="476"/>
      <c r="N746" s="476"/>
      <c r="O746" s="476"/>
      <c r="P746" s="476"/>
      <c r="Q746" s="476"/>
      <c r="R746" s="476"/>
      <c r="S746" s="476"/>
      <c r="T746" s="476"/>
      <c r="U746" s="476"/>
    </row>
    <row r="747" spans="1:21" ht="18.75" x14ac:dyDescent="0.25">
      <c r="A747" s="485"/>
      <c r="B747" s="484"/>
      <c r="C747" s="484"/>
      <c r="D747" s="484"/>
      <c r="E747" s="489" t="s">
        <v>277</v>
      </c>
      <c r="F747" s="483"/>
      <c r="G747" s="481"/>
      <c r="H747" s="488"/>
      <c r="I747" s="479"/>
      <c r="J747" s="479"/>
      <c r="K747" s="476"/>
      <c r="L747" s="477"/>
      <c r="M747" s="476"/>
      <c r="N747" s="476"/>
      <c r="O747" s="476"/>
      <c r="P747" s="476"/>
      <c r="Q747" s="476"/>
      <c r="R747" s="476"/>
      <c r="S747" s="476"/>
      <c r="T747" s="476"/>
      <c r="U747" s="476"/>
    </row>
    <row r="748" spans="1:21" ht="18.75" x14ac:dyDescent="0.25">
      <c r="A748" s="485"/>
      <c r="B748" s="484"/>
      <c r="C748" s="484"/>
      <c r="D748" s="484"/>
      <c r="E748" s="484"/>
      <c r="F748" s="489" t="s">
        <v>302</v>
      </c>
      <c r="G748" s="481"/>
      <c r="H748" s="480" t="s">
        <v>35</v>
      </c>
      <c r="I748" s="479"/>
      <c r="J748" s="478">
        <v>1</v>
      </c>
      <c r="K748" s="476"/>
      <c r="L748" s="477"/>
      <c r="M748" s="476"/>
      <c r="N748" s="476"/>
      <c r="O748" s="476"/>
      <c r="P748" s="476"/>
      <c r="Q748" s="476"/>
      <c r="R748" s="476"/>
      <c r="S748" s="476"/>
      <c r="T748" s="476"/>
      <c r="U748" s="476"/>
    </row>
    <row r="749" spans="1:21" ht="18.75" x14ac:dyDescent="0.25">
      <c r="A749" s="485"/>
      <c r="B749" s="484"/>
      <c r="C749" s="484"/>
      <c r="D749" s="484"/>
      <c r="E749" s="484"/>
      <c r="F749" s="489" t="s">
        <v>301</v>
      </c>
      <c r="G749" s="481"/>
      <c r="H749" s="480" t="s">
        <v>35</v>
      </c>
      <c r="I749" s="487">
        <f ca="1">IFERROR(__xludf.DUMMYFUNCTION("IMPORTRANGE(""https://docs.google.com/spreadsheets/d/1eHaY18a8A9IcSdp1K8H6x8fbOy06t2VsZHhMHf-1x7Y/edit?usp=sharing"",""แผน!GF26"")"),1)</f>
        <v>1</v>
      </c>
      <c r="J749" s="478">
        <v>0</v>
      </c>
      <c r="K749" s="486">
        <f ca="1">IF(I749&gt;0,J749*100/I749,0)</f>
        <v>0</v>
      </c>
      <c r="L749" s="477"/>
      <c r="M749" s="476"/>
      <c r="N749" s="476"/>
      <c r="O749" s="476"/>
      <c r="P749" s="476"/>
      <c r="Q749" s="476"/>
      <c r="R749" s="476"/>
      <c r="S749" s="476"/>
      <c r="T749" s="476"/>
      <c r="U749" s="476"/>
    </row>
    <row r="750" spans="1:21" ht="19.5" x14ac:dyDescent="0.3">
      <c r="A750" s="485"/>
      <c r="B750" s="484"/>
      <c r="C750" s="484"/>
      <c r="D750" s="490" t="s">
        <v>50</v>
      </c>
      <c r="E750" s="484"/>
      <c r="F750" s="483"/>
      <c r="G750" s="481"/>
      <c r="H750" s="488"/>
      <c r="I750" s="479"/>
      <c r="J750" s="479"/>
      <c r="K750" s="476"/>
      <c r="L750" s="477"/>
      <c r="M750" s="476"/>
      <c r="N750" s="476"/>
      <c r="O750" s="476"/>
      <c r="P750" s="476"/>
      <c r="Q750" s="476"/>
      <c r="R750" s="476"/>
      <c r="S750" s="476"/>
      <c r="T750" s="476"/>
      <c r="U750" s="476"/>
    </row>
    <row r="751" spans="1:21" ht="18.75" x14ac:dyDescent="0.25">
      <c r="A751" s="485"/>
      <c r="B751" s="484"/>
      <c r="C751" s="484"/>
      <c r="D751" s="484"/>
      <c r="E751" s="489" t="s">
        <v>270</v>
      </c>
      <c r="F751" s="483"/>
      <c r="G751" s="481"/>
      <c r="H751" s="488"/>
      <c r="I751" s="479"/>
      <c r="J751" s="479"/>
      <c r="K751" s="476"/>
      <c r="L751" s="477"/>
      <c r="M751" s="476"/>
      <c r="N751" s="476"/>
      <c r="O751" s="476"/>
      <c r="P751" s="476"/>
      <c r="Q751" s="476"/>
      <c r="R751" s="476"/>
      <c r="S751" s="476"/>
      <c r="T751" s="476"/>
      <c r="U751" s="476"/>
    </row>
    <row r="752" spans="1:21" ht="18.75" x14ac:dyDescent="0.25">
      <c r="A752" s="485"/>
      <c r="B752" s="484"/>
      <c r="C752" s="484"/>
      <c r="D752" s="484"/>
      <c r="E752" s="484"/>
      <c r="F752" s="482" t="s">
        <v>300</v>
      </c>
      <c r="G752" s="481"/>
      <c r="H752" s="480" t="s">
        <v>46</v>
      </c>
      <c r="I752" s="487">
        <f ca="1">IFERROR(__xludf.DUMMYFUNCTION("IMPORTRANGE(""https://docs.google.com/spreadsheets/d/1eHaY18a8A9IcSdp1K8H6x8fbOy06t2VsZHhMHf-1x7Y/edit?usp=sharing"",""แผน!GB26"")"),400)</f>
        <v>400</v>
      </c>
      <c r="J752" s="478">
        <v>0</v>
      </c>
      <c r="K752" s="486">
        <f ca="1">IF(I752&gt;0,J752*100/I752,0)</f>
        <v>0</v>
      </c>
      <c r="L752" s="477"/>
      <c r="M752" s="476"/>
      <c r="N752" s="476"/>
      <c r="O752" s="476"/>
      <c r="P752" s="476"/>
      <c r="Q752" s="476"/>
      <c r="R752" s="476"/>
      <c r="S752" s="476"/>
      <c r="T752" s="476"/>
      <c r="U752" s="476"/>
    </row>
    <row r="753" spans="1:21" ht="18.75" x14ac:dyDescent="0.25">
      <c r="A753" s="485"/>
      <c r="B753" s="484"/>
      <c r="C753" s="484"/>
      <c r="D753" s="484"/>
      <c r="E753" s="484"/>
      <c r="F753" s="482" t="s">
        <v>299</v>
      </c>
      <c r="G753" s="481"/>
      <c r="H753" s="480" t="s">
        <v>46</v>
      </c>
      <c r="I753" s="479"/>
      <c r="J753" s="478">
        <v>0</v>
      </c>
      <c r="K753" s="476"/>
      <c r="L753" s="477"/>
      <c r="M753" s="476"/>
      <c r="N753" s="476"/>
      <c r="O753" s="476"/>
      <c r="P753" s="476"/>
      <c r="Q753" s="476"/>
      <c r="R753" s="476"/>
      <c r="S753" s="476"/>
      <c r="T753" s="476"/>
      <c r="U753" s="476"/>
    </row>
    <row r="754" spans="1:21" ht="18.75" x14ac:dyDescent="0.25">
      <c r="A754" s="485"/>
      <c r="B754" s="484"/>
      <c r="C754" s="484"/>
      <c r="D754" s="484"/>
      <c r="E754" s="489" t="s">
        <v>274</v>
      </c>
      <c r="F754" s="483"/>
      <c r="G754" s="481"/>
      <c r="H754" s="488"/>
      <c r="I754" s="479"/>
      <c r="J754" s="479"/>
      <c r="K754" s="476"/>
      <c r="L754" s="477"/>
      <c r="M754" s="476"/>
      <c r="N754" s="476"/>
      <c r="O754" s="476"/>
      <c r="P754" s="476"/>
      <c r="Q754" s="476"/>
      <c r="R754" s="476"/>
      <c r="S754" s="476"/>
      <c r="T754" s="476"/>
      <c r="U754" s="476"/>
    </row>
    <row r="755" spans="1:21" ht="18.75" x14ac:dyDescent="0.25">
      <c r="A755" s="485"/>
      <c r="B755" s="484"/>
      <c r="C755" s="484"/>
      <c r="D755" s="484"/>
      <c r="E755" s="483"/>
      <c r="F755" s="482" t="s">
        <v>298</v>
      </c>
      <c r="G755" s="481"/>
      <c r="H755" s="480" t="s">
        <v>46</v>
      </c>
      <c r="I755" s="487">
        <f ca="1">IFERROR(__xludf.DUMMYFUNCTION("IMPORTRANGE(""https://docs.google.com/spreadsheets/d/1eHaY18a8A9IcSdp1K8H6x8fbOy06t2VsZHhMHf-1x7Y/edit?usp=sharing"",""แผน!GD26"")"),100)</f>
        <v>100</v>
      </c>
      <c r="J755" s="478">
        <v>0</v>
      </c>
      <c r="K755" s="486">
        <f ca="1">IF(I755&gt;0,J755*100/I755,0)</f>
        <v>0</v>
      </c>
      <c r="L755" s="477"/>
      <c r="M755" s="476"/>
      <c r="N755" s="476"/>
      <c r="O755" s="476"/>
      <c r="P755" s="476"/>
      <c r="Q755" s="476"/>
      <c r="R755" s="476"/>
      <c r="S755" s="476"/>
      <c r="T755" s="476"/>
      <c r="U755" s="476"/>
    </row>
    <row r="756" spans="1:21" ht="18.75" x14ac:dyDescent="0.25">
      <c r="A756" s="485"/>
      <c r="B756" s="484"/>
      <c r="C756" s="484"/>
      <c r="D756" s="484"/>
      <c r="E756" s="483"/>
      <c r="F756" s="482" t="s">
        <v>297</v>
      </c>
      <c r="G756" s="481"/>
      <c r="H756" s="480" t="s">
        <v>46</v>
      </c>
      <c r="I756" s="479"/>
      <c r="J756" s="478">
        <v>0</v>
      </c>
      <c r="K756" s="476"/>
      <c r="L756" s="477"/>
      <c r="M756" s="476"/>
      <c r="N756" s="476"/>
      <c r="O756" s="476"/>
      <c r="P756" s="476"/>
      <c r="Q756" s="476"/>
      <c r="R756" s="476"/>
      <c r="S756" s="476"/>
      <c r="T756" s="476"/>
      <c r="U756" s="476"/>
    </row>
    <row r="757" spans="1:21" ht="18.75" x14ac:dyDescent="0.25">
      <c r="A757" s="438"/>
      <c r="B757" s="438"/>
      <c r="C757" s="438"/>
      <c r="D757" s="438"/>
      <c r="E757" s="439" t="s">
        <v>284</v>
      </c>
      <c r="F757" s="440"/>
      <c r="G757" s="441"/>
      <c r="H757" s="442" t="s">
        <v>35</v>
      </c>
      <c r="I757" s="443"/>
      <c r="J757" s="444">
        <v>0</v>
      </c>
      <c r="K757" s="445"/>
      <c r="L757" s="445"/>
      <c r="M757" s="445"/>
      <c r="N757" s="445"/>
      <c r="O757" s="445"/>
      <c r="P757" s="445"/>
      <c r="Q757" s="445"/>
      <c r="R757" s="445"/>
      <c r="S757" s="445"/>
      <c r="T757" s="445"/>
      <c r="U757" s="445"/>
    </row>
    <row r="758" spans="1:21" ht="19.5" x14ac:dyDescent="0.3">
      <c r="A758" s="394"/>
      <c r="B758" s="395" t="s">
        <v>285</v>
      </c>
      <c r="C758" s="394"/>
      <c r="D758" s="396"/>
      <c r="E758" s="396"/>
      <c r="F758" s="396"/>
      <c r="G758" s="397"/>
      <c r="H758" s="434" t="s">
        <v>35</v>
      </c>
      <c r="I758" s="475">
        <f ca="1">I772</f>
        <v>40</v>
      </c>
      <c r="J758" s="475">
        <f>J772</f>
        <v>0</v>
      </c>
      <c r="K758" s="474">
        <f ca="1">IF(I758&gt;0,J758*100/I758,0)</f>
        <v>0</v>
      </c>
      <c r="L758" s="47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6"/>
      <c r="B759" s="394"/>
      <c r="C759" s="394"/>
      <c r="D759" s="396"/>
      <c r="E759" s="396"/>
      <c r="F759" s="396"/>
      <c r="G759" s="397"/>
      <c r="H759" s="434" t="s">
        <v>46</v>
      </c>
      <c r="I759" s="475">
        <f ca="1">I774</f>
        <v>120</v>
      </c>
      <c r="J759" s="475">
        <f>J774</f>
        <v>0</v>
      </c>
      <c r="K759" s="474">
        <f ca="1">IF(I759&gt;0,J759*100/I759,0)</f>
        <v>0</v>
      </c>
      <c r="L759" s="47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8"/>
      <c r="C760" s="177" t="s">
        <v>18</v>
      </c>
      <c r="D760" s="821" t="s">
        <v>19</v>
      </c>
      <c r="E760" s="793"/>
      <c r="F760" s="793"/>
      <c r="G760" s="794"/>
      <c r="H760" s="221" t="s">
        <v>14</v>
      </c>
      <c r="I760" s="44"/>
      <c r="J760" s="44"/>
      <c r="K760" s="45"/>
      <c r="L760" s="471">
        <f>L761+L762</f>
        <v>0</v>
      </c>
      <c r="M760" s="470">
        <f>M761+M762</f>
        <v>0</v>
      </c>
      <c r="N760" s="470">
        <f>N761+N762</f>
        <v>0</v>
      </c>
      <c r="O760" s="470">
        <f t="shared" ref="O760:O768" si="188">IF(L760&gt;0,N760*100/L760,0)</f>
        <v>0</v>
      </c>
      <c r="P760" s="470">
        <f t="shared" ref="P760:P768" si="189">IF(M760&gt;0,N760*100/M760,0)</f>
        <v>0</v>
      </c>
      <c r="Q760" s="470">
        <f ca="1">Q761+Q762</f>
        <v>379780</v>
      </c>
      <c r="R760" s="470">
        <f ca="1">R761+R762</f>
        <v>379780</v>
      </c>
      <c r="S760" s="470">
        <f ca="1">S761+S762</f>
        <v>29340</v>
      </c>
      <c r="T760" s="470">
        <f t="shared" ref="T760:T768" ca="1" si="190">IF(Q760&gt;0,S760*100/Q760,0)</f>
        <v>7.7255253041234395</v>
      </c>
      <c r="U760" s="470">
        <f t="shared" ref="U760:U768" ca="1" si="191">IF(R760&gt;0,S760*100/R760,0)</f>
        <v>7.7255253041234395</v>
      </c>
    </row>
    <row r="761" spans="1:21" ht="18.75" hidden="1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469">
        <f t="shared" ref="L761:N762" si="192">L764+L767</f>
        <v>0</v>
      </c>
      <c r="M761" s="83">
        <f t="shared" si="192"/>
        <v>0</v>
      </c>
      <c r="N761" s="83">
        <f t="shared" si="192"/>
        <v>0</v>
      </c>
      <c r="O761" s="83">
        <f t="shared" si="188"/>
        <v>0</v>
      </c>
      <c r="P761" s="83">
        <f t="shared" si="189"/>
        <v>0</v>
      </c>
      <c r="Q761" s="83">
        <f t="shared" ref="Q761:S762" si="193">Q764+Q767</f>
        <v>0</v>
      </c>
      <c r="R761" s="83">
        <f t="shared" si="193"/>
        <v>0</v>
      </c>
      <c r="S761" s="83">
        <f t="shared" si="193"/>
        <v>0</v>
      </c>
      <c r="T761" s="83">
        <f t="shared" si="190"/>
        <v>0</v>
      </c>
      <c r="U761" s="83">
        <f t="shared" si="191"/>
        <v>0</v>
      </c>
    </row>
    <row r="762" spans="1:21" ht="18.75" hidden="1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468">
        <f t="shared" si="192"/>
        <v>0</v>
      </c>
      <c r="M762" s="224">
        <f t="shared" si="192"/>
        <v>0</v>
      </c>
      <c r="N762" s="224">
        <f t="shared" si="192"/>
        <v>0</v>
      </c>
      <c r="O762" s="224">
        <f t="shared" si="188"/>
        <v>0</v>
      </c>
      <c r="P762" s="224">
        <f t="shared" si="189"/>
        <v>0</v>
      </c>
      <c r="Q762" s="224">
        <f t="shared" ca="1" si="193"/>
        <v>379780</v>
      </c>
      <c r="R762" s="224">
        <f t="shared" ca="1" si="193"/>
        <v>379780</v>
      </c>
      <c r="S762" s="224">
        <f t="shared" ca="1" si="193"/>
        <v>29340</v>
      </c>
      <c r="T762" s="224">
        <f t="shared" ca="1" si="190"/>
        <v>7.7255253041234395</v>
      </c>
      <c r="U762" s="224">
        <f t="shared" ca="1" si="191"/>
        <v>7.7255253041234395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468">
        <f>L764+L765</f>
        <v>0</v>
      </c>
      <c r="M763" s="224">
        <f>M764+M765</f>
        <v>0</v>
      </c>
      <c r="N763" s="224">
        <f>N764+N765</f>
        <v>0</v>
      </c>
      <c r="O763" s="224">
        <f t="shared" si="188"/>
        <v>0</v>
      </c>
      <c r="P763" s="224">
        <f t="shared" si="189"/>
        <v>0</v>
      </c>
      <c r="Q763" s="224">
        <f ca="1">Q764+Q765</f>
        <v>379780</v>
      </c>
      <c r="R763" s="224">
        <f ca="1">R764+R765</f>
        <v>379780</v>
      </c>
      <c r="S763" s="224">
        <f ca="1">S764+S765</f>
        <v>29340</v>
      </c>
      <c r="T763" s="224">
        <f t="shared" ca="1" si="190"/>
        <v>7.7255253041234395</v>
      </c>
      <c r="U763" s="224">
        <f t="shared" ca="1" si="191"/>
        <v>7.7255253041234395</v>
      </c>
    </row>
    <row r="764" spans="1:21" ht="18.75" hidden="1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469">
        <v>0</v>
      </c>
      <c r="M764" s="83">
        <v>0</v>
      </c>
      <c r="N764" s="83">
        <v>0</v>
      </c>
      <c r="O764" s="83">
        <f t="shared" si="188"/>
        <v>0</v>
      </c>
      <c r="P764" s="83">
        <f t="shared" si="189"/>
        <v>0</v>
      </c>
      <c r="Q764" s="83">
        <v>0</v>
      </c>
      <c r="R764" s="83">
        <v>0</v>
      </c>
      <c r="S764" s="83">
        <v>0</v>
      </c>
      <c r="T764" s="83">
        <f t="shared" si="190"/>
        <v>0</v>
      </c>
      <c r="U764" s="83">
        <f t="shared" si="191"/>
        <v>0</v>
      </c>
    </row>
    <row r="765" spans="1:21" ht="18.75" hidden="1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468">
        <v>0</v>
      </c>
      <c r="M765" s="224">
        <v>0</v>
      </c>
      <c r="N765" s="224">
        <v>0</v>
      </c>
      <c r="O765" s="224">
        <f t="shared" si="188"/>
        <v>0</v>
      </c>
      <c r="P765" s="224">
        <f t="shared" si="189"/>
        <v>0</v>
      </c>
      <c r="Q765" s="224">
        <f ca="1">IFERROR(__xludf.DUMMYFUNCTION("IMPORTRANGE(""https://docs.google.com/spreadsheets/d/1ItG2mGa2ceCfYo0BwxsXqNm01IGEUdYcSSLTEv9YCik/edit?usp=sharing"",""เบิกจ่ายกองทุน!U26"")"),379780)</f>
        <v>379780</v>
      </c>
      <c r="R765" s="224">
        <f ca="1">IFERROR(__xludf.DUMMYFUNCTION("IMPORTRANGE(""https://docs.google.com/spreadsheets/d/1ItG2mGa2ceCfYo0BwxsXqNm01IGEUdYcSSLTEv9YCik/edit?usp=sharing"",""เบิกจ่ายกองทุน!V26"")"),379780)</f>
        <v>379780</v>
      </c>
      <c r="S765" s="224">
        <f ca="1">IFERROR(__xludf.DUMMYFUNCTION("IMPORTRANGE(""https://docs.google.com/spreadsheets/d/1ItG2mGa2ceCfYo0BwxsXqNm01IGEUdYcSSLTEv9YCik/edit?usp=sharing"",""เบิกจ่ายกองทุน!W26"")"),29340)</f>
        <v>29340</v>
      </c>
      <c r="T765" s="224">
        <f t="shared" ca="1" si="190"/>
        <v>7.7255253041234395</v>
      </c>
      <c r="U765" s="224">
        <f t="shared" ca="1" si="191"/>
        <v>7.7255253041234395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468">
        <f>L767+L768</f>
        <v>0</v>
      </c>
      <c r="M766" s="224">
        <f>M767+M768</f>
        <v>0</v>
      </c>
      <c r="N766" s="224">
        <f>N767+N768</f>
        <v>0</v>
      </c>
      <c r="O766" s="224">
        <f t="shared" si="188"/>
        <v>0</v>
      </c>
      <c r="P766" s="224">
        <f t="shared" si="189"/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 t="shared" si="190"/>
        <v>0</v>
      </c>
      <c r="U766" s="224">
        <f t="shared" si="191"/>
        <v>0</v>
      </c>
    </row>
    <row r="767" spans="1:21" ht="18.75" hidden="1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469">
        <v>0</v>
      </c>
      <c r="M767" s="83">
        <v>0</v>
      </c>
      <c r="N767" s="83">
        <v>0</v>
      </c>
      <c r="O767" s="83">
        <f t="shared" si="188"/>
        <v>0</v>
      </c>
      <c r="P767" s="83">
        <f t="shared" si="189"/>
        <v>0</v>
      </c>
      <c r="Q767" s="83">
        <v>0</v>
      </c>
      <c r="R767" s="83">
        <v>0</v>
      </c>
      <c r="S767" s="83">
        <v>0</v>
      </c>
      <c r="T767" s="83">
        <f t="shared" si="190"/>
        <v>0</v>
      </c>
      <c r="U767" s="83">
        <f t="shared" si="191"/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468">
        <v>0</v>
      </c>
      <c r="M768" s="224">
        <v>0</v>
      </c>
      <c r="N768" s="224">
        <v>0</v>
      </c>
      <c r="O768" s="224">
        <f t="shared" si="188"/>
        <v>0</v>
      </c>
      <c r="P768" s="224">
        <f t="shared" si="189"/>
        <v>0</v>
      </c>
      <c r="Q768" s="224">
        <v>0</v>
      </c>
      <c r="R768" s="224">
        <v>0</v>
      </c>
      <c r="S768" s="224">
        <v>0</v>
      </c>
      <c r="T768" s="224">
        <f t="shared" si="190"/>
        <v>0</v>
      </c>
      <c r="U768" s="224">
        <f t="shared" si="191"/>
        <v>0</v>
      </c>
    </row>
    <row r="769" spans="1:21" ht="19.5" x14ac:dyDescent="0.3">
      <c r="A769" s="138"/>
      <c r="B769" s="139"/>
      <c r="C769" s="446" t="s">
        <v>18</v>
      </c>
      <c r="D769" s="467" t="s">
        <v>38</v>
      </c>
      <c r="E769" s="203"/>
      <c r="F769" s="141"/>
      <c r="G769" s="142"/>
      <c r="H769" s="178"/>
      <c r="I769" s="44"/>
      <c r="J769" s="44"/>
      <c r="K769" s="45"/>
      <c r="L769" s="465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377" t="s">
        <v>286</v>
      </c>
      <c r="E770" s="139"/>
      <c r="F770" s="145"/>
      <c r="G770" s="143"/>
      <c r="H770" s="375" t="s">
        <v>35</v>
      </c>
      <c r="I770" s="430">
        <f ca="1">IFERROR(__xludf.DUMMYFUNCTION("IMPORTRANGE(""https://docs.google.com/spreadsheets/d/1eHaY18a8A9IcSdp1K8H6x8fbOy06t2VsZHhMHf-1x7Y/edit?usp=sharing"",""แผน!FI26"")"),0)</f>
        <v>0</v>
      </c>
      <c r="J770" s="430">
        <v>0</v>
      </c>
      <c r="K770" s="83">
        <f ca="1">IF(I770&gt;0,J770*100/I770,0)</f>
        <v>0</v>
      </c>
      <c r="L770" s="465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377" t="s">
        <v>287</v>
      </c>
      <c r="E771" s="139"/>
      <c r="F771" s="145"/>
      <c r="G771" s="143"/>
      <c r="H771" s="178"/>
      <c r="I771" s="44"/>
      <c r="J771" s="44"/>
      <c r="K771" s="45"/>
      <c r="L771" s="465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10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IFERROR(__xludf.DUMMYFUNCTION("IMPORTRANGE(""https://docs.google.com/spreadsheets/d/1eHaY18a8A9IcSdp1K8H6x8fbOy06t2VsZHhMHf-1x7Y/edit?usp=sharing"",""แผน!FQ26"")"),40)</f>
        <v>40</v>
      </c>
      <c r="J772" s="466">
        <v>0</v>
      </c>
      <c r="K772" s="224">
        <f ca="1">IF(I772&gt;0,J772*100/I772,0)</f>
        <v>0</v>
      </c>
      <c r="L772" s="465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10" t="s">
        <v>289</v>
      </c>
      <c r="E773" s="139"/>
      <c r="F773" s="145"/>
      <c r="G773" s="143"/>
      <c r="H773" s="178"/>
      <c r="I773" s="44"/>
      <c r="J773" s="44"/>
      <c r="K773" s="45"/>
      <c r="L773" s="465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10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IFERROR(__xludf.DUMMYFUNCTION("IMPORTRANGE(""https://docs.google.com/spreadsheets/d/1eHaY18a8A9IcSdp1K8H6x8fbOy06t2VsZHhMHf-1x7Y/edit?usp=sharing"",""แผน!FR26"")"),120)</f>
        <v>120</v>
      </c>
      <c r="J774" s="466">
        <v>0</v>
      </c>
      <c r="K774" s="224">
        <f ca="1">IF(I774&gt;0,J774*100/I774,0)</f>
        <v>0</v>
      </c>
      <c r="L774" s="465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10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IFERROR(__xludf.DUMMYFUNCTION("IMPORTRANGE(""https://docs.google.com/spreadsheets/d/1eHaY18a8A9IcSdp1K8H6x8fbOy06t2VsZHhMHf-1x7Y/edit?usp=sharing"",""แผน!FS26"")"),120)</f>
        <v>120</v>
      </c>
      <c r="J775" s="466">
        <v>0</v>
      </c>
      <c r="K775" s="45"/>
      <c r="L775" s="465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IFERROR(__xludf.DUMMYFUNCTION("IMPORTRANGE(""https://docs.google.com/spreadsheets/d/1eHaY18a8A9IcSdp1K8H6x8fbOy06t2VsZHhMHf-1x7Y/edit?usp=sharing"",""แผน!FT26"")"),40)</f>
        <v>40</v>
      </c>
      <c r="J776" s="464">
        <v>0</v>
      </c>
      <c r="K776" s="3"/>
      <c r="L776" s="46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462" t="s">
        <v>291</v>
      </c>
      <c r="B777" s="449"/>
      <c r="C777" s="449"/>
      <c r="D777" s="448"/>
      <c r="E777" s="449"/>
      <c r="F777" s="449"/>
      <c r="G777" s="450"/>
      <c r="H777" s="461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2"/>
      <c r="J777" s="453"/>
      <c r="K777" s="454"/>
      <c r="L777" s="454"/>
      <c r="M777" s="454"/>
      <c r="N777" s="454"/>
      <c r="O777" s="454"/>
      <c r="P777" s="454"/>
      <c r="Q777" s="454"/>
      <c r="R777" s="454"/>
      <c r="S777" s="454"/>
      <c r="T777" s="454"/>
      <c r="U777" s="454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IFERROR(__xludf.DUMMYFUNCTION("IMPORTRANGE(""https://docs.google.com/spreadsheets/d/10OvvATaaLtwErnr3qtWFcTmtbfpFEt5Bsqel9sXx0uE/edit?usp=sharing"",""งานกองทุน!D26"")"),7276200.4)</f>
        <v>7276200.4000000004</v>
      </c>
      <c r="J778" s="184">
        <f ca="1">IFERROR(__xludf.DUMMYFUNCTION("IMPORTRANGE(""https://docs.google.com/spreadsheets/d/10OvvATaaLtwErnr3qtWFcTmtbfpFEt5Bsqel9sXx0uE/edit?usp=sharing"",""งานกองทุน!F26"")"),4149622.24)</f>
        <v>4149622.24</v>
      </c>
      <c r="K778" s="224">
        <f t="shared" ref="K778:K785" ca="1" si="194">IF(I778&gt;0,J778*100/I778,0)</f>
        <v>57.030070804536933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IFERROR(__xludf.DUMMYFUNCTION("IMPORTRANGE(""https://docs.google.com/spreadsheets/d/10OvvATaaLtwErnr3qtWFcTmtbfpFEt5Bsqel9sXx0uE/edit?usp=sharing"",""งานกองทุน!C26"")"),320)</f>
        <v>320</v>
      </c>
      <c r="J779" s="184">
        <f ca="1">IFERROR(__xludf.DUMMYFUNCTION("IMPORTRANGE(""https://docs.google.com/spreadsheets/d/10OvvATaaLtwErnr3qtWFcTmtbfpFEt5Bsqel9sXx0uE/edit?usp=sharing"",""งานกองทุน!E26"")"),236)</f>
        <v>236</v>
      </c>
      <c r="K779" s="224">
        <f t="shared" ca="1" si="194"/>
        <v>73.75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IFERROR(__xludf.DUMMYFUNCTION("IMPORTRANGE(""https://docs.google.com/spreadsheets/d/10OvvATaaLtwErnr3qtWFcTmtbfpFEt5Bsqel9sXx0uE/edit?usp=sharing"",""งานกองทุน!I26"")"),29719.73)</f>
        <v>29719.73</v>
      </c>
      <c r="J780" s="184">
        <f ca="1">IFERROR(__xludf.DUMMYFUNCTION("IMPORTRANGE(""https://docs.google.com/spreadsheets/d/10OvvATaaLtwErnr3qtWFcTmtbfpFEt5Bsqel9sXx0uE/edit?usp=sharing"",""งานกองทุน!K26"")"),6884.55)</f>
        <v>6884.55</v>
      </c>
      <c r="K780" s="224">
        <f t="shared" ca="1" si="194"/>
        <v>23.164914351509925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IFERROR(__xludf.DUMMYFUNCTION("IMPORTRANGE(""https://docs.google.com/spreadsheets/d/10OvvATaaLtwErnr3qtWFcTmtbfpFEt5Bsqel9sXx0uE/edit?usp=sharing"",""งานกองทุน!H26"")"),1)</f>
        <v>1</v>
      </c>
      <c r="J781" s="184">
        <f ca="1">IFERROR(__xludf.DUMMYFUNCTION("IMPORTRANGE(""https://docs.google.com/spreadsheets/d/10OvvATaaLtwErnr3qtWFcTmtbfpFEt5Bsqel9sXx0uE/edit?usp=sharing"",""งานกองทุน!J26"")"),1)</f>
        <v>1</v>
      </c>
      <c r="K781" s="224">
        <f t="shared" ca="1" si="194"/>
        <v>100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IFERROR(__xludf.DUMMYFUNCTION("IMPORTRANGE(""https://docs.google.com/spreadsheets/d/10OvvATaaLtwErnr3qtWFcTmtbfpFEt5Bsqel9sXx0uE/edit?usp=sharing"",""งานกองทุน!N26"")"),0)</f>
        <v>0</v>
      </c>
      <c r="J782" s="184">
        <f ca="1">IFERROR(__xludf.DUMMYFUNCTION("IMPORTRANGE(""https://docs.google.com/spreadsheets/d/10OvvATaaLtwErnr3qtWFcTmtbfpFEt5Bsqel9sXx0uE/edit?usp=sharing"",""งานกองทุน!P26"")"),0)</f>
        <v>0</v>
      </c>
      <c r="K782" s="224">
        <f t="shared" ca="1" si="194"/>
        <v>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IFERROR(__xludf.DUMMYFUNCTION("IMPORTRANGE(""https://docs.google.com/spreadsheets/d/10OvvATaaLtwErnr3qtWFcTmtbfpFEt5Bsqel9sXx0uE/edit?usp=sharing"",""งานกองทุน!M26"")"),0)</f>
        <v>0</v>
      </c>
      <c r="J783" s="184">
        <f ca="1">IFERROR(__xludf.DUMMYFUNCTION("IMPORTRANGE(""https://docs.google.com/spreadsheets/d/10OvvATaaLtwErnr3qtWFcTmtbfpFEt5Bsqel9sXx0uE/edit?usp=sharing"",""งานกองทุน!O26"")"),0)</f>
        <v>0</v>
      </c>
      <c r="K783" s="224">
        <f t="shared" ca="1" si="194"/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IFERROR(__xludf.DUMMYFUNCTION("IMPORTRANGE(""https://docs.google.com/spreadsheets/d/10OvvATaaLtwErnr3qtWFcTmtbfpFEt5Bsqel9sXx0uE/edit?usp=sharing"",""งานกองทุน!S26"")"),9772000)</f>
        <v>9772000</v>
      </c>
      <c r="J784" s="184">
        <f ca="1">IFERROR(__xludf.DUMMYFUNCTION("IMPORTRANGE(""https://docs.google.com/spreadsheets/d/10OvvATaaLtwErnr3qtWFcTmtbfpFEt5Bsqel9sXx0uE/edit?usp=sharing"",""งานกองทุน!U26"")"),4535000)</f>
        <v>4535000</v>
      </c>
      <c r="K784" s="224">
        <f t="shared" ca="1" si="194"/>
        <v>46.408104789193615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IFERROR(__xludf.DUMMYFUNCTION("IMPORTRANGE(""https://docs.google.com/spreadsheets/d/10OvvATaaLtwErnr3qtWFcTmtbfpFEt5Bsqel9sXx0uE/edit?usp=sharing"",""งานกองทุน!R26"")"),349)</f>
        <v>349</v>
      </c>
      <c r="J785" s="188">
        <f ca="1">IFERROR(__xludf.DUMMYFUNCTION("IMPORTRANGE(""https://docs.google.com/spreadsheets/d/10OvvATaaLtwErnr3qtWFcTmtbfpFEt5Bsqel9sXx0uE/edit?usp=sharing"",""งานกองทุน!T26"")"),107)</f>
        <v>107</v>
      </c>
      <c r="K785" s="455">
        <f t="shared" ca="1" si="194"/>
        <v>30.659025787965614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460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4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4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horizontalDpi="4294967293" verticalDpi="4294967293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7AAD7-A030-4635-8BC8-C7F297AE6C65}">
  <sheetPr>
    <outlinePr summaryBelow="0" summaryRight="0"/>
  </sheetPr>
  <dimension ref="A1:U789"/>
  <sheetViews>
    <sheetView view="pageBreakPreview" zoomScale="60" zoomScaleNormal="70" workbookViewId="0">
      <pane xSplit="8" ySplit="6" topLeftCell="I7" activePane="bottomRight" state="frozen"/>
      <selection activeCell="N28" sqref="N28"/>
      <selection pane="topRight" activeCell="N28" sqref="N28"/>
      <selection pane="bottomLeft" activeCell="N28" sqref="N28"/>
      <selection pane="bottomRight" activeCell="N28" sqref="N2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7109375" bestFit="1" customWidth="1"/>
    <col min="11" max="11" width="12.42578125" bestFit="1" customWidth="1"/>
    <col min="12" max="14" width="21" bestFit="1" customWidth="1"/>
    <col min="15" max="15" width="20.140625" bestFit="1" customWidth="1"/>
    <col min="16" max="16" width="22" bestFit="1" customWidth="1"/>
    <col min="17" max="18" width="21" bestFit="1" customWidth="1"/>
    <col min="19" max="19" width="18.57031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815" t="s">
        <v>0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5"/>
      <c r="T1" s="815"/>
      <c r="U1" s="815"/>
    </row>
    <row r="2" spans="1:21" ht="19.5" x14ac:dyDescent="0.3">
      <c r="A2" s="815" t="s">
        <v>331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</row>
    <row r="3" spans="1:21" ht="19.5" x14ac:dyDescent="0.3">
      <c r="A3" s="815" t="s">
        <v>335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709"/>
      <c r="L4" s="816" t="s">
        <v>2</v>
      </c>
      <c r="M4" s="800"/>
      <c r="N4" s="800"/>
      <c r="O4" s="800"/>
      <c r="P4" s="801"/>
      <c r="Q4" s="817" t="s">
        <v>3</v>
      </c>
      <c r="R4" s="800"/>
      <c r="S4" s="800"/>
      <c r="T4" s="800"/>
      <c r="U4" s="801"/>
    </row>
    <row r="5" spans="1:21" ht="19.5" x14ac:dyDescent="0.3">
      <c r="A5" s="822" t="s">
        <v>4</v>
      </c>
      <c r="B5" s="797"/>
      <c r="C5" s="797"/>
      <c r="D5" s="797"/>
      <c r="E5" s="797"/>
      <c r="F5" s="797"/>
      <c r="G5" s="798"/>
      <c r="H5" s="789" t="s">
        <v>5</v>
      </c>
      <c r="I5" s="814" t="s">
        <v>6</v>
      </c>
      <c r="J5" s="800"/>
      <c r="K5" s="801"/>
      <c r="L5" s="818" t="s">
        <v>7</v>
      </c>
      <c r="M5" s="801"/>
      <c r="N5" s="807" t="s">
        <v>8</v>
      </c>
      <c r="O5" s="800"/>
      <c r="P5" s="801"/>
      <c r="Q5" s="808" t="s">
        <v>7</v>
      </c>
      <c r="R5" s="801"/>
      <c r="S5" s="807" t="s">
        <v>8</v>
      </c>
      <c r="T5" s="800"/>
      <c r="U5" s="801"/>
    </row>
    <row r="6" spans="1:21" ht="19.5" x14ac:dyDescent="0.3">
      <c r="A6" s="799"/>
      <c r="B6" s="800"/>
      <c r="C6" s="800"/>
      <c r="D6" s="800"/>
      <c r="E6" s="800"/>
      <c r="F6" s="800"/>
      <c r="G6" s="801"/>
      <c r="H6" s="788"/>
      <c r="I6" s="6" t="s">
        <v>9</v>
      </c>
      <c r="J6" s="7" t="s">
        <v>10</v>
      </c>
      <c r="K6" s="6" t="s">
        <v>11</v>
      </c>
      <c r="L6" s="706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823"/>
      <c r="B7" s="800"/>
      <c r="C7" s="800"/>
      <c r="D7" s="800"/>
      <c r="E7" s="800"/>
      <c r="F7" s="800"/>
      <c r="G7" s="801"/>
      <c r="H7" s="14"/>
      <c r="I7" s="15"/>
      <c r="J7" s="15"/>
      <c r="K7" s="16"/>
      <c r="L7" s="580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571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71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71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71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71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71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71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71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580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803" t="s">
        <v>309</v>
      </c>
      <c r="B17" s="800"/>
      <c r="C17" s="800"/>
      <c r="D17" s="800"/>
      <c r="E17" s="800"/>
      <c r="F17" s="800"/>
      <c r="G17" s="801"/>
      <c r="H17" s="23"/>
      <c r="I17" s="24"/>
      <c r="J17" s="24"/>
      <c r="K17" s="25"/>
      <c r="L17" s="705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704">
        <f ca="1">L19+L20</f>
        <v>2426125</v>
      </c>
      <c r="M18" s="664">
        <f ca="1">M19+M20</f>
        <v>2510408</v>
      </c>
      <c r="N18" s="664">
        <f ca="1">N19+N20</f>
        <v>1807419.9999999998</v>
      </c>
      <c r="O18" s="664">
        <f t="shared" ref="O18:O26" ca="1" si="0">IF(L18&gt;0,N18*100/L18,0)</f>
        <v>74.498222474109937</v>
      </c>
      <c r="P18" s="664">
        <f t="shared" ref="P18:P26" ca="1" si="1">IF(M18&gt;0,N18*100/M18,0)</f>
        <v>71.99706183218025</v>
      </c>
      <c r="Q18" s="664">
        <f ca="1">Q19+Q20</f>
        <v>2135953.39</v>
      </c>
      <c r="R18" s="664">
        <f ca="1">R19+R20</f>
        <v>2135953</v>
      </c>
      <c r="S18" s="664">
        <f ca="1">S19+S20</f>
        <v>605121.65</v>
      </c>
      <c r="T18" s="664">
        <f t="shared" ref="T18:T26" ca="1" si="2">IF(Q18&gt;0,S18*100/Q18,0)</f>
        <v>28.330283461850257</v>
      </c>
      <c r="U18" s="664">
        <f t="shared" ref="U18:U26" ca="1" si="3">IF(R18&gt;0,S18*100/R18,0)</f>
        <v>28.330288634628197</v>
      </c>
    </row>
    <row r="19" spans="1:21" ht="18.75" hidden="1" x14ac:dyDescent="0.25">
      <c r="A19" s="26"/>
      <c r="B19" s="27"/>
      <c r="C19" s="27"/>
      <c r="D19" s="27"/>
      <c r="E19" s="703" t="s">
        <v>20</v>
      </c>
      <c r="F19" s="27"/>
      <c r="G19" s="30"/>
      <c r="H19" s="702" t="s">
        <v>14</v>
      </c>
      <c r="I19" s="32"/>
      <c r="J19" s="32"/>
      <c r="K19" s="33"/>
      <c r="L19" s="701">
        <f t="shared" ref="L19:N20" si="4">L22+L25</f>
        <v>0</v>
      </c>
      <c r="M19" s="700">
        <f t="shared" si="4"/>
        <v>0</v>
      </c>
      <c r="N19" s="700">
        <f t="shared" si="4"/>
        <v>0</v>
      </c>
      <c r="O19" s="700">
        <f t="shared" si="0"/>
        <v>0</v>
      </c>
      <c r="P19" s="700">
        <f t="shared" si="1"/>
        <v>0</v>
      </c>
      <c r="Q19" s="700">
        <f t="shared" ref="Q19:S20" si="5">Q22+Q25</f>
        <v>0</v>
      </c>
      <c r="R19" s="700">
        <f t="shared" si="5"/>
        <v>0</v>
      </c>
      <c r="S19" s="700">
        <f t="shared" si="5"/>
        <v>0</v>
      </c>
      <c r="T19" s="700">
        <f t="shared" si="2"/>
        <v>0</v>
      </c>
      <c r="U19" s="700">
        <f t="shared" si="3"/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699">
        <f t="shared" ca="1" si="4"/>
        <v>2426125</v>
      </c>
      <c r="M20" s="698">
        <f t="shared" ca="1" si="4"/>
        <v>2510408</v>
      </c>
      <c r="N20" s="698">
        <f t="shared" ca="1" si="4"/>
        <v>1807419.9999999998</v>
      </c>
      <c r="O20" s="698">
        <f t="shared" ca="1" si="0"/>
        <v>74.498222474109937</v>
      </c>
      <c r="P20" s="698">
        <f t="shared" ca="1" si="1"/>
        <v>71.99706183218025</v>
      </c>
      <c r="Q20" s="698">
        <f t="shared" ca="1" si="5"/>
        <v>2135953.39</v>
      </c>
      <c r="R20" s="698">
        <f t="shared" ca="1" si="5"/>
        <v>2135953</v>
      </c>
      <c r="S20" s="698">
        <f t="shared" ca="1" si="5"/>
        <v>605121.65</v>
      </c>
      <c r="T20" s="698">
        <f t="shared" ca="1" si="2"/>
        <v>28.330283461850257</v>
      </c>
      <c r="U20" s="698">
        <f t="shared" ca="1" si="3"/>
        <v>28.330288634628197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468">
        <f ca="1">L22+L23</f>
        <v>2426125</v>
      </c>
      <c r="M21" s="224">
        <f ca="1">M22+M23</f>
        <v>2510408</v>
      </c>
      <c r="N21" s="224">
        <f ca="1">N22+N23</f>
        <v>1807419.9999999998</v>
      </c>
      <c r="O21" s="224">
        <f t="shared" ca="1" si="0"/>
        <v>74.498222474109937</v>
      </c>
      <c r="P21" s="224">
        <f t="shared" ca="1" si="1"/>
        <v>71.99706183218025</v>
      </c>
      <c r="Q21" s="224">
        <f ca="1">Q22+Q23</f>
        <v>2135953.39</v>
      </c>
      <c r="R21" s="224">
        <f ca="1">R22+R23</f>
        <v>2135953</v>
      </c>
      <c r="S21" s="224">
        <f ca="1">S22+S23</f>
        <v>605121.65</v>
      </c>
      <c r="T21" s="224">
        <f t="shared" ca="1" si="2"/>
        <v>28.330283461850257</v>
      </c>
      <c r="U21" s="224">
        <f t="shared" ca="1" si="3"/>
        <v>28.330288634628197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674" t="s">
        <v>14</v>
      </c>
      <c r="I22" s="44"/>
      <c r="J22" s="44"/>
      <c r="K22" s="45"/>
      <c r="L22" s="469">
        <f t="shared" ref="L22:N23" si="6">L48+L63+L76+L98+L129+L143+L161+L190+L177+L270+L286+L307+L324+L337+L360+L517</f>
        <v>0</v>
      </c>
      <c r="M22" s="83">
        <f t="shared" si="6"/>
        <v>0</v>
      </c>
      <c r="N22" s="83">
        <f t="shared" si="6"/>
        <v>0</v>
      </c>
      <c r="O22" s="83">
        <f t="shared" si="0"/>
        <v>0</v>
      </c>
      <c r="P22" s="83">
        <f t="shared" si="1"/>
        <v>0</v>
      </c>
      <c r="Q22" s="83">
        <f t="shared" ref="Q22:S23" si="7">Q76+Q98+Q121+Q143+Q161+Q177+Q190+Q270+Q286+Q307+Q337+Q379+Q396+Q417+Q497+Q603+Q620+Q646+Q694+Q718+Q732+Q764</f>
        <v>0</v>
      </c>
      <c r="R22" s="83">
        <f t="shared" si="7"/>
        <v>0</v>
      </c>
      <c r="S22" s="83">
        <f t="shared" si="7"/>
        <v>0</v>
      </c>
      <c r="T22" s="83">
        <f t="shared" si="2"/>
        <v>0</v>
      </c>
      <c r="U22" s="83">
        <f t="shared" si="3"/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468">
        <f t="shared" ca="1" si="6"/>
        <v>2426125</v>
      </c>
      <c r="M23" s="224">
        <f t="shared" ca="1" si="6"/>
        <v>2510408</v>
      </c>
      <c r="N23" s="224">
        <f t="shared" ca="1" si="6"/>
        <v>1807419.9999999998</v>
      </c>
      <c r="O23" s="224">
        <f t="shared" ca="1" si="0"/>
        <v>74.498222474109937</v>
      </c>
      <c r="P23" s="224">
        <f t="shared" ca="1" si="1"/>
        <v>71.99706183218025</v>
      </c>
      <c r="Q23" s="224">
        <f t="shared" ca="1" si="7"/>
        <v>2135953.39</v>
      </c>
      <c r="R23" s="224">
        <f t="shared" ca="1" si="7"/>
        <v>2135953</v>
      </c>
      <c r="S23" s="224">
        <f t="shared" ca="1" si="7"/>
        <v>605121.65</v>
      </c>
      <c r="T23" s="224">
        <f t="shared" ca="1" si="2"/>
        <v>28.330283461850257</v>
      </c>
      <c r="U23" s="224">
        <f t="shared" ca="1" si="3"/>
        <v>28.330288634628197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468">
        <f ca="1">L25+L26</f>
        <v>0</v>
      </c>
      <c r="M24" s="224">
        <f ca="1">M25+M26</f>
        <v>0</v>
      </c>
      <c r="N24" s="224">
        <f ca="1">N25+N26</f>
        <v>0</v>
      </c>
      <c r="O24" s="224">
        <f t="shared" ca="1" si="0"/>
        <v>0</v>
      </c>
      <c r="P24" s="224">
        <f t="shared" ca="1" si="1"/>
        <v>0</v>
      </c>
      <c r="Q24" s="224">
        <f>Q25+Q26</f>
        <v>0</v>
      </c>
      <c r="R24" s="224">
        <f>R25+R26</f>
        <v>0</v>
      </c>
      <c r="S24" s="224">
        <f>S25+S26</f>
        <v>0</v>
      </c>
      <c r="T24" s="224">
        <f t="shared" si="2"/>
        <v>0</v>
      </c>
      <c r="U24" s="224">
        <f t="shared" si="3"/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674" t="s">
        <v>14</v>
      </c>
      <c r="I25" s="44"/>
      <c r="J25" s="44"/>
      <c r="K25" s="45"/>
      <c r="L25" s="469">
        <f t="shared" ref="L25:N26" si="8">L51+L66+L79+L101+L132+L146+L164+L193+L180+L273+L289+L310+L327+L340+L363+L520</f>
        <v>0</v>
      </c>
      <c r="M25" s="83">
        <f t="shared" si="8"/>
        <v>0</v>
      </c>
      <c r="N25" s="83">
        <f t="shared" si="8"/>
        <v>0</v>
      </c>
      <c r="O25" s="83">
        <f t="shared" si="0"/>
        <v>0</v>
      </c>
      <c r="P25" s="83">
        <f t="shared" si="1"/>
        <v>0</v>
      </c>
      <c r="Q25" s="83">
        <f t="shared" ref="Q25:S26" si="9">Q79+Q101+Q124+Q146+Q164+Q180+Q193+Q273+Q289+Q310+Q340+Q382+Q399+Q420+Q500+Q606+Q623+Q649+Q697+Q721+Q735+Q767</f>
        <v>0</v>
      </c>
      <c r="R25" s="83">
        <f t="shared" si="9"/>
        <v>0</v>
      </c>
      <c r="S25" s="83">
        <f t="shared" si="9"/>
        <v>0</v>
      </c>
      <c r="T25" s="83">
        <f t="shared" si="2"/>
        <v>0</v>
      </c>
      <c r="U25" s="83">
        <f t="shared" si="3"/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468">
        <f t="shared" ca="1" si="8"/>
        <v>0</v>
      </c>
      <c r="M26" s="224">
        <f t="shared" ca="1" si="8"/>
        <v>0</v>
      </c>
      <c r="N26" s="224">
        <f t="shared" ca="1" si="8"/>
        <v>0</v>
      </c>
      <c r="O26" s="224">
        <f t="shared" ca="1" si="0"/>
        <v>0</v>
      </c>
      <c r="P26" s="224">
        <f t="shared" ca="1" si="1"/>
        <v>0</v>
      </c>
      <c r="Q26" s="83">
        <f t="shared" si="9"/>
        <v>0</v>
      </c>
      <c r="R26" s="83">
        <f t="shared" si="9"/>
        <v>0</v>
      </c>
      <c r="S26" s="83">
        <f t="shared" si="9"/>
        <v>0</v>
      </c>
      <c r="T26" s="224">
        <f t="shared" si="2"/>
        <v>0</v>
      </c>
      <c r="U26" s="224">
        <f t="shared" si="3"/>
        <v>0</v>
      </c>
    </row>
    <row r="27" spans="1:21" ht="18.75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465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674" t="s">
        <v>14</v>
      </c>
      <c r="I28" s="44"/>
      <c r="J28" s="44"/>
      <c r="K28" s="45"/>
      <c r="L28" s="465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463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823"/>
      <c r="B30" s="800"/>
      <c r="C30" s="800"/>
      <c r="D30" s="800"/>
      <c r="E30" s="800"/>
      <c r="F30" s="800"/>
      <c r="G30" s="801"/>
      <c r="H30" s="14"/>
      <c r="I30" s="15"/>
      <c r="J30" s="15"/>
      <c r="K30" s="16"/>
      <c r="L30" s="580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571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7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71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7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7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7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7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71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580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697">
        <f ca="1">L44+L59+L72+L94+L125+L139+L157+L173+L186+L266+L282+L303+L320+L333+L356</f>
        <v>2426125</v>
      </c>
      <c r="M40" s="696">
        <f ca="1">M44+M59+M72+M94+M125+M139+M157+M173+M186+M266+M282+M303+M320+M333+M356</f>
        <v>2510408</v>
      </c>
      <c r="N40" s="696">
        <f ca="1">N44+N59+N72+N94+N125+N139+N157+N173+N186+N266+N282+N303+N320+N333+N356</f>
        <v>1807419.9999999998</v>
      </c>
      <c r="O40" s="696">
        <f ca="1">IF(L40&gt;0,N40*100/L40,0)</f>
        <v>74.498222474109937</v>
      </c>
      <c r="P40" s="696">
        <f ca="1">IF(M40&gt;0,N40*100/M40,0)</f>
        <v>71.99706183218025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695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571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694" t="s">
        <v>19</v>
      </c>
      <c r="E44" s="71"/>
      <c r="F44" s="71"/>
      <c r="G44" s="74"/>
      <c r="H44" s="75" t="s">
        <v>14</v>
      </c>
      <c r="I44" s="76"/>
      <c r="J44" s="76"/>
      <c r="K44" s="77"/>
      <c r="L44" s="693">
        <f ca="1">L45+L46</f>
        <v>355250</v>
      </c>
      <c r="M44" s="692">
        <f ca="1">M45+M46</f>
        <v>376383</v>
      </c>
      <c r="N44" s="692">
        <f ca="1">N45+N46</f>
        <v>278048.95</v>
      </c>
      <c r="O44" s="692">
        <f t="shared" ref="O44:O52" ca="1" si="10">IF(L44&gt;0,N44*100/L44,0)</f>
        <v>78.268529204785366</v>
      </c>
      <c r="P44" s="692">
        <f t="shared" ref="P44:P52" ca="1" si="11">IF(M44&gt;0,N44*100/M44,0)</f>
        <v>73.873939577504828</v>
      </c>
      <c r="Q44" s="692">
        <f>Q45+Q46</f>
        <v>0</v>
      </c>
      <c r="R44" s="692">
        <f>R45+R46</f>
        <v>0</v>
      </c>
      <c r="S44" s="692">
        <f>S45+S46</f>
        <v>0</v>
      </c>
      <c r="T44" s="692">
        <f t="shared" ref="T44:T52" si="12">IF(Q44&gt;0,S44*100/Q44,0)</f>
        <v>0</v>
      </c>
      <c r="U44" s="692">
        <f t="shared" ref="U44:U52" si="13">IF(R44&gt;0,S44*100/R44,0)</f>
        <v>0</v>
      </c>
    </row>
    <row r="45" spans="1:21" ht="18.75" hidden="1" x14ac:dyDescent="0.25">
      <c r="A45" s="70"/>
      <c r="B45" s="71"/>
      <c r="C45" s="71"/>
      <c r="D45" s="71"/>
      <c r="E45" s="691" t="s">
        <v>20</v>
      </c>
      <c r="F45" s="71"/>
      <c r="G45" s="74"/>
      <c r="H45" s="690" t="s">
        <v>14</v>
      </c>
      <c r="I45" s="76"/>
      <c r="J45" s="76"/>
      <c r="K45" s="77"/>
      <c r="L45" s="689">
        <f t="shared" ref="L45:N46" si="14">L48+L51</f>
        <v>0</v>
      </c>
      <c r="M45" s="688">
        <f t="shared" si="14"/>
        <v>0</v>
      </c>
      <c r="N45" s="688">
        <f t="shared" si="14"/>
        <v>0</v>
      </c>
      <c r="O45" s="688">
        <f t="shared" si="10"/>
        <v>0</v>
      </c>
      <c r="P45" s="688">
        <f t="shared" si="11"/>
        <v>0</v>
      </c>
      <c r="Q45" s="688">
        <f t="shared" ref="Q45:S46" si="15">Q48+Q51</f>
        <v>0</v>
      </c>
      <c r="R45" s="688">
        <f t="shared" si="15"/>
        <v>0</v>
      </c>
      <c r="S45" s="688">
        <f t="shared" si="15"/>
        <v>0</v>
      </c>
      <c r="T45" s="688">
        <f t="shared" si="12"/>
        <v>0</v>
      </c>
      <c r="U45" s="688">
        <f t="shared" si="13"/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687">
        <f t="shared" ca="1" si="14"/>
        <v>355250</v>
      </c>
      <c r="M46" s="686">
        <f t="shared" ca="1" si="14"/>
        <v>376383</v>
      </c>
      <c r="N46" s="686">
        <f t="shared" ca="1" si="14"/>
        <v>278048.95</v>
      </c>
      <c r="O46" s="686">
        <f t="shared" ca="1" si="10"/>
        <v>78.268529204785366</v>
      </c>
      <c r="P46" s="686">
        <f t="shared" ca="1" si="11"/>
        <v>73.873939577504828</v>
      </c>
      <c r="Q46" s="686">
        <f t="shared" si="15"/>
        <v>0</v>
      </c>
      <c r="R46" s="686">
        <f t="shared" si="15"/>
        <v>0</v>
      </c>
      <c r="S46" s="686">
        <f t="shared" si="15"/>
        <v>0</v>
      </c>
      <c r="T46" s="686">
        <f t="shared" si="12"/>
        <v>0</v>
      </c>
      <c r="U46" s="686">
        <f t="shared" si="13"/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468">
        <f ca="1">L48+L49</f>
        <v>355250</v>
      </c>
      <c r="M47" s="224">
        <f ca="1">M48+M49</f>
        <v>376383</v>
      </c>
      <c r="N47" s="224">
        <f ca="1">N48+N49</f>
        <v>278048.95</v>
      </c>
      <c r="O47" s="224">
        <f t="shared" ca="1" si="10"/>
        <v>78.268529204785366</v>
      </c>
      <c r="P47" s="224">
        <f t="shared" ca="1" si="11"/>
        <v>73.873939577504828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 t="shared" si="12"/>
        <v>0</v>
      </c>
      <c r="U47" s="224">
        <f t="shared" si="13"/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674" t="s">
        <v>14</v>
      </c>
      <c r="I48" s="44"/>
      <c r="J48" s="44"/>
      <c r="K48" s="45"/>
      <c r="L48" s="469">
        <v>0</v>
      </c>
      <c r="M48" s="83">
        <v>0</v>
      </c>
      <c r="N48" s="83">
        <v>0</v>
      </c>
      <c r="O48" s="83">
        <f t="shared" si="10"/>
        <v>0</v>
      </c>
      <c r="P48" s="83">
        <f t="shared" si="11"/>
        <v>0</v>
      </c>
      <c r="Q48" s="83">
        <v>0</v>
      </c>
      <c r="R48" s="83">
        <v>0</v>
      </c>
      <c r="S48" s="83">
        <v>0</v>
      </c>
      <c r="T48" s="83">
        <f t="shared" si="12"/>
        <v>0</v>
      </c>
      <c r="U48" s="83">
        <f t="shared" si="13"/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468">
        <f ca="1">IFERROR(__xludf.DUMMYFUNCTION("IMPORTRANGE(""https://docs.google.com/spreadsheets/d/1-uDff_7J0KD5mKrp0Vvzr7lt3OU09vwQwhkpOPPYv2Y/edit?usp=sharing"",""งบพรบ!P27"")"),355250)</f>
        <v>355250</v>
      </c>
      <c r="M49" s="224">
        <f ca="1">IFERROR(__xludf.DUMMYFUNCTION("IMPORTRANGE(""https://docs.google.com/spreadsheets/d/1-uDff_7J0KD5mKrp0Vvzr7lt3OU09vwQwhkpOPPYv2Y/edit?usp=sharing"",""งบพรบ!V27"")"),376383)</f>
        <v>376383</v>
      </c>
      <c r="N49" s="224">
        <f ca="1">IFERROR(__xludf.DUMMYFUNCTION("IMPORTRANGE(""https://docs.google.com/spreadsheets/d/1-uDff_7J0KD5mKrp0Vvzr7lt3OU09vwQwhkpOPPYv2Y/edit?usp=sharing"",""งบพรบ!Y27"")"),278048.95)</f>
        <v>278048.95</v>
      </c>
      <c r="O49" s="224">
        <f t="shared" ca="1" si="10"/>
        <v>78.268529204785366</v>
      </c>
      <c r="P49" s="224">
        <f t="shared" ca="1" si="11"/>
        <v>73.873939577504828</v>
      </c>
      <c r="Q49" s="224">
        <v>0</v>
      </c>
      <c r="R49" s="224">
        <v>0</v>
      </c>
      <c r="S49" s="224">
        <v>0</v>
      </c>
      <c r="T49" s="224">
        <f t="shared" si="12"/>
        <v>0</v>
      </c>
      <c r="U49" s="224">
        <f t="shared" si="13"/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468">
        <f ca="1">L51+L52</f>
        <v>0</v>
      </c>
      <c r="M50" s="224">
        <f ca="1">M51+M52</f>
        <v>0</v>
      </c>
      <c r="N50" s="224">
        <f ca="1">N51+N52</f>
        <v>0</v>
      </c>
      <c r="O50" s="224">
        <f t="shared" ca="1" si="10"/>
        <v>0</v>
      </c>
      <c r="P50" s="224">
        <f t="shared" ca="1" si="11"/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 t="shared" si="12"/>
        <v>0</v>
      </c>
      <c r="U50" s="224">
        <f t="shared" si="13"/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674" t="s">
        <v>14</v>
      </c>
      <c r="I51" s="44"/>
      <c r="J51" s="44"/>
      <c r="K51" s="45"/>
      <c r="L51" s="469">
        <v>0</v>
      </c>
      <c r="M51" s="83">
        <v>0</v>
      </c>
      <c r="N51" s="83">
        <v>0</v>
      </c>
      <c r="O51" s="83">
        <f t="shared" si="10"/>
        <v>0</v>
      </c>
      <c r="P51" s="83">
        <f t="shared" si="11"/>
        <v>0</v>
      </c>
      <c r="Q51" s="83">
        <v>0</v>
      </c>
      <c r="R51" s="83">
        <v>0</v>
      </c>
      <c r="S51" s="83">
        <v>0</v>
      </c>
      <c r="T51" s="83">
        <f t="shared" si="12"/>
        <v>0</v>
      </c>
      <c r="U51" s="83">
        <f t="shared" si="13"/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468">
        <f ca="1">IFERROR(__xludf.DUMMYFUNCTION("IMPORTRANGE(""https://docs.google.com/spreadsheets/d/1-uDff_7J0KD5mKrp0Vvzr7lt3OU09vwQwhkpOPPYv2Y/edit?usp=sharing"",""งบพรบ!S27"")"),0)</f>
        <v>0</v>
      </c>
      <c r="M52" s="224">
        <f ca="1">IFERROR(__xludf.DUMMYFUNCTION("IMPORTRANGE(""https://docs.google.com/spreadsheets/d/1-uDff_7J0KD5mKrp0Vvzr7lt3OU09vwQwhkpOPPYv2Y/edit?usp=sharing"",""งบพรบ!W27"")"),0)</f>
        <v>0</v>
      </c>
      <c r="N52" s="224">
        <f ca="1">IFERROR(__xludf.DUMMYFUNCTION("IMPORTRANGE(""https://docs.google.com/spreadsheets/d/1-uDff_7J0KD5mKrp0Vvzr7lt3OU09vwQwhkpOPPYv2Y/edit?usp=sharing"",""งบพรบ!Z27"")"),0)</f>
        <v>0</v>
      </c>
      <c r="O52" s="224">
        <f t="shared" ca="1" si="10"/>
        <v>0</v>
      </c>
      <c r="P52" s="224">
        <f t="shared" ca="1" si="11"/>
        <v>0</v>
      </c>
      <c r="Q52" s="224">
        <v>0</v>
      </c>
      <c r="R52" s="224">
        <v>0</v>
      </c>
      <c r="S52" s="224">
        <v>0</v>
      </c>
      <c r="T52" s="224">
        <f t="shared" si="12"/>
        <v>0</v>
      </c>
      <c r="U52" s="224">
        <f t="shared" si="13"/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465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674" t="s">
        <v>14</v>
      </c>
      <c r="I54" s="44"/>
      <c r="J54" s="44"/>
      <c r="K54" s="45"/>
      <c r="L54" s="465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463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804" t="s">
        <v>28</v>
      </c>
      <c r="B56" s="800"/>
      <c r="C56" s="800"/>
      <c r="D56" s="800"/>
      <c r="E56" s="800"/>
      <c r="F56" s="800"/>
      <c r="G56" s="80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805" t="s">
        <v>29</v>
      </c>
      <c r="C57" s="793"/>
      <c r="D57" s="793"/>
      <c r="E57" s="793"/>
      <c r="F57" s="793"/>
      <c r="G57" s="794"/>
      <c r="H57" s="89"/>
      <c r="I57" s="90"/>
      <c r="J57" s="90"/>
      <c r="K57" s="91"/>
      <c r="L57" s="68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8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8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82">
        <f ca="1">L60+L61</f>
        <v>530800</v>
      </c>
      <c r="M59" s="681">
        <f ca="1">M60+M61</f>
        <v>530800</v>
      </c>
      <c r="N59" s="681">
        <f ca="1">N60+N61</f>
        <v>486051.99</v>
      </c>
      <c r="O59" s="681">
        <f t="shared" ref="O59:O67" ca="1" si="16">IF(L59&gt;0,N59*100/L59,0)</f>
        <v>91.56970422004521</v>
      </c>
      <c r="P59" s="681">
        <f t="shared" ref="P59:P67" ca="1" si="17">IF(M59&gt;0,N59*100/M59,0)</f>
        <v>91.56970422004521</v>
      </c>
      <c r="Q59" s="681">
        <f>Q60+Q61</f>
        <v>0</v>
      </c>
      <c r="R59" s="681">
        <f>R60+R61</f>
        <v>0</v>
      </c>
      <c r="S59" s="681">
        <f>S60+S61</f>
        <v>0</v>
      </c>
      <c r="T59" s="681">
        <f t="shared" ref="T59:T67" si="18">IF(Q59&gt;0,S59*100/Q59,0)</f>
        <v>0</v>
      </c>
      <c r="U59" s="681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80" t="s">
        <v>20</v>
      </c>
      <c r="F60" s="99"/>
      <c r="G60" s="102"/>
      <c r="H60" s="679" t="s">
        <v>14</v>
      </c>
      <c r="I60" s="104"/>
      <c r="J60" s="104"/>
      <c r="K60" s="105"/>
      <c r="L60" s="678">
        <f t="shared" ref="L60:N61" si="20">L63+L66</f>
        <v>0</v>
      </c>
      <c r="M60" s="677">
        <f t="shared" si="20"/>
        <v>0</v>
      </c>
      <c r="N60" s="677">
        <f t="shared" si="20"/>
        <v>0</v>
      </c>
      <c r="O60" s="677">
        <f t="shared" si="16"/>
        <v>0</v>
      </c>
      <c r="P60" s="677">
        <f t="shared" si="17"/>
        <v>0</v>
      </c>
      <c r="Q60" s="677">
        <f t="shared" ref="Q60:S61" si="21">Q63+Q66</f>
        <v>0</v>
      </c>
      <c r="R60" s="677">
        <f t="shared" si="21"/>
        <v>0</v>
      </c>
      <c r="S60" s="677">
        <f t="shared" si="21"/>
        <v>0</v>
      </c>
      <c r="T60" s="677">
        <f t="shared" si="18"/>
        <v>0</v>
      </c>
      <c r="U60" s="677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76">
        <f t="shared" ca="1" si="20"/>
        <v>530800</v>
      </c>
      <c r="M61" s="675">
        <f t="shared" ca="1" si="20"/>
        <v>530800</v>
      </c>
      <c r="N61" s="675">
        <f t="shared" ca="1" si="20"/>
        <v>486051.99</v>
      </c>
      <c r="O61" s="675">
        <f t="shared" ca="1" si="16"/>
        <v>91.56970422004521</v>
      </c>
      <c r="P61" s="675">
        <f t="shared" ca="1" si="17"/>
        <v>91.56970422004521</v>
      </c>
      <c r="Q61" s="675">
        <f t="shared" si="21"/>
        <v>0</v>
      </c>
      <c r="R61" s="675">
        <f t="shared" si="21"/>
        <v>0</v>
      </c>
      <c r="S61" s="675">
        <f t="shared" si="21"/>
        <v>0</v>
      </c>
      <c r="T61" s="675">
        <f t="shared" si="18"/>
        <v>0</v>
      </c>
      <c r="U61" s="675">
        <f t="shared" si="19"/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468">
        <f ca="1">L63+L64</f>
        <v>530800</v>
      </c>
      <c r="M62" s="224">
        <f ca="1">M63+M64</f>
        <v>530800</v>
      </c>
      <c r="N62" s="224">
        <f ca="1">N63+N64</f>
        <v>486051.99</v>
      </c>
      <c r="O62" s="224">
        <f t="shared" ca="1" si="16"/>
        <v>91.56970422004521</v>
      </c>
      <c r="P62" s="224">
        <f t="shared" ca="1" si="17"/>
        <v>91.56970422004521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 t="shared" si="18"/>
        <v>0</v>
      </c>
      <c r="U62" s="224">
        <f t="shared" si="19"/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674" t="s">
        <v>14</v>
      </c>
      <c r="I63" s="44"/>
      <c r="J63" s="44"/>
      <c r="K63" s="45"/>
      <c r="L63" s="469">
        <v>0</v>
      </c>
      <c r="M63" s="83">
        <v>0</v>
      </c>
      <c r="N63" s="83">
        <v>0</v>
      </c>
      <c r="O63" s="83">
        <f t="shared" si="16"/>
        <v>0</v>
      </c>
      <c r="P63" s="83">
        <f t="shared" si="17"/>
        <v>0</v>
      </c>
      <c r="Q63" s="83">
        <v>0</v>
      </c>
      <c r="R63" s="83">
        <v>0</v>
      </c>
      <c r="S63" s="83">
        <v>0</v>
      </c>
      <c r="T63" s="83">
        <f t="shared" si="18"/>
        <v>0</v>
      </c>
      <c r="U63" s="83">
        <f t="shared" si="19"/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468">
        <f ca="1">IFERROR(__xludf.DUMMYFUNCTION("IMPORTRANGE(""https://docs.google.com/spreadsheets/d/1-uDff_7J0KD5mKrp0Vvzr7lt3OU09vwQwhkpOPPYv2Y/edit?usp=sharing"",""งบพรบ!AC27"")"),530800)</f>
        <v>530800</v>
      </c>
      <c r="M64" s="224">
        <f ca="1">IFERROR(__xludf.DUMMYFUNCTION("IMPORTRANGE(""https://docs.google.com/spreadsheets/d/1-uDff_7J0KD5mKrp0Vvzr7lt3OU09vwQwhkpOPPYv2Y/edit?usp=sharing"",""งบพรบ!AH27"")"),530800)</f>
        <v>530800</v>
      </c>
      <c r="N64" s="224">
        <f ca="1">IFERROR(__xludf.DUMMYFUNCTION("IMPORTRANGE(""https://docs.google.com/spreadsheets/d/1-uDff_7J0KD5mKrp0Vvzr7lt3OU09vwQwhkpOPPYv2Y/edit?usp=sharing"",""งบพรบ!AJ27"")"),486051.99)</f>
        <v>486051.99</v>
      </c>
      <c r="O64" s="224">
        <f t="shared" ca="1" si="16"/>
        <v>91.56970422004521</v>
      </c>
      <c r="P64" s="224">
        <f t="shared" ca="1" si="17"/>
        <v>91.56970422004521</v>
      </c>
      <c r="Q64" s="224">
        <v>0</v>
      </c>
      <c r="R64" s="224">
        <v>0</v>
      </c>
      <c r="S64" s="224">
        <v>0</v>
      </c>
      <c r="T64" s="224">
        <f t="shared" si="18"/>
        <v>0</v>
      </c>
      <c r="U64" s="224">
        <f t="shared" si="19"/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468">
        <f ca="1">L66+L67</f>
        <v>0</v>
      </c>
      <c r="M65" s="224">
        <f ca="1">M66+M67</f>
        <v>0</v>
      </c>
      <c r="N65" s="224">
        <f ca="1">N66+N67</f>
        <v>0</v>
      </c>
      <c r="O65" s="224">
        <f t="shared" ca="1" si="16"/>
        <v>0</v>
      </c>
      <c r="P65" s="224">
        <f t="shared" ca="1" si="17"/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 t="shared" si="18"/>
        <v>0</v>
      </c>
      <c r="U65" s="224">
        <f t="shared" si="19"/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674" t="s">
        <v>14</v>
      </c>
      <c r="I66" s="44"/>
      <c r="J66" s="44"/>
      <c r="K66" s="45"/>
      <c r="L66" s="469">
        <v>0</v>
      </c>
      <c r="M66" s="83">
        <v>0</v>
      </c>
      <c r="N66" s="83">
        <v>0</v>
      </c>
      <c r="O66" s="83">
        <f t="shared" si="16"/>
        <v>0</v>
      </c>
      <c r="P66" s="83">
        <f t="shared" si="17"/>
        <v>0</v>
      </c>
      <c r="Q66" s="83">
        <v>0</v>
      </c>
      <c r="R66" s="83">
        <v>0</v>
      </c>
      <c r="S66" s="83">
        <v>0</v>
      </c>
      <c r="T66" s="83">
        <f t="shared" si="18"/>
        <v>0</v>
      </c>
      <c r="U66" s="83">
        <f t="shared" si="19"/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673">
        <f ca="1">IFERROR(__xludf.DUMMYFUNCTION("IMPORTRANGE(""https://docs.google.com/spreadsheets/d/1-uDff_7J0KD5mKrp0Vvzr7lt3OU09vwQwhkpOPPYv2Y/edit?usp=sharing"",""งบพรบ!AF27"")"),0)</f>
        <v>0</v>
      </c>
      <c r="M67" s="455">
        <f ca="1">IFERROR(__xludf.DUMMYFUNCTION("IMPORTRANGE(""https://docs.google.com/spreadsheets/d/1-uDff_7J0KD5mKrp0Vvzr7lt3OU09vwQwhkpOPPYv2Y/edit?usp=sharing"",""งบพรบ!AI27"")"),0)</f>
        <v>0</v>
      </c>
      <c r="N67" s="455">
        <f ca="1">IFERROR(__xludf.DUMMYFUNCTION("IMPORTRANGE(""https://docs.google.com/spreadsheets/d/1-uDff_7J0KD5mKrp0Vvzr7lt3OU09vwQwhkpOPPYv2Y/edit?usp=sharing"",""งบพรบ!AK27"")"),0)</f>
        <v>0</v>
      </c>
      <c r="O67" s="455">
        <f t="shared" ca="1" si="16"/>
        <v>0</v>
      </c>
      <c r="P67" s="455">
        <f t="shared" ca="1" si="17"/>
        <v>0</v>
      </c>
      <c r="Q67" s="455">
        <v>0</v>
      </c>
      <c r="R67" s="455">
        <v>0</v>
      </c>
      <c r="S67" s="455">
        <v>0</v>
      </c>
      <c r="T67" s="455">
        <f t="shared" si="18"/>
        <v>0</v>
      </c>
      <c r="U67" s="455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7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665">
        <f ca="1">I82</f>
        <v>1</v>
      </c>
      <c r="J70" s="665">
        <f>J82</f>
        <v>1</v>
      </c>
      <c r="K70" s="664">
        <f ca="1">IF(I70&gt;0,J70*100/I70,0)</f>
        <v>100</v>
      </c>
      <c r="L70" s="510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665">
        <f ca="1">I83</f>
        <v>35</v>
      </c>
      <c r="J71" s="665">
        <f>J83</f>
        <v>35</v>
      </c>
      <c r="K71" s="664">
        <f ca="1">IF(I71&gt;0,J71*100/I71,0)</f>
        <v>100</v>
      </c>
      <c r="L71" s="510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129" t="s">
        <v>18</v>
      </c>
      <c r="D72" s="472" t="s">
        <v>19</v>
      </c>
      <c r="E72" s="40"/>
      <c r="F72" s="40"/>
      <c r="G72" s="42"/>
      <c r="H72" s="131" t="s">
        <v>14</v>
      </c>
      <c r="I72" s="44"/>
      <c r="J72" s="44"/>
      <c r="K72" s="45"/>
      <c r="L72" s="471">
        <f ca="1">L73+L74</f>
        <v>523500</v>
      </c>
      <c r="M72" s="470">
        <f ca="1">M73+M74</f>
        <v>523500</v>
      </c>
      <c r="N72" s="470">
        <f ca="1">N73+N74</f>
        <v>315582.44</v>
      </c>
      <c r="O72" s="470">
        <f t="shared" ref="O72:O80" ca="1" si="22">IF(L72&gt;0,N72*100/L72,0)</f>
        <v>60.283178605539639</v>
      </c>
      <c r="P72" s="470">
        <f t="shared" ref="P72:P80" ca="1" si="23">IF(M72&gt;0,N72*100/M72,0)</f>
        <v>60.283178605539639</v>
      </c>
      <c r="Q72" s="470">
        <f ca="1">Q73+Q74</f>
        <v>400800</v>
      </c>
      <c r="R72" s="470">
        <f ca="1">R73+R74</f>
        <v>400800</v>
      </c>
      <c r="S72" s="470">
        <f ca="1">S73+S74</f>
        <v>108975</v>
      </c>
      <c r="T72" s="470">
        <f t="shared" ref="T72:T80" ca="1" si="24">IF(Q72&gt;0,S72*100/Q72,0)</f>
        <v>27.189371257485028</v>
      </c>
      <c r="U72" s="470">
        <f t="shared" ref="U72:U80" ca="1" si="25">IF(R72&gt;0,S72*100/R72,0)</f>
        <v>27.189371257485028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469">
        <f t="shared" ref="L73:N74" si="26">L76+L79</f>
        <v>0</v>
      </c>
      <c r="M73" s="83">
        <f t="shared" si="26"/>
        <v>0</v>
      </c>
      <c r="N73" s="83">
        <f t="shared" si="26"/>
        <v>0</v>
      </c>
      <c r="O73" s="83">
        <f t="shared" si="22"/>
        <v>0</v>
      </c>
      <c r="P73" s="83">
        <f t="shared" si="23"/>
        <v>0</v>
      </c>
      <c r="Q73" s="83">
        <f t="shared" ref="Q73:S74" si="27">Q76+Q79</f>
        <v>0</v>
      </c>
      <c r="R73" s="83">
        <f t="shared" si="27"/>
        <v>0</v>
      </c>
      <c r="S73" s="83">
        <f t="shared" si="27"/>
        <v>0</v>
      </c>
      <c r="T73" s="83">
        <f t="shared" si="24"/>
        <v>0</v>
      </c>
      <c r="U73" s="83">
        <f t="shared" si="25"/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468">
        <f t="shared" ca="1" si="26"/>
        <v>523500</v>
      </c>
      <c r="M74" s="224">
        <f t="shared" ca="1" si="26"/>
        <v>523500</v>
      </c>
      <c r="N74" s="224">
        <f t="shared" ca="1" si="26"/>
        <v>315582.44</v>
      </c>
      <c r="O74" s="224">
        <f t="shared" ca="1" si="22"/>
        <v>60.283178605539639</v>
      </c>
      <c r="P74" s="224">
        <f t="shared" ca="1" si="23"/>
        <v>60.283178605539639</v>
      </c>
      <c r="Q74" s="224">
        <f t="shared" ca="1" si="27"/>
        <v>400800</v>
      </c>
      <c r="R74" s="224">
        <f t="shared" ca="1" si="27"/>
        <v>400800</v>
      </c>
      <c r="S74" s="224">
        <f t="shared" ca="1" si="27"/>
        <v>108975</v>
      </c>
      <c r="T74" s="224">
        <f t="shared" ca="1" si="24"/>
        <v>27.189371257485028</v>
      </c>
      <c r="U74" s="224">
        <f t="shared" ca="1" si="25"/>
        <v>27.189371257485028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468">
        <f ca="1">L76+L77</f>
        <v>523500</v>
      </c>
      <c r="M75" s="224">
        <f ca="1">M76+M77</f>
        <v>523500</v>
      </c>
      <c r="N75" s="224">
        <f ca="1">N76+N77</f>
        <v>315582.44</v>
      </c>
      <c r="O75" s="224">
        <f t="shared" ca="1" si="22"/>
        <v>60.283178605539639</v>
      </c>
      <c r="P75" s="224">
        <f t="shared" ca="1" si="23"/>
        <v>60.283178605539639</v>
      </c>
      <c r="Q75" s="224">
        <f ca="1">Q76+Q77</f>
        <v>400800</v>
      </c>
      <c r="R75" s="224">
        <f ca="1">R76+R77</f>
        <v>400800</v>
      </c>
      <c r="S75" s="224">
        <f ca="1">S76+S77</f>
        <v>108975</v>
      </c>
      <c r="T75" s="224">
        <f t="shared" ca="1" si="24"/>
        <v>27.189371257485028</v>
      </c>
      <c r="U75" s="224">
        <f t="shared" ca="1" si="25"/>
        <v>27.189371257485028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469">
        <v>0</v>
      </c>
      <c r="M76" s="83">
        <v>0</v>
      </c>
      <c r="N76" s="83">
        <v>0</v>
      </c>
      <c r="O76" s="83">
        <f t="shared" si="22"/>
        <v>0</v>
      </c>
      <c r="P76" s="83">
        <f t="shared" si="23"/>
        <v>0</v>
      </c>
      <c r="Q76" s="83">
        <v>0</v>
      </c>
      <c r="R76" s="83">
        <v>0</v>
      </c>
      <c r="S76" s="83">
        <v>0</v>
      </c>
      <c r="T76" s="83">
        <f t="shared" si="24"/>
        <v>0</v>
      </c>
      <c r="U76" s="83">
        <f t="shared" si="25"/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468">
        <f ca="1">IFERROR(__xludf.DUMMYFUNCTION("IMPORTRANGE(""https://docs.google.com/spreadsheets/d/1-uDff_7J0KD5mKrp0Vvzr7lt3OU09vwQwhkpOPPYv2Y/edit?usp=sharing"",""งบพรบ!AM27"")"),523500)</f>
        <v>523500</v>
      </c>
      <c r="M77" s="224">
        <f ca="1">IFERROR(__xludf.DUMMYFUNCTION("IMPORTRANGE(""https://docs.google.com/spreadsheets/d/1-uDff_7J0KD5mKrp0Vvzr7lt3OU09vwQwhkpOPPYv2Y/edit?usp=sharing"",""งบพรบ!AR27"")"),523500)</f>
        <v>523500</v>
      </c>
      <c r="N77" s="224">
        <f ca="1">IFERROR(__xludf.DUMMYFUNCTION("IMPORTRANGE(""https://docs.google.com/spreadsheets/d/1-uDff_7J0KD5mKrp0Vvzr7lt3OU09vwQwhkpOPPYv2Y/edit?usp=sharing"",""งบพรบ!AT27"")"),315582.44)</f>
        <v>315582.44</v>
      </c>
      <c r="O77" s="224">
        <f t="shared" ca="1" si="22"/>
        <v>60.283178605539639</v>
      </c>
      <c r="P77" s="224">
        <f t="shared" ca="1" si="23"/>
        <v>60.283178605539639</v>
      </c>
      <c r="Q77" s="224">
        <f ca="1">IFERROR(__xludf.DUMMYFUNCTION("IMPORTRANGE(""https://docs.google.com/spreadsheets/d/1ItG2mGa2ceCfYo0BwxsXqNm01IGEUdYcSSLTEv9YCik/edit?usp=sharing"",""เบิกจ่ายกองทุน!AS27"")"),400800)</f>
        <v>400800</v>
      </c>
      <c r="R77" s="224">
        <f ca="1">IFERROR(__xludf.DUMMYFUNCTION("IMPORTRANGE(""https://docs.google.com/spreadsheets/d/1ItG2mGa2ceCfYo0BwxsXqNm01IGEUdYcSSLTEv9YCik/edit?usp=sharing"",""เบิกจ่ายกองทุน!AT27"")"),400800)</f>
        <v>400800</v>
      </c>
      <c r="S77" s="224">
        <f ca="1">IFERROR(__xludf.DUMMYFUNCTION("IMPORTRANGE(""https://docs.google.com/spreadsheets/d/1ItG2mGa2ceCfYo0BwxsXqNm01IGEUdYcSSLTEv9YCik/edit?usp=sharing"",""เบิกจ่ายกองทุน!AU27"")"),108975)</f>
        <v>108975</v>
      </c>
      <c r="T77" s="224">
        <f t="shared" ca="1" si="24"/>
        <v>27.189371257485028</v>
      </c>
      <c r="U77" s="224">
        <f t="shared" ca="1" si="25"/>
        <v>27.189371257485028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468">
        <f ca="1">L79+L80</f>
        <v>0</v>
      </c>
      <c r="M78" s="224">
        <f ca="1">M79+M80</f>
        <v>0</v>
      </c>
      <c r="N78" s="224">
        <f ca="1">N79+N80</f>
        <v>0</v>
      </c>
      <c r="O78" s="224">
        <f t="shared" ca="1" si="22"/>
        <v>0</v>
      </c>
      <c r="P78" s="224">
        <f t="shared" ca="1" si="23"/>
        <v>0</v>
      </c>
      <c r="Q78" s="224">
        <f>Q79+Q80</f>
        <v>0</v>
      </c>
      <c r="R78" s="224">
        <f>R79+R80</f>
        <v>0</v>
      </c>
      <c r="S78" s="224">
        <f>S79+S80</f>
        <v>0</v>
      </c>
      <c r="T78" s="224">
        <f t="shared" si="24"/>
        <v>0</v>
      </c>
      <c r="U78" s="224">
        <f t="shared" si="25"/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469">
        <v>0</v>
      </c>
      <c r="M79" s="224">
        <v>0</v>
      </c>
      <c r="N79" s="224">
        <v>0</v>
      </c>
      <c r="O79" s="83">
        <f t="shared" si="22"/>
        <v>0</v>
      </c>
      <c r="P79" s="83">
        <f t="shared" si="23"/>
        <v>0</v>
      </c>
      <c r="Q79" s="83">
        <v>0</v>
      </c>
      <c r="R79" s="224">
        <v>0</v>
      </c>
      <c r="S79" s="224">
        <v>0</v>
      </c>
      <c r="T79" s="83">
        <f t="shared" si="24"/>
        <v>0</v>
      </c>
      <c r="U79" s="83">
        <f t="shared" si="25"/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468">
        <f ca="1">IFERROR(__xludf.DUMMYFUNCTION("IMPORTRANGE(""https://docs.google.com/spreadsheets/d/1-uDff_7J0KD5mKrp0Vvzr7lt3OU09vwQwhkpOPPYv2Y/edit?usp=sharing"",""งบพรบ!AP27"")"),0)</f>
        <v>0</v>
      </c>
      <c r="M80" s="224">
        <f ca="1">IFERROR(__xludf.DUMMYFUNCTION("IMPORTRANGE(""https://docs.google.com/spreadsheets/d/1-uDff_7J0KD5mKrp0Vvzr7lt3OU09vwQwhkpOPPYv2Y/edit?usp=sharing"",""งบพรบ!AS27"")"),0)</f>
        <v>0</v>
      </c>
      <c r="N80" s="224">
        <f ca="1">IFERROR(__xludf.DUMMYFUNCTION("IMPORTRANGE(""https://docs.google.com/spreadsheets/d/1-uDff_7J0KD5mKrp0Vvzr7lt3OU09vwQwhkpOPPYv2Y/edit?usp=sharing"",""งบพรบ!AU27"")"),0)</f>
        <v>0</v>
      </c>
      <c r="O80" s="224">
        <f t="shared" ca="1" si="22"/>
        <v>0</v>
      </c>
      <c r="P80" s="224">
        <f t="shared" ca="1" si="23"/>
        <v>0</v>
      </c>
      <c r="Q80" s="224">
        <v>0</v>
      </c>
      <c r="R80" s="224">
        <v>0</v>
      </c>
      <c r="S80" s="224">
        <v>0</v>
      </c>
      <c r="T80" s="224">
        <f t="shared" si="24"/>
        <v>0</v>
      </c>
      <c r="U80" s="224">
        <f t="shared" si="25"/>
        <v>0</v>
      </c>
    </row>
    <row r="81" spans="1:21" ht="19.5" x14ac:dyDescent="0.3">
      <c r="A81" s="138"/>
      <c r="B81" s="139"/>
      <c r="C81" s="129" t="s">
        <v>18</v>
      </c>
      <c r="D81" s="498" t="s">
        <v>38</v>
      </c>
      <c r="E81" s="141"/>
      <c r="F81" s="141"/>
      <c r="G81" s="142"/>
      <c r="H81" s="143"/>
      <c r="I81" s="135"/>
      <c r="J81" s="135"/>
      <c r="K81" s="136"/>
      <c r="L81" s="4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ca="1">I84+I86+I88</f>
        <v>1</v>
      </c>
      <c r="J82" s="328">
        <f>J84+J86+J88</f>
        <v>1</v>
      </c>
      <c r="K82" s="582">
        <f t="shared" ref="K82:K90" ca="1" si="28">IF(I82&gt;0,J82*100/I82,0)</f>
        <v>100</v>
      </c>
      <c r="L82" s="4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ca="1">I85+I87+I89</f>
        <v>35</v>
      </c>
      <c r="J83" s="328">
        <f>J85+J87+J89</f>
        <v>35</v>
      </c>
      <c r="K83" s="582">
        <f t="shared" ca="1" si="28"/>
        <v>100</v>
      </c>
      <c r="L83" s="4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581">
        <f ca="1">IFERROR(__xludf.DUMMYFUNCTION("IMPORTRANGE(""https://docs.google.com/spreadsheets/d/1eHaY18a8A9IcSdp1K8H6x8fbOy06t2VsZHhMHf-1x7Y/edit?usp=sharing"",""แผน!H27"")"),0)</f>
        <v>0</v>
      </c>
      <c r="J84" s="466">
        <v>0</v>
      </c>
      <c r="K84" s="497">
        <f t="shared" ca="1" si="28"/>
        <v>0</v>
      </c>
      <c r="L84" s="4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581">
        <f ca="1">IFERROR(__xludf.DUMMYFUNCTION("IMPORTRANGE(""https://docs.google.com/spreadsheets/d/1eHaY18a8A9IcSdp1K8H6x8fbOy06t2VsZHhMHf-1x7Y/edit?usp=sharing"",""แผน!I27"")"),0)</f>
        <v>0</v>
      </c>
      <c r="J85" s="466">
        <v>0</v>
      </c>
      <c r="K85" s="497">
        <f t="shared" ca="1" si="28"/>
        <v>0</v>
      </c>
      <c r="L85" s="4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581">
        <f ca="1">IFERROR(__xludf.DUMMYFUNCTION("IMPORTRANGE(""https://docs.google.com/spreadsheets/d/1eHaY18a8A9IcSdp1K8H6x8fbOy06t2VsZHhMHf-1x7Y/edit?usp=sharing"",""แผน!F27"")"),0)</f>
        <v>0</v>
      </c>
      <c r="J86" s="466">
        <v>0</v>
      </c>
      <c r="K86" s="497">
        <f t="shared" ca="1" si="28"/>
        <v>0</v>
      </c>
      <c r="L86" s="4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581">
        <f ca="1">IFERROR(__xludf.DUMMYFUNCTION("IMPORTRANGE(""https://docs.google.com/spreadsheets/d/1eHaY18a8A9IcSdp1K8H6x8fbOy06t2VsZHhMHf-1x7Y/edit?usp=sharing"",""แผน!G27"")"),0)</f>
        <v>0</v>
      </c>
      <c r="J87" s="466">
        <v>0</v>
      </c>
      <c r="K87" s="497">
        <f t="shared" ca="1" si="28"/>
        <v>0</v>
      </c>
      <c r="L87" s="4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581">
        <f ca="1">IFERROR(__xludf.DUMMYFUNCTION("IMPORTRANGE(""https://docs.google.com/spreadsheets/d/1eHaY18a8A9IcSdp1K8H6x8fbOy06t2VsZHhMHf-1x7Y/edit?usp=sharing"",""แผน!D27"")"),1)</f>
        <v>1</v>
      </c>
      <c r="J88" s="466">
        <v>1</v>
      </c>
      <c r="K88" s="497">
        <f t="shared" ca="1" si="28"/>
        <v>100</v>
      </c>
      <c r="L88" s="4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581">
        <f ca="1">IFERROR(__xludf.DUMMYFUNCTION("IMPORTRANGE(""https://docs.google.com/spreadsheets/d/1eHaY18a8A9IcSdp1K8H6x8fbOy06t2VsZHhMHf-1x7Y/edit?usp=sharing"",""แผน!E27"")"),35)</f>
        <v>35</v>
      </c>
      <c r="J89" s="466">
        <v>35</v>
      </c>
      <c r="K89" s="497">
        <f t="shared" ca="1" si="28"/>
        <v>100</v>
      </c>
      <c r="L89" s="4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581">
        <f ca="1">IFERROR(__xludf.DUMMYFUNCTION("IMPORTRANGE(""https://docs.google.com/spreadsheets/d/1eHaY18a8A9IcSdp1K8H6x8fbOy06t2VsZHhMHf-1x7Y/edit?usp=sharing"",""แผน!J27"")"),1)</f>
        <v>1</v>
      </c>
      <c r="J90" s="466">
        <v>1</v>
      </c>
      <c r="K90" s="497">
        <f t="shared" ca="1" si="28"/>
        <v>100</v>
      </c>
      <c r="L90" s="4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7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665">
        <f ca="1">I108</f>
        <v>30</v>
      </c>
      <c r="J92" s="665">
        <f>J108</f>
        <v>30</v>
      </c>
      <c r="K92" s="664">
        <f ca="1">IF(I92&gt;0,J92*100/I92,0)</f>
        <v>100</v>
      </c>
      <c r="L92" s="510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665">
        <f ca="1">I109</f>
        <v>10</v>
      </c>
      <c r="J93" s="665">
        <f>J109</f>
        <v>10</v>
      </c>
      <c r="K93" s="664">
        <f ca="1">IF(I93&gt;0,J93*100/I93,0)</f>
        <v>100</v>
      </c>
      <c r="L93" s="510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129" t="s">
        <v>18</v>
      </c>
      <c r="D94" s="472" t="s">
        <v>19</v>
      </c>
      <c r="E94" s="40"/>
      <c r="F94" s="40"/>
      <c r="G94" s="42"/>
      <c r="H94" s="131" t="s">
        <v>14</v>
      </c>
      <c r="I94" s="44"/>
      <c r="J94" s="44"/>
      <c r="K94" s="45"/>
      <c r="L94" s="471">
        <f ca="1">L95+L96</f>
        <v>136300</v>
      </c>
      <c r="M94" s="470">
        <f ca="1">M95+M96</f>
        <v>61000</v>
      </c>
      <c r="N94" s="470">
        <f ca="1">N95+N96</f>
        <v>57117.9</v>
      </c>
      <c r="O94" s="470">
        <f t="shared" ref="O94:O102" ca="1" si="29">IF(L94&gt;0,N94*100/L94,0)</f>
        <v>41.906016140865738</v>
      </c>
      <c r="P94" s="470">
        <f t="shared" ref="P94:P102" ca="1" si="30">IF(M94&gt;0,N94*100/M94,0)</f>
        <v>93.635901639344269</v>
      </c>
      <c r="Q94" s="470">
        <f ca="1">Q95+Q96</f>
        <v>84420</v>
      </c>
      <c r="R94" s="470">
        <f ca="1">R95+R96</f>
        <v>84420</v>
      </c>
      <c r="S94" s="470">
        <f ca="1">S95+S96</f>
        <v>54140</v>
      </c>
      <c r="T94" s="470">
        <f t="shared" ref="T94:T102" ca="1" si="31">IF(Q94&gt;0,S94*100/Q94,0)</f>
        <v>64.13172234067757</v>
      </c>
      <c r="U94" s="470">
        <f t="shared" ref="U94:U102" ca="1" si="32">IF(R94&gt;0,S94*100/R94,0)</f>
        <v>64.13172234067757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469">
        <f t="shared" ref="L95:N96" si="33">L98+L101</f>
        <v>0</v>
      </c>
      <c r="M95" s="83">
        <f t="shared" si="33"/>
        <v>0</v>
      </c>
      <c r="N95" s="83">
        <f t="shared" si="33"/>
        <v>0</v>
      </c>
      <c r="O95" s="83">
        <f t="shared" si="29"/>
        <v>0</v>
      </c>
      <c r="P95" s="83">
        <f t="shared" si="30"/>
        <v>0</v>
      </c>
      <c r="Q95" s="83">
        <f t="shared" ref="Q95:S96" si="34">Q98+Q101</f>
        <v>0</v>
      </c>
      <c r="R95" s="83">
        <f t="shared" si="34"/>
        <v>0</v>
      </c>
      <c r="S95" s="83">
        <f t="shared" si="34"/>
        <v>0</v>
      </c>
      <c r="T95" s="83">
        <f t="shared" si="31"/>
        <v>0</v>
      </c>
      <c r="U95" s="83">
        <f t="shared" si="32"/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468">
        <f t="shared" ca="1" si="33"/>
        <v>136300</v>
      </c>
      <c r="M96" s="224">
        <f t="shared" ca="1" si="33"/>
        <v>61000</v>
      </c>
      <c r="N96" s="224">
        <f t="shared" ca="1" si="33"/>
        <v>57117.9</v>
      </c>
      <c r="O96" s="224">
        <f t="shared" ca="1" si="29"/>
        <v>41.906016140865738</v>
      </c>
      <c r="P96" s="224">
        <f t="shared" ca="1" si="30"/>
        <v>93.635901639344269</v>
      </c>
      <c r="Q96" s="224">
        <f t="shared" ca="1" si="34"/>
        <v>84420</v>
      </c>
      <c r="R96" s="224">
        <f t="shared" ca="1" si="34"/>
        <v>84420</v>
      </c>
      <c r="S96" s="224">
        <f t="shared" ca="1" si="34"/>
        <v>54140</v>
      </c>
      <c r="T96" s="224">
        <f t="shared" ca="1" si="31"/>
        <v>64.13172234067757</v>
      </c>
      <c r="U96" s="224">
        <f t="shared" ca="1" si="32"/>
        <v>64.13172234067757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468">
        <f ca="1">L98+L99</f>
        <v>136300</v>
      </c>
      <c r="M97" s="224">
        <f ca="1">M98+M99</f>
        <v>61000</v>
      </c>
      <c r="N97" s="224">
        <f ca="1">N98+N99</f>
        <v>57117.9</v>
      </c>
      <c r="O97" s="224">
        <f t="shared" ca="1" si="29"/>
        <v>41.906016140865738</v>
      </c>
      <c r="P97" s="224">
        <f t="shared" ca="1" si="30"/>
        <v>93.635901639344269</v>
      </c>
      <c r="Q97" s="224">
        <f ca="1">Q98+Q99</f>
        <v>84420</v>
      </c>
      <c r="R97" s="224">
        <f ca="1">R98+R99</f>
        <v>84420</v>
      </c>
      <c r="S97" s="224">
        <f ca="1">S98+S99</f>
        <v>54140</v>
      </c>
      <c r="T97" s="224">
        <f t="shared" ca="1" si="31"/>
        <v>64.13172234067757</v>
      </c>
      <c r="U97" s="224">
        <f t="shared" ca="1" si="32"/>
        <v>64.13172234067757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469">
        <v>0</v>
      </c>
      <c r="M98" s="83">
        <v>0</v>
      </c>
      <c r="N98" s="83">
        <v>0</v>
      </c>
      <c r="O98" s="83">
        <f t="shared" si="29"/>
        <v>0</v>
      </c>
      <c r="P98" s="83">
        <f t="shared" si="30"/>
        <v>0</v>
      </c>
      <c r="Q98" s="83">
        <v>0</v>
      </c>
      <c r="R98" s="83">
        <v>0</v>
      </c>
      <c r="S98" s="83">
        <v>0</v>
      </c>
      <c r="T98" s="83">
        <f t="shared" si="31"/>
        <v>0</v>
      </c>
      <c r="U98" s="83">
        <f t="shared" si="32"/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468">
        <f ca="1">IFERROR(__xludf.DUMMYFUNCTION("IMPORTRANGE(""https://docs.google.com/spreadsheets/d/1-uDff_7J0KD5mKrp0Vvzr7lt3OU09vwQwhkpOPPYv2Y/edit?usp=sharing"",""งบพรบ!AW27"")"),136300)</f>
        <v>136300</v>
      </c>
      <c r="M99" s="224">
        <f ca="1">IFERROR(__xludf.DUMMYFUNCTION("IMPORTRANGE(""https://docs.google.com/spreadsheets/d/1-uDff_7J0KD5mKrp0Vvzr7lt3OU09vwQwhkpOPPYv2Y/edit?usp=sharing"",""งบพรบ!BB27"")"),61000)</f>
        <v>61000</v>
      </c>
      <c r="N99" s="224">
        <f ca="1">IFERROR(__xludf.DUMMYFUNCTION("IMPORTRANGE(""https://docs.google.com/spreadsheets/d/1-uDff_7J0KD5mKrp0Vvzr7lt3OU09vwQwhkpOPPYv2Y/edit?usp=sharing"",""งบพรบ!BD27"")"),57117.9)</f>
        <v>57117.9</v>
      </c>
      <c r="O99" s="224">
        <f t="shared" ca="1" si="29"/>
        <v>41.906016140865738</v>
      </c>
      <c r="P99" s="224">
        <f t="shared" ca="1" si="30"/>
        <v>93.635901639344269</v>
      </c>
      <c r="Q99" s="224">
        <f ca="1">IFERROR(__xludf.DUMMYFUNCTION("IMPORTRANGE(""https://docs.google.com/spreadsheets/d/1ItG2mGa2ceCfYo0BwxsXqNm01IGEUdYcSSLTEv9YCik/edit?usp=sharing"",""เบิกจ่ายกองทุน!AD27"")"),84420)</f>
        <v>84420</v>
      </c>
      <c r="R99" s="224">
        <f ca="1">IFERROR(__xludf.DUMMYFUNCTION("IMPORTRANGE(""https://docs.google.com/spreadsheets/d/1ItG2mGa2ceCfYo0BwxsXqNm01IGEUdYcSSLTEv9YCik/edit?usp=sharing"",""เบิกจ่ายกองทุน!AE27"")"),84420)</f>
        <v>84420</v>
      </c>
      <c r="S99" s="224">
        <f ca="1">IFERROR(__xludf.DUMMYFUNCTION("IMPORTRANGE(""https://docs.google.com/spreadsheets/d/1ItG2mGa2ceCfYo0BwxsXqNm01IGEUdYcSSLTEv9YCik/edit?usp=sharing"",""เบิกจ่ายกองทุน!AF27"")"),54140)</f>
        <v>54140</v>
      </c>
      <c r="T99" s="224">
        <f t="shared" ca="1" si="31"/>
        <v>64.13172234067757</v>
      </c>
      <c r="U99" s="224">
        <f t="shared" ca="1" si="32"/>
        <v>64.13172234067757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468">
        <f ca="1">L101+L102</f>
        <v>0</v>
      </c>
      <c r="M100" s="224">
        <f ca="1">M101+M102</f>
        <v>0</v>
      </c>
      <c r="N100" s="224">
        <f ca="1">N101+N102</f>
        <v>0</v>
      </c>
      <c r="O100" s="224">
        <f t="shared" ca="1" si="29"/>
        <v>0</v>
      </c>
      <c r="P100" s="224">
        <f t="shared" ca="1" si="30"/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 t="shared" si="31"/>
        <v>0</v>
      </c>
      <c r="U100" s="224">
        <f t="shared" si="32"/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469">
        <v>0</v>
      </c>
      <c r="M101" s="83">
        <v>0</v>
      </c>
      <c r="N101" s="83">
        <v>0</v>
      </c>
      <c r="O101" s="83">
        <f t="shared" si="29"/>
        <v>0</v>
      </c>
      <c r="P101" s="83">
        <f t="shared" si="30"/>
        <v>0</v>
      </c>
      <c r="Q101" s="83">
        <v>0</v>
      </c>
      <c r="R101" s="83">
        <v>0</v>
      </c>
      <c r="S101" s="83">
        <v>0</v>
      </c>
      <c r="T101" s="83">
        <f t="shared" si="31"/>
        <v>0</v>
      </c>
      <c r="U101" s="83">
        <f t="shared" si="32"/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468">
        <f ca="1">IFERROR(__xludf.DUMMYFUNCTION("IMPORTRANGE(""https://docs.google.com/spreadsheets/d/1-uDff_7J0KD5mKrp0Vvzr7lt3OU09vwQwhkpOPPYv2Y/edit?usp=sharing"",""งบพรบ!AZ27"")"),0)</f>
        <v>0</v>
      </c>
      <c r="M102" s="224">
        <f ca="1">IFERROR(__xludf.DUMMYFUNCTION("IMPORTRANGE(""https://docs.google.com/spreadsheets/d/1-uDff_7J0KD5mKrp0Vvzr7lt3OU09vwQwhkpOPPYv2Y/edit?usp=sharing"",""งบพรบ!BC27"")"),0)</f>
        <v>0</v>
      </c>
      <c r="N102" s="224">
        <f ca="1">IFERROR(__xludf.DUMMYFUNCTION("IMPORTRANGE(""https://docs.google.com/spreadsheets/d/1-uDff_7J0KD5mKrp0Vvzr7lt3OU09vwQwhkpOPPYv2Y/edit?usp=sharing"",""งบพรบ!BE27"")"),0)</f>
        <v>0</v>
      </c>
      <c r="O102" s="224">
        <f t="shared" ca="1" si="29"/>
        <v>0</v>
      </c>
      <c r="P102" s="224">
        <f t="shared" ca="1" si="30"/>
        <v>0</v>
      </c>
      <c r="Q102" s="224">
        <v>0</v>
      </c>
      <c r="R102" s="224">
        <v>0</v>
      </c>
      <c r="S102" s="224">
        <v>0</v>
      </c>
      <c r="T102" s="224">
        <f t="shared" si="31"/>
        <v>0</v>
      </c>
      <c r="U102" s="224">
        <f t="shared" si="32"/>
        <v>0</v>
      </c>
    </row>
    <row r="103" spans="1:21" ht="19.5" x14ac:dyDescent="0.3">
      <c r="A103" s="138"/>
      <c r="B103" s="139"/>
      <c r="C103" s="129" t="s">
        <v>18</v>
      </c>
      <c r="D103" s="498" t="s">
        <v>38</v>
      </c>
      <c r="E103" s="141"/>
      <c r="F103" s="141"/>
      <c r="G103" s="142"/>
      <c r="H103" s="143"/>
      <c r="I103" s="135"/>
      <c r="J103" s="44"/>
      <c r="K103" s="45"/>
      <c r="L103" s="465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571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571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571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465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IFERROR(__xludf.DUMMYFUNCTION("IMPORTRANGE(""https://docs.google.com/spreadsheets/d/1eHaY18a8A9IcSdp1K8H6x8fbOy06t2VsZHhMHf-1x7Y/edit?usp=sharing"",""แผน!N27"")"),30)</f>
        <v>30</v>
      </c>
      <c r="J108" s="466">
        <v>30</v>
      </c>
      <c r="K108" s="224">
        <f ca="1">IF(I108&gt;0,J108*100/I108,0)</f>
        <v>100</v>
      </c>
      <c r="L108" s="465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IFERROR(__xludf.DUMMYFUNCTION("IMPORTRANGE(""https://docs.google.com/spreadsheets/d/1eHaY18a8A9IcSdp1K8H6x8fbOy06t2VsZHhMHf-1x7Y/edit?usp=sharing"",""แผน!O27"")"),10)</f>
        <v>10</v>
      </c>
      <c r="J109" s="466">
        <v>10</v>
      </c>
      <c r="K109" s="224">
        <f ca="1">IF(I109&gt;0,J109*100/I109,0)</f>
        <v>100</v>
      </c>
      <c r="L109" s="465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571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571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571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749"/>
      <c r="B113" s="438"/>
      <c r="C113" s="438"/>
      <c r="D113" s="748" t="s">
        <v>50</v>
      </c>
      <c r="E113" s="440"/>
      <c r="F113" s="440"/>
      <c r="G113" s="441"/>
      <c r="H113" s="747" t="s">
        <v>46</v>
      </c>
      <c r="I113" s="746">
        <f ca="1">IFERROR(__xludf.DUMMYFUNCTION("IMPORTRANGE(""https://docs.google.com/spreadsheets/d/1eHaY18a8A9IcSdp1K8H6x8fbOy06t2VsZHhMHf-1x7Y/edit?usp=sharing"",""แผน!N27"")"),30)</f>
        <v>30</v>
      </c>
      <c r="J113" s="444">
        <v>30</v>
      </c>
      <c r="K113" s="591">
        <f ca="1">IF(I113&gt;0,J113*100/I113,0)</f>
        <v>100</v>
      </c>
      <c r="L113" s="656"/>
      <c r="M113" s="656"/>
      <c r="N113" s="656"/>
      <c r="O113" s="445"/>
      <c r="P113" s="445"/>
      <c r="Q113" s="656"/>
      <c r="R113" s="656"/>
      <c r="S113" s="656"/>
      <c r="T113" s="445"/>
      <c r="U113" s="445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581">
        <f ca="1">IFERROR(__xludf.DUMMYFUNCTION("IMPORTRANGE(""https://docs.google.com/spreadsheets/d/1eHaY18a8A9IcSdp1K8H6x8fbOy06t2VsZHhMHf-1x7Y/edit?usp=sharing"",""แผน!O27"")"),10)</f>
        <v>10</v>
      </c>
      <c r="J114" s="466">
        <v>10</v>
      </c>
      <c r="K114" s="224">
        <f ca="1">IF(I114&gt;0,J114*100/I114,0)</f>
        <v>100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671" t="s">
        <v>51</v>
      </c>
      <c r="B115" s="668"/>
      <c r="C115" s="670"/>
      <c r="D115" s="669"/>
      <c r="E115" s="669"/>
      <c r="F115" s="669"/>
      <c r="G115" s="669"/>
      <c r="H115" s="668"/>
      <c r="I115" s="667"/>
      <c r="J115" s="667"/>
      <c r="K115" s="66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665">
        <f ca="1">I127</f>
        <v>50</v>
      </c>
      <c r="J116" s="665">
        <f>J127</f>
        <v>50</v>
      </c>
      <c r="K116" s="664">
        <f ca="1">IF(I116&gt;0,J116*100/I116,0)</f>
        <v>100</v>
      </c>
      <c r="L116" s="510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472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471">
        <f ca="1">L118+L119</f>
        <v>0</v>
      </c>
      <c r="M117" s="470">
        <f ca="1">M118+M119</f>
        <v>0</v>
      </c>
      <c r="N117" s="470">
        <f ca="1">N118+N119</f>
        <v>0</v>
      </c>
      <c r="O117" s="470">
        <f t="shared" ref="O117:O125" ca="1" si="35">IF(L117&gt;0,N117*100/L117,0)</f>
        <v>0</v>
      </c>
      <c r="P117" s="470">
        <f t="shared" ref="P117:P125" ca="1" si="36">IF(M117&gt;0,N117*100/M117,0)</f>
        <v>0</v>
      </c>
      <c r="Q117" s="470">
        <f ca="1">Q118+Q119</f>
        <v>284520</v>
      </c>
      <c r="R117" s="470">
        <f ca="1">R118+R119</f>
        <v>284520</v>
      </c>
      <c r="S117" s="470">
        <f ca="1">S118+S119</f>
        <v>160440.65</v>
      </c>
      <c r="T117" s="470">
        <f t="shared" ref="T117:T125" ca="1" si="37">IF(Q117&gt;0,S117*100/Q117,0)</f>
        <v>56.3899374384929</v>
      </c>
      <c r="U117" s="470">
        <f t="shared" ref="U117:U125" ca="1" si="38">IF(R117&gt;0,S117*100/R117,0)</f>
        <v>56.3899374384929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469">
        <f t="shared" ref="L118:N119" si="39">L121+L124</f>
        <v>0</v>
      </c>
      <c r="M118" s="83">
        <f t="shared" si="39"/>
        <v>0</v>
      </c>
      <c r="N118" s="83">
        <f t="shared" si="39"/>
        <v>0</v>
      </c>
      <c r="O118" s="83">
        <f t="shared" si="35"/>
        <v>0</v>
      </c>
      <c r="P118" s="83">
        <f t="shared" si="36"/>
        <v>0</v>
      </c>
      <c r="Q118" s="83">
        <f t="shared" ref="Q118:S119" si="40">Q121+Q124</f>
        <v>0</v>
      </c>
      <c r="R118" s="83">
        <f t="shared" si="40"/>
        <v>0</v>
      </c>
      <c r="S118" s="83">
        <f t="shared" si="40"/>
        <v>0</v>
      </c>
      <c r="T118" s="83">
        <f t="shared" si="37"/>
        <v>0</v>
      </c>
      <c r="U118" s="83">
        <f t="shared" si="38"/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468">
        <f t="shared" ca="1" si="39"/>
        <v>0</v>
      </c>
      <c r="M119" s="224">
        <f t="shared" ca="1" si="39"/>
        <v>0</v>
      </c>
      <c r="N119" s="224">
        <f t="shared" ca="1" si="39"/>
        <v>0</v>
      </c>
      <c r="O119" s="224">
        <f t="shared" ca="1" si="35"/>
        <v>0</v>
      </c>
      <c r="P119" s="224">
        <f t="shared" ca="1" si="36"/>
        <v>0</v>
      </c>
      <c r="Q119" s="224">
        <f t="shared" ca="1" si="40"/>
        <v>284520</v>
      </c>
      <c r="R119" s="224">
        <f t="shared" ca="1" si="40"/>
        <v>284520</v>
      </c>
      <c r="S119" s="224">
        <f t="shared" ca="1" si="40"/>
        <v>160440.65</v>
      </c>
      <c r="T119" s="224">
        <f t="shared" ca="1" si="37"/>
        <v>56.3899374384929</v>
      </c>
      <c r="U119" s="224">
        <f t="shared" ca="1" si="38"/>
        <v>56.3899374384929</v>
      </c>
    </row>
    <row r="120" spans="1:21" ht="18.75" x14ac:dyDescent="0.25">
      <c r="A120" s="128"/>
      <c r="B120" s="158"/>
      <c r="C120" s="174"/>
      <c r="D120" s="53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468">
        <f ca="1">L121+L122</f>
        <v>0</v>
      </c>
      <c r="M120" s="224">
        <f ca="1">M121+M122</f>
        <v>0</v>
      </c>
      <c r="N120" s="224">
        <f ca="1">N121+N122</f>
        <v>0</v>
      </c>
      <c r="O120" s="224">
        <f t="shared" ca="1" si="35"/>
        <v>0</v>
      </c>
      <c r="P120" s="224">
        <f t="shared" ca="1" si="36"/>
        <v>0</v>
      </c>
      <c r="Q120" s="224">
        <f ca="1">Q121+Q122</f>
        <v>284520</v>
      </c>
      <c r="R120" s="224">
        <f ca="1">R121+R122</f>
        <v>284520</v>
      </c>
      <c r="S120" s="224">
        <f ca="1">S121+S122</f>
        <v>160440.65</v>
      </c>
      <c r="T120" s="224">
        <f t="shared" ca="1" si="37"/>
        <v>56.3899374384929</v>
      </c>
      <c r="U120" s="224">
        <f t="shared" ca="1" si="38"/>
        <v>56.3899374384929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469">
        <v>0</v>
      </c>
      <c r="M121" s="83">
        <v>0</v>
      </c>
      <c r="N121" s="83">
        <v>0</v>
      </c>
      <c r="O121" s="83">
        <f t="shared" si="35"/>
        <v>0</v>
      </c>
      <c r="P121" s="83">
        <f t="shared" si="36"/>
        <v>0</v>
      </c>
      <c r="Q121" s="83">
        <v>0</v>
      </c>
      <c r="R121" s="83">
        <v>0</v>
      </c>
      <c r="S121" s="83">
        <v>0</v>
      </c>
      <c r="T121" s="83">
        <f t="shared" si="37"/>
        <v>0</v>
      </c>
      <c r="U121" s="83">
        <f t="shared" si="38"/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468">
        <f ca="1">IFERROR(__xludf.DUMMYFUNCTION("IMPORTRANGE(""https://docs.google.com/spreadsheets/d/1-uDff_7J0KD5mKrp0Vvzr7lt3OU09vwQwhkpOPPYv2Y/edit?usp=sharing"",""งบพรบ!BG27"")"),0)</f>
        <v>0</v>
      </c>
      <c r="M122" s="224">
        <f ca="1">IFERROR(__xludf.DUMMYFUNCTION("IMPORTRANGE(""https://docs.google.com/spreadsheets/d/1-uDff_7J0KD5mKrp0Vvzr7lt3OU09vwQwhkpOPPYv2Y/edit?usp=sharing"",""งบพรบ!BL27"")"),0)</f>
        <v>0</v>
      </c>
      <c r="N122" s="224">
        <f ca="1">IFERROR(__xludf.DUMMYFUNCTION("IMPORTRANGE(""https://docs.google.com/spreadsheets/d/1-uDff_7J0KD5mKrp0Vvzr7lt3OU09vwQwhkpOPPYv2Y/edit?usp=sharing"",""งบพรบ!BN27"")"),0)</f>
        <v>0</v>
      </c>
      <c r="O122" s="224">
        <f t="shared" ca="1" si="35"/>
        <v>0</v>
      </c>
      <c r="P122" s="224">
        <f t="shared" ca="1" si="36"/>
        <v>0</v>
      </c>
      <c r="Q122" s="224">
        <f ca="1">IFERROR(__xludf.DUMMYFUNCTION("IMPORTRANGE(""https://docs.google.com/spreadsheets/d/1ItG2mGa2ceCfYo0BwxsXqNm01IGEUdYcSSLTEv9YCik/edit?usp=sharing"",""เบิกจ่ายกองทุน!R27"")"),284520)</f>
        <v>284520</v>
      </c>
      <c r="R122" s="224">
        <f ca="1">IFERROR(__xludf.DUMMYFUNCTION("IMPORTRANGE(""https://docs.google.com/spreadsheets/d/1ItG2mGa2ceCfYo0BwxsXqNm01IGEUdYcSSLTEv9YCik/edit?usp=sharing"",""เบิกจ่ายกองทุน!S27"")"),284520)</f>
        <v>284520</v>
      </c>
      <c r="S122" s="224">
        <f ca="1">IFERROR(__xludf.DUMMYFUNCTION("IMPORTRANGE(""https://docs.google.com/spreadsheets/d/1ItG2mGa2ceCfYo0BwxsXqNm01IGEUdYcSSLTEv9YCik/edit?usp=sharing"",""เบิกจ่ายกองทุน!T27"")"),160440.65)</f>
        <v>160440.65</v>
      </c>
      <c r="T122" s="224">
        <f t="shared" ca="1" si="37"/>
        <v>56.3899374384929</v>
      </c>
      <c r="U122" s="224">
        <f t="shared" ca="1" si="38"/>
        <v>56.3899374384929</v>
      </c>
    </row>
    <row r="123" spans="1:21" ht="18.75" x14ac:dyDescent="0.25">
      <c r="A123" s="128"/>
      <c r="B123" s="40"/>
      <c r="C123" s="174"/>
      <c r="D123" s="53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468">
        <f ca="1">L124+L125</f>
        <v>0</v>
      </c>
      <c r="M123" s="224">
        <f ca="1">M124+M125</f>
        <v>0</v>
      </c>
      <c r="N123" s="224">
        <f ca="1">N124+N125</f>
        <v>0</v>
      </c>
      <c r="O123" s="224">
        <f t="shared" ca="1" si="35"/>
        <v>0</v>
      </c>
      <c r="P123" s="224">
        <f t="shared" ca="1" si="36"/>
        <v>0</v>
      </c>
      <c r="Q123" s="224">
        <f>Q124+Q125</f>
        <v>0</v>
      </c>
      <c r="R123" s="224">
        <f>R124+R125</f>
        <v>0</v>
      </c>
      <c r="S123" s="224">
        <f>S124+S125</f>
        <v>0</v>
      </c>
      <c r="T123" s="224">
        <f t="shared" si="37"/>
        <v>0</v>
      </c>
      <c r="U123" s="224">
        <f t="shared" si="38"/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469">
        <v>0</v>
      </c>
      <c r="M124" s="83">
        <v>0</v>
      </c>
      <c r="N124" s="83">
        <v>0</v>
      </c>
      <c r="O124" s="83">
        <f t="shared" si="35"/>
        <v>0</v>
      </c>
      <c r="P124" s="83">
        <f t="shared" si="36"/>
        <v>0</v>
      </c>
      <c r="Q124" s="83">
        <v>0</v>
      </c>
      <c r="R124" s="83">
        <v>0</v>
      </c>
      <c r="S124" s="83">
        <v>0</v>
      </c>
      <c r="T124" s="83">
        <f t="shared" si="37"/>
        <v>0</v>
      </c>
      <c r="U124" s="83">
        <f t="shared" si="38"/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468">
        <f ca="1">IFERROR(__xludf.DUMMYFUNCTION("IMPORTRANGE(""https://docs.google.com/spreadsheets/d/1-uDff_7J0KD5mKrp0Vvzr7lt3OU09vwQwhkpOPPYv2Y/edit?usp=sharing"",""งบพรบ!BJ27"")"),0)</f>
        <v>0</v>
      </c>
      <c r="M125" s="224">
        <f ca="1">IFERROR(__xludf.DUMMYFUNCTION("IMPORTRANGE(""https://docs.google.com/spreadsheets/d/1-uDff_7J0KD5mKrp0Vvzr7lt3OU09vwQwhkpOPPYv2Y/edit?usp=sharing"",""งบพรบ!BM27"")"),0)</f>
        <v>0</v>
      </c>
      <c r="N125" s="224">
        <f ca="1">IFERROR(__xludf.DUMMYFUNCTION("IMPORTRANGE(""https://docs.google.com/spreadsheets/d/1-uDff_7J0KD5mKrp0Vvzr7lt3OU09vwQwhkpOPPYv2Y/edit?usp=sharing"",""งบพรบ!BO27"")"),0)</f>
        <v>0</v>
      </c>
      <c r="O125" s="224">
        <f t="shared" ca="1" si="35"/>
        <v>0</v>
      </c>
      <c r="P125" s="224">
        <f t="shared" ca="1" si="36"/>
        <v>0</v>
      </c>
      <c r="Q125" s="224">
        <v>0</v>
      </c>
      <c r="R125" s="224">
        <v>0</v>
      </c>
      <c r="S125" s="224">
        <v>0</v>
      </c>
      <c r="T125" s="224">
        <f t="shared" si="37"/>
        <v>0</v>
      </c>
      <c r="U125" s="224">
        <f t="shared" si="38"/>
        <v>0</v>
      </c>
    </row>
    <row r="126" spans="1:21" ht="19.5" x14ac:dyDescent="0.3">
      <c r="A126" s="138"/>
      <c r="B126" s="139"/>
      <c r="C126" s="177" t="s">
        <v>18</v>
      </c>
      <c r="D126" s="498" t="s">
        <v>38</v>
      </c>
      <c r="E126" s="141"/>
      <c r="F126" s="141"/>
      <c r="G126" s="142"/>
      <c r="H126" s="178"/>
      <c r="I126" s="44"/>
      <c r="J126" s="44"/>
      <c r="K126" s="45"/>
      <c r="L126" s="465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IFERROR(__xludf.DUMMYFUNCTION("IMPORTRANGE(""https://docs.google.com/spreadsheets/d/1eHaY18a8A9IcSdp1K8H6x8fbOy06t2VsZHhMHf-1x7Y/edit?usp=sharing"",""แผน!FF27"")"),50)</f>
        <v>50</v>
      </c>
      <c r="J127" s="466">
        <v>50</v>
      </c>
      <c r="K127" s="224">
        <f ca="1">IF(I127&gt;0,J127*100/I127,0)</f>
        <v>100</v>
      </c>
      <c r="L127" s="465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IFERROR(__xludf.DUMMYFUNCTION("IMPORTRANGE(""https://docs.google.com/spreadsheets/d/1eHaY18a8A9IcSdp1K8H6x8fbOy06t2VsZHhMHf-1x7Y/edit?usp=sharing"",""แผน!FG27"")"),0)</f>
        <v>0</v>
      </c>
      <c r="J128" s="466">
        <v>0</v>
      </c>
      <c r="K128" s="224">
        <f ca="1">IF(I128&gt;0,J128*100/I128,0)</f>
        <v>0</v>
      </c>
      <c r="L128" s="465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IFERROR(__xludf.DUMMYFUNCTION("IMPORTRANGE(""https://docs.google.com/spreadsheets/d/1eHaY18a8A9IcSdp1K8H6x8fbOy06t2VsZHhMHf-1x7Y/edit?usp=sharing"",""แผน!FH27"")"),20)</f>
        <v>20</v>
      </c>
      <c r="J129" s="466">
        <v>0</v>
      </c>
      <c r="K129" s="224">
        <f ca="1">IF(I129&gt;0,J129*100/I129,0)</f>
        <v>0</v>
      </c>
      <c r="L129" s="465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IFERROR(__xludf.DUMMYFUNCTION("IMPORTRANGE(""https://docs.google.com/spreadsheets/d/1eHaY18a8A9IcSdp1K8H6x8fbOy06t2VsZHhMHf-1x7Y/edit?usp=sharing"",""แผน!FI27"")"),0)</f>
        <v>0</v>
      </c>
      <c r="J130" s="466">
        <v>0</v>
      </c>
      <c r="K130" s="224">
        <f ca="1">IF(I130&gt;0,J130*100/I130,0)</f>
        <v>0</v>
      </c>
      <c r="L130" s="465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465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465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57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hidden="1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10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hidden="1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665">
        <f ca="1">I154</f>
        <v>0</v>
      </c>
      <c r="J136" s="665">
        <f>J154</f>
        <v>0</v>
      </c>
      <c r="K136" s="664">
        <f ca="1">IF(I136&gt;0,J136*100/I136,0)</f>
        <v>0</v>
      </c>
      <c r="L136" s="510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665">
        <f ca="1">I152</f>
        <v>0</v>
      </c>
      <c r="J137" s="665">
        <f>J152</f>
        <v>0</v>
      </c>
      <c r="K137" s="664">
        <f ca="1">IF(I137&gt;0,J137*100/I137,0)</f>
        <v>0</v>
      </c>
      <c r="L137" s="510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665">
        <f ca="1">I153</f>
        <v>0</v>
      </c>
      <c r="J138" s="665">
        <f>J153</f>
        <v>0</v>
      </c>
      <c r="K138" s="664">
        <f ca="1">IF(I138&gt;0,J138*100/I138,0)</f>
        <v>0</v>
      </c>
      <c r="L138" s="510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8"/>
      <c r="B139" s="40"/>
      <c r="C139" s="129" t="s">
        <v>18</v>
      </c>
      <c r="D139" s="472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471">
        <f ca="1">L140+L141</f>
        <v>0</v>
      </c>
      <c r="M139" s="470">
        <f ca="1">M140+M141</f>
        <v>0</v>
      </c>
      <c r="N139" s="470">
        <f ca="1">N140+N141</f>
        <v>0</v>
      </c>
      <c r="O139" s="470">
        <f t="shared" ref="O139:O147" ca="1" si="41">IF(L139&gt;0,N139*100/L139,0)</f>
        <v>0</v>
      </c>
      <c r="P139" s="470">
        <f t="shared" ref="P139:P147" ca="1" si="42">IF(M139&gt;0,N139*100/M139,0)</f>
        <v>0</v>
      </c>
      <c r="Q139" s="470">
        <f ca="1">Q140+Q141</f>
        <v>0</v>
      </c>
      <c r="R139" s="470">
        <f ca="1">R140+R141</f>
        <v>0</v>
      </c>
      <c r="S139" s="470">
        <f ca="1">S140+S141</f>
        <v>0</v>
      </c>
      <c r="T139" s="470">
        <f t="shared" ref="T139:T147" ca="1" si="43">IF(Q139&gt;0,S139*100/Q139,0)</f>
        <v>0</v>
      </c>
      <c r="U139" s="470">
        <f t="shared" ref="U139:U147" ca="1" si="44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469">
        <f t="shared" ref="L140:N141" si="45">L143+L146</f>
        <v>0</v>
      </c>
      <c r="M140" s="83">
        <f t="shared" si="45"/>
        <v>0</v>
      </c>
      <c r="N140" s="83">
        <f t="shared" si="45"/>
        <v>0</v>
      </c>
      <c r="O140" s="83">
        <f t="shared" si="41"/>
        <v>0</v>
      </c>
      <c r="P140" s="83">
        <f t="shared" si="42"/>
        <v>0</v>
      </c>
      <c r="Q140" s="83">
        <f t="shared" ref="Q140:S141" si="46">Q143+Q146</f>
        <v>0</v>
      </c>
      <c r="R140" s="83">
        <f t="shared" si="46"/>
        <v>0</v>
      </c>
      <c r="S140" s="83">
        <f t="shared" si="46"/>
        <v>0</v>
      </c>
      <c r="T140" s="83">
        <f t="shared" si="43"/>
        <v>0</v>
      </c>
      <c r="U140" s="83">
        <f t="shared" si="44"/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468">
        <f t="shared" ca="1" si="45"/>
        <v>0</v>
      </c>
      <c r="M141" s="224">
        <f t="shared" ca="1" si="45"/>
        <v>0</v>
      </c>
      <c r="N141" s="224">
        <f t="shared" ca="1" si="45"/>
        <v>0</v>
      </c>
      <c r="O141" s="224">
        <f t="shared" ca="1" si="41"/>
        <v>0</v>
      </c>
      <c r="P141" s="224">
        <f t="shared" ca="1" si="42"/>
        <v>0</v>
      </c>
      <c r="Q141" s="224">
        <f t="shared" ca="1" si="46"/>
        <v>0</v>
      </c>
      <c r="R141" s="224">
        <f t="shared" ca="1" si="46"/>
        <v>0</v>
      </c>
      <c r="S141" s="224">
        <f t="shared" ca="1" si="46"/>
        <v>0</v>
      </c>
      <c r="T141" s="224">
        <f t="shared" ca="1" si="43"/>
        <v>0</v>
      </c>
      <c r="U141" s="224">
        <f t="shared" ca="1" si="44"/>
        <v>0</v>
      </c>
    </row>
    <row r="142" spans="1:21" ht="18.75" hidden="1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468">
        <f ca="1">L143+L144</f>
        <v>0</v>
      </c>
      <c r="M142" s="224">
        <f ca="1">M143+M144</f>
        <v>0</v>
      </c>
      <c r="N142" s="224">
        <f ca="1">N143+N144</f>
        <v>0</v>
      </c>
      <c r="O142" s="224">
        <f t="shared" ca="1" si="41"/>
        <v>0</v>
      </c>
      <c r="P142" s="224">
        <f t="shared" ca="1" si="42"/>
        <v>0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t="shared" ca="1" si="43"/>
        <v>0</v>
      </c>
      <c r="U142" s="224">
        <f t="shared" ca="1" si="44"/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469">
        <v>0</v>
      </c>
      <c r="M143" s="83">
        <v>0</v>
      </c>
      <c r="N143" s="83">
        <v>0</v>
      </c>
      <c r="O143" s="83">
        <f t="shared" si="41"/>
        <v>0</v>
      </c>
      <c r="P143" s="83">
        <f t="shared" si="42"/>
        <v>0</v>
      </c>
      <c r="Q143" s="83">
        <v>0</v>
      </c>
      <c r="R143" s="83">
        <v>0</v>
      </c>
      <c r="S143" s="83">
        <v>0</v>
      </c>
      <c r="T143" s="83">
        <f t="shared" si="43"/>
        <v>0</v>
      </c>
      <c r="U143" s="83">
        <f t="shared" si="44"/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468">
        <f ca="1">IFERROR(__xludf.DUMMYFUNCTION("IMPORTRANGE(""https://docs.google.com/spreadsheets/d/1-uDff_7J0KD5mKrp0Vvzr7lt3OU09vwQwhkpOPPYv2Y/edit?usp=sharing"",""งบพรบ!BQ27"")"),0)</f>
        <v>0</v>
      </c>
      <c r="M144" s="224">
        <f ca="1">IFERROR(__xludf.DUMMYFUNCTION("IMPORTRANGE(""https://docs.google.com/spreadsheets/d/1-uDff_7J0KD5mKrp0Vvzr7lt3OU09vwQwhkpOPPYv2Y/edit?usp=sharing"",""งบพรบ!BV27"")"),0)</f>
        <v>0</v>
      </c>
      <c r="N144" s="224">
        <f ca="1">IFERROR(__xludf.DUMMYFUNCTION("IMPORTRANGE(""https://docs.google.com/spreadsheets/d/1-uDff_7J0KD5mKrp0Vvzr7lt3OU09vwQwhkpOPPYv2Y/edit?usp=sharing"",""งบพรบ!BX27"")"),0)</f>
        <v>0</v>
      </c>
      <c r="O144" s="224">
        <f t="shared" ca="1" si="41"/>
        <v>0</v>
      </c>
      <c r="P144" s="224">
        <f t="shared" ca="1" si="42"/>
        <v>0</v>
      </c>
      <c r="Q144" s="224">
        <f ca="1">IFERROR(__xludf.DUMMYFUNCTION("IMPORTRANGE(""https://docs.google.com/spreadsheets/d/1ItG2mGa2ceCfYo0BwxsXqNm01IGEUdYcSSLTEv9YCik/edit?usp=sharing"",""เบิกจ่ายกองทุน!BB27"")"),0)</f>
        <v>0</v>
      </c>
      <c r="R144" s="224">
        <f ca="1">IFERROR(__xludf.DUMMYFUNCTION("IMPORTRANGE(""https://docs.google.com/spreadsheets/d/1ItG2mGa2ceCfYo0BwxsXqNm01IGEUdYcSSLTEv9YCik/edit?usp=sharing"",""เบิกจ่ายกองทุน!BC27"")"),0)</f>
        <v>0</v>
      </c>
      <c r="S144" s="224">
        <f ca="1">IFERROR(__xludf.DUMMYFUNCTION("IMPORTRANGE(""https://docs.google.com/spreadsheets/d/1ItG2mGa2ceCfYo0BwxsXqNm01IGEUdYcSSLTEv9YCik/edit?usp=sharing"",""เบิกจ่ายกองทุน!BD27"")"),0)</f>
        <v>0</v>
      </c>
      <c r="T144" s="224">
        <f t="shared" ca="1" si="43"/>
        <v>0</v>
      </c>
      <c r="U144" s="224">
        <f t="shared" ca="1" si="44"/>
        <v>0</v>
      </c>
    </row>
    <row r="145" spans="1:21" ht="18.75" hidden="1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468">
        <f ca="1">L146+L147</f>
        <v>0</v>
      </c>
      <c r="M145" s="224">
        <f ca="1">M146+M147</f>
        <v>0</v>
      </c>
      <c r="N145" s="224">
        <f ca="1">N146+N147</f>
        <v>0</v>
      </c>
      <c r="O145" s="224">
        <f t="shared" ca="1" si="41"/>
        <v>0</v>
      </c>
      <c r="P145" s="224">
        <f t="shared" ca="1" si="42"/>
        <v>0</v>
      </c>
      <c r="Q145" s="224">
        <f>Q146+Q147</f>
        <v>0</v>
      </c>
      <c r="R145" s="224">
        <f>R146+R147</f>
        <v>0</v>
      </c>
      <c r="S145" s="224">
        <f>S146+S147</f>
        <v>0</v>
      </c>
      <c r="T145" s="224">
        <f t="shared" si="43"/>
        <v>0</v>
      </c>
      <c r="U145" s="224">
        <f t="shared" si="44"/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469">
        <v>0</v>
      </c>
      <c r="M146" s="83">
        <v>0</v>
      </c>
      <c r="N146" s="83">
        <v>0</v>
      </c>
      <c r="O146" s="83">
        <f t="shared" si="41"/>
        <v>0</v>
      </c>
      <c r="P146" s="83">
        <f t="shared" si="42"/>
        <v>0</v>
      </c>
      <c r="Q146" s="83">
        <v>0</v>
      </c>
      <c r="R146" s="83">
        <v>0</v>
      </c>
      <c r="S146" s="83">
        <v>0</v>
      </c>
      <c r="T146" s="83">
        <f t="shared" si="43"/>
        <v>0</v>
      </c>
      <c r="U146" s="83">
        <f t="shared" si="44"/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468">
        <f ca="1">IFERROR(__xludf.DUMMYFUNCTION("IMPORTRANGE(""https://docs.google.com/spreadsheets/d/1-uDff_7J0KD5mKrp0Vvzr7lt3OU09vwQwhkpOPPYv2Y/edit?usp=sharing"",""งบพรบ!BT27"")"),0)</f>
        <v>0</v>
      </c>
      <c r="M147" s="224">
        <f ca="1">IFERROR(__xludf.DUMMYFUNCTION("IMPORTRANGE(""https://docs.google.com/spreadsheets/d/1-uDff_7J0KD5mKrp0Vvzr7lt3OU09vwQwhkpOPPYv2Y/edit?usp=sharing"",""งบพรบ!BW27"")"),0)</f>
        <v>0</v>
      </c>
      <c r="N147" s="224">
        <f ca="1">IFERROR(__xludf.DUMMYFUNCTION("IMPORTRANGE(""https://docs.google.com/spreadsheets/d/1-uDff_7J0KD5mKrp0Vvzr7lt3OU09vwQwhkpOPPYv2Y/edit?usp=sharing"",""งบพรบ!BY27"")"),0)</f>
        <v>0</v>
      </c>
      <c r="O147" s="224">
        <f t="shared" ca="1" si="41"/>
        <v>0</v>
      </c>
      <c r="P147" s="224">
        <f t="shared" ca="1" si="42"/>
        <v>0</v>
      </c>
      <c r="Q147" s="224">
        <v>0</v>
      </c>
      <c r="R147" s="224">
        <v>0</v>
      </c>
      <c r="S147" s="224">
        <v>0</v>
      </c>
      <c r="T147" s="224">
        <f t="shared" si="43"/>
        <v>0</v>
      </c>
      <c r="U147" s="224">
        <f t="shared" si="44"/>
        <v>0</v>
      </c>
    </row>
    <row r="148" spans="1:21" ht="19.5" hidden="1" x14ac:dyDescent="0.3">
      <c r="A148" s="138"/>
      <c r="B148" s="139"/>
      <c r="C148" s="129" t="s">
        <v>18</v>
      </c>
      <c r="D148" s="498" t="s">
        <v>38</v>
      </c>
      <c r="E148" s="141"/>
      <c r="F148" s="141"/>
      <c r="G148" s="142"/>
      <c r="H148" s="178"/>
      <c r="I148" s="44"/>
      <c r="J148" s="44"/>
      <c r="K148" s="45"/>
      <c r="L148" s="465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hidden="1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466">
        <v>0</v>
      </c>
      <c r="K149" s="45"/>
      <c r="L149" s="465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hidden="1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IFERROR(__xludf.DUMMYFUNCTION("IMPORTRANGE(""https://docs.google.com/spreadsheets/d/1eHaY18a8A9IcSdp1K8H6x8fbOy06t2VsZHhMHf-1x7Y/edit?usp=sharing"",""แผน!U27"")"),0)</f>
        <v>0</v>
      </c>
      <c r="J150" s="466">
        <v>0</v>
      </c>
      <c r="K150" s="224">
        <f ca="1">IF(I150&gt;0,J150*100/I150,0)</f>
        <v>0</v>
      </c>
      <c r="L150" s="465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hidden="1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IFERROR(__xludf.DUMMYFUNCTION("IMPORTRANGE(""https://docs.google.com/spreadsheets/d/1eHaY18a8A9IcSdp1K8H6x8fbOy06t2VsZHhMHf-1x7Y/edit?usp=sharing"",""แผน!V27"")"),0)</f>
        <v>0</v>
      </c>
      <c r="J151" s="466">
        <v>0</v>
      </c>
      <c r="K151" s="224">
        <f ca="1">IF(I151&gt;0,J151*100/I151,0)</f>
        <v>0</v>
      </c>
      <c r="L151" s="465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hidden="1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IFERROR(__xludf.DUMMYFUNCTION("IMPORTRANGE(""https://docs.google.com/spreadsheets/d/1eHaY18a8A9IcSdp1K8H6x8fbOy06t2VsZHhMHf-1x7Y/edit?usp=sharing"",""แผน!W27"")"),0)</f>
        <v>0</v>
      </c>
      <c r="J152" s="466">
        <v>0</v>
      </c>
      <c r="K152" s="224">
        <f ca="1">IF(I152&gt;0,J152*100/I152,0)</f>
        <v>0</v>
      </c>
      <c r="L152" s="465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hidden="1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IFERROR(__xludf.DUMMYFUNCTION("IMPORTRANGE(""https://docs.google.com/spreadsheets/d/1eHaY18a8A9IcSdp1K8H6x8fbOy06t2VsZHhMHf-1x7Y/edit?usp=sharing"",""แผน!X27"")"),0)</f>
        <v>0</v>
      </c>
      <c r="J153" s="466">
        <v>0</v>
      </c>
      <c r="K153" s="224">
        <f ca="1">IF(I153&gt;0,J153*100/I153,0)</f>
        <v>0</v>
      </c>
      <c r="L153" s="465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IFERROR(__xludf.DUMMYFUNCTION("IMPORTRANGE(""https://docs.google.com/spreadsheets/d/1eHaY18a8A9IcSdp1K8H6x8fbOy06t2VsZHhMHf-1x7Y/edit?usp=sharing"",""แผน!Y27"")"),0)</f>
        <v>0</v>
      </c>
      <c r="J154" s="466">
        <v>0</v>
      </c>
      <c r="K154" s="224">
        <f ca="1">IF(I154&gt;0,J154*100/I154,0)</f>
        <v>0</v>
      </c>
      <c r="L154" s="465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665">
        <f ca="1">I167</f>
        <v>15</v>
      </c>
      <c r="J156" s="665">
        <f>J167</f>
        <v>16</v>
      </c>
      <c r="K156" s="664">
        <f ca="1">IF(I156&gt;0,J156*100/I156,0)</f>
        <v>106.66666666666667</v>
      </c>
      <c r="L156" s="510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129" t="s">
        <v>18</v>
      </c>
      <c r="D157" s="472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471">
        <f ca="1">L158+L159</f>
        <v>3000</v>
      </c>
      <c r="M157" s="470">
        <f ca="1">M158+M159</f>
        <v>3770</v>
      </c>
      <c r="N157" s="470">
        <f ca="1">N158+N159</f>
        <v>2250</v>
      </c>
      <c r="O157" s="470">
        <f t="shared" ref="O157:O165" ca="1" si="47">IF(L157&gt;0,N157*100/L157,0)</f>
        <v>75</v>
      </c>
      <c r="P157" s="470">
        <f t="shared" ref="P157:P165" ca="1" si="48">IF(M157&gt;0,N157*100/M157,0)</f>
        <v>59.681697612732094</v>
      </c>
      <c r="Q157" s="470">
        <f ca="1">Q158+Q159</f>
        <v>0</v>
      </c>
      <c r="R157" s="470">
        <f ca="1">R158+R159</f>
        <v>0</v>
      </c>
      <c r="S157" s="470">
        <f ca="1">S158+S159</f>
        <v>0</v>
      </c>
      <c r="T157" s="470">
        <f t="shared" ref="T157:T165" ca="1" si="49">IF(Q157&gt;0,S157*100/Q157,0)</f>
        <v>0</v>
      </c>
      <c r="U157" s="470">
        <f t="shared" ref="U157:U165" ca="1" si="50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469">
        <f t="shared" ref="L158:N159" si="51">L161+L164</f>
        <v>0</v>
      </c>
      <c r="M158" s="83">
        <f t="shared" si="51"/>
        <v>0</v>
      </c>
      <c r="N158" s="83">
        <f t="shared" si="51"/>
        <v>0</v>
      </c>
      <c r="O158" s="83">
        <f t="shared" si="47"/>
        <v>0</v>
      </c>
      <c r="P158" s="83">
        <f t="shared" si="48"/>
        <v>0</v>
      </c>
      <c r="Q158" s="83">
        <f t="shared" ref="Q158:S159" si="52">Q161+Q164</f>
        <v>0</v>
      </c>
      <c r="R158" s="83">
        <f t="shared" si="52"/>
        <v>0</v>
      </c>
      <c r="S158" s="83">
        <f t="shared" si="52"/>
        <v>0</v>
      </c>
      <c r="T158" s="83">
        <f t="shared" si="49"/>
        <v>0</v>
      </c>
      <c r="U158" s="83">
        <f t="shared" si="50"/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468">
        <f t="shared" ca="1" si="51"/>
        <v>3000</v>
      </c>
      <c r="M159" s="224">
        <f t="shared" ca="1" si="51"/>
        <v>3770</v>
      </c>
      <c r="N159" s="224">
        <f t="shared" ca="1" si="51"/>
        <v>2250</v>
      </c>
      <c r="O159" s="224">
        <f t="shared" ca="1" si="47"/>
        <v>75</v>
      </c>
      <c r="P159" s="224">
        <f t="shared" ca="1" si="48"/>
        <v>59.681697612732094</v>
      </c>
      <c r="Q159" s="224">
        <f t="shared" ca="1" si="52"/>
        <v>0</v>
      </c>
      <c r="R159" s="224">
        <f t="shared" ca="1" si="52"/>
        <v>0</v>
      </c>
      <c r="S159" s="224">
        <f t="shared" ca="1" si="52"/>
        <v>0</v>
      </c>
      <c r="T159" s="224">
        <f t="shared" ca="1" si="49"/>
        <v>0</v>
      </c>
      <c r="U159" s="224">
        <f t="shared" ca="1" si="50"/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468">
        <f ca="1">L161+L162</f>
        <v>3000</v>
      </c>
      <c r="M160" s="224">
        <f ca="1">M161+M162</f>
        <v>3770</v>
      </c>
      <c r="N160" s="224">
        <f ca="1">N161+N162</f>
        <v>2250</v>
      </c>
      <c r="O160" s="224">
        <f t="shared" ca="1" si="47"/>
        <v>75</v>
      </c>
      <c r="P160" s="224">
        <f t="shared" ca="1" si="48"/>
        <v>59.681697612732094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t="shared" ca="1" si="49"/>
        <v>0</v>
      </c>
      <c r="U160" s="224">
        <f t="shared" ca="1" si="50"/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469">
        <v>0</v>
      </c>
      <c r="M161" s="83">
        <v>0</v>
      </c>
      <c r="N161" s="83">
        <v>0</v>
      </c>
      <c r="O161" s="83">
        <f t="shared" si="47"/>
        <v>0</v>
      </c>
      <c r="P161" s="83">
        <f t="shared" si="48"/>
        <v>0</v>
      </c>
      <c r="Q161" s="83">
        <v>0</v>
      </c>
      <c r="R161" s="83">
        <v>0</v>
      </c>
      <c r="S161" s="83">
        <v>0</v>
      </c>
      <c r="T161" s="83">
        <f t="shared" si="49"/>
        <v>0</v>
      </c>
      <c r="U161" s="83">
        <f t="shared" si="50"/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468">
        <f ca="1">IFERROR(__xludf.DUMMYFUNCTION("IMPORTRANGE(""https://docs.google.com/spreadsheets/d/1-uDff_7J0KD5mKrp0Vvzr7lt3OU09vwQwhkpOPPYv2Y/edit?usp=sharing"",""งบพรบ!CA27"")"),3000)</f>
        <v>3000</v>
      </c>
      <c r="M162" s="224">
        <f ca="1">IFERROR(__xludf.DUMMYFUNCTION("IMPORTRANGE(""https://docs.google.com/spreadsheets/d/1-uDff_7J0KD5mKrp0Vvzr7lt3OU09vwQwhkpOPPYv2Y/edit?usp=sharing"",""งบพรบ!CF27"")"),3770)</f>
        <v>3770</v>
      </c>
      <c r="N162" s="224">
        <f ca="1">IFERROR(__xludf.DUMMYFUNCTION("IMPORTRANGE(""https://docs.google.com/spreadsheets/d/1-uDff_7J0KD5mKrp0Vvzr7lt3OU09vwQwhkpOPPYv2Y/edit?usp=sharing"",""งบพรบ!CH27"")"),2250)</f>
        <v>2250</v>
      </c>
      <c r="O162" s="224">
        <f t="shared" ca="1" si="47"/>
        <v>75</v>
      </c>
      <c r="P162" s="224">
        <f t="shared" ca="1" si="48"/>
        <v>59.681697612732094</v>
      </c>
      <c r="Q162" s="224">
        <f ca="1">IFERROR(__xludf.DUMMYFUNCTION("IMPORTRANGE(""https://docs.google.com/spreadsheets/d/1ItG2mGa2ceCfYo0BwxsXqNm01IGEUdYcSSLTEv9YCik/edit?usp=sharing"",""เบิกจ่ายกองทุน!AG27"")"),0)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IFERROR(__xludf.DUMMYFUNCTION("IMPORTRANGE(""https://docs.google.com/spreadsheets/d/1ItG2mGa2ceCfYo0BwxsXqNm01IGEUdYcSSLTEv9YCik/edit?usp=sharing"",""เบิกจ่ายกองทุน!AH27"")"),0)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IFERROR(__xludf.DUMMYFUNCTION("IMPORTRANGE(""https://docs.google.com/spreadsheets/d/1ItG2mGa2ceCfYo0BwxsXqNm01IGEUdYcSSLTEv9YCik/edit?usp=sharing"",""เบิกจ่ายกองทุน!AI27"")"),0)</f>
        <v>0</v>
      </c>
      <c r="T162" s="224">
        <f t="shared" ca="1" si="49"/>
        <v>0</v>
      </c>
      <c r="U162" s="224">
        <f t="shared" ca="1" si="50"/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468">
        <f ca="1">L164+L165</f>
        <v>0</v>
      </c>
      <c r="M163" s="224">
        <f ca="1">M164+M165</f>
        <v>0</v>
      </c>
      <c r="N163" s="224">
        <f ca="1">N164+N165</f>
        <v>0</v>
      </c>
      <c r="O163" s="224">
        <f t="shared" ca="1" si="47"/>
        <v>0</v>
      </c>
      <c r="P163" s="224">
        <f t="shared" ca="1" si="48"/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 t="shared" si="49"/>
        <v>0</v>
      </c>
      <c r="U163" s="224">
        <f t="shared" si="50"/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469">
        <v>0</v>
      </c>
      <c r="M164" s="83">
        <v>0</v>
      </c>
      <c r="N164" s="83">
        <v>0</v>
      </c>
      <c r="O164" s="83">
        <f t="shared" si="47"/>
        <v>0</v>
      </c>
      <c r="P164" s="83">
        <f t="shared" si="48"/>
        <v>0</v>
      </c>
      <c r="Q164" s="83">
        <v>0</v>
      </c>
      <c r="R164" s="83">
        <v>0</v>
      </c>
      <c r="S164" s="83">
        <v>0</v>
      </c>
      <c r="T164" s="83">
        <f t="shared" si="49"/>
        <v>0</v>
      </c>
      <c r="U164" s="83">
        <f t="shared" si="50"/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468">
        <f ca="1">IFERROR(__xludf.DUMMYFUNCTION("IMPORTRANGE(""https://docs.google.com/spreadsheets/d/1-uDff_7J0KD5mKrp0Vvzr7lt3OU09vwQwhkpOPPYv2Y/edit?usp=sharing"",""งบพรบ!CD27"")"),0)</f>
        <v>0</v>
      </c>
      <c r="M165" s="224">
        <f ca="1">IFERROR(__xludf.DUMMYFUNCTION("IMPORTRANGE(""https://docs.google.com/spreadsheets/d/1-uDff_7J0KD5mKrp0Vvzr7lt3OU09vwQwhkpOPPYv2Y/edit?usp=sharing"",""งบพรบ!CG27"")"),0)</f>
        <v>0</v>
      </c>
      <c r="N165" s="224">
        <f ca="1">IFERROR(__xludf.DUMMYFUNCTION("IMPORTRANGE(""https://docs.google.com/spreadsheets/d/1-uDff_7J0KD5mKrp0Vvzr7lt3OU09vwQwhkpOPPYv2Y/edit?usp=sharing"",""งบพรบ!CI27"")"),0)</f>
        <v>0</v>
      </c>
      <c r="O165" s="224">
        <f t="shared" ca="1" si="47"/>
        <v>0</v>
      </c>
      <c r="P165" s="224">
        <f t="shared" ca="1" si="48"/>
        <v>0</v>
      </c>
      <c r="Q165" s="224">
        <v>0</v>
      </c>
      <c r="R165" s="224">
        <v>0</v>
      </c>
      <c r="S165" s="224">
        <v>0</v>
      </c>
      <c r="T165" s="224">
        <f t="shared" si="49"/>
        <v>0</v>
      </c>
      <c r="U165" s="224">
        <f t="shared" si="50"/>
        <v>0</v>
      </c>
    </row>
    <row r="166" spans="1:21" ht="19.5" x14ac:dyDescent="0.3">
      <c r="A166" s="138"/>
      <c r="B166" s="139"/>
      <c r="C166" s="129" t="s">
        <v>18</v>
      </c>
      <c r="D166" s="498" t="s">
        <v>38</v>
      </c>
      <c r="E166" s="141"/>
      <c r="F166" s="141"/>
      <c r="G166" s="142"/>
      <c r="H166" s="178"/>
      <c r="I166" s="44"/>
      <c r="J166" s="44"/>
      <c r="K166" s="45"/>
      <c r="L166" s="465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IFERROR(__xludf.DUMMYFUNCTION("IMPORTRANGE(""https://docs.google.com/spreadsheets/d/1eHaY18a8A9IcSdp1K8H6x8fbOy06t2VsZHhMHf-1x7Y/edit?usp=sharing"",""แผน!Z27"")"),15)</f>
        <v>15</v>
      </c>
      <c r="J167" s="466">
        <v>16</v>
      </c>
      <c r="K167" s="224">
        <f ca="1">IF(I167&gt;0,J167*100/I167,0)</f>
        <v>106.66666666666667</v>
      </c>
      <c r="L167" s="465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375" t="s">
        <v>35</v>
      </c>
      <c r="I168" s="430">
        <f ca="1">I167</f>
        <v>15</v>
      </c>
      <c r="J168" s="525">
        <v>0</v>
      </c>
      <c r="K168" s="83">
        <f ca="1">IF(I168&gt;0,J168*100/I168,0)</f>
        <v>0</v>
      </c>
      <c r="L168" s="465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31" t="s">
        <v>71</v>
      </c>
      <c r="E169" s="1"/>
      <c r="F169" s="1"/>
      <c r="G169" s="52"/>
      <c r="H169" s="663" t="s">
        <v>35</v>
      </c>
      <c r="I169" s="433">
        <f ca="1">I167</f>
        <v>15</v>
      </c>
      <c r="J169" s="522">
        <v>0</v>
      </c>
      <c r="K169" s="521">
        <f ca="1">IF(I169&gt;0,J169*100/I169,0)</f>
        <v>0</v>
      </c>
      <c r="L169" s="46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662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661">
        <f ca="1">I183+I184</f>
        <v>7</v>
      </c>
      <c r="J172" s="661">
        <f>J183+J184</f>
        <v>7</v>
      </c>
      <c r="K172" s="660">
        <f ca="1">IF(I172&gt;0,J172*100/I172,0)</f>
        <v>100</v>
      </c>
      <c r="L172" s="659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472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471">
        <f ca="1">L174+L175</f>
        <v>19590</v>
      </c>
      <c r="M173" s="470">
        <f ca="1">M174+M175</f>
        <v>130770</v>
      </c>
      <c r="N173" s="470">
        <f ca="1">N174+N175</f>
        <v>129540</v>
      </c>
      <c r="O173" s="470">
        <f t="shared" ref="O173:O181" ca="1" si="53">IF(L173&gt;0,N173*100/L173,0)</f>
        <v>661.25574272588051</v>
      </c>
      <c r="P173" s="470">
        <f t="shared" ref="P173:P181" ca="1" si="54">IF(M173&gt;0,N173*100/M173,0)</f>
        <v>99.059417297545309</v>
      </c>
      <c r="Q173" s="470">
        <f ca="1">Q174+Q175</f>
        <v>0</v>
      </c>
      <c r="R173" s="470">
        <f ca="1">R174+R175</f>
        <v>0</v>
      </c>
      <c r="S173" s="470">
        <f ca="1">S174+S175</f>
        <v>0</v>
      </c>
      <c r="T173" s="470">
        <f t="shared" ref="T173:T181" ca="1" si="55">IF(Q173&gt;0,S173*100/Q173,0)</f>
        <v>0</v>
      </c>
      <c r="U173" s="470">
        <f t="shared" ref="U173:U181" ca="1" si="56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469">
        <f t="shared" ref="L174:N175" si="57">L177+L180</f>
        <v>0</v>
      </c>
      <c r="M174" s="83">
        <f t="shared" si="57"/>
        <v>0</v>
      </c>
      <c r="N174" s="83">
        <f t="shared" si="57"/>
        <v>0</v>
      </c>
      <c r="O174" s="83">
        <f t="shared" si="53"/>
        <v>0</v>
      </c>
      <c r="P174" s="83">
        <f t="shared" si="54"/>
        <v>0</v>
      </c>
      <c r="Q174" s="83">
        <f t="shared" ref="Q174:S175" si="58">Q177+Q180</f>
        <v>0</v>
      </c>
      <c r="R174" s="83">
        <f t="shared" si="58"/>
        <v>0</v>
      </c>
      <c r="S174" s="83">
        <f t="shared" si="58"/>
        <v>0</v>
      </c>
      <c r="T174" s="83">
        <f t="shared" si="55"/>
        <v>0</v>
      </c>
      <c r="U174" s="83">
        <f t="shared" si="56"/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468">
        <f t="shared" ca="1" si="57"/>
        <v>19590</v>
      </c>
      <c r="M175" s="224">
        <f t="shared" ca="1" si="57"/>
        <v>130770</v>
      </c>
      <c r="N175" s="224">
        <f t="shared" ca="1" si="57"/>
        <v>129540</v>
      </c>
      <c r="O175" s="224">
        <f t="shared" ca="1" si="53"/>
        <v>661.25574272588051</v>
      </c>
      <c r="P175" s="224">
        <f t="shared" ca="1" si="54"/>
        <v>99.059417297545309</v>
      </c>
      <c r="Q175" s="224">
        <f t="shared" ca="1" si="58"/>
        <v>0</v>
      </c>
      <c r="R175" s="224">
        <f t="shared" ca="1" si="58"/>
        <v>0</v>
      </c>
      <c r="S175" s="224">
        <f t="shared" ca="1" si="58"/>
        <v>0</v>
      </c>
      <c r="T175" s="224">
        <f t="shared" ca="1" si="55"/>
        <v>0</v>
      </c>
      <c r="U175" s="224">
        <f t="shared" ca="1" si="56"/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468">
        <f ca="1">L177+L178</f>
        <v>19590</v>
      </c>
      <c r="M176" s="224">
        <f ca="1">M177+M178</f>
        <v>130770</v>
      </c>
      <c r="N176" s="224">
        <f ca="1">N177+N178</f>
        <v>129540</v>
      </c>
      <c r="O176" s="224">
        <f t="shared" ca="1" si="53"/>
        <v>661.25574272588051</v>
      </c>
      <c r="P176" s="224">
        <f t="shared" ca="1" si="54"/>
        <v>99.059417297545309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t="shared" ca="1" si="55"/>
        <v>0</v>
      </c>
      <c r="U176" s="224">
        <f t="shared" ca="1" si="56"/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469">
        <v>0</v>
      </c>
      <c r="M177" s="83">
        <v>0</v>
      </c>
      <c r="N177" s="83">
        <v>0</v>
      </c>
      <c r="O177" s="83">
        <f t="shared" si="53"/>
        <v>0</v>
      </c>
      <c r="P177" s="83">
        <f t="shared" si="54"/>
        <v>0</v>
      </c>
      <c r="Q177" s="83">
        <v>0</v>
      </c>
      <c r="R177" s="83">
        <v>0</v>
      </c>
      <c r="S177" s="83">
        <v>0</v>
      </c>
      <c r="T177" s="83">
        <f t="shared" si="55"/>
        <v>0</v>
      </c>
      <c r="U177" s="83">
        <f t="shared" si="56"/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468">
        <f ca="1">IFERROR(__xludf.DUMMYFUNCTION("IMPORTRANGE(""https://docs.google.com/spreadsheets/d/1-uDff_7J0KD5mKrp0Vvzr7lt3OU09vwQwhkpOPPYv2Y/edit?usp=sharing"",""งบพรบ!CK27"")"),19590)</f>
        <v>19590</v>
      </c>
      <c r="M178" s="224">
        <f ca="1">IFERROR(__xludf.DUMMYFUNCTION("IMPORTRANGE(""https://docs.google.com/spreadsheets/d/1-uDff_7J0KD5mKrp0Vvzr7lt3OU09vwQwhkpOPPYv2Y/edit?usp=sharing"",""งบพรบ!CP27"")"),130770)</f>
        <v>130770</v>
      </c>
      <c r="N178" s="224">
        <f ca="1">IFERROR(__xludf.DUMMYFUNCTION("IMPORTRANGE(""https://docs.google.com/spreadsheets/d/1-uDff_7J0KD5mKrp0Vvzr7lt3OU09vwQwhkpOPPYv2Y/edit?usp=sharing"",""งบพรบ!CR27"")"),129540)</f>
        <v>129540</v>
      </c>
      <c r="O178" s="224">
        <f t="shared" ca="1" si="53"/>
        <v>661.25574272588051</v>
      </c>
      <c r="P178" s="224">
        <f t="shared" ca="1" si="54"/>
        <v>99.059417297545309</v>
      </c>
      <c r="Q178" s="224">
        <f ca="1">IFERROR(__xludf.DUMMYFUNCTION("IMPORTRANGE(""https://docs.google.com/spreadsheets/d/1ItG2mGa2ceCfYo0BwxsXqNm01IGEUdYcSSLTEv9YCik/edit?usp=sharing"",""เบิกจ่ายกองทุน!BE27"")"),0)</f>
        <v>0</v>
      </c>
      <c r="R178" s="224">
        <f ca="1">IFERROR(__xludf.DUMMYFUNCTION("IMPORTRANGE(""https://docs.google.com/spreadsheets/d/1ItG2mGa2ceCfYo0BwxsXqNm01IGEUdYcSSLTEv9YCik/edit?usp=sharing"",""เบิกจ่ายกองทุน!BF27"")"),0)</f>
        <v>0</v>
      </c>
      <c r="S178" s="224">
        <f ca="1">IFERROR(__xludf.DUMMYFUNCTION("IMPORTRANGE(""https://docs.google.com/spreadsheets/d/1ItG2mGa2ceCfYo0BwxsXqNm01IGEUdYcSSLTEv9YCik/edit?usp=sharing"",""เบิกจ่ายกองทุน!BG27"")"),0)</f>
        <v>0</v>
      </c>
      <c r="T178" s="224">
        <f t="shared" ca="1" si="55"/>
        <v>0</v>
      </c>
      <c r="U178" s="224">
        <f t="shared" ca="1" si="56"/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468">
        <f ca="1">L180+L181</f>
        <v>0</v>
      </c>
      <c r="M179" s="224">
        <f ca="1">M180+M181</f>
        <v>0</v>
      </c>
      <c r="N179" s="224">
        <f ca="1">N180+N181</f>
        <v>0</v>
      </c>
      <c r="O179" s="224">
        <f t="shared" ca="1" si="53"/>
        <v>0</v>
      </c>
      <c r="P179" s="224">
        <f t="shared" ca="1" si="54"/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 t="shared" si="55"/>
        <v>0</v>
      </c>
      <c r="U179" s="224">
        <f t="shared" si="56"/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469">
        <v>0</v>
      </c>
      <c r="M180" s="83">
        <v>0</v>
      </c>
      <c r="N180" s="83">
        <v>0</v>
      </c>
      <c r="O180" s="83">
        <f t="shared" si="53"/>
        <v>0</v>
      </c>
      <c r="P180" s="83">
        <f t="shared" si="54"/>
        <v>0</v>
      </c>
      <c r="Q180" s="83">
        <v>0</v>
      </c>
      <c r="R180" s="83">
        <v>0</v>
      </c>
      <c r="S180" s="83">
        <v>0</v>
      </c>
      <c r="T180" s="83">
        <f t="shared" si="55"/>
        <v>0</v>
      </c>
      <c r="U180" s="83">
        <f t="shared" si="56"/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468">
        <f ca="1">IFERROR(__xludf.DUMMYFUNCTION("IMPORTRANGE(""https://docs.google.com/spreadsheets/d/1-uDff_7J0KD5mKrp0Vvzr7lt3OU09vwQwhkpOPPYv2Y/edit?usp=sharing"",""งบพรบ!CN27"")"),0)</f>
        <v>0</v>
      </c>
      <c r="M181" s="224">
        <f ca="1">IFERROR(__xludf.DUMMYFUNCTION("IMPORTRANGE(""https://docs.google.com/spreadsheets/d/1-uDff_7J0KD5mKrp0Vvzr7lt3OU09vwQwhkpOPPYv2Y/edit?usp=sharing"",""งบพรบ!CQ27"")"),0)</f>
        <v>0</v>
      </c>
      <c r="N181" s="224">
        <f ca="1">IFERROR(__xludf.DUMMYFUNCTION("IMPORTRANGE(""https://docs.google.com/spreadsheets/d/1-uDff_7J0KD5mKrp0Vvzr7lt3OU09vwQwhkpOPPYv2Y/edit?usp=sharing"",""งบพรบ!CS27"")"),0)</f>
        <v>0</v>
      </c>
      <c r="O181" s="224">
        <f t="shared" ca="1" si="53"/>
        <v>0</v>
      </c>
      <c r="P181" s="224">
        <f t="shared" ca="1" si="54"/>
        <v>0</v>
      </c>
      <c r="Q181" s="224">
        <v>0</v>
      </c>
      <c r="R181" s="224">
        <v>0</v>
      </c>
      <c r="S181" s="224">
        <v>0</v>
      </c>
      <c r="T181" s="224">
        <f t="shared" si="55"/>
        <v>0</v>
      </c>
      <c r="U181" s="224">
        <f t="shared" si="56"/>
        <v>0</v>
      </c>
    </row>
    <row r="182" spans="1:21" ht="19.5" x14ac:dyDescent="0.3">
      <c r="A182" s="138"/>
      <c r="B182" s="139"/>
      <c r="C182" s="129" t="s">
        <v>18</v>
      </c>
      <c r="D182" s="498" t="s">
        <v>38</v>
      </c>
      <c r="E182" s="141"/>
      <c r="F182" s="141"/>
      <c r="G182" s="142"/>
      <c r="H182" s="178"/>
      <c r="I182" s="44"/>
      <c r="J182" s="44"/>
      <c r="K182" s="45"/>
      <c r="L182" s="465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IFERROR(__xludf.DUMMYFUNCTION("IMPORTRANGE(""https://docs.google.com/spreadsheets/d/1eHaY18a8A9IcSdp1K8H6x8fbOy06t2VsZHhMHf-1x7Y/edit?usp=sharing"",""แผน!AA27"")"),7)</f>
        <v>7</v>
      </c>
      <c r="J183" s="466">
        <v>7</v>
      </c>
      <c r="K183" s="224">
        <f ca="1">IF(I183&gt;0,J183*100/I183,0)</f>
        <v>100</v>
      </c>
      <c r="L183" s="465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14" t="s">
        <v>76</v>
      </c>
      <c r="E184" s="40"/>
      <c r="F184" s="40"/>
      <c r="G184" s="42"/>
      <c r="H184" s="526" t="s">
        <v>35</v>
      </c>
      <c r="I184" s="430">
        <v>0</v>
      </c>
      <c r="J184" s="430">
        <v>0</v>
      </c>
      <c r="K184" s="83">
        <f>IF(I184&gt;0,J184*100/I184,0)</f>
        <v>0</v>
      </c>
      <c r="L184" s="465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661">
        <f ca="1">I230+I231</f>
        <v>40</v>
      </c>
      <c r="J185" s="661">
        <f>J230+J231</f>
        <v>40</v>
      </c>
      <c r="K185" s="660">
        <f ca="1">IF(I185&gt;0,J185*100/I185,0)</f>
        <v>100</v>
      </c>
      <c r="L185" s="659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472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471">
        <f ca="1">L187+L188</f>
        <v>452600</v>
      </c>
      <c r="M186" s="470">
        <f ca="1">M187+M188</f>
        <v>444800</v>
      </c>
      <c r="N186" s="470">
        <f ca="1">N187+N188</f>
        <v>272315</v>
      </c>
      <c r="O186" s="470">
        <f t="shared" ref="O186:O194" ca="1" si="59">IF(L186&gt;0,N186*100/L186,0)</f>
        <v>60.166813963764916</v>
      </c>
      <c r="P186" s="470">
        <f t="shared" ref="P186:P194" ca="1" si="60">IF(M186&gt;0,N186*100/M186,0)</f>
        <v>61.221897482014391</v>
      </c>
      <c r="Q186" s="470">
        <f ca="1">Q187+Q188</f>
        <v>42000</v>
      </c>
      <c r="R186" s="470">
        <f ca="1">R187+R188</f>
        <v>42000</v>
      </c>
      <c r="S186" s="470">
        <f ca="1">S187+S188</f>
        <v>0</v>
      </c>
      <c r="T186" s="470">
        <f t="shared" ref="T186:T194" ca="1" si="61">IF(Q186&gt;0,S186*100/Q186,0)</f>
        <v>0</v>
      </c>
      <c r="U186" s="470">
        <f t="shared" ref="U186:U194" ca="1" si="62">IF(R186&gt;0,S186*100/R186,0)</f>
        <v>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469">
        <f t="shared" ref="L187:N188" si="63">L190+L193</f>
        <v>0</v>
      </c>
      <c r="M187" s="83">
        <f t="shared" si="63"/>
        <v>0</v>
      </c>
      <c r="N187" s="83">
        <f t="shared" si="63"/>
        <v>0</v>
      </c>
      <c r="O187" s="83">
        <f t="shared" si="59"/>
        <v>0</v>
      </c>
      <c r="P187" s="83">
        <f t="shared" si="60"/>
        <v>0</v>
      </c>
      <c r="Q187" s="83">
        <f t="shared" ref="Q187:S188" si="64">Q190+Q193</f>
        <v>0</v>
      </c>
      <c r="R187" s="83">
        <f t="shared" si="64"/>
        <v>0</v>
      </c>
      <c r="S187" s="83">
        <f t="shared" si="64"/>
        <v>0</v>
      </c>
      <c r="T187" s="83">
        <f t="shared" si="61"/>
        <v>0</v>
      </c>
      <c r="U187" s="83">
        <f t="shared" si="62"/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468">
        <f t="shared" ca="1" si="63"/>
        <v>452600</v>
      </c>
      <c r="M188" s="224">
        <f t="shared" ca="1" si="63"/>
        <v>444800</v>
      </c>
      <c r="N188" s="224">
        <f t="shared" ca="1" si="63"/>
        <v>272315</v>
      </c>
      <c r="O188" s="224">
        <f t="shared" ca="1" si="59"/>
        <v>60.166813963764916</v>
      </c>
      <c r="P188" s="224">
        <f t="shared" ca="1" si="60"/>
        <v>61.221897482014391</v>
      </c>
      <c r="Q188" s="224">
        <f t="shared" ca="1" si="64"/>
        <v>42000</v>
      </c>
      <c r="R188" s="224">
        <f t="shared" ca="1" si="64"/>
        <v>42000</v>
      </c>
      <c r="S188" s="224">
        <f t="shared" ca="1" si="64"/>
        <v>0</v>
      </c>
      <c r="T188" s="224">
        <f t="shared" ca="1" si="61"/>
        <v>0</v>
      </c>
      <c r="U188" s="224">
        <f t="shared" ca="1" si="62"/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468">
        <f ca="1">L190+L191</f>
        <v>452600</v>
      </c>
      <c r="M189" s="224">
        <f ca="1">M190+M191</f>
        <v>444800</v>
      </c>
      <c r="N189" s="224">
        <f ca="1">N190+N191</f>
        <v>272315</v>
      </c>
      <c r="O189" s="224">
        <f t="shared" ca="1" si="59"/>
        <v>60.166813963764916</v>
      </c>
      <c r="P189" s="224">
        <f t="shared" ca="1" si="60"/>
        <v>61.221897482014391</v>
      </c>
      <c r="Q189" s="224">
        <f ca="1">Q190+Q191</f>
        <v>42000</v>
      </c>
      <c r="R189" s="224">
        <f ca="1">R190+R191</f>
        <v>42000</v>
      </c>
      <c r="S189" s="224">
        <f ca="1">S190+S191</f>
        <v>0</v>
      </c>
      <c r="T189" s="224">
        <f t="shared" ca="1" si="61"/>
        <v>0</v>
      </c>
      <c r="U189" s="224">
        <f t="shared" ca="1" si="62"/>
        <v>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469">
        <v>0</v>
      </c>
      <c r="M190" s="83">
        <v>0</v>
      </c>
      <c r="N190" s="83">
        <v>0</v>
      </c>
      <c r="O190" s="83">
        <f t="shared" si="59"/>
        <v>0</v>
      </c>
      <c r="P190" s="83">
        <f t="shared" si="60"/>
        <v>0</v>
      </c>
      <c r="Q190" s="83">
        <v>0</v>
      </c>
      <c r="R190" s="83">
        <v>0</v>
      </c>
      <c r="S190" s="83">
        <v>0</v>
      </c>
      <c r="T190" s="83">
        <f t="shared" si="61"/>
        <v>0</v>
      </c>
      <c r="U190" s="83">
        <f t="shared" si="62"/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468">
        <f ca="1">IFERROR(__xludf.DUMMYFUNCTION("IMPORTRANGE(""https://docs.google.com/spreadsheets/d/1-uDff_7J0KD5mKrp0Vvzr7lt3OU09vwQwhkpOPPYv2Y/edit?usp=sharing"",""งบพรบ!CU27"")"),452600)</f>
        <v>452600</v>
      </c>
      <c r="M191" s="224">
        <f ca="1">IFERROR(__xludf.DUMMYFUNCTION("IMPORTRANGE(""https://docs.google.com/spreadsheets/d/1-uDff_7J0KD5mKrp0Vvzr7lt3OU09vwQwhkpOPPYv2Y/edit?usp=sharing"",""งบพรบ!CZ27"")"),444800)</f>
        <v>444800</v>
      </c>
      <c r="N191" s="224">
        <f ca="1">IFERROR(__xludf.DUMMYFUNCTION("IMPORTRANGE(""https://docs.google.com/spreadsheets/d/1-uDff_7J0KD5mKrp0Vvzr7lt3OU09vwQwhkpOPPYv2Y/edit?usp=sharing"",""งบพรบ!DB27"")"),272315)</f>
        <v>272315</v>
      </c>
      <c r="O191" s="224">
        <f t="shared" ca="1" si="59"/>
        <v>60.166813963764916</v>
      </c>
      <c r="P191" s="224">
        <f t="shared" ca="1" si="60"/>
        <v>61.221897482014391</v>
      </c>
      <c r="Q191" s="224">
        <f ca="1">IFERROR(__xludf.DUMMYFUNCTION("IMPORTRANGE(""https://docs.google.com/spreadsheets/d/1ItG2mGa2ceCfYo0BwxsXqNm01IGEUdYcSSLTEv9YCik/edit?usp=sharing"",""เบิกจ่ายกองทุน!AV27"")"),42000)</f>
        <v>42000</v>
      </c>
      <c r="R191" s="224">
        <f ca="1">IFERROR(__xludf.DUMMYFUNCTION("IMPORTRANGE(""https://docs.google.com/spreadsheets/d/1ItG2mGa2ceCfYo0BwxsXqNm01IGEUdYcSSLTEv9YCik/edit?usp=sharing"",""เบิกจ่ายกองทุน!AW27"")"),42000)</f>
        <v>42000</v>
      </c>
      <c r="S191" s="224">
        <f ca="1">IFERROR(__xludf.DUMMYFUNCTION("IMPORTRANGE(""https://docs.google.com/spreadsheets/d/1ItG2mGa2ceCfYo0BwxsXqNm01IGEUdYcSSLTEv9YCik/edit?usp=sharing"",""เบิกจ่ายกองทุน!AX27"")"),0)</f>
        <v>0</v>
      </c>
      <c r="T191" s="224">
        <f t="shared" ca="1" si="61"/>
        <v>0</v>
      </c>
      <c r="U191" s="224">
        <f t="shared" ca="1" si="62"/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468">
        <f ca="1">L193+L194</f>
        <v>0</v>
      </c>
      <c r="M192" s="224">
        <f ca="1">M193+M194</f>
        <v>0</v>
      </c>
      <c r="N192" s="224">
        <f ca="1">N193+N194</f>
        <v>0</v>
      </c>
      <c r="O192" s="224">
        <f t="shared" ca="1" si="59"/>
        <v>0</v>
      </c>
      <c r="P192" s="224">
        <f t="shared" ca="1" si="60"/>
        <v>0</v>
      </c>
      <c r="Q192" s="224">
        <f>Q193+Q194</f>
        <v>0</v>
      </c>
      <c r="R192" s="224">
        <f>R193+R194</f>
        <v>0</v>
      </c>
      <c r="S192" s="224">
        <f>S193+S194</f>
        <v>0</v>
      </c>
      <c r="T192" s="224">
        <f t="shared" si="61"/>
        <v>0</v>
      </c>
      <c r="U192" s="224">
        <f t="shared" si="62"/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469">
        <v>0</v>
      </c>
      <c r="M193" s="83">
        <v>0</v>
      </c>
      <c r="N193" s="83">
        <v>0</v>
      </c>
      <c r="O193" s="83">
        <f t="shared" si="59"/>
        <v>0</v>
      </c>
      <c r="P193" s="83">
        <f t="shared" si="60"/>
        <v>0</v>
      </c>
      <c r="Q193" s="83">
        <v>0</v>
      </c>
      <c r="R193" s="83">
        <v>0</v>
      </c>
      <c r="S193" s="83">
        <v>0</v>
      </c>
      <c r="T193" s="83">
        <f t="shared" si="61"/>
        <v>0</v>
      </c>
      <c r="U193" s="83">
        <f t="shared" si="62"/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468">
        <f ca="1">IFERROR(__xludf.DUMMYFUNCTION("IMPORTRANGE(""https://docs.google.com/spreadsheets/d/1-uDff_7J0KD5mKrp0Vvzr7lt3OU09vwQwhkpOPPYv2Y/edit?usp=sharing"",""งบพรบ!CX27"")"),0)</f>
        <v>0</v>
      </c>
      <c r="M194" s="224">
        <f ca="1">IFERROR(__xludf.DUMMYFUNCTION("IMPORTRANGE(""https://docs.google.com/spreadsheets/d/1-uDff_7J0KD5mKrp0Vvzr7lt3OU09vwQwhkpOPPYv2Y/edit?usp=sharing"",""งบพรบ!DA27"")"),0)</f>
        <v>0</v>
      </c>
      <c r="N194" s="224">
        <f ca="1">IFERROR(__xludf.DUMMYFUNCTION("IMPORTRANGE(""https://docs.google.com/spreadsheets/d/1-uDff_7J0KD5mKrp0Vvzr7lt3OU09vwQwhkpOPPYv2Y/edit?usp=sharing"",""งบพรบ!DC27"")"),0)</f>
        <v>0</v>
      </c>
      <c r="O194" s="224">
        <f t="shared" ca="1" si="59"/>
        <v>0</v>
      </c>
      <c r="P194" s="224">
        <f t="shared" ca="1" si="60"/>
        <v>0</v>
      </c>
      <c r="Q194" s="224">
        <v>0</v>
      </c>
      <c r="R194" s="224">
        <v>0</v>
      </c>
      <c r="S194" s="224">
        <v>0</v>
      </c>
      <c r="T194" s="224">
        <f t="shared" si="61"/>
        <v>0</v>
      </c>
      <c r="U194" s="224">
        <f t="shared" si="62"/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ca="1">I198</f>
        <v>4</v>
      </c>
      <c r="J195" s="303">
        <f>J198</f>
        <v>2</v>
      </c>
      <c r="K195" s="304">
        <f ca="1">IF(I195&gt;0,J195*100/I195,0)</f>
        <v>50</v>
      </c>
      <c r="L195" s="557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654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471">
        <f ca="1">IFERROR(__xludf.DUMMYFUNCTION("IMPORTRANGE(""https://docs.google.com/spreadsheets/d/1eHaY18a8A9IcSdp1K8H6x8fbOy06t2VsZHhMHf-1x7Y/edit?usp=sharing"",""แผน!AB27"")"),6000)</f>
        <v>6000</v>
      </c>
      <c r="M196" s="45"/>
      <c r="N196" s="658">
        <v>0</v>
      </c>
      <c r="O196" s="470">
        <f ca="1">IF(L196&gt;0,N196*100/L196,0)</f>
        <v>0</v>
      </c>
      <c r="P196" s="47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498" t="s">
        <v>38</v>
      </c>
      <c r="E197" s="141"/>
      <c r="F197" s="141"/>
      <c r="G197" s="142"/>
      <c r="H197" s="143"/>
      <c r="I197" s="44"/>
      <c r="J197" s="44"/>
      <c r="K197" s="45"/>
      <c r="L197" s="465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IFERROR(__xludf.DUMMYFUNCTION("IMPORTRANGE(""https://docs.google.com/spreadsheets/d/1eHaY18a8A9IcSdp1K8H6x8fbOy06t2VsZHhMHf-1x7Y/edit?usp=sharing"",""แผน!AE27"")"),4)</f>
        <v>4</v>
      </c>
      <c r="J198" s="466">
        <v>2</v>
      </c>
      <c r="K198" s="224">
        <f ca="1">IF(I198&gt;0,J198*100/I198,0)</f>
        <v>50</v>
      </c>
      <c r="L198" s="465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0</v>
      </c>
      <c r="K199" s="45"/>
      <c r="L199" s="465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466">
        <v>0</v>
      </c>
      <c r="K200" s="45"/>
      <c r="L200" s="465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466">
        <v>0</v>
      </c>
      <c r="K201" s="45"/>
      <c r="L201" s="465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ca="1">I209</f>
        <v>3</v>
      </c>
      <c r="J202" s="303">
        <f>J209</f>
        <v>0</v>
      </c>
      <c r="K202" s="304">
        <f ca="1">IF(I202&gt;0,J202*100/I202,0)</f>
        <v>0</v>
      </c>
      <c r="L202" s="557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654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471">
        <f ca="1">L204+L205+L206+L207</f>
        <v>15000</v>
      </c>
      <c r="M203" s="45"/>
      <c r="N203" s="470">
        <f>N204+N205+N206+N207</f>
        <v>0</v>
      </c>
      <c r="O203" s="470">
        <f ca="1">IF(L203&gt;0,N203*100/L203,0)</f>
        <v>0</v>
      </c>
      <c r="P203" s="470">
        <f>IF(M203&gt;0,N203*100/M203,0)</f>
        <v>0</v>
      </c>
      <c r="Q203" s="657">
        <f ca="1">Q204+Q205+Q206+Q207</f>
        <v>42000</v>
      </c>
      <c r="R203" s="656"/>
      <c r="S203" s="655">
        <f>S204+S205+S206+S207</f>
        <v>0</v>
      </c>
      <c r="T203" s="655">
        <f ca="1">IF(Q203&gt;0,S203*100/Q203,0)</f>
        <v>0</v>
      </c>
      <c r="U203" s="655">
        <f>IF(R203&gt;0,S203*100/R203,0)</f>
        <v>0</v>
      </c>
    </row>
    <row r="204" spans="1:21" ht="18.75" x14ac:dyDescent="0.25">
      <c r="A204" s="128"/>
      <c r="B204" s="158"/>
      <c r="C204" s="40"/>
      <c r="D204" s="653" t="s">
        <v>311</v>
      </c>
      <c r="E204" s="40"/>
      <c r="F204" s="40"/>
      <c r="G204" s="42"/>
      <c r="H204" s="134" t="s">
        <v>14</v>
      </c>
      <c r="I204" s="135"/>
      <c r="J204" s="135"/>
      <c r="K204" s="136"/>
      <c r="L204" s="468">
        <f ca="1">IFERROR(__xludf.DUMMYFUNCTION("IMPORTRANGE(""https://docs.google.com/spreadsheets/d/1eHaY18a8A9IcSdp1K8H6x8fbOy06t2VsZHhMHf-1x7Y/edit?usp=sharing"",""แผน!AG27"")"),2000)</f>
        <v>2000</v>
      </c>
      <c r="M204" s="45"/>
      <c r="N204" s="644">
        <v>0</v>
      </c>
      <c r="O204" s="136"/>
      <c r="P204" s="45"/>
      <c r="Q204" s="468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307</v>
      </c>
      <c r="E205" s="40"/>
      <c r="F205" s="40"/>
      <c r="G205" s="42"/>
      <c r="H205" s="43" t="s">
        <v>14</v>
      </c>
      <c r="I205" s="44"/>
      <c r="J205" s="44"/>
      <c r="K205" s="45"/>
      <c r="L205" s="468">
        <f ca="1">IFERROR(__xludf.DUMMYFUNCTION("IMPORTRANGE(""https://docs.google.com/spreadsheets/d/1eHaY18a8A9IcSdp1K8H6x8fbOy06t2VsZHhMHf-1x7Y/edit?usp=sharing"",""แผน!AH27"")"),0)</f>
        <v>0</v>
      </c>
      <c r="M205" s="45"/>
      <c r="N205" s="644">
        <v>0</v>
      </c>
      <c r="O205" s="136"/>
      <c r="P205" s="45"/>
      <c r="Q205" s="468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468">
        <f ca="1">IFERROR(__xludf.DUMMYFUNCTION("IMPORTRANGE(""https://docs.google.com/spreadsheets/d/1eHaY18a8A9IcSdp1K8H6x8fbOy06t2VsZHhMHf-1x7Y/edit?usp=sharing"",""แผน!AI27"")"),0)</f>
        <v>0</v>
      </c>
      <c r="M206" s="45"/>
      <c r="N206" s="644">
        <v>0</v>
      </c>
      <c r="O206" s="136"/>
      <c r="P206" s="45"/>
      <c r="Q206" s="468">
        <f ca="1">IFERROR(__xludf.DUMMYFUNCTION("IMPORTRANGE(""https://docs.google.com/spreadsheets/d/1eHaY18a8A9IcSdp1K8H6x8fbOy06t2VsZHhMHf-1x7Y/edit?usp=sharing"",""แผน!LV27"")"),42000)</f>
        <v>42000</v>
      </c>
      <c r="R206" s="45"/>
      <c r="S206" s="644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468">
        <f ca="1">IFERROR(__xludf.DUMMYFUNCTION("IMPORTRANGE(""https://docs.google.com/spreadsheets/d/1eHaY18a8A9IcSdp1K8H6x8fbOy06t2VsZHhMHf-1x7Y/edit?usp=sharing"",""แผน!AJ27"")"),13000)</f>
        <v>13000</v>
      </c>
      <c r="M207" s="45"/>
      <c r="N207" s="644">
        <v>0</v>
      </c>
      <c r="O207" s="136"/>
      <c r="P207" s="45"/>
      <c r="Q207" s="468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498" t="s">
        <v>38</v>
      </c>
      <c r="E208" s="141"/>
      <c r="F208" s="141"/>
      <c r="G208" s="142"/>
      <c r="H208" s="143"/>
      <c r="I208" s="135"/>
      <c r="J208" s="135"/>
      <c r="K208" s="136"/>
      <c r="L208" s="492"/>
      <c r="M208" s="136"/>
      <c r="N208" s="136"/>
      <c r="O208" s="136"/>
      <c r="P208" s="136"/>
      <c r="Q208" s="4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IFERROR(__xludf.DUMMYFUNCTION("IMPORTRANGE(""https://docs.google.com/spreadsheets/d/1eHaY18a8A9IcSdp1K8H6x8fbOy06t2VsZHhMHf-1x7Y/edit?usp=sharing"",""แผน!AK27"")"),3)</f>
        <v>3</v>
      </c>
      <c r="J209" s="466">
        <v>0</v>
      </c>
      <c r="K209" s="497">
        <f ca="1">IF(I209&gt;0,J209*100/I209,0)</f>
        <v>0</v>
      </c>
      <c r="L209" s="465"/>
      <c r="M209" s="45"/>
      <c r="N209" s="45"/>
      <c r="O209" s="45"/>
      <c r="P209" s="45"/>
      <c r="Q209" s="465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465"/>
      <c r="M210" s="45"/>
      <c r="N210" s="45"/>
      <c r="O210" s="45"/>
      <c r="P210" s="45"/>
      <c r="Q210" s="46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IFERROR(__xludf.DUMMYFUNCTION("IMPORTRANGE(""https://docs.google.com/spreadsheets/d/1eHaY18a8A9IcSdp1K8H6x8fbOy06t2VsZHhMHf-1x7Y/edit?usp=sharing"",""แผน!JX27"")"),2)</f>
        <v>2</v>
      </c>
      <c r="J211" s="466">
        <v>0</v>
      </c>
      <c r="K211" s="497">
        <f ca="1">IF(I211&gt;0,J211*100/I211,0)</f>
        <v>0</v>
      </c>
      <c r="L211" s="465"/>
      <c r="M211" s="45"/>
      <c r="N211" s="45"/>
      <c r="O211" s="45"/>
      <c r="P211" s="45"/>
      <c r="Q211" s="46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IFERROR(__xludf.DUMMYFUNCTION("IMPORTRANGE(""https://docs.google.com/spreadsheets/d/1eHaY18a8A9IcSdp1K8H6x8fbOy06t2VsZHhMHf-1x7Y/edit?usp=sharing"",""แผน!JY27"")"),1)</f>
        <v>1</v>
      </c>
      <c r="J212" s="466">
        <v>0</v>
      </c>
      <c r="K212" s="497">
        <f ca="1">IF(I212&gt;0,J212*100/I212,0)</f>
        <v>0</v>
      </c>
      <c r="L212" s="465"/>
      <c r="M212" s="45"/>
      <c r="N212" s="45"/>
      <c r="O212" s="45"/>
      <c r="P212" s="45"/>
      <c r="Q212" s="465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ca="1">I220</f>
        <v>0</v>
      </c>
      <c r="J213" s="303">
        <f>J220</f>
        <v>0</v>
      </c>
      <c r="K213" s="304">
        <f ca="1">IF(I213&gt;0,J213*100/I213,0)</f>
        <v>0</v>
      </c>
      <c r="L213" s="557"/>
      <c r="M213" s="219"/>
      <c r="N213" s="219"/>
      <c r="O213" s="219"/>
      <c r="P213" s="219"/>
      <c r="Q213" s="557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654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471">
        <f ca="1">L215+L216+L217</f>
        <v>0</v>
      </c>
      <c r="M214" s="45"/>
      <c r="N214" s="470">
        <f>N215+N216+N217</f>
        <v>0</v>
      </c>
      <c r="O214" s="470">
        <f ca="1">IF(L214&gt;0,N214*100/L214,0)</f>
        <v>0</v>
      </c>
      <c r="P214" s="470">
        <f>IF(M214&gt;0,N214*100/M214,0)</f>
        <v>0</v>
      </c>
      <c r="Q214" s="471">
        <f ca="1">Q215+Q216+Q217</f>
        <v>0</v>
      </c>
      <c r="R214" s="45"/>
      <c r="S214" s="470">
        <f>S215+S216+S217</f>
        <v>0</v>
      </c>
      <c r="T214" s="470">
        <f ca="1">IF(Q214&gt;0,S214*100/Q214,0)</f>
        <v>0</v>
      </c>
      <c r="U214" s="470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468">
        <f ca="1">IFERROR(__xludf.DUMMYFUNCTION("IMPORTRANGE(""https://docs.google.com/spreadsheets/d/1eHaY18a8A9IcSdp1K8H6x8fbOy06t2VsZHhMHf-1x7Y/edit?usp=sharing"",""แผน!AM27"")"),0)</f>
        <v>0</v>
      </c>
      <c r="M215" s="45"/>
      <c r="N215" s="644">
        <v>0</v>
      </c>
      <c r="O215" s="136"/>
      <c r="P215" s="45"/>
      <c r="Q215" s="468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468">
        <f ca="1">IFERROR(__xludf.DUMMYFUNCTION("IMPORTRANGE(""https://docs.google.com/spreadsheets/d/1eHaY18a8A9IcSdp1K8H6x8fbOy06t2VsZHhMHf-1x7Y/edit?usp=sharing"",""แผน!AN27"")"),0)</f>
        <v>0</v>
      </c>
      <c r="M216" s="45"/>
      <c r="N216" s="644">
        <v>0</v>
      </c>
      <c r="O216" s="136"/>
      <c r="P216" s="45"/>
      <c r="Q216" s="468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468">
        <f ca="1">IFERROR(__xludf.DUMMYFUNCTION("IMPORTRANGE(""https://docs.google.com/spreadsheets/d/1eHaY18a8A9IcSdp1K8H6x8fbOy06t2VsZHhMHf-1x7Y/edit?usp=sharing"",""แผน!AO27"")"),0)</f>
        <v>0</v>
      </c>
      <c r="M217" s="45"/>
      <c r="N217" s="644">
        <v>0</v>
      </c>
      <c r="O217" s="136"/>
      <c r="P217" s="45"/>
      <c r="Q217" s="468">
        <f ca="1">IFERROR(__xludf.DUMMYFUNCTION("IMPORTRANGE(""https://docs.google.com/spreadsheets/d/1eHaY18a8A9IcSdp1K8H6x8fbOy06t2VsZHhMHf-1x7Y/edit?usp=sharing"",""แผน!LY27"")"),0)</f>
        <v>0</v>
      </c>
      <c r="R217" s="45"/>
      <c r="S217" s="644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498" t="s">
        <v>38</v>
      </c>
      <c r="E218" s="141"/>
      <c r="F218" s="141"/>
      <c r="G218" s="142"/>
      <c r="H218" s="143"/>
      <c r="I218" s="135"/>
      <c r="J218" s="44"/>
      <c r="K218" s="45"/>
      <c r="L218" s="465"/>
      <c r="M218" s="45"/>
      <c r="N218" s="45"/>
      <c r="O218" s="136"/>
      <c r="P218" s="136"/>
      <c r="Q218" s="465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IFERROR(__xludf.DUMMYFUNCTION("IMPORTRANGE(""https://docs.google.com/spreadsheets/d/1eHaY18a8A9IcSdp1K8H6x8fbOy06t2VsZHhMHf-1x7Y/edit?usp=sharing"",""แผน!AP27"")"),0)</f>
        <v>0</v>
      </c>
      <c r="J219" s="466">
        <v>0</v>
      </c>
      <c r="K219" s="224">
        <f ca="1">IF(I219&gt;0,J219*100/I219,0)</f>
        <v>0</v>
      </c>
      <c r="L219" s="465"/>
      <c r="M219" s="45"/>
      <c r="N219" s="45"/>
      <c r="O219" s="45"/>
      <c r="P219" s="45"/>
      <c r="Q219" s="465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IFERROR(__xludf.DUMMYFUNCTION("IMPORTRANGE(""https://docs.google.com/spreadsheets/d/1eHaY18a8A9IcSdp1K8H6x8fbOy06t2VsZHhMHf-1x7Y/edit?usp=sharing"",""แผน!AP27"")"),0)</f>
        <v>0</v>
      </c>
      <c r="J220" s="466">
        <v>0</v>
      </c>
      <c r="K220" s="224">
        <f ca="1">IF(I220&gt;0,J220*100/I220,0)</f>
        <v>0</v>
      </c>
      <c r="L220" s="465"/>
      <c r="M220" s="45"/>
      <c r="N220" s="45"/>
      <c r="O220" s="45"/>
      <c r="P220" s="45"/>
      <c r="Q220" s="465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ca="1">I229</f>
        <v>100000</v>
      </c>
      <c r="J221" s="303">
        <f>J229</f>
        <v>0</v>
      </c>
      <c r="K221" s="304">
        <f ca="1">IF(I221&gt;0,J221*100/I221,0)</f>
        <v>0</v>
      </c>
      <c r="L221" s="557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654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471">
        <f ca="1">L223+L224+L225</f>
        <v>12500</v>
      </c>
      <c r="M222" s="45"/>
      <c r="N222" s="470">
        <f>N223+N224+N225</f>
        <v>0</v>
      </c>
      <c r="O222" s="470">
        <f ca="1">IF(L222&gt;0,N222*100/L222,0)</f>
        <v>0</v>
      </c>
      <c r="P222" s="47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653" t="s">
        <v>308</v>
      </c>
      <c r="E223" s="40"/>
      <c r="F223" s="40"/>
      <c r="G223" s="42"/>
      <c r="H223" s="134" t="s">
        <v>14</v>
      </c>
      <c r="I223" s="135"/>
      <c r="J223" s="135"/>
      <c r="K223" s="136"/>
      <c r="L223" s="468">
        <f ca="1">IFERROR(__xludf.DUMMYFUNCTION("IMPORTRANGE(""https://docs.google.com/spreadsheets/d/1eHaY18a8A9IcSdp1K8H6x8fbOy06t2VsZHhMHf-1x7Y/edit?usp=sharing"",""แผน!AR27"")"),2500)</f>
        <v>2500</v>
      </c>
      <c r="M223" s="45"/>
      <c r="N223" s="644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307</v>
      </c>
      <c r="E224" s="40"/>
      <c r="F224" s="40"/>
      <c r="G224" s="42"/>
      <c r="H224" s="134" t="s">
        <v>14</v>
      </c>
      <c r="I224" s="44"/>
      <c r="J224" s="44"/>
      <c r="K224" s="45"/>
      <c r="L224" s="468">
        <f ca="1">IFERROR(__xludf.DUMMYFUNCTION("IMPORTRANGE(""https://docs.google.com/spreadsheets/d/1eHaY18a8A9IcSdp1K8H6x8fbOy06t2VsZHhMHf-1x7Y/edit?usp=sharing"",""แผน!AS27"")"),10000)</f>
        <v>10000</v>
      </c>
      <c r="M224" s="45"/>
      <c r="N224" s="644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468">
        <f ca="1">IFERROR(__xludf.DUMMYFUNCTION("IMPORTRANGE(""https://docs.google.com/spreadsheets/d/1eHaY18a8A9IcSdp1K8H6x8fbOy06t2VsZHhMHf-1x7Y/edit?usp=sharing"",""แผน!AT27"")"),0)</f>
        <v>0</v>
      </c>
      <c r="M225" s="45"/>
      <c r="N225" s="644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498" t="s">
        <v>38</v>
      </c>
      <c r="E226" s="141"/>
      <c r="F226" s="141"/>
      <c r="G226" s="142"/>
      <c r="H226" s="143"/>
      <c r="I226" s="135"/>
      <c r="J226" s="135"/>
      <c r="K226" s="136"/>
      <c r="L226" s="4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4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IFERROR(__xludf.DUMMYFUNCTION("IMPORTRANGE(""https://docs.google.com/spreadsheets/d/1eHaY18a8A9IcSdp1K8H6x8fbOy06t2VsZHhMHf-1x7Y/edit?usp=sharing"",""แผน!AV27"")"),100000)</f>
        <v>100000</v>
      </c>
      <c r="J228" s="466">
        <v>0</v>
      </c>
      <c r="K228" s="497">
        <f ca="1">IF(I228&gt;0,J228*100/I228,0)</f>
        <v>0</v>
      </c>
      <c r="L228" s="4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IFERROR(__xludf.DUMMYFUNCTION("IMPORTRANGE(""https://docs.google.com/spreadsheets/d/1eHaY18a8A9IcSdp1K8H6x8fbOy06t2VsZHhMHf-1x7Y/edit?usp=sharing"",""แผน!AV27"")"),100000)</f>
        <v>100000</v>
      </c>
      <c r="J229" s="466">
        <v>0</v>
      </c>
      <c r="K229" s="497">
        <f ca="1">IF(I229&gt;0,J229*100/I229,0)</f>
        <v>0</v>
      </c>
      <c r="L229" s="465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IFERROR(__xludf.DUMMYFUNCTION("IMPORTRANGE(""https://docs.google.com/spreadsheets/d/1eHaY18a8A9IcSdp1K8H6x8fbOy06t2VsZHhMHf-1x7Y/edit?usp=sharing"",""แผน!AU27"")"),0)</f>
        <v>0</v>
      </c>
      <c r="J230" s="466">
        <v>0</v>
      </c>
      <c r="K230" s="497">
        <f ca="1">IF(I230&gt;0,J230*100/I230,0)</f>
        <v>0</v>
      </c>
      <c r="L230" s="465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745"/>
      <c r="B231" s="744"/>
      <c r="C231" s="649" t="s">
        <v>105</v>
      </c>
      <c r="D231" s="743"/>
      <c r="E231" s="743"/>
      <c r="F231" s="743"/>
      <c r="G231" s="742"/>
      <c r="H231" s="648" t="s">
        <v>35</v>
      </c>
      <c r="I231" s="647">
        <f ca="1">I242+I253</f>
        <v>40</v>
      </c>
      <c r="J231" s="647">
        <f>J242+J253</f>
        <v>40</v>
      </c>
      <c r="K231" s="646">
        <f ca="1">IF(I231&gt;0,J231*100/I231,0)</f>
        <v>100</v>
      </c>
      <c r="L231" s="557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615"/>
      <c r="B232" s="614"/>
      <c r="C232" s="527" t="s">
        <v>18</v>
      </c>
      <c r="D232" s="494" t="s">
        <v>19</v>
      </c>
      <c r="E232" s="614"/>
      <c r="F232" s="614"/>
      <c r="G232" s="613"/>
      <c r="H232" s="372" t="s">
        <v>14</v>
      </c>
      <c r="I232" s="612"/>
      <c r="J232" s="612"/>
      <c r="K232" s="611"/>
      <c r="L232" s="652">
        <f ca="1">L243+L254</f>
        <v>403100</v>
      </c>
      <c r="M232" s="45"/>
      <c r="N232" s="651">
        <f>N243+N254</f>
        <v>268015</v>
      </c>
      <c r="O232" s="45"/>
      <c r="P232" s="45"/>
      <c r="Q232" s="45"/>
      <c r="R232" s="45"/>
      <c r="S232" s="45"/>
      <c r="T232" s="45"/>
      <c r="U232" s="45"/>
    </row>
    <row r="233" spans="1:21" ht="18.75" hidden="1" x14ac:dyDescent="0.25">
      <c r="A233" s="615"/>
      <c r="B233" s="740"/>
      <c r="C233" s="614"/>
      <c r="D233" s="653" t="s">
        <v>311</v>
      </c>
      <c r="E233" s="614"/>
      <c r="F233" s="614"/>
      <c r="G233" s="613"/>
      <c r="H233" s="159" t="s">
        <v>14</v>
      </c>
      <c r="I233" s="612"/>
      <c r="J233" s="612"/>
      <c r="K233" s="611"/>
      <c r="L233" s="469">
        <f ca="1">L244+L255</f>
        <v>20000</v>
      </c>
      <c r="M233" s="45"/>
      <c r="N233" s="83">
        <f>N244+N255</f>
        <v>10570</v>
      </c>
      <c r="O233" s="45"/>
      <c r="P233" s="45"/>
      <c r="Q233" s="650">
        <v>0</v>
      </c>
      <c r="R233" s="650">
        <v>0</v>
      </c>
      <c r="S233" s="650">
        <v>0</v>
      </c>
      <c r="T233" s="45"/>
      <c r="U233" s="45"/>
    </row>
    <row r="234" spans="1:21" ht="18.75" hidden="1" x14ac:dyDescent="0.25">
      <c r="A234" s="741"/>
      <c r="B234" s="740"/>
      <c r="C234" s="740"/>
      <c r="D234" s="47" t="s">
        <v>87</v>
      </c>
      <c r="E234" s="614"/>
      <c r="F234" s="614"/>
      <c r="G234" s="613"/>
      <c r="H234" s="159" t="s">
        <v>14</v>
      </c>
      <c r="I234" s="619"/>
      <c r="J234" s="619"/>
      <c r="K234" s="618"/>
      <c r="L234" s="469">
        <f ca="1">L245+L256</f>
        <v>242900</v>
      </c>
      <c r="M234" s="45"/>
      <c r="N234" s="83">
        <f>N245+N256</f>
        <v>173000</v>
      </c>
      <c r="O234" s="45"/>
      <c r="P234" s="45"/>
      <c r="Q234" s="650">
        <v>0</v>
      </c>
      <c r="R234" s="650">
        <v>0</v>
      </c>
      <c r="S234" s="650">
        <v>0</v>
      </c>
      <c r="T234" s="45"/>
      <c r="U234" s="45"/>
    </row>
    <row r="235" spans="1:21" ht="18.75" hidden="1" x14ac:dyDescent="0.25">
      <c r="A235" s="741"/>
      <c r="B235" s="740"/>
      <c r="C235" s="740"/>
      <c r="D235" s="47" t="s">
        <v>88</v>
      </c>
      <c r="E235" s="614"/>
      <c r="F235" s="614"/>
      <c r="G235" s="613"/>
      <c r="H235" s="159" t="s">
        <v>14</v>
      </c>
      <c r="I235" s="619"/>
      <c r="J235" s="619"/>
      <c r="K235" s="618"/>
      <c r="L235" s="469">
        <f ca="1">L246+L257</f>
        <v>87200</v>
      </c>
      <c r="M235" s="45"/>
      <c r="N235" s="83">
        <f>N246+N257</f>
        <v>74445</v>
      </c>
      <c r="O235" s="45"/>
      <c r="P235" s="45"/>
      <c r="Q235" s="650">
        <v>0</v>
      </c>
      <c r="R235" s="650">
        <v>0</v>
      </c>
      <c r="S235" s="650">
        <v>0</v>
      </c>
      <c r="T235" s="45"/>
      <c r="U235" s="45"/>
    </row>
    <row r="236" spans="1:21" ht="18.75" hidden="1" x14ac:dyDescent="0.25">
      <c r="A236" s="741"/>
      <c r="B236" s="740"/>
      <c r="C236" s="740"/>
      <c r="D236" s="47" t="s">
        <v>89</v>
      </c>
      <c r="E236" s="614"/>
      <c r="F236" s="614"/>
      <c r="G236" s="613"/>
      <c r="H236" s="159" t="s">
        <v>14</v>
      </c>
      <c r="I236" s="619"/>
      <c r="J236" s="619"/>
      <c r="K236" s="618"/>
      <c r="L236" s="469">
        <f ca="1">L247+L258</f>
        <v>53000</v>
      </c>
      <c r="M236" s="45"/>
      <c r="N236" s="83">
        <f>N247+N258</f>
        <v>10000</v>
      </c>
      <c r="O236" s="45"/>
      <c r="P236" s="45"/>
      <c r="Q236" s="650">
        <v>0</v>
      </c>
      <c r="R236" s="650">
        <v>0</v>
      </c>
      <c r="S236" s="650">
        <v>0</v>
      </c>
      <c r="T236" s="45"/>
      <c r="U236" s="45"/>
    </row>
    <row r="237" spans="1:21" ht="19.5" hidden="1" x14ac:dyDescent="0.3">
      <c r="A237" s="737"/>
      <c r="B237" s="736"/>
      <c r="C237" s="643" t="s">
        <v>18</v>
      </c>
      <c r="D237" s="509" t="s">
        <v>38</v>
      </c>
      <c r="E237" s="739"/>
      <c r="F237" s="739"/>
      <c r="G237" s="738"/>
      <c r="H237" s="734"/>
      <c r="I237" s="612"/>
      <c r="J237" s="619"/>
      <c r="K237" s="618"/>
      <c r="L237" s="465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737"/>
      <c r="B238" s="736"/>
      <c r="C238" s="736"/>
      <c r="D238" s="179" t="s">
        <v>108</v>
      </c>
      <c r="E238" s="735"/>
      <c r="F238" s="735"/>
      <c r="G238" s="734"/>
      <c r="H238" s="640" t="s">
        <v>35</v>
      </c>
      <c r="I238" s="430">
        <f ca="1">I249+I260</f>
        <v>40</v>
      </c>
      <c r="J238" s="430">
        <f>J249+J260</f>
        <v>40</v>
      </c>
      <c r="K238" s="83">
        <f ca="1">IF(I238&gt;0,J238*100/I238,0)</f>
        <v>100</v>
      </c>
      <c r="L238" s="465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737"/>
      <c r="B239" s="736"/>
      <c r="C239" s="736"/>
      <c r="D239" s="642" t="s">
        <v>43</v>
      </c>
      <c r="E239" s="735"/>
      <c r="F239" s="735"/>
      <c r="G239" s="734"/>
      <c r="H239" s="734"/>
      <c r="I239" s="619"/>
      <c r="J239" s="619"/>
      <c r="K239" s="618"/>
      <c r="L239" s="465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737"/>
      <c r="B240" s="736"/>
      <c r="C240" s="736"/>
      <c r="D240" s="736"/>
      <c r="E240" s="641" t="s">
        <v>109</v>
      </c>
      <c r="F240" s="735"/>
      <c r="G240" s="734"/>
      <c r="H240" s="640" t="s">
        <v>35</v>
      </c>
      <c r="I240" s="430">
        <f ca="1">I251+I262</f>
        <v>40</v>
      </c>
      <c r="J240" s="430">
        <f>J251+J262</f>
        <v>0</v>
      </c>
      <c r="K240" s="83">
        <f ca="1">IF(I240&gt;0,J240*100/I240,0)</f>
        <v>0</v>
      </c>
      <c r="L240" s="465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737"/>
      <c r="B241" s="736"/>
      <c r="C241" s="736"/>
      <c r="D241" s="736"/>
      <c r="E241" s="641" t="s">
        <v>110</v>
      </c>
      <c r="F241" s="735"/>
      <c r="G241" s="734"/>
      <c r="H241" s="640" t="s">
        <v>61</v>
      </c>
      <c r="I241" s="430">
        <f ca="1">I252+I263</f>
        <v>1</v>
      </c>
      <c r="J241" s="430">
        <f>J252+J263</f>
        <v>0</v>
      </c>
      <c r="K241" s="83">
        <f ca="1">IF(I241&gt;0,J241*100/I241,0)</f>
        <v>0</v>
      </c>
      <c r="L241" s="465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x14ac:dyDescent="0.3">
      <c r="A242" s="733"/>
      <c r="B242" s="732"/>
      <c r="C242" s="731" t="s">
        <v>330</v>
      </c>
      <c r="D242" s="730"/>
      <c r="E242" s="730"/>
      <c r="F242" s="730"/>
      <c r="G242" s="729"/>
      <c r="H242" s="728" t="s">
        <v>35</v>
      </c>
      <c r="I242" s="727">
        <f ca="1">I249</f>
        <v>40</v>
      </c>
      <c r="J242" s="727">
        <f>J249</f>
        <v>40</v>
      </c>
      <c r="K242" s="726">
        <f ca="1">IF(I242&gt;0,J242*100/I242,0)</f>
        <v>100</v>
      </c>
      <c r="L242" s="557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x14ac:dyDescent="0.3">
      <c r="A243" s="610"/>
      <c r="B243" s="609"/>
      <c r="C243" s="624" t="s">
        <v>18</v>
      </c>
      <c r="D243" s="623" t="s">
        <v>19</v>
      </c>
      <c r="E243" s="609"/>
      <c r="F243" s="609"/>
      <c r="G243" s="608"/>
      <c r="H243" s="725" t="s">
        <v>14</v>
      </c>
      <c r="I243" s="601"/>
      <c r="J243" s="601"/>
      <c r="K243" s="599"/>
      <c r="L243" s="471">
        <f ca="1">L244+L245+L246+L247</f>
        <v>403100</v>
      </c>
      <c r="M243" s="45"/>
      <c r="N243" s="470">
        <f>N244+N245+N246+N247</f>
        <v>268015</v>
      </c>
      <c r="O243" s="470">
        <f ca="1">IF(L243&gt;0,N243*100/L243,0)</f>
        <v>66.488464400893079</v>
      </c>
      <c r="P243" s="470">
        <f>IF(M243&gt;0,N243*100/M243,0)</f>
        <v>0</v>
      </c>
      <c r="Q243" s="45"/>
      <c r="R243" s="45"/>
      <c r="S243" s="45"/>
      <c r="T243" s="45"/>
      <c r="U243" s="45"/>
    </row>
    <row r="244" spans="1:21" ht="18.75" x14ac:dyDescent="0.25">
      <c r="A244" s="610"/>
      <c r="B244" s="545"/>
      <c r="C244" s="609"/>
      <c r="D244" s="653" t="s">
        <v>311</v>
      </c>
      <c r="E244" s="609"/>
      <c r="F244" s="609"/>
      <c r="G244" s="608"/>
      <c r="H244" s="617" t="s">
        <v>14</v>
      </c>
      <c r="I244" s="601"/>
      <c r="J244" s="601"/>
      <c r="K244" s="599"/>
      <c r="L244" s="468">
        <f ca="1">IFERROR(__xludf.DUMMYFUNCTION("IMPORTRANGE(""https://docs.google.com/spreadsheets/d/1eHaY18a8A9IcSdp1K8H6x8fbOy06t2VsZHhMHf-1x7Y/edit?usp=sharing"",""แผน!AX27"")"),20000)</f>
        <v>20000</v>
      </c>
      <c r="M244" s="45"/>
      <c r="N244" s="644">
        <v>10570</v>
      </c>
      <c r="O244" s="45"/>
      <c r="P244" s="45"/>
      <c r="Q244" s="45"/>
      <c r="R244" s="45"/>
      <c r="S244" s="45"/>
      <c r="T244" s="45"/>
      <c r="U244" s="45"/>
    </row>
    <row r="245" spans="1:21" ht="18.75" x14ac:dyDescent="0.25">
      <c r="A245" s="724"/>
      <c r="B245" s="545"/>
      <c r="C245" s="545"/>
      <c r="D245" s="47" t="s">
        <v>307</v>
      </c>
      <c r="E245" s="609"/>
      <c r="F245" s="609"/>
      <c r="G245" s="608"/>
      <c r="H245" s="617" t="s">
        <v>14</v>
      </c>
      <c r="I245" s="479"/>
      <c r="J245" s="479"/>
      <c r="K245" s="476"/>
      <c r="L245" s="468">
        <f ca="1">IFERROR(__xludf.DUMMYFUNCTION("IMPORTRANGE(""https://docs.google.com/spreadsheets/d/1eHaY18a8A9IcSdp1K8H6x8fbOy06t2VsZHhMHf-1x7Y/edit?usp=sharing"",""แผน!AY27"")"),242900)</f>
        <v>242900</v>
      </c>
      <c r="M245" s="45"/>
      <c r="N245" s="644">
        <v>173000</v>
      </c>
      <c r="O245" s="45"/>
      <c r="P245" s="45"/>
      <c r="Q245" s="45"/>
      <c r="R245" s="45"/>
      <c r="S245" s="45"/>
      <c r="T245" s="45"/>
      <c r="U245" s="45"/>
    </row>
    <row r="246" spans="1:21" ht="18.75" x14ac:dyDescent="0.25">
      <c r="A246" s="724"/>
      <c r="B246" s="545"/>
      <c r="C246" s="545"/>
      <c r="D246" s="47" t="s">
        <v>88</v>
      </c>
      <c r="E246" s="609"/>
      <c r="F246" s="609"/>
      <c r="G246" s="608"/>
      <c r="H246" s="617" t="s">
        <v>14</v>
      </c>
      <c r="I246" s="479"/>
      <c r="J246" s="479"/>
      <c r="K246" s="476"/>
      <c r="L246" s="468">
        <f ca="1">IFERROR(__xludf.DUMMYFUNCTION("IMPORTRANGE(""https://docs.google.com/spreadsheets/d/1eHaY18a8A9IcSdp1K8H6x8fbOy06t2VsZHhMHf-1x7Y/edit?usp=sharing"",""แผน!AZ27"")"),87200)</f>
        <v>87200</v>
      </c>
      <c r="M246" s="45"/>
      <c r="N246" s="644">
        <v>74445</v>
      </c>
      <c r="O246" s="45"/>
      <c r="P246" s="45"/>
      <c r="Q246" s="45"/>
      <c r="R246" s="45"/>
      <c r="S246" s="45"/>
      <c r="T246" s="45"/>
      <c r="U246" s="45"/>
    </row>
    <row r="247" spans="1:21" ht="18.75" x14ac:dyDescent="0.25">
      <c r="A247" s="724"/>
      <c r="B247" s="545"/>
      <c r="C247" s="545"/>
      <c r="D247" s="47" t="s">
        <v>89</v>
      </c>
      <c r="E247" s="609"/>
      <c r="F247" s="609"/>
      <c r="G247" s="608"/>
      <c r="H247" s="617" t="s">
        <v>14</v>
      </c>
      <c r="I247" s="479"/>
      <c r="J247" s="479"/>
      <c r="K247" s="476"/>
      <c r="L247" s="468">
        <f ca="1">IFERROR(__xludf.DUMMYFUNCTION("IMPORTRANGE(""https://docs.google.com/spreadsheets/d/1eHaY18a8A9IcSdp1K8H6x8fbOy06t2VsZHhMHf-1x7Y/edit?usp=sharing"",""แผน!BA27"")"),53000)</f>
        <v>53000</v>
      </c>
      <c r="M247" s="45"/>
      <c r="N247" s="644">
        <v>10000</v>
      </c>
      <c r="O247" s="45"/>
      <c r="P247" s="45"/>
      <c r="Q247" s="45"/>
      <c r="R247" s="45"/>
      <c r="S247" s="45"/>
      <c r="T247" s="45"/>
      <c r="U247" s="45"/>
    </row>
    <row r="248" spans="1:21" ht="19.5" x14ac:dyDescent="0.3">
      <c r="A248" s="485"/>
      <c r="B248" s="484"/>
      <c r="C248" s="723" t="s">
        <v>18</v>
      </c>
      <c r="D248" s="604" t="s">
        <v>38</v>
      </c>
      <c r="E248" s="603"/>
      <c r="F248" s="603"/>
      <c r="G248" s="602"/>
      <c r="H248" s="481"/>
      <c r="I248" s="601"/>
      <c r="J248" s="479"/>
      <c r="K248" s="476"/>
      <c r="L248" s="465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x14ac:dyDescent="0.25">
      <c r="A249" s="485"/>
      <c r="B249" s="484"/>
      <c r="C249" s="484"/>
      <c r="D249" s="482" t="s">
        <v>108</v>
      </c>
      <c r="E249" s="483"/>
      <c r="F249" s="483"/>
      <c r="G249" s="481"/>
      <c r="H249" s="721" t="s">
        <v>35</v>
      </c>
      <c r="I249" s="487">
        <f ca="1">IFERROR(__xludf.DUMMYFUNCTION("IMPORTRANGE(""https://docs.google.com/spreadsheets/d/1eHaY18a8A9IcSdp1K8H6x8fbOy06t2VsZHhMHf-1x7Y/edit?usp=sharing"",""แผน!BG27"")"),40)</f>
        <v>40</v>
      </c>
      <c r="J249" s="478">
        <v>40</v>
      </c>
      <c r="K249" s="486">
        <f ca="1">IF(I249&gt;0,J249*100/I249,0)</f>
        <v>100</v>
      </c>
      <c r="L249" s="465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x14ac:dyDescent="0.25">
      <c r="A250" s="485"/>
      <c r="B250" s="484"/>
      <c r="C250" s="484"/>
      <c r="D250" s="722" t="s">
        <v>43</v>
      </c>
      <c r="E250" s="483"/>
      <c r="F250" s="483"/>
      <c r="G250" s="481"/>
      <c r="H250" s="481"/>
      <c r="I250" s="479"/>
      <c r="J250" s="479"/>
      <c r="K250" s="476"/>
      <c r="L250" s="465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x14ac:dyDescent="0.25">
      <c r="A251" s="485"/>
      <c r="B251" s="484"/>
      <c r="C251" s="484"/>
      <c r="D251" s="484"/>
      <c r="E251" s="308" t="s">
        <v>109</v>
      </c>
      <c r="F251" s="483"/>
      <c r="G251" s="481"/>
      <c r="H251" s="721" t="s">
        <v>35</v>
      </c>
      <c r="I251" s="487">
        <f ca="1">IFERROR(__xludf.DUMMYFUNCTION("IMPORTRANGE(""https://docs.google.com/spreadsheets/d/1eHaY18a8A9IcSdp1K8H6x8fbOy06t2VsZHhMHf-1x7Y/edit?usp=sharing"",""แผน!KH27"")"),40)</f>
        <v>40</v>
      </c>
      <c r="J251" s="478">
        <v>0</v>
      </c>
      <c r="K251" s="486">
        <f ca="1">IF(I251&gt;0,J251*100/I251,0)</f>
        <v>0</v>
      </c>
      <c r="L251" s="465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x14ac:dyDescent="0.25">
      <c r="A252" s="485"/>
      <c r="B252" s="484"/>
      <c r="C252" s="484"/>
      <c r="D252" s="484"/>
      <c r="E252" s="308" t="s">
        <v>110</v>
      </c>
      <c r="F252" s="483"/>
      <c r="G252" s="481"/>
      <c r="H252" s="721" t="s">
        <v>61</v>
      </c>
      <c r="I252" s="487">
        <f ca="1">IFERROR(__xludf.DUMMYFUNCTION("IMPORTRANGE(""https://docs.google.com/spreadsheets/d/1eHaY18a8A9IcSdp1K8H6x8fbOy06t2VsZHhMHf-1x7Y/edit?usp=sharing"",""แผน!KI27"")"),1)</f>
        <v>1</v>
      </c>
      <c r="J252" s="478">
        <v>0</v>
      </c>
      <c r="K252" s="486">
        <f ca="1">IF(I252&gt;0,J252*100/I252,0)</f>
        <v>0</v>
      </c>
      <c r="L252" s="465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649" t="s">
        <v>112</v>
      </c>
      <c r="D253" s="214"/>
      <c r="E253" s="214"/>
      <c r="F253" s="214"/>
      <c r="G253" s="215"/>
      <c r="H253" s="648" t="s">
        <v>35</v>
      </c>
      <c r="I253" s="647">
        <f ca="1">I260</f>
        <v>0</v>
      </c>
      <c r="J253" s="647">
        <f>J260</f>
        <v>0</v>
      </c>
      <c r="K253" s="646">
        <f ca="1">IF(I253&gt;0,J253*100/I253,0)</f>
        <v>0</v>
      </c>
      <c r="L253" s="557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527" t="s">
        <v>18</v>
      </c>
      <c r="D254" s="645" t="s">
        <v>19</v>
      </c>
      <c r="E254" s="40"/>
      <c r="F254" s="40"/>
      <c r="G254" s="42"/>
      <c r="H254" s="372" t="s">
        <v>14</v>
      </c>
      <c r="I254" s="135"/>
      <c r="J254" s="135"/>
      <c r="K254" s="136"/>
      <c r="L254" s="471">
        <f ca="1">L255+L256+L257+L258</f>
        <v>0</v>
      </c>
      <c r="M254" s="45"/>
      <c r="N254" s="470">
        <f>N255+N256+N257+N258</f>
        <v>0</v>
      </c>
      <c r="O254" s="470">
        <f ca="1">IF(L254&gt;0,N254*100/L254,0)</f>
        <v>0</v>
      </c>
      <c r="P254" s="470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653" t="s">
        <v>311</v>
      </c>
      <c r="E255" s="40"/>
      <c r="F255" s="40"/>
      <c r="G255" s="42"/>
      <c r="H255" s="159" t="s">
        <v>14</v>
      </c>
      <c r="I255" s="135"/>
      <c r="J255" s="135"/>
      <c r="K255" s="136"/>
      <c r="L255" s="468">
        <f ca="1">IFERROR(__xludf.DUMMYFUNCTION("IMPORTRANGE(""https://docs.google.com/spreadsheets/d/1eHaY18a8A9IcSdp1K8H6x8fbOy06t2VsZHhMHf-1x7Y/edit?usp=sharing"",""แผน!BB27"")"),0)</f>
        <v>0</v>
      </c>
      <c r="M255" s="45"/>
      <c r="N255" s="644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47" t="s">
        <v>87</v>
      </c>
      <c r="E256" s="40"/>
      <c r="F256" s="40"/>
      <c r="G256" s="42"/>
      <c r="H256" s="159" t="s">
        <v>14</v>
      </c>
      <c r="I256" s="44"/>
      <c r="J256" s="44"/>
      <c r="K256" s="45"/>
      <c r="L256" s="468">
        <f ca="1">IFERROR(__xludf.DUMMYFUNCTION("IMPORTRANGE(""https://docs.google.com/spreadsheets/d/1eHaY18a8A9IcSdp1K8H6x8fbOy06t2VsZHhMHf-1x7Y/edit?usp=sharing"",""แผน!BC27"")"),0)</f>
        <v>0</v>
      </c>
      <c r="M256" s="45"/>
      <c r="N256" s="644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47" t="s">
        <v>88</v>
      </c>
      <c r="E257" s="40"/>
      <c r="F257" s="40"/>
      <c r="G257" s="42"/>
      <c r="H257" s="159" t="s">
        <v>14</v>
      </c>
      <c r="I257" s="44"/>
      <c r="J257" s="44"/>
      <c r="K257" s="45"/>
      <c r="L257" s="468">
        <f ca="1">IFERROR(__xludf.DUMMYFUNCTION("IMPORTRANGE(""https://docs.google.com/spreadsheets/d/1eHaY18a8A9IcSdp1K8H6x8fbOy06t2VsZHhMHf-1x7Y/edit?usp=sharing"",""แผน!BD27"")"),0)</f>
        <v>0</v>
      </c>
      <c r="M257" s="45"/>
      <c r="N257" s="644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47" t="s">
        <v>89</v>
      </c>
      <c r="E258" s="40"/>
      <c r="F258" s="40"/>
      <c r="G258" s="42"/>
      <c r="H258" s="159" t="s">
        <v>14</v>
      </c>
      <c r="I258" s="44"/>
      <c r="J258" s="44"/>
      <c r="K258" s="45"/>
      <c r="L258" s="468">
        <f ca="1">IFERROR(__xludf.DUMMYFUNCTION("IMPORTRANGE(""https://docs.google.com/spreadsheets/d/1eHaY18a8A9IcSdp1K8H6x8fbOy06t2VsZHhMHf-1x7Y/edit?usp=sharing"",""แผน!BE27"")"),0)</f>
        <v>0</v>
      </c>
      <c r="M258" s="45"/>
      <c r="N258" s="644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643" t="s">
        <v>18</v>
      </c>
      <c r="D259" s="509" t="s">
        <v>38</v>
      </c>
      <c r="E259" s="141"/>
      <c r="F259" s="141"/>
      <c r="G259" s="142"/>
      <c r="H259" s="143"/>
      <c r="I259" s="135"/>
      <c r="J259" s="44"/>
      <c r="K259" s="45"/>
      <c r="L259" s="465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640" t="s">
        <v>35</v>
      </c>
      <c r="I260" s="430">
        <f ca="1">IFERROR(__xludf.DUMMYFUNCTION("IMPORTRANGE(""https://docs.google.com/spreadsheets/d/1eHaY18a8A9IcSdp1K8H6x8fbOy06t2VsZHhMHf-1x7Y/edit?usp=sharing"",""แผน!BH27"")"),0)</f>
        <v>0</v>
      </c>
      <c r="J260" s="525">
        <v>0</v>
      </c>
      <c r="K260" s="83">
        <f ca="1">IF(I260&gt;0,J260*100/I260,0)</f>
        <v>0</v>
      </c>
      <c r="L260" s="465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642" t="s">
        <v>43</v>
      </c>
      <c r="E261" s="145"/>
      <c r="F261" s="145"/>
      <c r="G261" s="143"/>
      <c r="H261" s="143"/>
      <c r="I261" s="44"/>
      <c r="J261" s="44"/>
      <c r="K261" s="45"/>
      <c r="L261" s="465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1" t="s">
        <v>109</v>
      </c>
      <c r="F262" s="145"/>
      <c r="G262" s="143"/>
      <c r="H262" s="640" t="s">
        <v>35</v>
      </c>
      <c r="I262" s="44"/>
      <c r="J262" s="525">
        <v>0</v>
      </c>
      <c r="K262" s="83">
        <f>IF(I262&gt;0,J262*100/I262,0)</f>
        <v>0</v>
      </c>
      <c r="L262" s="465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641" t="s">
        <v>110</v>
      </c>
      <c r="F263" s="145"/>
      <c r="G263" s="143"/>
      <c r="H263" s="640" t="s">
        <v>61</v>
      </c>
      <c r="I263" s="44"/>
      <c r="J263" s="525">
        <v>0</v>
      </c>
      <c r="K263" s="83">
        <f>IF(I263&gt;0,J263*100/I263,0)</f>
        <v>0</v>
      </c>
      <c r="L263" s="465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639" t="s">
        <v>113</v>
      </c>
      <c r="B264" s="638"/>
      <c r="C264" s="638"/>
      <c r="D264" s="637"/>
      <c r="E264" s="637"/>
      <c r="F264" s="637"/>
      <c r="G264" s="636"/>
      <c r="H264" s="636"/>
      <c r="I264" s="635"/>
      <c r="J264" s="635"/>
      <c r="K264" s="633"/>
      <c r="L264" s="634"/>
      <c r="M264" s="633"/>
      <c r="N264" s="633"/>
      <c r="O264" s="633"/>
      <c r="P264" s="633"/>
      <c r="Q264" s="633"/>
      <c r="R264" s="633"/>
      <c r="S264" s="633"/>
      <c r="T264" s="633"/>
      <c r="U264" s="633"/>
    </row>
    <row r="265" spans="1:21" ht="19.5" x14ac:dyDescent="0.3">
      <c r="A265" s="632"/>
      <c r="B265" s="631" t="s">
        <v>114</v>
      </c>
      <c r="C265" s="630"/>
      <c r="D265" s="603"/>
      <c r="E265" s="603"/>
      <c r="F265" s="603"/>
      <c r="G265" s="602"/>
      <c r="H265" s="629" t="s">
        <v>35</v>
      </c>
      <c r="I265" s="628">
        <f ca="1">I276</f>
        <v>22</v>
      </c>
      <c r="J265" s="628">
        <f>J276</f>
        <v>22</v>
      </c>
      <c r="K265" s="627">
        <f ca="1">IF(I265&gt;0,J265*100/I265,0)</f>
        <v>100</v>
      </c>
      <c r="L265" s="626"/>
      <c r="M265" s="625"/>
      <c r="N265" s="625"/>
      <c r="O265" s="625"/>
      <c r="P265" s="625"/>
      <c r="Q265" s="625"/>
      <c r="R265" s="625"/>
      <c r="S265" s="625"/>
      <c r="T265" s="625"/>
      <c r="U265" s="625"/>
    </row>
    <row r="266" spans="1:21" ht="19.5" x14ac:dyDescent="0.3">
      <c r="A266" s="610"/>
      <c r="B266" s="609"/>
      <c r="C266" s="624" t="s">
        <v>18</v>
      </c>
      <c r="D266" s="623" t="s">
        <v>19</v>
      </c>
      <c r="E266" s="609"/>
      <c r="F266" s="609"/>
      <c r="G266" s="608"/>
      <c r="H266" s="622" t="s">
        <v>14</v>
      </c>
      <c r="I266" s="479"/>
      <c r="J266" s="479"/>
      <c r="K266" s="476"/>
      <c r="L266" s="621">
        <f ca="1">L267+L268</f>
        <v>0</v>
      </c>
      <c r="M266" s="620">
        <f ca="1">M267+M268</f>
        <v>5000</v>
      </c>
      <c r="N266" s="620">
        <f ca="1">N267+N268</f>
        <v>0</v>
      </c>
      <c r="O266" s="620">
        <f t="shared" ref="O266:O274" ca="1" si="65">IF(L266&gt;0,N266*100/L266,0)</f>
        <v>0</v>
      </c>
      <c r="P266" s="620">
        <f t="shared" ref="P266:P274" ca="1" si="66">IF(M266&gt;0,N266*100/M266,0)</f>
        <v>0</v>
      </c>
      <c r="Q266" s="620">
        <f ca="1">Q267+Q268</f>
        <v>50660</v>
      </c>
      <c r="R266" s="620">
        <f ca="1">R267+R268</f>
        <v>50660</v>
      </c>
      <c r="S266" s="620">
        <f ca="1">S267+S268</f>
        <v>38281</v>
      </c>
      <c r="T266" s="620">
        <f t="shared" ref="T266:T274" ca="1" si="67">IF(Q266&gt;0,S266*100/Q266,0)</f>
        <v>75.564547966837736</v>
      </c>
      <c r="U266" s="620">
        <f t="shared" ref="U266:U274" ca="1" si="68">IF(R266&gt;0,S266*100/R266,0)</f>
        <v>75.564547966837736</v>
      </c>
    </row>
    <row r="267" spans="1:21" ht="18.75" hidden="1" x14ac:dyDescent="0.25">
      <c r="A267" s="615"/>
      <c r="B267" s="614"/>
      <c r="C267" s="614"/>
      <c r="D267" s="614"/>
      <c r="E267" s="156" t="s">
        <v>20</v>
      </c>
      <c r="F267" s="614"/>
      <c r="G267" s="613"/>
      <c r="H267" s="157" t="s">
        <v>14</v>
      </c>
      <c r="I267" s="619"/>
      <c r="J267" s="619"/>
      <c r="K267" s="618"/>
      <c r="L267" s="469">
        <f t="shared" ref="L267:N268" si="69">L270+L273</f>
        <v>0</v>
      </c>
      <c r="M267" s="83">
        <f t="shared" si="69"/>
        <v>0</v>
      </c>
      <c r="N267" s="83">
        <f t="shared" si="69"/>
        <v>0</v>
      </c>
      <c r="O267" s="83">
        <f t="shared" si="65"/>
        <v>0</v>
      </c>
      <c r="P267" s="83">
        <f t="shared" si="66"/>
        <v>0</v>
      </c>
      <c r="Q267" s="83">
        <f t="shared" ref="Q267:S268" si="70">Q270+Q273</f>
        <v>0</v>
      </c>
      <c r="R267" s="83">
        <f t="shared" si="70"/>
        <v>0</v>
      </c>
      <c r="S267" s="83">
        <f t="shared" si="70"/>
        <v>0</v>
      </c>
      <c r="T267" s="83">
        <f t="shared" si="67"/>
        <v>0</v>
      </c>
      <c r="U267" s="83">
        <f t="shared" si="68"/>
        <v>0</v>
      </c>
    </row>
    <row r="268" spans="1:21" ht="18.75" hidden="1" x14ac:dyDescent="0.25">
      <c r="A268" s="610"/>
      <c r="B268" s="609"/>
      <c r="C268" s="609"/>
      <c r="D268" s="609"/>
      <c r="E268" s="605" t="s">
        <v>21</v>
      </c>
      <c r="F268" s="609"/>
      <c r="G268" s="608"/>
      <c r="H268" s="480" t="s">
        <v>14</v>
      </c>
      <c r="I268" s="479"/>
      <c r="J268" s="479"/>
      <c r="K268" s="476"/>
      <c r="L268" s="606">
        <f t="shared" ca="1" si="69"/>
        <v>0</v>
      </c>
      <c r="M268" s="486">
        <f t="shared" ca="1" si="69"/>
        <v>5000</v>
      </c>
      <c r="N268" s="486">
        <f t="shared" ca="1" si="69"/>
        <v>0</v>
      </c>
      <c r="O268" s="486">
        <f t="shared" ca="1" si="65"/>
        <v>0</v>
      </c>
      <c r="P268" s="486">
        <f t="shared" ca="1" si="66"/>
        <v>0</v>
      </c>
      <c r="Q268" s="486">
        <f t="shared" ca="1" si="70"/>
        <v>50660</v>
      </c>
      <c r="R268" s="486">
        <f t="shared" ca="1" si="70"/>
        <v>50660</v>
      </c>
      <c r="S268" s="486">
        <f t="shared" ca="1" si="70"/>
        <v>38281</v>
      </c>
      <c r="T268" s="486">
        <f t="shared" ca="1" si="67"/>
        <v>75.564547966837736</v>
      </c>
      <c r="U268" s="486">
        <f t="shared" ca="1" si="68"/>
        <v>75.564547966837736</v>
      </c>
    </row>
    <row r="269" spans="1:21" ht="18.75" x14ac:dyDescent="0.25">
      <c r="A269" s="610"/>
      <c r="B269" s="609"/>
      <c r="C269" s="609"/>
      <c r="D269" s="616" t="s">
        <v>22</v>
      </c>
      <c r="E269" s="609"/>
      <c r="F269" s="609"/>
      <c r="G269" s="608"/>
      <c r="H269" s="617" t="s">
        <v>14</v>
      </c>
      <c r="I269" s="601"/>
      <c r="J269" s="601"/>
      <c r="K269" s="599"/>
      <c r="L269" s="606">
        <f ca="1">L270+L271</f>
        <v>0</v>
      </c>
      <c r="M269" s="486">
        <f ca="1">M270+M271</f>
        <v>5000</v>
      </c>
      <c r="N269" s="486">
        <f ca="1">N270+N271</f>
        <v>0</v>
      </c>
      <c r="O269" s="486">
        <f t="shared" ca="1" si="65"/>
        <v>0</v>
      </c>
      <c r="P269" s="486">
        <f t="shared" ca="1" si="66"/>
        <v>0</v>
      </c>
      <c r="Q269" s="486">
        <f ca="1">Q270+Q271</f>
        <v>50660</v>
      </c>
      <c r="R269" s="486">
        <f ca="1">R270+R271</f>
        <v>50660</v>
      </c>
      <c r="S269" s="486">
        <f ca="1">S270+S271</f>
        <v>38281</v>
      </c>
      <c r="T269" s="486">
        <f t="shared" ca="1" si="67"/>
        <v>75.564547966837736</v>
      </c>
      <c r="U269" s="486">
        <f t="shared" ca="1" si="68"/>
        <v>75.564547966837736</v>
      </c>
    </row>
    <row r="270" spans="1:21" ht="18.75" hidden="1" x14ac:dyDescent="0.25">
      <c r="A270" s="615"/>
      <c r="B270" s="614"/>
      <c r="C270" s="614"/>
      <c r="D270" s="614"/>
      <c r="E270" s="156" t="s">
        <v>36</v>
      </c>
      <c r="F270" s="614"/>
      <c r="G270" s="613"/>
      <c r="H270" s="159" t="s">
        <v>14</v>
      </c>
      <c r="I270" s="612"/>
      <c r="J270" s="612"/>
      <c r="K270" s="611"/>
      <c r="L270" s="469">
        <v>0</v>
      </c>
      <c r="M270" s="83">
        <v>0</v>
      </c>
      <c r="N270" s="83">
        <v>0</v>
      </c>
      <c r="O270" s="83">
        <f t="shared" si="65"/>
        <v>0</v>
      </c>
      <c r="P270" s="83">
        <f t="shared" si="66"/>
        <v>0</v>
      </c>
      <c r="Q270" s="83">
        <v>0</v>
      </c>
      <c r="R270" s="83">
        <v>0</v>
      </c>
      <c r="S270" s="83">
        <v>0</v>
      </c>
      <c r="T270" s="83">
        <f t="shared" si="67"/>
        <v>0</v>
      </c>
      <c r="U270" s="83">
        <f t="shared" si="68"/>
        <v>0</v>
      </c>
    </row>
    <row r="271" spans="1:21" ht="18.75" hidden="1" x14ac:dyDescent="0.25">
      <c r="A271" s="610"/>
      <c r="B271" s="609"/>
      <c r="C271" s="609"/>
      <c r="D271" s="609"/>
      <c r="E271" s="605" t="s">
        <v>37</v>
      </c>
      <c r="F271" s="609"/>
      <c r="G271" s="608"/>
      <c r="H271" s="617" t="s">
        <v>14</v>
      </c>
      <c r="I271" s="601"/>
      <c r="J271" s="601"/>
      <c r="K271" s="599"/>
      <c r="L271" s="606">
        <f ca="1">IFERROR(__xludf.DUMMYFUNCTION("IMPORTRANGE(""https://docs.google.com/spreadsheets/d/1-uDff_7J0KD5mKrp0Vvzr7lt3OU09vwQwhkpOPPYv2Y/edit?usp=sharing"",""งบพรบ!DE27"")"),0)</f>
        <v>0</v>
      </c>
      <c r="M271" s="486">
        <f ca="1">IFERROR(__xludf.DUMMYFUNCTION("IMPORTRANGE(""https://docs.google.com/spreadsheets/d/1-uDff_7J0KD5mKrp0Vvzr7lt3OU09vwQwhkpOPPYv2Y/edit?usp=sharing"",""งบพรบ!DJ27"")"),5000)</f>
        <v>5000</v>
      </c>
      <c r="N271" s="486">
        <f ca="1">IFERROR(__xludf.DUMMYFUNCTION("IMPORTRANGE(""https://docs.google.com/spreadsheets/d/1-uDff_7J0KD5mKrp0Vvzr7lt3OU09vwQwhkpOPPYv2Y/edit?usp=sharing"",""งบพรบ!DL27"")"),0)</f>
        <v>0</v>
      </c>
      <c r="O271" s="486">
        <f t="shared" ca="1" si="65"/>
        <v>0</v>
      </c>
      <c r="P271" s="486">
        <f t="shared" ca="1" si="66"/>
        <v>0</v>
      </c>
      <c r="Q271" s="486">
        <f ca="1">IFERROR(__xludf.DUMMYFUNCTION("IMPORTRANGE(""https://docs.google.com/spreadsheets/d/1ItG2mGa2ceCfYo0BwxsXqNm01IGEUdYcSSLTEv9YCik/edit?usp=sharing"",""เบิกจ่ายกองทุน!AJ27"")"),50660)</f>
        <v>50660</v>
      </c>
      <c r="R271" s="486">
        <f ca="1">IFERROR(__xludf.DUMMYFUNCTION("IMPORTRANGE(""https://docs.google.com/spreadsheets/d/1ItG2mGa2ceCfYo0BwxsXqNm01IGEUdYcSSLTEv9YCik/edit?usp=sharing"",""เบิกจ่ายกองทุน!AK27"")"),50660)</f>
        <v>50660</v>
      </c>
      <c r="S271" s="486">
        <f ca="1">IFERROR(__xludf.DUMMYFUNCTION("IMPORTRANGE(""https://docs.google.com/spreadsheets/d/1ItG2mGa2ceCfYo0BwxsXqNm01IGEUdYcSSLTEv9YCik/edit?usp=sharing"",""เบิกจ่ายกองทุน!AL27"")"),38281)</f>
        <v>38281</v>
      </c>
      <c r="T271" s="486">
        <f t="shared" ca="1" si="67"/>
        <v>75.564547966837736</v>
      </c>
      <c r="U271" s="486">
        <f t="shared" ca="1" si="68"/>
        <v>75.564547966837736</v>
      </c>
    </row>
    <row r="272" spans="1:21" ht="18.75" x14ac:dyDescent="0.25">
      <c r="A272" s="610"/>
      <c r="B272" s="609"/>
      <c r="C272" s="609"/>
      <c r="D272" s="616" t="s">
        <v>23</v>
      </c>
      <c r="E272" s="609"/>
      <c r="F272" s="609"/>
      <c r="G272" s="608"/>
      <c r="H272" s="607" t="s">
        <v>14</v>
      </c>
      <c r="I272" s="601"/>
      <c r="J272" s="601"/>
      <c r="K272" s="599"/>
      <c r="L272" s="606">
        <f ca="1">L273+L274</f>
        <v>0</v>
      </c>
      <c r="M272" s="486">
        <f ca="1">M273+M274</f>
        <v>0</v>
      </c>
      <c r="N272" s="486">
        <f ca="1">N273+N274</f>
        <v>0</v>
      </c>
      <c r="O272" s="486">
        <f t="shared" ca="1" si="65"/>
        <v>0</v>
      </c>
      <c r="P272" s="486">
        <f t="shared" ca="1" si="66"/>
        <v>0</v>
      </c>
      <c r="Q272" s="486">
        <f>Q273+Q274</f>
        <v>0</v>
      </c>
      <c r="R272" s="486">
        <f>R273+R274</f>
        <v>0</v>
      </c>
      <c r="S272" s="486">
        <f>S273+S274</f>
        <v>0</v>
      </c>
      <c r="T272" s="486">
        <f t="shared" si="67"/>
        <v>0</v>
      </c>
      <c r="U272" s="486">
        <f t="shared" si="68"/>
        <v>0</v>
      </c>
    </row>
    <row r="273" spans="1:21" ht="18.75" hidden="1" x14ac:dyDescent="0.25">
      <c r="A273" s="615"/>
      <c r="B273" s="614"/>
      <c r="C273" s="614"/>
      <c r="D273" s="614"/>
      <c r="E273" s="156" t="s">
        <v>20</v>
      </c>
      <c r="F273" s="614"/>
      <c r="G273" s="613"/>
      <c r="H273" s="159" t="s">
        <v>14</v>
      </c>
      <c r="I273" s="612"/>
      <c r="J273" s="612"/>
      <c r="K273" s="611"/>
      <c r="L273" s="469">
        <v>0</v>
      </c>
      <c r="M273" s="83">
        <v>0</v>
      </c>
      <c r="N273" s="83">
        <v>0</v>
      </c>
      <c r="O273" s="83">
        <f t="shared" si="65"/>
        <v>0</v>
      </c>
      <c r="P273" s="83">
        <f t="shared" si="66"/>
        <v>0</v>
      </c>
      <c r="Q273" s="83">
        <v>0</v>
      </c>
      <c r="R273" s="83">
        <v>0</v>
      </c>
      <c r="S273" s="83">
        <v>0</v>
      </c>
      <c r="T273" s="83">
        <f t="shared" si="67"/>
        <v>0</v>
      </c>
      <c r="U273" s="83">
        <f t="shared" si="68"/>
        <v>0</v>
      </c>
    </row>
    <row r="274" spans="1:21" ht="18.75" hidden="1" x14ac:dyDescent="0.25">
      <c r="A274" s="610"/>
      <c r="B274" s="609"/>
      <c r="C274" s="609"/>
      <c r="D274" s="609"/>
      <c r="E274" s="605" t="s">
        <v>21</v>
      </c>
      <c r="F274" s="609"/>
      <c r="G274" s="608"/>
      <c r="H274" s="607" t="s">
        <v>14</v>
      </c>
      <c r="I274" s="601"/>
      <c r="J274" s="601"/>
      <c r="K274" s="599"/>
      <c r="L274" s="606">
        <f ca="1">IFERROR(__xludf.DUMMYFUNCTION("IMPORTRANGE(""https://docs.google.com/spreadsheets/d/1-uDff_7J0KD5mKrp0Vvzr7lt3OU09vwQwhkpOPPYv2Y/edit?usp=sharing"",""งบพรบ!DH27"")"),0)</f>
        <v>0</v>
      </c>
      <c r="M274" s="486">
        <f ca="1">IFERROR(__xludf.DUMMYFUNCTION("IMPORTRANGE(""https://docs.google.com/spreadsheets/d/1-uDff_7J0KD5mKrp0Vvzr7lt3OU09vwQwhkpOPPYv2Y/edit?usp=sharing"",""งบพรบ!DK27"")"),0)</f>
        <v>0</v>
      </c>
      <c r="N274" s="486">
        <f ca="1">IFERROR(__xludf.DUMMYFUNCTION("IMPORTRANGE(""https://docs.google.com/spreadsheets/d/1-uDff_7J0KD5mKrp0Vvzr7lt3OU09vwQwhkpOPPYv2Y/edit?usp=sharing"",""งบพรบ!DM27"")"),0)</f>
        <v>0</v>
      </c>
      <c r="O274" s="486">
        <f t="shared" ca="1" si="65"/>
        <v>0</v>
      </c>
      <c r="P274" s="486">
        <f t="shared" ca="1" si="66"/>
        <v>0</v>
      </c>
      <c r="Q274" s="486">
        <v>0</v>
      </c>
      <c r="R274" s="486">
        <v>0</v>
      </c>
      <c r="S274" s="486">
        <v>0</v>
      </c>
      <c r="T274" s="486">
        <f t="shared" si="67"/>
        <v>0</v>
      </c>
      <c r="U274" s="486">
        <f t="shared" si="68"/>
        <v>0</v>
      </c>
    </row>
    <row r="275" spans="1:21" ht="19.5" x14ac:dyDescent="0.3">
      <c r="A275" s="485"/>
      <c r="B275" s="484"/>
      <c r="C275" s="605" t="s">
        <v>18</v>
      </c>
      <c r="D275" s="604" t="s">
        <v>38</v>
      </c>
      <c r="E275" s="603"/>
      <c r="F275" s="603"/>
      <c r="G275" s="602"/>
      <c r="H275" s="481"/>
      <c r="I275" s="601"/>
      <c r="J275" s="601"/>
      <c r="K275" s="599"/>
      <c r="L275" s="600"/>
      <c r="M275" s="599"/>
      <c r="N275" s="599"/>
      <c r="O275" s="599"/>
      <c r="P275" s="599"/>
      <c r="Q275" s="599"/>
      <c r="R275" s="599"/>
      <c r="S275" s="599"/>
      <c r="T275" s="599"/>
      <c r="U275" s="599"/>
    </row>
    <row r="276" spans="1:21" ht="18.75" x14ac:dyDescent="0.25">
      <c r="A276" s="598"/>
      <c r="B276" s="597"/>
      <c r="C276" s="597"/>
      <c r="D276" s="596" t="s">
        <v>115</v>
      </c>
      <c r="E276" s="595"/>
      <c r="F276" s="595"/>
      <c r="G276" s="594"/>
      <c r="H276" s="593" t="s">
        <v>35</v>
      </c>
      <c r="I276" s="592">
        <f ca="1">IFERROR(__xludf.DUMMYFUNCTION("IMPORTRANGE(""https://docs.google.com/spreadsheets/d/1eHaY18a8A9IcSdp1K8H6x8fbOy06t2VsZHhMHf-1x7Y/edit?usp=sharing"",""แผน!EC27"")"),22)</f>
        <v>22</v>
      </c>
      <c r="J276" s="444">
        <v>22</v>
      </c>
      <c r="K276" s="591">
        <f ca="1">IF(I276&gt;0,J276*100/I276,0)</f>
        <v>100</v>
      </c>
      <c r="L276" s="465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590" t="s">
        <v>116</v>
      </c>
      <c r="E277" s="252"/>
      <c r="F277" s="252"/>
      <c r="G277" s="253"/>
      <c r="H277" s="589" t="s">
        <v>35</v>
      </c>
      <c r="I277" s="433">
        <v>0</v>
      </c>
      <c r="J277" s="433">
        <v>0</v>
      </c>
      <c r="K277" s="588">
        <v>0</v>
      </c>
      <c r="L277" s="587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58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585">
        <f ca="1">I293</f>
        <v>10</v>
      </c>
      <c r="J280" s="585">
        <f>J293</f>
        <v>12</v>
      </c>
      <c r="K280" s="584">
        <f ca="1">IF(I280&gt;0,J280*100/I280,0)</f>
        <v>120</v>
      </c>
      <c r="L280" s="583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585">
        <f ca="1">I292</f>
        <v>100</v>
      </c>
      <c r="J281" s="585">
        <f>J292</f>
        <v>100</v>
      </c>
      <c r="K281" s="584">
        <f ca="1">IF(I281&gt;0,J281*100/I281,0)</f>
        <v>100</v>
      </c>
      <c r="L281" s="583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472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471">
        <f ca="1">L283+L284</f>
        <v>56120</v>
      </c>
      <c r="M282" s="470">
        <f ca="1">M283+M284</f>
        <v>56120</v>
      </c>
      <c r="N282" s="470">
        <f ca="1">N283+N284</f>
        <v>43420</v>
      </c>
      <c r="O282" s="470">
        <f t="shared" ref="O282:O290" ca="1" si="71">IF(L282&gt;0,N282*100/L282,0)</f>
        <v>77.369921596578763</v>
      </c>
      <c r="P282" s="470">
        <f t="shared" ref="P282:P290" ca="1" si="72">IF(M282&gt;0,N282*100/M282,0)</f>
        <v>77.369921596578763</v>
      </c>
      <c r="Q282" s="470">
        <f>Q283+Q284</f>
        <v>0</v>
      </c>
      <c r="R282" s="470">
        <f>R283+R284</f>
        <v>0</v>
      </c>
      <c r="S282" s="470">
        <f>S283+S284</f>
        <v>0</v>
      </c>
      <c r="T282" s="470">
        <f t="shared" ref="T282:T290" si="73">IF(Q282&gt;0,S282*100/Q282,0)</f>
        <v>0</v>
      </c>
      <c r="U282" s="470">
        <f t="shared" ref="U282:U290" si="74"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469">
        <f t="shared" ref="L283:N284" si="75">L286+L289</f>
        <v>0</v>
      </c>
      <c r="M283" s="83">
        <f t="shared" si="75"/>
        <v>0</v>
      </c>
      <c r="N283" s="83">
        <f t="shared" si="75"/>
        <v>0</v>
      </c>
      <c r="O283" s="83">
        <f t="shared" si="71"/>
        <v>0</v>
      </c>
      <c r="P283" s="83">
        <f t="shared" si="72"/>
        <v>0</v>
      </c>
      <c r="Q283" s="83">
        <f t="shared" ref="Q283:S284" si="76">Q286+Q289</f>
        <v>0</v>
      </c>
      <c r="R283" s="83">
        <f t="shared" si="76"/>
        <v>0</v>
      </c>
      <c r="S283" s="83">
        <f t="shared" si="76"/>
        <v>0</v>
      </c>
      <c r="T283" s="83">
        <f t="shared" si="73"/>
        <v>0</v>
      </c>
      <c r="U283" s="83">
        <f t="shared" si="74"/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468">
        <f t="shared" ca="1" si="75"/>
        <v>56120</v>
      </c>
      <c r="M284" s="224">
        <f t="shared" ca="1" si="75"/>
        <v>56120</v>
      </c>
      <c r="N284" s="224">
        <f t="shared" ca="1" si="75"/>
        <v>43420</v>
      </c>
      <c r="O284" s="224">
        <f t="shared" ca="1" si="71"/>
        <v>77.369921596578763</v>
      </c>
      <c r="P284" s="224">
        <f t="shared" ca="1" si="72"/>
        <v>77.369921596578763</v>
      </c>
      <c r="Q284" s="224">
        <f t="shared" si="76"/>
        <v>0</v>
      </c>
      <c r="R284" s="224">
        <f t="shared" si="76"/>
        <v>0</v>
      </c>
      <c r="S284" s="224">
        <f t="shared" si="76"/>
        <v>0</v>
      </c>
      <c r="T284" s="224">
        <f t="shared" si="73"/>
        <v>0</v>
      </c>
      <c r="U284" s="224">
        <f t="shared" si="74"/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468">
        <f ca="1">L286+L287</f>
        <v>56120</v>
      </c>
      <c r="M285" s="224">
        <f ca="1">M286+M287</f>
        <v>56120</v>
      </c>
      <c r="N285" s="224">
        <f ca="1">N286+N287</f>
        <v>43420</v>
      </c>
      <c r="O285" s="224">
        <f t="shared" ca="1" si="71"/>
        <v>77.369921596578763</v>
      </c>
      <c r="P285" s="224">
        <f t="shared" ca="1" si="72"/>
        <v>77.369921596578763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 t="shared" si="73"/>
        <v>0</v>
      </c>
      <c r="U285" s="224">
        <f t="shared" si="74"/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469">
        <v>0</v>
      </c>
      <c r="M286" s="83">
        <v>0</v>
      </c>
      <c r="N286" s="83">
        <v>0</v>
      </c>
      <c r="O286" s="83">
        <f t="shared" si="71"/>
        <v>0</v>
      </c>
      <c r="P286" s="83">
        <f t="shared" si="72"/>
        <v>0</v>
      </c>
      <c r="Q286" s="83">
        <v>0</v>
      </c>
      <c r="R286" s="83">
        <v>0</v>
      </c>
      <c r="S286" s="83">
        <v>0</v>
      </c>
      <c r="T286" s="83">
        <f t="shared" si="73"/>
        <v>0</v>
      </c>
      <c r="U286" s="83">
        <f t="shared" si="74"/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468">
        <f ca="1">IFERROR(__xludf.DUMMYFUNCTION("IMPORTRANGE(""https://docs.google.com/spreadsheets/d/1-uDff_7J0KD5mKrp0Vvzr7lt3OU09vwQwhkpOPPYv2Y/edit?usp=sharing"",""งบพรบ!DO27"")"),56120)</f>
        <v>56120</v>
      </c>
      <c r="M287" s="224">
        <f ca="1">IFERROR(__xludf.DUMMYFUNCTION("IMPORTRANGE(""https://docs.google.com/spreadsheets/d/1-uDff_7J0KD5mKrp0Vvzr7lt3OU09vwQwhkpOPPYv2Y/edit?usp=sharing"",""งบพรบ!DT27"")"),56120)</f>
        <v>56120</v>
      </c>
      <c r="N287" s="224">
        <f ca="1">IFERROR(__xludf.DUMMYFUNCTION("IMPORTRANGE(""https://docs.google.com/spreadsheets/d/1-uDff_7J0KD5mKrp0Vvzr7lt3OU09vwQwhkpOPPYv2Y/edit?usp=sharing"",""งบพรบ!DV27"")"),43420)</f>
        <v>43420</v>
      </c>
      <c r="O287" s="224">
        <f t="shared" ca="1" si="71"/>
        <v>77.369921596578763</v>
      </c>
      <c r="P287" s="224">
        <f t="shared" ca="1" si="72"/>
        <v>77.369921596578763</v>
      </c>
      <c r="Q287" s="224">
        <v>0</v>
      </c>
      <c r="R287" s="224">
        <v>0</v>
      </c>
      <c r="S287" s="224">
        <v>0</v>
      </c>
      <c r="T287" s="83">
        <f t="shared" si="73"/>
        <v>0</v>
      </c>
      <c r="U287" s="83">
        <f t="shared" si="74"/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468">
        <f ca="1">L289+L290</f>
        <v>0</v>
      </c>
      <c r="M288" s="224">
        <f ca="1">M289+M290</f>
        <v>0</v>
      </c>
      <c r="N288" s="224">
        <f ca="1">N289+N290</f>
        <v>0</v>
      </c>
      <c r="O288" s="224">
        <f t="shared" ca="1" si="71"/>
        <v>0</v>
      </c>
      <c r="P288" s="224">
        <f t="shared" ca="1" si="72"/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 t="shared" si="73"/>
        <v>0</v>
      </c>
      <c r="U288" s="224">
        <f t="shared" si="74"/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469">
        <v>0</v>
      </c>
      <c r="M289" s="83">
        <v>0</v>
      </c>
      <c r="N289" s="83">
        <v>0</v>
      </c>
      <c r="O289" s="83">
        <f t="shared" si="71"/>
        <v>0</v>
      </c>
      <c r="P289" s="83">
        <f t="shared" si="72"/>
        <v>0</v>
      </c>
      <c r="Q289" s="83">
        <v>0</v>
      </c>
      <c r="R289" s="83">
        <v>0</v>
      </c>
      <c r="S289" s="83">
        <v>0</v>
      </c>
      <c r="T289" s="83">
        <f t="shared" si="73"/>
        <v>0</v>
      </c>
      <c r="U289" s="83">
        <f t="shared" si="74"/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468">
        <f ca="1">IFERROR(__xludf.DUMMYFUNCTION("IMPORTRANGE(""https://docs.google.com/spreadsheets/d/1-uDff_7J0KD5mKrp0Vvzr7lt3OU09vwQwhkpOPPYv2Y/edit?usp=sharing"",""งบพรบ!DR27"")"),0)</f>
        <v>0</v>
      </c>
      <c r="M290" s="224">
        <f ca="1">IFERROR(__xludf.DUMMYFUNCTION("IMPORTRANGE(""https://docs.google.com/spreadsheets/d/1-uDff_7J0KD5mKrp0Vvzr7lt3OU09vwQwhkpOPPYv2Y/edit?usp=sharing"",""งบพรบ!DU27"")"),0)</f>
        <v>0</v>
      </c>
      <c r="N290" s="224">
        <f ca="1">IFERROR(__xludf.DUMMYFUNCTION("IMPORTRANGE(""https://docs.google.com/spreadsheets/d/1-uDff_7J0KD5mKrp0Vvzr7lt3OU09vwQwhkpOPPYv2Y/edit?usp=sharing"",""งบพรบ!DW27"")"),0)</f>
        <v>0</v>
      </c>
      <c r="O290" s="224">
        <f t="shared" ca="1" si="71"/>
        <v>0</v>
      </c>
      <c r="P290" s="224">
        <f t="shared" ca="1" si="72"/>
        <v>0</v>
      </c>
      <c r="Q290" s="224">
        <v>0</v>
      </c>
      <c r="R290" s="224">
        <v>0</v>
      </c>
      <c r="S290" s="224">
        <v>0</v>
      </c>
      <c r="T290" s="224">
        <f t="shared" si="73"/>
        <v>0</v>
      </c>
      <c r="U290" s="224">
        <f t="shared" si="74"/>
        <v>0</v>
      </c>
    </row>
    <row r="291" spans="1:21" ht="19.5" x14ac:dyDescent="0.3">
      <c r="A291" s="138"/>
      <c r="B291" s="139"/>
      <c r="C291" s="129" t="s">
        <v>18</v>
      </c>
      <c r="D291" s="498" t="s">
        <v>38</v>
      </c>
      <c r="E291" s="141"/>
      <c r="F291" s="141"/>
      <c r="G291" s="142"/>
      <c r="H291" s="143"/>
      <c r="I291" s="135"/>
      <c r="J291" s="135"/>
      <c r="K291" s="136"/>
      <c r="L291" s="4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IFERROR(__xludf.DUMMYFUNCTION("IMPORTRANGE(""https://docs.google.com/spreadsheets/d/1eHaY18a8A9IcSdp1K8H6x8fbOy06t2VsZHhMHf-1x7Y/edit?usp=sharing"",""แผน!EE27"")"),100)</f>
        <v>100</v>
      </c>
      <c r="J292" s="466">
        <v>100</v>
      </c>
      <c r="K292" s="497">
        <f ca="1">IF(I292&gt;0,J292*100/I292,0)</f>
        <v>100</v>
      </c>
      <c r="L292" s="4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IFERROR(__xludf.DUMMYFUNCTION("IMPORTRANGE(""https://docs.google.com/spreadsheets/d/1eHaY18a8A9IcSdp1K8H6x8fbOy06t2VsZHhMHf-1x7Y/edit?usp=sharing"",""แผน!ED27"")"),10)</f>
        <v>10</v>
      </c>
      <c r="J293" s="328">
        <f>J296</f>
        <v>12</v>
      </c>
      <c r="K293" s="582">
        <f ca="1">IF(I293&gt;0,J293*100/I293,0)</f>
        <v>120</v>
      </c>
      <c r="L293" s="4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4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581">
        <f ca="1">IFERROR(__xludf.DUMMYFUNCTION("IMPORTRANGE(""https://docs.google.com/spreadsheets/d/1eHaY18a8A9IcSdp1K8H6x8fbOy06t2VsZHhMHf-1x7Y/edit?usp=sharing"",""แผน!ED27"")"),10)</f>
        <v>10</v>
      </c>
      <c r="J295" s="466">
        <v>12</v>
      </c>
      <c r="K295" s="497">
        <f ca="1">IF(I295&gt;0,J295*100/I295,0)</f>
        <v>120</v>
      </c>
      <c r="L295" s="4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581">
        <f ca="1">IFERROR(__xludf.DUMMYFUNCTION("IMPORTRANGE(""https://docs.google.com/spreadsheets/d/1eHaY18a8A9IcSdp1K8H6x8fbOy06t2VsZHhMHf-1x7Y/edit?usp=sharing"",""แผน!ED27"")"),10)</f>
        <v>10</v>
      </c>
      <c r="J296" s="466">
        <v>12</v>
      </c>
      <c r="K296" s="497">
        <f ca="1">IF(I296&gt;0,J296*100/I296,0)</f>
        <v>120</v>
      </c>
      <c r="L296" s="4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571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hidden="1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571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580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57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541">
        <f ca="1">I314</f>
        <v>25</v>
      </c>
      <c r="J302" s="541">
        <f>J314</f>
        <v>0</v>
      </c>
      <c r="K302" s="540">
        <f ca="1">IF(I302&gt;0,J302*100/I302,0)</f>
        <v>0</v>
      </c>
      <c r="L302" s="539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472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471">
        <f ca="1">L304+L305</f>
        <v>0</v>
      </c>
      <c r="M303" s="470">
        <f ca="1">M304+M305</f>
        <v>0</v>
      </c>
      <c r="N303" s="470">
        <f ca="1">N304+N305</f>
        <v>0</v>
      </c>
      <c r="O303" s="470">
        <f t="shared" ref="O303:O311" ca="1" si="77">IF(L303&gt;0,N303*100/L303,0)</f>
        <v>0</v>
      </c>
      <c r="P303" s="470">
        <f t="shared" ref="P303:P311" ca="1" si="78">IF(M303&gt;0,N303*100/M303,0)</f>
        <v>0</v>
      </c>
      <c r="Q303" s="470">
        <f ca="1">Q304+Q305</f>
        <v>228095.39</v>
      </c>
      <c r="R303" s="470">
        <f ca="1">R304+R305</f>
        <v>228095</v>
      </c>
      <c r="S303" s="470">
        <f ca="1">S304+S305</f>
        <v>6970</v>
      </c>
      <c r="T303" s="470">
        <f t="shared" ref="T303:T311" ca="1" si="79">IF(Q303&gt;0,S303*100/Q303,0)</f>
        <v>3.0557390923157191</v>
      </c>
      <c r="U303" s="470">
        <f t="shared" ref="U303:U311" ca="1" si="80">IF(R303&gt;0,S303*100/R303,0)</f>
        <v>3.0557443170608738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469">
        <f t="shared" ref="L304:N305" si="81">L307+L310</f>
        <v>0</v>
      </c>
      <c r="M304" s="83">
        <f t="shared" si="81"/>
        <v>0</v>
      </c>
      <c r="N304" s="83">
        <f t="shared" si="81"/>
        <v>0</v>
      </c>
      <c r="O304" s="83">
        <f t="shared" si="77"/>
        <v>0</v>
      </c>
      <c r="P304" s="83">
        <f t="shared" si="78"/>
        <v>0</v>
      </c>
      <c r="Q304" s="83">
        <f t="shared" ref="Q304:S305" si="82">Q307+Q310</f>
        <v>0</v>
      </c>
      <c r="R304" s="83">
        <f t="shared" si="82"/>
        <v>0</v>
      </c>
      <c r="S304" s="83">
        <f t="shared" si="82"/>
        <v>0</v>
      </c>
      <c r="T304" s="83">
        <f t="shared" si="79"/>
        <v>0</v>
      </c>
      <c r="U304" s="83">
        <f t="shared" si="80"/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468">
        <f t="shared" ca="1" si="81"/>
        <v>0</v>
      </c>
      <c r="M305" s="224">
        <f t="shared" ca="1" si="81"/>
        <v>0</v>
      </c>
      <c r="N305" s="224">
        <f t="shared" ca="1" si="81"/>
        <v>0</v>
      </c>
      <c r="O305" s="224">
        <f t="shared" ca="1" si="77"/>
        <v>0</v>
      </c>
      <c r="P305" s="224">
        <f t="shared" ca="1" si="78"/>
        <v>0</v>
      </c>
      <c r="Q305" s="224">
        <f t="shared" ca="1" si="82"/>
        <v>228095.39</v>
      </c>
      <c r="R305" s="224">
        <f t="shared" ca="1" si="82"/>
        <v>228095</v>
      </c>
      <c r="S305" s="224">
        <f t="shared" ca="1" si="82"/>
        <v>6970</v>
      </c>
      <c r="T305" s="224">
        <f t="shared" ca="1" si="79"/>
        <v>3.0557390923157191</v>
      </c>
      <c r="U305" s="224">
        <f t="shared" ca="1" si="80"/>
        <v>3.0557443170608738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468">
        <f ca="1">L307+L308</f>
        <v>0</v>
      </c>
      <c r="M306" s="224">
        <f ca="1">M307+M308</f>
        <v>0</v>
      </c>
      <c r="N306" s="224">
        <f ca="1">N307+N308</f>
        <v>0</v>
      </c>
      <c r="O306" s="224">
        <f t="shared" ca="1" si="77"/>
        <v>0</v>
      </c>
      <c r="P306" s="224">
        <f t="shared" ca="1" si="78"/>
        <v>0</v>
      </c>
      <c r="Q306" s="224">
        <f ca="1">Q307+Q308</f>
        <v>228095.39</v>
      </c>
      <c r="R306" s="224">
        <f ca="1">R307+R308</f>
        <v>228095</v>
      </c>
      <c r="S306" s="224">
        <f ca="1">S307+S308</f>
        <v>6970</v>
      </c>
      <c r="T306" s="224">
        <f t="shared" ca="1" si="79"/>
        <v>3.0557390923157191</v>
      </c>
      <c r="U306" s="224">
        <f t="shared" ca="1" si="80"/>
        <v>3.0557443170608738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469">
        <v>0</v>
      </c>
      <c r="M307" s="83">
        <v>0</v>
      </c>
      <c r="N307" s="83">
        <v>0</v>
      </c>
      <c r="O307" s="83">
        <f t="shared" si="77"/>
        <v>0</v>
      </c>
      <c r="P307" s="83">
        <f t="shared" si="78"/>
        <v>0</v>
      </c>
      <c r="Q307" s="83">
        <v>0</v>
      </c>
      <c r="R307" s="83">
        <v>0</v>
      </c>
      <c r="S307" s="83">
        <v>0</v>
      </c>
      <c r="T307" s="83">
        <f t="shared" si="79"/>
        <v>0</v>
      </c>
      <c r="U307" s="83">
        <f t="shared" si="80"/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468">
        <f ca="1">IFERROR(__xludf.DUMMYFUNCTION("IMPORTRANGE(""https://docs.google.com/spreadsheets/d/1-uDff_7J0KD5mKrp0Vvzr7lt3OU09vwQwhkpOPPYv2Y/edit?usp=sharing"",""งบพรบ!DY27"")"),0)</f>
        <v>0</v>
      </c>
      <c r="M308" s="224">
        <f ca="1">IFERROR(__xludf.DUMMYFUNCTION("IMPORTRANGE(""https://docs.google.com/spreadsheets/d/1-uDff_7J0KD5mKrp0Vvzr7lt3OU09vwQwhkpOPPYv2Y/edit?usp=sharing"",""งบพรบ!ED27"")"),0)</f>
        <v>0</v>
      </c>
      <c r="N308" s="224">
        <f ca="1">IFERROR(__xludf.DUMMYFUNCTION("IMPORTRANGE(""https://docs.google.com/spreadsheets/d/1-uDff_7J0KD5mKrp0Vvzr7lt3OU09vwQwhkpOPPYv2Y/edit?usp=sharing"",""งบพรบ!EF27"")"),0)</f>
        <v>0</v>
      </c>
      <c r="O308" s="224">
        <f t="shared" ca="1" si="77"/>
        <v>0</v>
      </c>
      <c r="P308" s="224">
        <f t="shared" ca="1" si="78"/>
        <v>0</v>
      </c>
      <c r="Q308" s="224">
        <f ca="1">IFERROR(__xludf.DUMMYFUNCTION("IMPORTRANGE(""https://docs.google.com/spreadsheets/d/1ItG2mGa2ceCfYo0BwxsXqNm01IGEUdYcSSLTEv9YCik/edit?usp=sharing"",""เบิกจ่ายกองทุน!AP27"")"),228095.39)</f>
        <v>228095.39</v>
      </c>
      <c r="R308" s="224">
        <f ca="1">IFERROR(__xludf.DUMMYFUNCTION("IMPORTRANGE(""https://docs.google.com/spreadsheets/d/1ItG2mGa2ceCfYo0BwxsXqNm01IGEUdYcSSLTEv9YCik/edit?usp=sharing"",""เบิกจ่ายกองทุน!AQ27"")"),228095)</f>
        <v>228095</v>
      </c>
      <c r="S308" s="224">
        <f ca="1">IFERROR(__xludf.DUMMYFUNCTION("IMPORTRANGE(""https://docs.google.com/spreadsheets/d/1ItG2mGa2ceCfYo0BwxsXqNm01IGEUdYcSSLTEv9YCik/edit?usp=sharing"",""เบิกจ่ายกองทุน!AR27"")"),6970)</f>
        <v>6970</v>
      </c>
      <c r="T308" s="224">
        <f t="shared" ca="1" si="79"/>
        <v>3.0557390923157191</v>
      </c>
      <c r="U308" s="224">
        <f t="shared" ca="1" si="80"/>
        <v>3.0557443170608738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468">
        <f ca="1">L310+L311</f>
        <v>0</v>
      </c>
      <c r="M309" s="224">
        <f ca="1">M310+M311</f>
        <v>0</v>
      </c>
      <c r="N309" s="224">
        <f ca="1">N310+N311</f>
        <v>0</v>
      </c>
      <c r="O309" s="224">
        <f t="shared" ca="1" si="77"/>
        <v>0</v>
      </c>
      <c r="P309" s="224">
        <f t="shared" ca="1" si="78"/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 t="shared" si="79"/>
        <v>0</v>
      </c>
      <c r="U309" s="224">
        <f t="shared" si="80"/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469">
        <v>0</v>
      </c>
      <c r="M310" s="83">
        <v>0</v>
      </c>
      <c r="N310" s="83">
        <v>0</v>
      </c>
      <c r="O310" s="83">
        <f t="shared" si="77"/>
        <v>0</v>
      </c>
      <c r="P310" s="83">
        <f t="shared" si="78"/>
        <v>0</v>
      </c>
      <c r="Q310" s="83">
        <v>0</v>
      </c>
      <c r="R310" s="83">
        <v>0</v>
      </c>
      <c r="S310" s="83">
        <v>0</v>
      </c>
      <c r="T310" s="83">
        <f t="shared" si="79"/>
        <v>0</v>
      </c>
      <c r="U310" s="83">
        <f t="shared" si="80"/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468">
        <f ca="1">IFERROR(__xludf.DUMMYFUNCTION("IMPORTRANGE(""https://docs.google.com/spreadsheets/d/1-uDff_7J0KD5mKrp0Vvzr7lt3OU09vwQwhkpOPPYv2Y/edit?usp=sharing"",""งบพรบ!EB27"")"),0)</f>
        <v>0</v>
      </c>
      <c r="M311" s="224">
        <f ca="1">IFERROR(__xludf.DUMMYFUNCTION("IMPORTRANGE(""https://docs.google.com/spreadsheets/d/1-uDff_7J0KD5mKrp0Vvzr7lt3OU09vwQwhkpOPPYv2Y/edit?usp=sharing"",""งบพรบ!EE27"")"),0)</f>
        <v>0</v>
      </c>
      <c r="N311" s="224">
        <f ca="1">IFERROR(__xludf.DUMMYFUNCTION("IMPORTRANGE(""https://docs.google.com/spreadsheets/d/1-uDff_7J0KD5mKrp0Vvzr7lt3OU09vwQwhkpOPPYv2Y/edit?usp=sharing"",""งบพรบ!EG27"")"),0)</f>
        <v>0</v>
      </c>
      <c r="O311" s="224">
        <f t="shared" ca="1" si="77"/>
        <v>0</v>
      </c>
      <c r="P311" s="224">
        <f t="shared" ca="1" si="78"/>
        <v>0</v>
      </c>
      <c r="Q311" s="224">
        <v>0</v>
      </c>
      <c r="R311" s="224">
        <v>0</v>
      </c>
      <c r="S311" s="224">
        <v>0</v>
      </c>
      <c r="T311" s="224">
        <f t="shared" si="79"/>
        <v>0</v>
      </c>
      <c r="U311" s="224">
        <f t="shared" si="80"/>
        <v>0</v>
      </c>
    </row>
    <row r="312" spans="1:21" ht="19.5" x14ac:dyDescent="0.3">
      <c r="A312" s="138"/>
      <c r="B312" s="139"/>
      <c r="C312" s="129" t="s">
        <v>18</v>
      </c>
      <c r="D312" s="498" t="s">
        <v>38</v>
      </c>
      <c r="E312" s="141"/>
      <c r="F312" s="141"/>
      <c r="G312" s="142"/>
      <c r="H312" s="143"/>
      <c r="I312" s="44"/>
      <c r="J312" s="44"/>
      <c r="K312" s="45"/>
      <c r="L312" s="465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579"/>
      <c r="E313" s="18"/>
      <c r="F313" s="18"/>
      <c r="G313" s="19"/>
      <c r="H313" s="19"/>
      <c r="I313" s="20"/>
      <c r="J313" s="577"/>
      <c r="K313" s="21"/>
      <c r="L313" s="571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IFERROR(__xludf.DUMMYFUNCTION("IMPORTRANGE(""https://docs.google.com/spreadsheets/d/1eHaY18a8A9IcSdp1K8H6x8fbOy06t2VsZHhMHf-1x7Y/edit?usp=sharing"",""แผน!EF27"")"),25)</f>
        <v>25</v>
      </c>
      <c r="J314" s="466">
        <v>0</v>
      </c>
      <c r="K314" s="224">
        <f ca="1">IF(I314&gt;0,J314*100/I314,0)</f>
        <v>0</v>
      </c>
      <c r="L314" s="465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579"/>
      <c r="E315" s="18"/>
      <c r="F315" s="18"/>
      <c r="G315" s="19"/>
      <c r="H315" s="578"/>
      <c r="I315" s="577"/>
      <c r="J315" s="577"/>
      <c r="K315" s="576"/>
      <c r="L315" s="571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579"/>
      <c r="E316" s="18"/>
      <c r="F316" s="18"/>
      <c r="G316" s="19"/>
      <c r="H316" s="578"/>
      <c r="I316" s="577"/>
      <c r="J316" s="577"/>
      <c r="K316" s="576"/>
      <c r="L316" s="571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575"/>
      <c r="E317" s="18"/>
      <c r="F317" s="18"/>
      <c r="G317" s="19"/>
      <c r="H317" s="574"/>
      <c r="I317" s="573"/>
      <c r="J317" s="573"/>
      <c r="K317" s="572"/>
      <c r="L317" s="571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57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hidden="1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541">
        <f ca="1">I330</f>
        <v>0</v>
      </c>
      <c r="J319" s="541">
        <f>J330</f>
        <v>0</v>
      </c>
      <c r="K319" s="540">
        <f ca="1">IF(I319&gt;0,J319*100/I319,0)</f>
        <v>0</v>
      </c>
      <c r="L319" s="539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hidden="1" x14ac:dyDescent="0.3">
      <c r="A320" s="128"/>
      <c r="B320" s="40"/>
      <c r="C320" s="129" t="s">
        <v>18</v>
      </c>
      <c r="D320" s="472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471">
        <f ca="1">L321+L322</f>
        <v>0</v>
      </c>
      <c r="M320" s="470">
        <f ca="1">M321+M322</f>
        <v>0</v>
      </c>
      <c r="N320" s="470">
        <f ca="1">N321+N322</f>
        <v>0</v>
      </c>
      <c r="O320" s="470">
        <f t="shared" ref="O320:O328" ca="1" si="83">IF(L320&gt;0,N320*100/L320,0)</f>
        <v>0</v>
      </c>
      <c r="P320" s="470">
        <f t="shared" ref="P320:P328" ca="1" si="84">IF(M320&gt;0,N320*100/M320,0)</f>
        <v>0</v>
      </c>
      <c r="Q320" s="470">
        <f>Q321+Q322</f>
        <v>0</v>
      </c>
      <c r="R320" s="470">
        <f>R321+R322</f>
        <v>0</v>
      </c>
      <c r="S320" s="470">
        <f>S321+S322</f>
        <v>0</v>
      </c>
      <c r="T320" s="470">
        <f t="shared" ref="T320:T328" si="85">IF(Q320&gt;0,S320*100/Q320,0)</f>
        <v>0</v>
      </c>
      <c r="U320" s="470">
        <f t="shared" ref="U320:U328" si="86"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469">
        <f t="shared" ref="L321:N322" si="87">L324+L327</f>
        <v>0</v>
      </c>
      <c r="M321" s="83">
        <f t="shared" si="87"/>
        <v>0</v>
      </c>
      <c r="N321" s="83">
        <f t="shared" si="87"/>
        <v>0</v>
      </c>
      <c r="O321" s="83">
        <f t="shared" si="83"/>
        <v>0</v>
      </c>
      <c r="P321" s="83">
        <f t="shared" si="84"/>
        <v>0</v>
      </c>
      <c r="Q321" s="83">
        <f t="shared" ref="Q321:S322" si="88">Q324+Q327</f>
        <v>0</v>
      </c>
      <c r="R321" s="83">
        <f t="shared" si="88"/>
        <v>0</v>
      </c>
      <c r="S321" s="83">
        <f t="shared" si="88"/>
        <v>0</v>
      </c>
      <c r="T321" s="83">
        <f t="shared" si="85"/>
        <v>0</v>
      </c>
      <c r="U321" s="83">
        <f t="shared" si="86"/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468">
        <f t="shared" ca="1" si="87"/>
        <v>0</v>
      </c>
      <c r="M322" s="224">
        <f t="shared" ca="1" si="87"/>
        <v>0</v>
      </c>
      <c r="N322" s="224">
        <f t="shared" ca="1" si="87"/>
        <v>0</v>
      </c>
      <c r="O322" s="224">
        <f t="shared" ca="1" si="83"/>
        <v>0</v>
      </c>
      <c r="P322" s="224">
        <f t="shared" ca="1" si="84"/>
        <v>0</v>
      </c>
      <c r="Q322" s="224">
        <f t="shared" si="88"/>
        <v>0</v>
      </c>
      <c r="R322" s="224">
        <f t="shared" si="88"/>
        <v>0</v>
      </c>
      <c r="S322" s="224">
        <f t="shared" si="88"/>
        <v>0</v>
      </c>
      <c r="T322" s="224">
        <f t="shared" si="85"/>
        <v>0</v>
      </c>
      <c r="U322" s="224">
        <f t="shared" si="86"/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468">
        <f ca="1">L324+L325</f>
        <v>0</v>
      </c>
      <c r="M323" s="224">
        <f ca="1">M324+M325</f>
        <v>0</v>
      </c>
      <c r="N323" s="224">
        <f ca="1">N324+N325</f>
        <v>0</v>
      </c>
      <c r="O323" s="224">
        <f t="shared" ca="1" si="83"/>
        <v>0</v>
      </c>
      <c r="P323" s="224">
        <f t="shared" ca="1" si="84"/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 t="shared" si="85"/>
        <v>0</v>
      </c>
      <c r="U323" s="224">
        <f t="shared" si="86"/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469">
        <v>0</v>
      </c>
      <c r="M324" s="83">
        <v>0</v>
      </c>
      <c r="N324" s="83">
        <v>0</v>
      </c>
      <c r="O324" s="83">
        <f t="shared" si="83"/>
        <v>0</v>
      </c>
      <c r="P324" s="83">
        <f t="shared" si="84"/>
        <v>0</v>
      </c>
      <c r="Q324" s="83">
        <v>0</v>
      </c>
      <c r="R324" s="83">
        <v>0</v>
      </c>
      <c r="S324" s="83">
        <v>0</v>
      </c>
      <c r="T324" s="83">
        <f t="shared" si="85"/>
        <v>0</v>
      </c>
      <c r="U324" s="83">
        <f t="shared" si="86"/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468">
        <f ca="1">IFERROR(__xludf.DUMMYFUNCTION("IMPORTRANGE(""https://docs.google.com/spreadsheets/d/1-uDff_7J0KD5mKrp0Vvzr7lt3OU09vwQwhkpOPPYv2Y/edit?usp=sharing"",""งบพรบ!EI27"")"),0)</f>
        <v>0</v>
      </c>
      <c r="M325" s="224">
        <f ca="1">IFERROR(__xludf.DUMMYFUNCTION("IMPORTRANGE(""https://docs.google.com/spreadsheets/d/1-uDff_7J0KD5mKrp0Vvzr7lt3OU09vwQwhkpOPPYv2Y/edit?usp=sharing"",""งบพรบ!EN27"")"),0)</f>
        <v>0</v>
      </c>
      <c r="N325" s="224">
        <f ca="1">IFERROR(__xludf.DUMMYFUNCTION("IMPORTRANGE(""https://docs.google.com/spreadsheets/d/1-uDff_7J0KD5mKrp0Vvzr7lt3OU09vwQwhkpOPPYv2Y/edit?usp=sharing"",""งบพรบ!EP27"")"),0)</f>
        <v>0</v>
      </c>
      <c r="O325" s="224">
        <f t="shared" ca="1" si="83"/>
        <v>0</v>
      </c>
      <c r="P325" s="224">
        <f t="shared" ca="1" si="84"/>
        <v>0</v>
      </c>
      <c r="Q325" s="224">
        <v>0</v>
      </c>
      <c r="R325" s="224">
        <v>0</v>
      </c>
      <c r="S325" s="224">
        <v>0</v>
      </c>
      <c r="T325" s="224">
        <f t="shared" si="85"/>
        <v>0</v>
      </c>
      <c r="U325" s="224">
        <f t="shared" si="86"/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468">
        <f ca="1">L327+L328</f>
        <v>0</v>
      </c>
      <c r="M326" s="224">
        <f ca="1">M327+M328</f>
        <v>0</v>
      </c>
      <c r="N326" s="224">
        <f ca="1">N327+N328</f>
        <v>0</v>
      </c>
      <c r="O326" s="224">
        <f t="shared" ca="1" si="83"/>
        <v>0</v>
      </c>
      <c r="P326" s="224">
        <f t="shared" ca="1" si="84"/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 t="shared" si="85"/>
        <v>0</v>
      </c>
      <c r="U326" s="224">
        <f t="shared" si="86"/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469">
        <v>0</v>
      </c>
      <c r="M327" s="83">
        <v>0</v>
      </c>
      <c r="N327" s="83">
        <v>0</v>
      </c>
      <c r="O327" s="83">
        <f t="shared" si="83"/>
        <v>0</v>
      </c>
      <c r="P327" s="83">
        <f t="shared" si="84"/>
        <v>0</v>
      </c>
      <c r="Q327" s="83">
        <v>0</v>
      </c>
      <c r="R327" s="83">
        <v>0</v>
      </c>
      <c r="S327" s="83">
        <v>0</v>
      </c>
      <c r="T327" s="83">
        <f t="shared" si="85"/>
        <v>0</v>
      </c>
      <c r="U327" s="83">
        <f t="shared" si="86"/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468">
        <f ca="1">IFERROR(__xludf.DUMMYFUNCTION("IMPORTRANGE(""https://docs.google.com/spreadsheets/d/1-uDff_7J0KD5mKrp0Vvzr7lt3OU09vwQwhkpOPPYv2Y/edit?usp=sharing"",""งบพรบ!EL27"")"),0)</f>
        <v>0</v>
      </c>
      <c r="M328" s="224">
        <f ca="1">IFERROR(__xludf.DUMMYFUNCTION("IMPORTRANGE(""https://docs.google.com/spreadsheets/d/1-uDff_7J0KD5mKrp0Vvzr7lt3OU09vwQwhkpOPPYv2Y/edit?usp=sharing"",""งบพรบ!EO27"")"),0)</f>
        <v>0</v>
      </c>
      <c r="N328" s="224">
        <f ca="1">IFERROR(__xludf.DUMMYFUNCTION("IMPORTRANGE(""https://docs.google.com/spreadsheets/d/1-uDff_7J0KD5mKrp0Vvzr7lt3OU09vwQwhkpOPPYv2Y/edit?usp=sharing"",""งบพรบ!EQ27"")"),0)</f>
        <v>0</v>
      </c>
      <c r="O328" s="224">
        <f t="shared" ca="1" si="83"/>
        <v>0</v>
      </c>
      <c r="P328" s="224">
        <f t="shared" ca="1" si="84"/>
        <v>0</v>
      </c>
      <c r="Q328" s="224">
        <v>0</v>
      </c>
      <c r="R328" s="224">
        <v>0</v>
      </c>
      <c r="S328" s="224">
        <v>0</v>
      </c>
      <c r="T328" s="224">
        <f t="shared" si="85"/>
        <v>0</v>
      </c>
      <c r="U328" s="224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8" t="s">
        <v>38</v>
      </c>
      <c r="E329" s="141"/>
      <c r="F329" s="141"/>
      <c r="G329" s="142"/>
      <c r="H329" s="143"/>
      <c r="I329" s="135"/>
      <c r="J329" s="44"/>
      <c r="K329" s="45"/>
      <c r="L329" s="465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IFERROR(__xludf.DUMMYFUNCTION("IMPORTRANGE(""https://docs.google.com/spreadsheets/d/1eHaY18a8A9IcSdp1K8H6x8fbOy06t2VsZHhMHf-1x7Y/edit?usp=sharing"",""แผน!EJ27"")"),0)</f>
        <v>0</v>
      </c>
      <c r="J330" s="466">
        <v>0</v>
      </c>
      <c r="K330" s="224">
        <f ca="1">IF(I330&gt;0,J330*100/I330,0)</f>
        <v>0</v>
      </c>
      <c r="L330" s="465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57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569">
        <f ca="1">I344</f>
        <v>460</v>
      </c>
      <c r="J332" s="568">
        <f ca="1">J344+J347+J348+J349+J353</f>
        <v>4111</v>
      </c>
      <c r="K332" s="567">
        <f ca="1">IF(I332&gt;0,J332*100/I332,0)</f>
        <v>893.695652173913</v>
      </c>
      <c r="L332" s="539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472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471">
        <f ca="1">L334+L335</f>
        <v>105000</v>
      </c>
      <c r="M333" s="470">
        <f ca="1">M334+M335</f>
        <v>110000</v>
      </c>
      <c r="N333" s="470">
        <f ca="1">N334+N335</f>
        <v>83301.72</v>
      </c>
      <c r="O333" s="470">
        <f t="shared" ref="O333:O341" ca="1" si="89">IF(L333&gt;0,N333*100/L333,0)</f>
        <v>79.334971428571436</v>
      </c>
      <c r="P333" s="470">
        <f t="shared" ref="P333:P341" ca="1" si="90">IF(M333&gt;0,N333*100/M333,0)</f>
        <v>75.728836363636361</v>
      </c>
      <c r="Q333" s="470">
        <f>Q334+Q335</f>
        <v>0</v>
      </c>
      <c r="R333" s="470">
        <f>R334+R335</f>
        <v>0</v>
      </c>
      <c r="S333" s="470">
        <f>S334+S335</f>
        <v>0</v>
      </c>
      <c r="T333" s="470">
        <f t="shared" ref="T333:T341" si="91">IF(Q333&gt;0,S333*100/Q333,0)</f>
        <v>0</v>
      </c>
      <c r="U333" s="470">
        <f t="shared" ref="U333:U341" si="92"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469">
        <f t="shared" ref="L334:N335" si="93">L337+L340</f>
        <v>0</v>
      </c>
      <c r="M334" s="83">
        <f t="shared" si="93"/>
        <v>0</v>
      </c>
      <c r="N334" s="83">
        <f t="shared" si="93"/>
        <v>0</v>
      </c>
      <c r="O334" s="83">
        <f t="shared" si="89"/>
        <v>0</v>
      </c>
      <c r="P334" s="83">
        <f t="shared" si="90"/>
        <v>0</v>
      </c>
      <c r="Q334" s="83">
        <f t="shared" ref="Q334:S335" si="94">Q337+Q340</f>
        <v>0</v>
      </c>
      <c r="R334" s="83">
        <f t="shared" si="94"/>
        <v>0</v>
      </c>
      <c r="S334" s="83">
        <f t="shared" si="94"/>
        <v>0</v>
      </c>
      <c r="T334" s="83">
        <f t="shared" si="91"/>
        <v>0</v>
      </c>
      <c r="U334" s="83">
        <f t="shared" si="92"/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468">
        <f t="shared" ca="1" si="93"/>
        <v>105000</v>
      </c>
      <c r="M335" s="224">
        <f t="shared" ca="1" si="93"/>
        <v>110000</v>
      </c>
      <c r="N335" s="224">
        <f t="shared" ca="1" si="93"/>
        <v>83301.72</v>
      </c>
      <c r="O335" s="224">
        <f t="shared" ca="1" si="89"/>
        <v>79.334971428571436</v>
      </c>
      <c r="P335" s="224">
        <f t="shared" ca="1" si="90"/>
        <v>75.728836363636361</v>
      </c>
      <c r="Q335" s="224">
        <f t="shared" si="94"/>
        <v>0</v>
      </c>
      <c r="R335" s="224">
        <f t="shared" si="94"/>
        <v>0</v>
      </c>
      <c r="S335" s="224">
        <f t="shared" si="94"/>
        <v>0</v>
      </c>
      <c r="T335" s="224">
        <f t="shared" si="91"/>
        <v>0</v>
      </c>
      <c r="U335" s="224">
        <f t="shared" si="92"/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468">
        <f ca="1">L337+L338</f>
        <v>105000</v>
      </c>
      <c r="M336" s="224">
        <f ca="1">M337+M338</f>
        <v>110000</v>
      </c>
      <c r="N336" s="224">
        <f ca="1">N337+N338</f>
        <v>83301.72</v>
      </c>
      <c r="O336" s="224">
        <f t="shared" ca="1" si="89"/>
        <v>79.334971428571436</v>
      </c>
      <c r="P336" s="224">
        <f t="shared" ca="1" si="90"/>
        <v>75.728836363636361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 t="shared" si="91"/>
        <v>0</v>
      </c>
      <c r="U336" s="224">
        <f t="shared" si="92"/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469">
        <v>0</v>
      </c>
      <c r="M337" s="83">
        <v>0</v>
      </c>
      <c r="N337" s="83">
        <v>0</v>
      </c>
      <c r="O337" s="83">
        <f t="shared" si="89"/>
        <v>0</v>
      </c>
      <c r="P337" s="83">
        <f t="shared" si="90"/>
        <v>0</v>
      </c>
      <c r="Q337" s="83">
        <v>0</v>
      </c>
      <c r="R337" s="83">
        <v>0</v>
      </c>
      <c r="S337" s="83">
        <v>0</v>
      </c>
      <c r="T337" s="83">
        <f t="shared" si="91"/>
        <v>0</v>
      </c>
      <c r="U337" s="83">
        <f t="shared" si="92"/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468">
        <f ca="1">IFERROR(__xludf.DUMMYFUNCTION("IMPORTRANGE(""https://docs.google.com/spreadsheets/d/1-uDff_7J0KD5mKrp0Vvzr7lt3OU09vwQwhkpOPPYv2Y/edit?usp=sharing"",""งบพรบ!ES27"")"),105000)</f>
        <v>105000</v>
      </c>
      <c r="M338" s="224">
        <f ca="1">IFERROR(__xludf.DUMMYFUNCTION("IMPORTRANGE(""https://docs.google.com/spreadsheets/d/1-uDff_7J0KD5mKrp0Vvzr7lt3OU09vwQwhkpOPPYv2Y/edit?usp=sharing"",""งบพรบ!EX27"")"),110000)</f>
        <v>110000</v>
      </c>
      <c r="N338" s="224">
        <f ca="1">IFERROR(__xludf.DUMMYFUNCTION("IMPORTRANGE(""https://docs.google.com/spreadsheets/d/1-uDff_7J0KD5mKrp0Vvzr7lt3OU09vwQwhkpOPPYv2Y/edit?usp=sharing"",""งบพรบ!EZ27"")"),83301.72)</f>
        <v>83301.72</v>
      </c>
      <c r="O338" s="224">
        <f t="shared" ca="1" si="89"/>
        <v>79.334971428571436</v>
      </c>
      <c r="P338" s="224">
        <f t="shared" ca="1" si="90"/>
        <v>75.728836363636361</v>
      </c>
      <c r="Q338" s="224">
        <v>0</v>
      </c>
      <c r="R338" s="224">
        <v>0</v>
      </c>
      <c r="S338" s="224">
        <v>0</v>
      </c>
      <c r="T338" s="224">
        <f t="shared" si="91"/>
        <v>0</v>
      </c>
      <c r="U338" s="224">
        <f t="shared" si="92"/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468">
        <f ca="1">L340+L341</f>
        <v>0</v>
      </c>
      <c r="M339" s="224">
        <f ca="1">M340+M341</f>
        <v>0</v>
      </c>
      <c r="N339" s="224">
        <f ca="1">N340+N341</f>
        <v>0</v>
      </c>
      <c r="O339" s="224">
        <f t="shared" ca="1" si="89"/>
        <v>0</v>
      </c>
      <c r="P339" s="224">
        <f t="shared" ca="1" si="90"/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 t="shared" si="91"/>
        <v>0</v>
      </c>
      <c r="U339" s="224">
        <f t="shared" si="92"/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469">
        <v>0</v>
      </c>
      <c r="M340" s="83">
        <v>0</v>
      </c>
      <c r="N340" s="83">
        <v>0</v>
      </c>
      <c r="O340" s="83">
        <f t="shared" si="89"/>
        <v>0</v>
      </c>
      <c r="P340" s="83">
        <f t="shared" si="90"/>
        <v>0</v>
      </c>
      <c r="Q340" s="83">
        <v>0</v>
      </c>
      <c r="R340" s="83">
        <v>0</v>
      </c>
      <c r="S340" s="83">
        <v>0</v>
      </c>
      <c r="T340" s="83">
        <f t="shared" si="91"/>
        <v>0</v>
      </c>
      <c r="U340" s="83">
        <f t="shared" si="92"/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468">
        <f ca="1">IFERROR(__xludf.DUMMYFUNCTION("IMPORTRANGE(""https://docs.google.com/spreadsheets/d/1-uDff_7J0KD5mKrp0Vvzr7lt3OU09vwQwhkpOPPYv2Y/edit?usp=sharing"",""งบพรบ!EV27"")"),0)</f>
        <v>0</v>
      </c>
      <c r="M341" s="224">
        <f ca="1">IFERROR(__xludf.DUMMYFUNCTION("IMPORTRANGE(""https://docs.google.com/spreadsheets/d/1-uDff_7J0KD5mKrp0Vvzr7lt3OU09vwQwhkpOPPYv2Y/edit?usp=sharing"",""งบพรบ!EY27"")"),0)</f>
        <v>0</v>
      </c>
      <c r="N341" s="224">
        <f ca="1">IFERROR(__xludf.DUMMYFUNCTION("IMPORTRANGE(""https://docs.google.com/spreadsheets/d/1-uDff_7J0KD5mKrp0Vvzr7lt3OU09vwQwhkpOPPYv2Y/edit?usp=sharing"",""งบพรบ!FA27"")"),0)</f>
        <v>0</v>
      </c>
      <c r="O341" s="224">
        <f t="shared" ca="1" si="89"/>
        <v>0</v>
      </c>
      <c r="P341" s="224">
        <f t="shared" ca="1" si="90"/>
        <v>0</v>
      </c>
      <c r="Q341" s="224">
        <v>0</v>
      </c>
      <c r="R341" s="224">
        <v>0</v>
      </c>
      <c r="S341" s="224">
        <v>0</v>
      </c>
      <c r="T341" s="224">
        <f t="shared" si="91"/>
        <v>0</v>
      </c>
      <c r="U341" s="224">
        <f t="shared" si="92"/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465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566"/>
      <c r="B343" s="563"/>
      <c r="C343" s="565"/>
      <c r="D343" s="563"/>
      <c r="E343" s="564" t="s">
        <v>137</v>
      </c>
      <c r="F343" s="563"/>
      <c r="G343" s="562"/>
      <c r="H343" s="561" t="s">
        <v>35</v>
      </c>
      <c r="I343" s="560">
        <v>0</v>
      </c>
      <c r="J343" s="560">
        <f ca="1">J344+J347+J348+J349</f>
        <v>230</v>
      </c>
      <c r="K343" s="559">
        <v>0</v>
      </c>
      <c r="L343" s="557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IFERROR(__xludf.DUMMYFUNCTION("IMPORTRANGE(""https://docs.google.com/spreadsheets/d/1eHaY18a8A9IcSdp1K8H6x8fbOy06t2VsZHhMHf-1x7Y/edit?usp=sharing"",""แผน!EK27"")"),460)</f>
        <v>460</v>
      </c>
      <c r="J344" s="184">
        <f ca="1">IFERROR(__xludf.DUMMYFUNCTION("IMPORTRANGE(""https://docs.google.com/spreadsheets/d/1awYsYK3VOup2i3Pq_Yjnu8DRu_mYwSBnCR2QPthd0rU/edit?usp=sharing"",""ศูนย์ยกเว้นโฉนด!D27"")"),141)</f>
        <v>141</v>
      </c>
      <c r="K344" s="224">
        <f ca="1">IF(I344&gt;0,J344*100/I344,0)</f>
        <v>30.652173913043477</v>
      </c>
      <c r="L344" s="465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465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IFERROR(__xludf.DUMMYFUNCTION("IMPORTRANGE(""https://docs.google.com/spreadsheets/d/1eHaY18a8A9IcSdp1K8H6x8fbOy06t2VsZHhMHf-1x7Y/edit?usp=sharing"",""แผน!EL27"")"),4)</f>
        <v>4</v>
      </c>
      <c r="J346" s="184">
        <f ca="1">IFERROR(__xludf.DUMMYFUNCTION("IMPORTRANGE(""https://docs.google.com/spreadsheets/d/1awYsYK3VOup2i3Pq_Yjnu8DRu_mYwSBnCR2QPthd0rU/edit?usp=sharing"",""ศูนย์รวม!E27"")"),0)</f>
        <v>0</v>
      </c>
      <c r="K346" s="224">
        <f ca="1">IF(I346&gt;0,J346*100/I346,0)</f>
        <v>0</v>
      </c>
      <c r="L346" s="465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IFERROR(__xludf.DUMMYFUNCTION("IMPORTRANGE(""https://docs.google.com/spreadsheets/d/1awYsYK3VOup2i3Pq_Yjnu8DRu_mYwSBnCR2QPthd0rU/edit?usp=sharing"",""ศูนย์ยกเว้นโฉนด!F27"")"),0)</f>
        <v>0</v>
      </c>
      <c r="K347" s="45"/>
      <c r="L347" s="465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IFERROR(__xludf.DUMMYFUNCTION("IMPORTRANGE(""https://docs.google.com/spreadsheets/d/1awYsYK3VOup2i3Pq_Yjnu8DRu_mYwSBnCR2QPthd0rU/edit?usp=sharing"",""ศูนย์ยกเว้นโฉนด!G27"")"),89)</f>
        <v>89</v>
      </c>
      <c r="K348" s="45"/>
      <c r="L348" s="465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IFERROR(__xludf.DUMMYFUNCTION("IMPORTRANGE(""https://docs.google.com/spreadsheets/d/1awYsYK3VOup2i3Pq_Yjnu8DRu_mYwSBnCR2QPthd0rU/edit?usp=sharing"",""ศูนย์ยกเว้นโฉนด!H27"")"),0)</f>
        <v>0</v>
      </c>
      <c r="K349" s="45"/>
      <c r="L349" s="465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0"/>
      <c r="F350" s="40"/>
      <c r="G350" s="42"/>
      <c r="H350" s="180"/>
      <c r="I350" s="44"/>
      <c r="J350" s="44"/>
      <c r="K350" s="45"/>
      <c r="L350" s="465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558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3885</v>
      </c>
      <c r="K351" s="304">
        <v>0</v>
      </c>
      <c r="L351" s="557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IFERROR(__xludf.DUMMYFUNCTION("IMPORTRANGE(""https://docs.google.com/spreadsheets/d/1awYsYK3VOup2i3Pq_Yjnu8DRu_mYwSBnCR2QPthd0rU/edit?usp=sharing"",""โฉนดM3!G27"")"),4)</f>
        <v>4</v>
      </c>
      <c r="K352" s="45"/>
      <c r="L352" s="465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IFERROR(__xludf.DUMMYFUNCTION("IMPORTRANGE(""https://docs.google.com/spreadsheets/d/1awYsYK3VOup2i3Pq_Yjnu8DRu_mYwSBnCR2QPthd0rU/edit?usp=sharing"",""โฉนดM3!H27"")"),3881)</f>
        <v>3881</v>
      </c>
      <c r="K353" s="45"/>
      <c r="L353" s="465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0"/>
      <c r="F354" s="40"/>
      <c r="G354" s="42"/>
      <c r="H354" s="180"/>
      <c r="I354" s="44"/>
      <c r="J354" s="44"/>
      <c r="K354" s="45"/>
      <c r="L354" s="465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539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472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471">
        <f ca="1">L357+L358</f>
        <v>243965</v>
      </c>
      <c r="M356" s="470">
        <f ca="1">M357+M358</f>
        <v>268265</v>
      </c>
      <c r="N356" s="470">
        <f ca="1">N357+N358</f>
        <v>139792</v>
      </c>
      <c r="O356" s="470">
        <f t="shared" ref="O356:O364" ca="1" si="95">IF(L356&gt;0,N356*100/L356,0)</f>
        <v>57.300022544217406</v>
      </c>
      <c r="P356" s="470">
        <f t="shared" ref="P356:P364" ca="1" si="96">IF(M356&gt;0,N356*100/M356,0)</f>
        <v>52.109667679346913</v>
      </c>
      <c r="Q356" s="470">
        <f>Q357+Q358</f>
        <v>0</v>
      </c>
      <c r="R356" s="470">
        <f>R357+R358</f>
        <v>0</v>
      </c>
      <c r="S356" s="470">
        <f>S357+S358</f>
        <v>0</v>
      </c>
      <c r="T356" s="470">
        <f t="shared" ref="T356:T364" si="97">IF(Q356&gt;0,S356*100/Q356,0)</f>
        <v>0</v>
      </c>
      <c r="U356" s="470">
        <f t="shared" ref="U356:U364" si="98"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469">
        <f t="shared" ref="L357:N358" si="99">L360+L363</f>
        <v>0</v>
      </c>
      <c r="M357" s="83">
        <f t="shared" si="99"/>
        <v>0</v>
      </c>
      <c r="N357" s="83">
        <f t="shared" si="99"/>
        <v>0</v>
      </c>
      <c r="O357" s="83">
        <f t="shared" si="95"/>
        <v>0</v>
      </c>
      <c r="P357" s="83">
        <f t="shared" si="96"/>
        <v>0</v>
      </c>
      <c r="Q357" s="83">
        <f t="shared" ref="Q357:S358" si="100">Q360+Q363</f>
        <v>0</v>
      </c>
      <c r="R357" s="83">
        <f t="shared" si="100"/>
        <v>0</v>
      </c>
      <c r="S357" s="83">
        <f t="shared" si="100"/>
        <v>0</v>
      </c>
      <c r="T357" s="83">
        <f t="shared" si="97"/>
        <v>0</v>
      </c>
      <c r="U357" s="83">
        <f t="shared" si="98"/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468">
        <f t="shared" ca="1" si="99"/>
        <v>243965</v>
      </c>
      <c r="M358" s="224">
        <f t="shared" ca="1" si="99"/>
        <v>268265</v>
      </c>
      <c r="N358" s="224">
        <f t="shared" ca="1" si="99"/>
        <v>139792</v>
      </c>
      <c r="O358" s="224">
        <f t="shared" ca="1" si="95"/>
        <v>57.300022544217406</v>
      </c>
      <c r="P358" s="224">
        <f t="shared" ca="1" si="96"/>
        <v>52.109667679346913</v>
      </c>
      <c r="Q358" s="224">
        <f t="shared" si="100"/>
        <v>0</v>
      </c>
      <c r="R358" s="224">
        <f t="shared" si="100"/>
        <v>0</v>
      </c>
      <c r="S358" s="224">
        <f t="shared" si="100"/>
        <v>0</v>
      </c>
      <c r="T358" s="224">
        <f t="shared" si="97"/>
        <v>0</v>
      </c>
      <c r="U358" s="224">
        <f t="shared" si="98"/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468">
        <f ca="1">L360+L361</f>
        <v>243965</v>
      </c>
      <c r="M359" s="224">
        <f ca="1">M360+M361</f>
        <v>268265</v>
      </c>
      <c r="N359" s="224">
        <f ca="1">N360+N361</f>
        <v>139792</v>
      </c>
      <c r="O359" s="224">
        <f t="shared" ca="1" si="95"/>
        <v>57.300022544217406</v>
      </c>
      <c r="P359" s="224">
        <f t="shared" ca="1" si="96"/>
        <v>52.109667679346913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 t="shared" si="97"/>
        <v>0</v>
      </c>
      <c r="U359" s="224">
        <f t="shared" si="98"/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469">
        <v>0</v>
      </c>
      <c r="M360" s="83">
        <v>0</v>
      </c>
      <c r="N360" s="83">
        <v>0</v>
      </c>
      <c r="O360" s="83">
        <f t="shared" si="95"/>
        <v>0</v>
      </c>
      <c r="P360" s="83">
        <f t="shared" si="96"/>
        <v>0</v>
      </c>
      <c r="Q360" s="83">
        <v>0</v>
      </c>
      <c r="R360" s="83">
        <v>0</v>
      </c>
      <c r="S360" s="83">
        <v>0</v>
      </c>
      <c r="T360" s="83">
        <f t="shared" si="97"/>
        <v>0</v>
      </c>
      <c r="U360" s="83">
        <f t="shared" si="98"/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468">
        <f ca="1">IFERROR(__xludf.DUMMYFUNCTION("IMPORTRANGE(""https://docs.google.com/spreadsheets/d/1-uDff_7J0KD5mKrp0Vvzr7lt3OU09vwQwhkpOPPYv2Y/edit?usp=sharing"",""งบพรบ!FC27"")"),243965)</f>
        <v>243965</v>
      </c>
      <c r="M361" s="224">
        <f ca="1">IFERROR(__xludf.DUMMYFUNCTION("IMPORTRANGE(""https://docs.google.com/spreadsheets/d/1-uDff_7J0KD5mKrp0Vvzr7lt3OU09vwQwhkpOPPYv2Y/edit?usp=sharing"",""งบพรบ!FH27"")"),268265)</f>
        <v>268265</v>
      </c>
      <c r="N361" s="224">
        <f ca="1">IFERROR(__xludf.DUMMYFUNCTION("IMPORTRANGE(""https://docs.google.com/spreadsheets/d/1-uDff_7J0KD5mKrp0Vvzr7lt3OU09vwQwhkpOPPYv2Y/edit?usp=sharing"",""งบพรบ!FJ27"")"),139792)</f>
        <v>139792</v>
      </c>
      <c r="O361" s="224">
        <f t="shared" ca="1" si="95"/>
        <v>57.300022544217406</v>
      </c>
      <c r="P361" s="224">
        <f t="shared" ca="1" si="96"/>
        <v>52.109667679346913</v>
      </c>
      <c r="Q361" s="224">
        <v>0</v>
      </c>
      <c r="R361" s="224">
        <v>0</v>
      </c>
      <c r="S361" s="224">
        <v>0</v>
      </c>
      <c r="T361" s="224">
        <f t="shared" si="97"/>
        <v>0</v>
      </c>
      <c r="U361" s="224">
        <f t="shared" si="98"/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468">
        <f ca="1">L363+L364</f>
        <v>0</v>
      </c>
      <c r="M362" s="224">
        <f ca="1">M363+M364</f>
        <v>0</v>
      </c>
      <c r="N362" s="224">
        <f ca="1">N363+N364</f>
        <v>0</v>
      </c>
      <c r="O362" s="224">
        <f t="shared" ca="1" si="95"/>
        <v>0</v>
      </c>
      <c r="P362" s="224">
        <f t="shared" ca="1" si="96"/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 t="shared" si="97"/>
        <v>0</v>
      </c>
      <c r="U362" s="224">
        <f t="shared" si="98"/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469">
        <v>0</v>
      </c>
      <c r="M363" s="83">
        <v>0</v>
      </c>
      <c r="N363" s="83">
        <v>0</v>
      </c>
      <c r="O363" s="83">
        <f t="shared" si="95"/>
        <v>0</v>
      </c>
      <c r="P363" s="83">
        <f t="shared" si="96"/>
        <v>0</v>
      </c>
      <c r="Q363" s="83">
        <v>0</v>
      </c>
      <c r="R363" s="83">
        <v>0</v>
      </c>
      <c r="S363" s="83">
        <v>0</v>
      </c>
      <c r="T363" s="83">
        <f t="shared" si="97"/>
        <v>0</v>
      </c>
      <c r="U363" s="83">
        <f t="shared" si="98"/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468">
        <f ca="1">IFERROR(__xludf.DUMMYFUNCTION("IMPORTRANGE(""https://docs.google.com/spreadsheets/d/1-uDff_7J0KD5mKrp0Vvzr7lt3OU09vwQwhkpOPPYv2Y/edit?usp=sharing"",""งบพรบ!FF27"")"),0)</f>
        <v>0</v>
      </c>
      <c r="M364" s="224">
        <f ca="1">IFERROR(__xludf.DUMMYFUNCTION("IMPORTRANGE(""https://docs.google.com/spreadsheets/d/1-uDff_7J0KD5mKrp0Vvzr7lt3OU09vwQwhkpOPPYv2Y/edit?usp=sharing"",""งบพรบ!FI27"")"),0)</f>
        <v>0</v>
      </c>
      <c r="N364" s="224">
        <f ca="1">IFERROR(__xludf.DUMMYFUNCTION("IMPORTRANGE(""https://docs.google.com/spreadsheets/d/1-uDff_7J0KD5mKrp0Vvzr7lt3OU09vwQwhkpOPPYv2Y/edit?usp=sharing"",""งบพรบ!FK27"")"),0)</f>
        <v>0</v>
      </c>
      <c r="O364" s="224">
        <f t="shared" ca="1" si="95"/>
        <v>0</v>
      </c>
      <c r="P364" s="224">
        <f t="shared" ca="1" si="96"/>
        <v>0</v>
      </c>
      <c r="Q364" s="224">
        <v>0</v>
      </c>
      <c r="R364" s="224">
        <v>0</v>
      </c>
      <c r="S364" s="224">
        <v>0</v>
      </c>
      <c r="T364" s="224">
        <f t="shared" si="97"/>
        <v>0</v>
      </c>
      <c r="U364" s="224">
        <f t="shared" si="98"/>
        <v>0</v>
      </c>
    </row>
    <row r="365" spans="1:21" ht="19.5" x14ac:dyDescent="0.3">
      <c r="A365" s="211"/>
      <c r="B365" s="212"/>
      <c r="C365" s="214"/>
      <c r="D365" s="558" t="s">
        <v>149</v>
      </c>
      <c r="E365" s="214"/>
      <c r="F365" s="214"/>
      <c r="G365" s="215"/>
      <c r="H365" s="223" t="s">
        <v>35</v>
      </c>
      <c r="I365" s="303">
        <f ca="1">I371</f>
        <v>110</v>
      </c>
      <c r="J365" s="303">
        <f ca="1">J371</f>
        <v>65</v>
      </c>
      <c r="K365" s="304">
        <f ca="1">IF(I365&gt;0,J365*100/I365,0)</f>
        <v>59.090909090909093</v>
      </c>
      <c r="L365" s="557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498" t="s">
        <v>38</v>
      </c>
      <c r="E366" s="141"/>
      <c r="F366" s="141"/>
      <c r="G366" s="142"/>
      <c r="H366" s="143"/>
      <c r="I366" s="44"/>
      <c r="J366" s="44"/>
      <c r="K366" s="45"/>
      <c r="L366" s="4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IFERROR(__xludf.DUMMYFUNCTION("IMPORTRANGE(""https://docs.google.com/spreadsheets/d/1tdoBKaGub7dwA3U6UFTqxio9LNnvDCQjHKmttSEBsFQ/edit?usp=sharing"",""จัดที่ดิน!AB27"")"),93)</f>
        <v>93</v>
      </c>
      <c r="K367" s="224">
        <f t="shared" ref="K367:K372" si="101">IF(I367&gt;0,J367*100/I367,0)</f>
        <v>0</v>
      </c>
      <c r="L367" s="4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IFERROR(__xludf.DUMMYFUNCTION("IMPORTRANGE(""https://docs.google.com/spreadsheets/d/1eHaY18a8A9IcSdp1K8H6x8fbOy06t2VsZHhMHf-1x7Y/edit?usp=sharing"",""แผน!EW27"")"),460)</f>
        <v>460</v>
      </c>
      <c r="J368" s="556">
        <f ca="1">IFERROR(__xludf.DUMMYFUNCTION("IMPORTRANGE(""https://docs.google.com/spreadsheets/d/1tdoBKaGub7dwA3U6UFTqxio9LNnvDCQjHKmttSEBsFQ/edit?usp=sharing"",""จัดที่ดิน!AC27"")"),299.59)</f>
        <v>299.58999999999997</v>
      </c>
      <c r="K368" s="224">
        <f t="shared" ca="1" si="101"/>
        <v>65.12826086956521</v>
      </c>
      <c r="L368" s="4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IFERROR(__xludf.DUMMYFUNCTION("IMPORTRANGE(""https://docs.google.com/spreadsheets/d/1eHaY18a8A9IcSdp1K8H6x8fbOy06t2VsZHhMHf-1x7Y/edit?usp=sharing"",""แผน!EX27"")"),110)</f>
        <v>110</v>
      </c>
      <c r="J369" s="184">
        <f ca="1">IFERROR(__xludf.DUMMYFUNCTION("IMPORTRANGE(""https://docs.google.com/spreadsheets/d/1tdoBKaGub7dwA3U6UFTqxio9LNnvDCQjHKmttSEBsFQ/edit?usp=sharing"",""จัดที่ดิน!AD27"")"),100)</f>
        <v>100</v>
      </c>
      <c r="K369" s="224">
        <f t="shared" ca="1" si="101"/>
        <v>90.909090909090907</v>
      </c>
      <c r="L369" s="4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556">
        <f ca="1">IFERROR(__xludf.DUMMYFUNCTION("IMPORTRANGE(""https://docs.google.com/spreadsheets/d/1tdoBKaGub7dwA3U6UFTqxio9LNnvDCQjHKmttSEBsFQ/edit?usp=sharing"",""จัดที่ดิน!AE27"")"),376.28)</f>
        <v>376.28</v>
      </c>
      <c r="K370" s="224">
        <f t="shared" si="101"/>
        <v>0</v>
      </c>
      <c r="L370" s="4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IFERROR(__xludf.DUMMYFUNCTION("IMPORTRANGE(""https://docs.google.com/spreadsheets/d/1eHaY18a8A9IcSdp1K8H6x8fbOy06t2VsZHhMHf-1x7Y/edit?usp=sharing"",""แผน!EY27"")"),110)</f>
        <v>110</v>
      </c>
      <c r="J371" s="184">
        <f ca="1">IFERROR(__xludf.DUMMYFUNCTION("IMPORTRANGE(""https://docs.google.com/spreadsheets/d/1tdoBKaGub7dwA3U6UFTqxio9LNnvDCQjHKmttSEBsFQ/edit?usp=sharing"",""จัดที่ดิน!AF27"")"),65)</f>
        <v>65</v>
      </c>
      <c r="K371" s="224">
        <f t="shared" ca="1" si="101"/>
        <v>59.090909090909093</v>
      </c>
      <c r="L371" s="4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556">
        <f ca="1">IFERROR(__xludf.DUMMYFUNCTION("IMPORTRANGE(""https://docs.google.com/spreadsheets/d/1tdoBKaGub7dwA3U6UFTqxio9LNnvDCQjHKmttSEBsFQ/edit?usp=sharing"",""จัดที่ดิน!AG27"")"),266.23)</f>
        <v>266.23</v>
      </c>
      <c r="K372" s="224">
        <f t="shared" si="101"/>
        <v>0</v>
      </c>
      <c r="L372" s="4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2"/>
      <c r="H373" s="52"/>
      <c r="I373" s="54"/>
      <c r="J373" s="54"/>
      <c r="K373" s="3"/>
      <c r="L373" s="46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555"/>
      <c r="B374" s="554" t="s">
        <v>153</v>
      </c>
      <c r="C374" s="553"/>
      <c r="D374" s="552"/>
      <c r="E374" s="551"/>
      <c r="F374" s="551"/>
      <c r="G374" s="550"/>
      <c r="H374" s="549" t="s">
        <v>46</v>
      </c>
      <c r="I374" s="548">
        <f ca="1">I386+I388</f>
        <v>1000</v>
      </c>
      <c r="J374" s="548">
        <f ca="1">J386+J388</f>
        <v>0</v>
      </c>
      <c r="K374" s="547">
        <f ca="1">IF(I374&gt;0,J374*100/I374,0)</f>
        <v>0</v>
      </c>
      <c r="L374" s="539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128"/>
      <c r="B375" s="158"/>
      <c r="C375" s="161" t="s">
        <v>18</v>
      </c>
      <c r="D375" s="544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471">
        <f>L376+L377</f>
        <v>0</v>
      </c>
      <c r="M375" s="470">
        <f>M376+M377</f>
        <v>0</v>
      </c>
      <c r="N375" s="470">
        <f>N376+N377</f>
        <v>0</v>
      </c>
      <c r="O375" s="470">
        <f t="shared" ref="O375:O383" si="102">IF(L375&gt;0,N375*100/L375,0)</f>
        <v>0</v>
      </c>
      <c r="P375" s="470">
        <f t="shared" ref="P375:P383" si="103">IF(M375&gt;0,N375*100/M375,0)</f>
        <v>0</v>
      </c>
      <c r="Q375" s="470">
        <f ca="1">Q376+Q377</f>
        <v>62500</v>
      </c>
      <c r="R375" s="470">
        <f ca="1">R376+R377</f>
        <v>62500</v>
      </c>
      <c r="S375" s="470">
        <f ca="1">S376+S377</f>
        <v>0</v>
      </c>
      <c r="T375" s="470">
        <f t="shared" ref="T375:T383" ca="1" si="104">IF(Q375&gt;0,S375*100/Q375,0)</f>
        <v>0</v>
      </c>
      <c r="U375" s="470">
        <f t="shared" ref="U375:U383" ca="1" si="105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469">
        <f t="shared" ref="L376:N377" si="106">L379+L382</f>
        <v>0</v>
      </c>
      <c r="M376" s="83">
        <f t="shared" si="106"/>
        <v>0</v>
      </c>
      <c r="N376" s="83">
        <f t="shared" si="106"/>
        <v>0</v>
      </c>
      <c r="O376" s="83">
        <f t="shared" si="102"/>
        <v>0</v>
      </c>
      <c r="P376" s="83">
        <f t="shared" si="103"/>
        <v>0</v>
      </c>
      <c r="Q376" s="83">
        <f t="shared" ref="Q376:S377" si="107">Q379+Q382</f>
        <v>0</v>
      </c>
      <c r="R376" s="83">
        <f t="shared" si="107"/>
        <v>0</v>
      </c>
      <c r="S376" s="83">
        <f t="shared" si="107"/>
        <v>0</v>
      </c>
      <c r="T376" s="83">
        <f t="shared" si="104"/>
        <v>0</v>
      </c>
      <c r="U376" s="83">
        <f t="shared" si="105"/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468">
        <f t="shared" si="106"/>
        <v>0</v>
      </c>
      <c r="M377" s="224">
        <f t="shared" si="106"/>
        <v>0</v>
      </c>
      <c r="N377" s="224">
        <f t="shared" si="106"/>
        <v>0</v>
      </c>
      <c r="O377" s="224">
        <f t="shared" si="102"/>
        <v>0</v>
      </c>
      <c r="P377" s="224">
        <f t="shared" si="103"/>
        <v>0</v>
      </c>
      <c r="Q377" s="224">
        <f t="shared" ca="1" si="107"/>
        <v>62500</v>
      </c>
      <c r="R377" s="224">
        <f t="shared" ca="1" si="107"/>
        <v>62500</v>
      </c>
      <c r="S377" s="224">
        <f t="shared" ca="1" si="107"/>
        <v>0</v>
      </c>
      <c r="T377" s="224">
        <f t="shared" ca="1" si="104"/>
        <v>0</v>
      </c>
      <c r="U377" s="224">
        <f t="shared" ca="1" si="105"/>
        <v>0</v>
      </c>
    </row>
    <row r="378" spans="1:21" ht="18.75" x14ac:dyDescent="0.25">
      <c r="A378" s="128"/>
      <c r="B378" s="158"/>
      <c r="C378" s="158"/>
      <c r="D378" s="53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468">
        <f>L379+L380</f>
        <v>0</v>
      </c>
      <c r="M378" s="224">
        <f>M379+M380</f>
        <v>0</v>
      </c>
      <c r="N378" s="224">
        <f>N379+N380</f>
        <v>0</v>
      </c>
      <c r="O378" s="224">
        <f t="shared" si="102"/>
        <v>0</v>
      </c>
      <c r="P378" s="224">
        <f t="shared" si="103"/>
        <v>0</v>
      </c>
      <c r="Q378" s="224">
        <f ca="1">Q379+Q380</f>
        <v>62500</v>
      </c>
      <c r="R378" s="224">
        <f ca="1">R379+R380</f>
        <v>62500</v>
      </c>
      <c r="S378" s="224">
        <f ca="1">S379+S380</f>
        <v>0</v>
      </c>
      <c r="T378" s="224">
        <f t="shared" ca="1" si="104"/>
        <v>0</v>
      </c>
      <c r="U378" s="224">
        <f t="shared" ca="1" si="105"/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469">
        <v>0</v>
      </c>
      <c r="M379" s="83">
        <v>0</v>
      </c>
      <c r="N379" s="83">
        <v>0</v>
      </c>
      <c r="O379" s="83">
        <f t="shared" si="102"/>
        <v>0</v>
      </c>
      <c r="P379" s="83">
        <f t="shared" si="103"/>
        <v>0</v>
      </c>
      <c r="Q379" s="83">
        <v>0</v>
      </c>
      <c r="R379" s="83">
        <v>0</v>
      </c>
      <c r="S379" s="83">
        <v>0</v>
      </c>
      <c r="T379" s="83">
        <f t="shared" si="104"/>
        <v>0</v>
      </c>
      <c r="U379" s="83">
        <f t="shared" si="105"/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468">
        <v>0</v>
      </c>
      <c r="M380" s="224">
        <v>0</v>
      </c>
      <c r="N380" s="224">
        <v>0</v>
      </c>
      <c r="O380" s="224">
        <f t="shared" si="102"/>
        <v>0</v>
      </c>
      <c r="P380" s="224">
        <f t="shared" si="103"/>
        <v>0</v>
      </c>
      <c r="Q380" s="224">
        <f ca="1">IFERROR(__xludf.DUMMYFUNCTION("IMPORTRANGE(""https://docs.google.com/spreadsheets/d/1ItG2mGa2ceCfYo0BwxsXqNm01IGEUdYcSSLTEv9YCik/edit?usp=sharing"",""เบิกจ่ายกองทุน!AY27"")"),62500)</f>
        <v>62500</v>
      </c>
      <c r="R380" s="224">
        <f ca="1">IFERROR(__xludf.DUMMYFUNCTION("IMPORTRANGE(""https://docs.google.com/spreadsheets/d/1ItG2mGa2ceCfYo0BwxsXqNm01IGEUdYcSSLTEv9YCik/edit?usp=sharing"",""เบิกจ่ายกองทุน!AZ27"")"),62500)</f>
        <v>62500</v>
      </c>
      <c r="S380" s="224">
        <f ca="1">IFERROR(__xludf.DUMMYFUNCTION("IMPORTRANGE(""https://docs.google.com/spreadsheets/d/1ItG2mGa2ceCfYo0BwxsXqNm01IGEUdYcSSLTEv9YCik/edit?usp=sharing"",""เบิกจ่ายกองทุน!BA27"")"),0)</f>
        <v>0</v>
      </c>
      <c r="T380" s="224">
        <f t="shared" ca="1" si="104"/>
        <v>0</v>
      </c>
      <c r="U380" s="224">
        <f t="shared" ca="1" si="105"/>
        <v>0</v>
      </c>
    </row>
    <row r="381" spans="1:21" ht="18.75" x14ac:dyDescent="0.25">
      <c r="A381" s="128"/>
      <c r="B381" s="158"/>
      <c r="C381" s="158"/>
      <c r="D381" s="53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468">
        <f>L382+L383</f>
        <v>0</v>
      </c>
      <c r="M381" s="224">
        <f>M382+M383</f>
        <v>0</v>
      </c>
      <c r="N381" s="224">
        <f>N382+N383</f>
        <v>0</v>
      </c>
      <c r="O381" s="224">
        <f t="shared" si="102"/>
        <v>0</v>
      </c>
      <c r="P381" s="224">
        <f t="shared" si="103"/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 t="shared" si="104"/>
        <v>0</v>
      </c>
      <c r="U381" s="224">
        <f t="shared" si="105"/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469">
        <v>0</v>
      </c>
      <c r="M382" s="83">
        <v>0</v>
      </c>
      <c r="N382" s="83">
        <v>0</v>
      </c>
      <c r="O382" s="83">
        <f t="shared" si="102"/>
        <v>0</v>
      </c>
      <c r="P382" s="83">
        <f t="shared" si="103"/>
        <v>0</v>
      </c>
      <c r="Q382" s="83">
        <v>0</v>
      </c>
      <c r="R382" s="83">
        <v>0</v>
      </c>
      <c r="S382" s="83">
        <v>0</v>
      </c>
      <c r="T382" s="83">
        <f t="shared" si="104"/>
        <v>0</v>
      </c>
      <c r="U382" s="83">
        <f t="shared" si="105"/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468">
        <v>0</v>
      </c>
      <c r="M383" s="224">
        <v>0</v>
      </c>
      <c r="N383" s="224">
        <v>0</v>
      </c>
      <c r="O383" s="224">
        <f t="shared" si="102"/>
        <v>0</v>
      </c>
      <c r="P383" s="224">
        <f t="shared" si="103"/>
        <v>0</v>
      </c>
      <c r="Q383" s="224">
        <v>0</v>
      </c>
      <c r="R383" s="224">
        <v>0</v>
      </c>
      <c r="S383" s="224">
        <v>0</v>
      </c>
      <c r="T383" s="224">
        <f t="shared" si="104"/>
        <v>0</v>
      </c>
      <c r="U383" s="224">
        <f t="shared" si="105"/>
        <v>0</v>
      </c>
    </row>
    <row r="384" spans="1:21" ht="19.5" x14ac:dyDescent="0.3">
      <c r="A384" s="138"/>
      <c r="B384" s="139"/>
      <c r="C384" s="161" t="s">
        <v>18</v>
      </c>
      <c r="D384" s="491" t="s">
        <v>38</v>
      </c>
      <c r="E384" s="141"/>
      <c r="F384" s="141"/>
      <c r="G384" s="142"/>
      <c r="H384" s="178"/>
      <c r="I384" s="135"/>
      <c r="J384" s="44"/>
      <c r="K384" s="45"/>
      <c r="L384" s="465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IFERROR(__xludf.DUMMYFUNCTION("IMPORTRANGE(""https://docs.google.com/spreadsheets/d/1w5rwWK1o49a35cNtocGL0gxDwhFSTZUQu90BiH9_zqM/edit?usp=sharing"",""RTK!H27"")"),0)</f>
        <v>0</v>
      </c>
      <c r="K385" s="224">
        <f>IF(I385&gt;0,J385*100/I385,0)</f>
        <v>0</v>
      </c>
      <c r="L385" s="465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IFERROR(__xludf.DUMMYFUNCTION("IMPORTRANGE(""https://docs.google.com/spreadsheets/d/1w5rwWK1o49a35cNtocGL0gxDwhFSTZUQu90BiH9_zqM/edit?usp=sharing"",""RTK!G27"")"),1000)</f>
        <v>1000</v>
      </c>
      <c r="J386" s="184">
        <f ca="1">IFERROR(__xludf.DUMMYFUNCTION("IMPORTRANGE(""https://docs.google.com/spreadsheets/d/1w5rwWK1o49a35cNtocGL0gxDwhFSTZUQu90BiH9_zqM/edit?usp=sharing"",""RTK!I27"")"),0)</f>
        <v>0</v>
      </c>
      <c r="K386" s="224">
        <f ca="1">IF(I386&gt;0,J386*100/I386,0)</f>
        <v>0</v>
      </c>
      <c r="L386" s="465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545"/>
      <c r="B387" s="545"/>
      <c r="C387" s="545"/>
      <c r="D387" s="545"/>
      <c r="E387" s="546" t="s">
        <v>155</v>
      </c>
      <c r="F387" s="545"/>
      <c r="G387" s="488"/>
      <c r="H387" s="480" t="s">
        <v>34</v>
      </c>
      <c r="I387" s="487">
        <v>0</v>
      </c>
      <c r="J387" s="487">
        <f ca="1">IFERROR(__xludf.DUMMYFUNCTION("IMPORTRANGE(""https://docs.google.com/spreadsheets/d/1w5rwWK1o49a35cNtocGL0gxDwhFSTZUQu90BiH9_zqM/edit?usp=sharing"",""RTK!L27"")"),0)</f>
        <v>0</v>
      </c>
      <c r="K387" s="486">
        <f>IF(I387&gt;0,J387*100/I387,0)</f>
        <v>0</v>
      </c>
      <c r="L387" s="477"/>
      <c r="M387" s="476"/>
      <c r="N387" s="476"/>
      <c r="O387" s="476"/>
      <c r="P387" s="476"/>
      <c r="Q387" s="476"/>
      <c r="R387" s="476"/>
      <c r="S387" s="476"/>
      <c r="T387" s="476"/>
      <c r="U387" s="476"/>
    </row>
    <row r="388" spans="1:21" ht="18.75" x14ac:dyDescent="0.25">
      <c r="A388" s="545"/>
      <c r="B388" s="545"/>
      <c r="C388" s="545"/>
      <c r="D388" s="545"/>
      <c r="E388" s="545"/>
      <c r="F388" s="545"/>
      <c r="G388" s="488"/>
      <c r="H388" s="480" t="s">
        <v>46</v>
      </c>
      <c r="I388" s="487">
        <f ca="1">IFERROR(__xludf.DUMMYFUNCTION("IMPORTRANGE(""https://docs.google.com/spreadsheets/d/1w5rwWK1o49a35cNtocGL0gxDwhFSTZUQu90BiH9_zqM/edit?usp=sharing"",""RTK!K27"")"),0)</f>
        <v>0</v>
      </c>
      <c r="J388" s="487">
        <f ca="1">IFERROR(__xludf.DUMMYFUNCTION("IMPORTRANGE(""https://docs.google.com/spreadsheets/d/1w5rwWK1o49a35cNtocGL0gxDwhFSTZUQu90BiH9_zqM/edit?usp=sharing"",""RTK!M27"")"),0)</f>
        <v>0</v>
      </c>
      <c r="K388" s="486">
        <f ca="1">IF(I388&gt;0,J388*100/I388,0)</f>
        <v>0</v>
      </c>
      <c r="L388" s="477"/>
      <c r="M388" s="476"/>
      <c r="N388" s="476"/>
      <c r="O388" s="476"/>
      <c r="P388" s="476"/>
      <c r="Q388" s="476"/>
      <c r="R388" s="476"/>
      <c r="S388" s="476"/>
      <c r="T388" s="476"/>
      <c r="U388" s="476"/>
    </row>
    <row r="389" spans="1:21" ht="12.75" hidden="1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11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16"/>
      <c r="B390" s="316"/>
      <c r="C390" s="316"/>
      <c r="D390" s="316"/>
      <c r="E390" s="316"/>
      <c r="F390" s="316"/>
      <c r="G390" s="317"/>
      <c r="H390" s="317"/>
      <c r="I390" s="318"/>
      <c r="J390" s="318"/>
      <c r="K390" s="319"/>
      <c r="L390" s="496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hidden="1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>I402</f>
        <v>0</v>
      </c>
      <c r="J391" s="307">
        <f>J402</f>
        <v>0</v>
      </c>
      <c r="K391" s="540">
        <f>IF(I391&gt;0,J391*100/I391,0)</f>
        <v>0</v>
      </c>
      <c r="L391" s="539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hidden="1" x14ac:dyDescent="0.3">
      <c r="A392" s="128"/>
      <c r="B392" s="158"/>
      <c r="C392" s="161" t="s">
        <v>18</v>
      </c>
      <c r="D392" s="54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471">
        <f>L393+L394</f>
        <v>0</v>
      </c>
      <c r="M392" s="470">
        <f>M393+M394</f>
        <v>0</v>
      </c>
      <c r="N392" s="470">
        <f>N393+N394</f>
        <v>0</v>
      </c>
      <c r="O392" s="470">
        <f t="shared" ref="O392:O400" si="108">IF(L392&gt;0,N392*100/L392,0)</f>
        <v>0</v>
      </c>
      <c r="P392" s="470">
        <f t="shared" ref="P392:P400" si="109">IF(M392&gt;0,N392*100/M392,0)</f>
        <v>0</v>
      </c>
      <c r="Q392" s="470">
        <f>Q393+Q394</f>
        <v>0</v>
      </c>
      <c r="R392" s="470">
        <f>R393+R394</f>
        <v>0</v>
      </c>
      <c r="S392" s="470">
        <f>S393+S394</f>
        <v>0</v>
      </c>
      <c r="T392" s="470">
        <f t="shared" ref="T392:T400" si="110">IF(Q392&gt;0,S392*100/Q392,0)</f>
        <v>0</v>
      </c>
      <c r="U392" s="470">
        <f t="shared" ref="U392:U400" si="11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469">
        <f t="shared" ref="L393:N394" si="112">L396+L399</f>
        <v>0</v>
      </c>
      <c r="M393" s="83">
        <f t="shared" si="112"/>
        <v>0</v>
      </c>
      <c r="N393" s="83">
        <f t="shared" si="112"/>
        <v>0</v>
      </c>
      <c r="O393" s="83">
        <f t="shared" si="108"/>
        <v>0</v>
      </c>
      <c r="P393" s="83">
        <f t="shared" si="109"/>
        <v>0</v>
      </c>
      <c r="Q393" s="83">
        <f t="shared" ref="Q393:S394" si="113">Q396+Q399</f>
        <v>0</v>
      </c>
      <c r="R393" s="83">
        <f t="shared" si="113"/>
        <v>0</v>
      </c>
      <c r="S393" s="83">
        <f t="shared" si="113"/>
        <v>0</v>
      </c>
      <c r="T393" s="83">
        <f t="shared" si="110"/>
        <v>0</v>
      </c>
      <c r="U393" s="83">
        <f t="shared" si="111"/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468">
        <f t="shared" si="112"/>
        <v>0</v>
      </c>
      <c r="M394" s="224">
        <f t="shared" si="112"/>
        <v>0</v>
      </c>
      <c r="N394" s="224">
        <f t="shared" si="112"/>
        <v>0</v>
      </c>
      <c r="O394" s="224">
        <f t="shared" si="108"/>
        <v>0</v>
      </c>
      <c r="P394" s="224">
        <f t="shared" si="109"/>
        <v>0</v>
      </c>
      <c r="Q394" s="224">
        <f t="shared" si="113"/>
        <v>0</v>
      </c>
      <c r="R394" s="224">
        <f t="shared" si="113"/>
        <v>0</v>
      </c>
      <c r="S394" s="224">
        <f t="shared" si="113"/>
        <v>0</v>
      </c>
      <c r="T394" s="224">
        <f t="shared" si="110"/>
        <v>0</v>
      </c>
      <c r="U394" s="224">
        <f t="shared" si="111"/>
        <v>0</v>
      </c>
    </row>
    <row r="395" spans="1:21" ht="18.75" hidden="1" x14ac:dyDescent="0.25">
      <c r="A395" s="128"/>
      <c r="B395" s="158"/>
      <c r="C395" s="158"/>
      <c r="D395" s="53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468">
        <f>L396+L397</f>
        <v>0</v>
      </c>
      <c r="M395" s="224">
        <f>M396+M397</f>
        <v>0</v>
      </c>
      <c r="N395" s="224">
        <f>N396+N397</f>
        <v>0</v>
      </c>
      <c r="O395" s="224">
        <f t="shared" si="108"/>
        <v>0</v>
      </c>
      <c r="P395" s="224">
        <f t="shared" si="109"/>
        <v>0</v>
      </c>
      <c r="Q395" s="224">
        <f>Q396+Q397</f>
        <v>0</v>
      </c>
      <c r="R395" s="224">
        <f>R396+R397</f>
        <v>0</v>
      </c>
      <c r="S395" s="224">
        <f>S396+S397</f>
        <v>0</v>
      </c>
      <c r="T395" s="224">
        <f t="shared" si="110"/>
        <v>0</v>
      </c>
      <c r="U395" s="224">
        <f t="shared" si="111"/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469">
        <v>0</v>
      </c>
      <c r="M396" s="83">
        <v>0</v>
      </c>
      <c r="N396" s="83">
        <v>0</v>
      </c>
      <c r="O396" s="83">
        <f t="shared" si="108"/>
        <v>0</v>
      </c>
      <c r="P396" s="83">
        <f t="shared" si="109"/>
        <v>0</v>
      </c>
      <c r="Q396" s="83">
        <v>0</v>
      </c>
      <c r="R396" s="83">
        <v>0</v>
      </c>
      <c r="S396" s="83">
        <v>0</v>
      </c>
      <c r="T396" s="83">
        <f t="shared" si="110"/>
        <v>0</v>
      </c>
      <c r="U396" s="83">
        <f t="shared" si="111"/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468">
        <v>0</v>
      </c>
      <c r="M397" s="224">
        <v>0</v>
      </c>
      <c r="N397" s="224">
        <v>0</v>
      </c>
      <c r="O397" s="224">
        <f t="shared" si="108"/>
        <v>0</v>
      </c>
      <c r="P397" s="224">
        <f t="shared" si="109"/>
        <v>0</v>
      </c>
      <c r="Q397" s="224">
        <v>0</v>
      </c>
      <c r="R397" s="224">
        <v>0</v>
      </c>
      <c r="S397" s="224">
        <v>0</v>
      </c>
      <c r="T397" s="224">
        <f t="shared" si="110"/>
        <v>0</v>
      </c>
      <c r="U397" s="224">
        <f t="shared" si="111"/>
        <v>0</v>
      </c>
    </row>
    <row r="398" spans="1:21" ht="18.75" hidden="1" x14ac:dyDescent="0.25">
      <c r="A398" s="128"/>
      <c r="B398" s="158"/>
      <c r="C398" s="158"/>
      <c r="D398" s="53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468">
        <f>L399+L400</f>
        <v>0</v>
      </c>
      <c r="M398" s="224">
        <f>M399+M400</f>
        <v>0</v>
      </c>
      <c r="N398" s="224">
        <f>N399+N400</f>
        <v>0</v>
      </c>
      <c r="O398" s="224">
        <f t="shared" si="108"/>
        <v>0</v>
      </c>
      <c r="P398" s="224">
        <f t="shared" si="109"/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 t="shared" si="110"/>
        <v>0</v>
      </c>
      <c r="U398" s="224">
        <f t="shared" si="111"/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469">
        <v>0</v>
      </c>
      <c r="M399" s="83">
        <v>0</v>
      </c>
      <c r="N399" s="83">
        <v>0</v>
      </c>
      <c r="O399" s="83">
        <f t="shared" si="108"/>
        <v>0</v>
      </c>
      <c r="P399" s="83">
        <f t="shared" si="109"/>
        <v>0</v>
      </c>
      <c r="Q399" s="83">
        <v>0</v>
      </c>
      <c r="R399" s="83">
        <v>0</v>
      </c>
      <c r="S399" s="83">
        <v>0</v>
      </c>
      <c r="T399" s="83">
        <f t="shared" si="110"/>
        <v>0</v>
      </c>
      <c r="U399" s="83">
        <f t="shared" si="111"/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468">
        <v>0</v>
      </c>
      <c r="M400" s="224">
        <v>0</v>
      </c>
      <c r="N400" s="224">
        <v>0</v>
      </c>
      <c r="O400" s="224">
        <f t="shared" si="108"/>
        <v>0</v>
      </c>
      <c r="P400" s="224">
        <f t="shared" si="109"/>
        <v>0</v>
      </c>
      <c r="Q400" s="224">
        <v>0</v>
      </c>
      <c r="R400" s="224">
        <v>0</v>
      </c>
      <c r="S400" s="224">
        <v>0</v>
      </c>
      <c r="T400" s="224">
        <f t="shared" si="110"/>
        <v>0</v>
      </c>
      <c r="U400" s="224">
        <f t="shared" si="111"/>
        <v>0</v>
      </c>
    </row>
    <row r="401" spans="1:21" ht="19.5" hidden="1" x14ac:dyDescent="0.3">
      <c r="A401" s="138"/>
      <c r="B401" s="139"/>
      <c r="C401" s="161" t="s">
        <v>18</v>
      </c>
      <c r="D401" s="491" t="s">
        <v>38</v>
      </c>
      <c r="E401" s="141"/>
      <c r="F401" s="141"/>
      <c r="G401" s="142"/>
      <c r="H401" s="178"/>
      <c r="I401" s="135"/>
      <c r="J401" s="44"/>
      <c r="K401" s="45"/>
      <c r="L401" s="465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11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11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11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11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11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11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11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11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11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496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hidden="1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541">
        <f ca="1">I423</f>
        <v>0</v>
      </c>
      <c r="J412" s="541">
        <f>J423</f>
        <v>0</v>
      </c>
      <c r="K412" s="540">
        <f ca="1">IF(I412&gt;0,J412*100/I412,0)</f>
        <v>0</v>
      </c>
      <c r="L412" s="539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hidden="1" x14ac:dyDescent="0.3">
      <c r="A413" s="128"/>
      <c r="B413" s="158"/>
      <c r="C413" s="322" t="s">
        <v>18</v>
      </c>
      <c r="D413" s="819" t="s">
        <v>19</v>
      </c>
      <c r="E413" s="800"/>
      <c r="F413" s="800"/>
      <c r="G413" s="801"/>
      <c r="H413" s="323" t="s">
        <v>14</v>
      </c>
      <c r="I413" s="44"/>
      <c r="J413" s="44"/>
      <c r="K413" s="45"/>
      <c r="L413" s="471">
        <f>L414+L415</f>
        <v>0</v>
      </c>
      <c r="M413" s="470">
        <f>M414+M415</f>
        <v>0</v>
      </c>
      <c r="N413" s="470">
        <f>N414+N415</f>
        <v>0</v>
      </c>
      <c r="O413" s="470">
        <f t="shared" ref="O413:O421" si="114">IF(L413&gt;0,N413*100/L413,0)</f>
        <v>0</v>
      </c>
      <c r="P413" s="470">
        <f t="shared" ref="P413:P421" si="115">IF(M413&gt;0,N413*100/M413,0)</f>
        <v>0</v>
      </c>
      <c r="Q413" s="470">
        <f ca="1">Q414+Q415</f>
        <v>0</v>
      </c>
      <c r="R413" s="470">
        <f ca="1">R414+R415</f>
        <v>0</v>
      </c>
      <c r="S413" s="470">
        <f ca="1">S414+S415</f>
        <v>0</v>
      </c>
      <c r="T413" s="470">
        <f t="shared" ref="T413:T421" ca="1" si="116">IF(Q413&gt;0,S413*100/Q413,0)</f>
        <v>0</v>
      </c>
      <c r="U413" s="470">
        <f t="shared" ref="U413:U421" ca="1" si="117">IF(R413&gt;0,S413*100/R413,0)</f>
        <v>0</v>
      </c>
    </row>
    <row r="414" spans="1:21" ht="18.75" hidden="1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469">
        <f t="shared" ref="L414:N415" si="118">L417+L420</f>
        <v>0</v>
      </c>
      <c r="M414" s="83">
        <f t="shared" si="118"/>
        <v>0</v>
      </c>
      <c r="N414" s="83">
        <f t="shared" si="118"/>
        <v>0</v>
      </c>
      <c r="O414" s="83">
        <f t="shared" si="114"/>
        <v>0</v>
      </c>
      <c r="P414" s="83">
        <f t="shared" si="115"/>
        <v>0</v>
      </c>
      <c r="Q414" s="83">
        <f t="shared" ref="Q414:S415" si="119">Q417+Q420</f>
        <v>0</v>
      </c>
      <c r="R414" s="83">
        <f t="shared" si="119"/>
        <v>0</v>
      </c>
      <c r="S414" s="83">
        <f t="shared" si="119"/>
        <v>0</v>
      </c>
      <c r="T414" s="83">
        <f t="shared" si="116"/>
        <v>0</v>
      </c>
      <c r="U414" s="83">
        <f t="shared" si="117"/>
        <v>0</v>
      </c>
    </row>
    <row r="415" spans="1:21" ht="18.75" hidden="1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468">
        <f t="shared" si="118"/>
        <v>0</v>
      </c>
      <c r="M415" s="224">
        <f t="shared" si="118"/>
        <v>0</v>
      </c>
      <c r="N415" s="224">
        <f t="shared" si="118"/>
        <v>0</v>
      </c>
      <c r="O415" s="224">
        <f t="shared" si="114"/>
        <v>0</v>
      </c>
      <c r="P415" s="224">
        <f t="shared" si="115"/>
        <v>0</v>
      </c>
      <c r="Q415" s="224">
        <f t="shared" ca="1" si="119"/>
        <v>0</v>
      </c>
      <c r="R415" s="224">
        <f t="shared" ca="1" si="119"/>
        <v>0</v>
      </c>
      <c r="S415" s="224">
        <f t="shared" ca="1" si="119"/>
        <v>0</v>
      </c>
      <c r="T415" s="224">
        <f t="shared" ca="1" si="116"/>
        <v>0</v>
      </c>
      <c r="U415" s="224">
        <f t="shared" ca="1" si="117"/>
        <v>0</v>
      </c>
    </row>
    <row r="416" spans="1:21" ht="19.5" hidden="1" x14ac:dyDescent="0.3">
      <c r="A416" s="128"/>
      <c r="B416" s="158"/>
      <c r="C416" s="158"/>
      <c r="D416" s="54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468">
        <f>L417+L418</f>
        <v>0</v>
      </c>
      <c r="M416" s="224">
        <f>M417+M418</f>
        <v>0</v>
      </c>
      <c r="N416" s="224">
        <f>N417+N418</f>
        <v>0</v>
      </c>
      <c r="O416" s="224">
        <f t="shared" si="114"/>
        <v>0</v>
      </c>
      <c r="P416" s="224">
        <f t="shared" si="115"/>
        <v>0</v>
      </c>
      <c r="Q416" s="224">
        <f ca="1">Q417+Q418</f>
        <v>0</v>
      </c>
      <c r="R416" s="224">
        <f ca="1">R417+R418</f>
        <v>0</v>
      </c>
      <c r="S416" s="224">
        <f ca="1">S417+S418</f>
        <v>0</v>
      </c>
      <c r="T416" s="224">
        <f t="shared" ca="1" si="116"/>
        <v>0</v>
      </c>
      <c r="U416" s="224">
        <f t="shared" ca="1" si="117"/>
        <v>0</v>
      </c>
    </row>
    <row r="417" spans="1:21" ht="18.75" hidden="1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469">
        <v>0</v>
      </c>
      <c r="M417" s="83">
        <v>0</v>
      </c>
      <c r="N417" s="83">
        <v>0</v>
      </c>
      <c r="O417" s="83">
        <f t="shared" si="114"/>
        <v>0</v>
      </c>
      <c r="P417" s="83">
        <f t="shared" si="115"/>
        <v>0</v>
      </c>
      <c r="Q417" s="83">
        <v>0</v>
      </c>
      <c r="R417" s="83">
        <v>0</v>
      </c>
      <c r="S417" s="83">
        <v>0</v>
      </c>
      <c r="T417" s="83">
        <f t="shared" si="116"/>
        <v>0</v>
      </c>
      <c r="U417" s="83">
        <f t="shared" si="117"/>
        <v>0</v>
      </c>
    </row>
    <row r="418" spans="1:21" ht="18.75" hidden="1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468">
        <v>0</v>
      </c>
      <c r="M418" s="224">
        <v>0</v>
      </c>
      <c r="N418" s="224">
        <v>0</v>
      </c>
      <c r="O418" s="224">
        <f t="shared" si="114"/>
        <v>0</v>
      </c>
      <c r="P418" s="224">
        <f t="shared" si="115"/>
        <v>0</v>
      </c>
      <c r="Q418" s="224">
        <f ca="1">IFERROR(__xludf.DUMMYFUNCTION("IMPORTRANGE(""https://docs.google.com/spreadsheets/d/1ItG2mGa2ceCfYo0BwxsXqNm01IGEUdYcSSLTEv9YCik/edit?usp=sharing"",""เบิกจ่ายกองทุน!BH27"")"),0)</f>
        <v>0</v>
      </c>
      <c r="R418" s="224">
        <f ca="1">IFERROR(__xludf.DUMMYFUNCTION("IMPORTRANGE(""https://docs.google.com/spreadsheets/d/1ItG2mGa2ceCfYo0BwxsXqNm01IGEUdYcSSLTEv9YCik/edit?usp=sharing"",""เบิกจ่ายกองทุน!BI27"")"),0)</f>
        <v>0</v>
      </c>
      <c r="S418" s="224">
        <f ca="1">IFERROR(__xludf.DUMMYFUNCTION("IMPORTRANGE(""https://docs.google.com/spreadsheets/d/1ItG2mGa2ceCfYo0BwxsXqNm01IGEUdYcSSLTEv9YCik/edit?usp=sharing"",""เบิกจ่ายกองทุน!BJ27"")"),0)</f>
        <v>0</v>
      </c>
      <c r="T418" s="224">
        <f t="shared" ca="1" si="116"/>
        <v>0</v>
      </c>
      <c r="U418" s="224">
        <f t="shared" ca="1" si="117"/>
        <v>0</v>
      </c>
    </row>
    <row r="419" spans="1:21" ht="19.5" hidden="1" x14ac:dyDescent="0.3">
      <c r="A419" s="128"/>
      <c r="B419" s="158"/>
      <c r="C419" s="158"/>
      <c r="D419" s="54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468">
        <f>L420+L421</f>
        <v>0</v>
      </c>
      <c r="M419" s="224">
        <f>M420+M421</f>
        <v>0</v>
      </c>
      <c r="N419" s="224">
        <f>N420+N421</f>
        <v>0</v>
      </c>
      <c r="O419" s="224">
        <f t="shared" si="114"/>
        <v>0</v>
      </c>
      <c r="P419" s="224">
        <f t="shared" si="115"/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 t="shared" si="116"/>
        <v>0</v>
      </c>
      <c r="U419" s="224">
        <f t="shared" si="117"/>
        <v>0</v>
      </c>
    </row>
    <row r="420" spans="1:21" ht="18.75" hidden="1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469">
        <v>0</v>
      </c>
      <c r="M420" s="83">
        <v>0</v>
      </c>
      <c r="N420" s="83">
        <v>0</v>
      </c>
      <c r="O420" s="83">
        <f t="shared" si="114"/>
        <v>0</v>
      </c>
      <c r="P420" s="83">
        <f t="shared" si="115"/>
        <v>0</v>
      </c>
      <c r="Q420" s="83">
        <v>0</v>
      </c>
      <c r="R420" s="83">
        <v>0</v>
      </c>
      <c r="S420" s="83">
        <v>0</v>
      </c>
      <c r="T420" s="83">
        <f t="shared" si="116"/>
        <v>0</v>
      </c>
      <c r="U420" s="83">
        <f t="shared" si="117"/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468">
        <v>0</v>
      </c>
      <c r="M421" s="224">
        <v>0</v>
      </c>
      <c r="N421" s="224">
        <v>0</v>
      </c>
      <c r="O421" s="224">
        <f t="shared" si="114"/>
        <v>0</v>
      </c>
      <c r="P421" s="224">
        <f t="shared" si="115"/>
        <v>0</v>
      </c>
      <c r="Q421" s="224">
        <v>0</v>
      </c>
      <c r="R421" s="224">
        <v>0</v>
      </c>
      <c r="S421" s="224">
        <v>0</v>
      </c>
      <c r="T421" s="224">
        <f t="shared" si="116"/>
        <v>0</v>
      </c>
      <c r="U421" s="224">
        <f t="shared" si="117"/>
        <v>0</v>
      </c>
    </row>
    <row r="422" spans="1:21" ht="19.5" hidden="1" x14ac:dyDescent="0.3">
      <c r="A422" s="208"/>
      <c r="B422" s="158"/>
      <c r="C422" s="322" t="s">
        <v>18</v>
      </c>
      <c r="D422" s="543" t="s">
        <v>38</v>
      </c>
      <c r="E422" s="158"/>
      <c r="F422" s="158"/>
      <c r="G422" s="180"/>
      <c r="H422" s="180"/>
      <c r="I422" s="44"/>
      <c r="J422" s="44"/>
      <c r="K422" s="45"/>
      <c r="L422" s="465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ca="1">I440</f>
        <v>0</v>
      </c>
      <c r="J423" s="328">
        <f>J440</f>
        <v>0</v>
      </c>
      <c r="K423" s="470">
        <f ca="1">IF(I423&gt;0,J423*100/I423,0)</f>
        <v>0</v>
      </c>
      <c r="L423" s="465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IFERROR(__xludf.DUMMYFUNCTION("IMPORTRANGE(""https://docs.google.com/spreadsheets/d/1eHaY18a8A9IcSdp1K8H6x8fbOy06t2VsZHhMHf-1x7Y/edit?usp=sharing"",""แผน!HJ27"")"),0)</f>
        <v>0</v>
      </c>
      <c r="J424" s="328">
        <f>J426+J428+J430</f>
        <v>0</v>
      </c>
      <c r="K424" s="470">
        <f ca="1">IF(I424&gt;0,J424*100/I424,0)</f>
        <v>0</v>
      </c>
      <c r="L424" s="465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IFERROR(__xludf.DUMMYFUNCTION("IMPORTRANGE(""https://docs.google.com/spreadsheets/d/1eHaY18a8A9IcSdp1K8H6x8fbOy06t2VsZHhMHf-1x7Y/edit?usp=sharing"",""แผน!HK27"")"),0)</f>
        <v>0</v>
      </c>
      <c r="J425" s="328">
        <f>J427+J429+J431</f>
        <v>0</v>
      </c>
      <c r="K425" s="470">
        <f ca="1">IF(I425&gt;0,J425*100/I425,0)</f>
        <v>0</v>
      </c>
      <c r="L425" s="465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465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465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465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465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465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465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IFERROR(__xludf.DUMMYFUNCTION("IMPORTRANGE(""https://docs.google.com/spreadsheets/d/1eHaY18a8A9IcSdp1K8H6x8fbOy06t2VsZHhMHf-1x7Y/edit?usp=sharing"",""แผน!HJ27"")"),0)</f>
        <v>0</v>
      </c>
      <c r="J432" s="328">
        <f>J434+J436+J438</f>
        <v>0</v>
      </c>
      <c r="K432" s="470">
        <f ca="1">IF(I432&gt;0,J432*100/I432,0)</f>
        <v>0</v>
      </c>
      <c r="L432" s="465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IFERROR(__xludf.DUMMYFUNCTION("IMPORTRANGE(""https://docs.google.com/spreadsheets/d/1eHaY18a8A9IcSdp1K8H6x8fbOy06t2VsZHhMHf-1x7Y/edit?usp=sharing"",""แผน!HK27"")"),0)</f>
        <v>0</v>
      </c>
      <c r="J433" s="328">
        <f>J435+J437+J439</f>
        <v>0</v>
      </c>
      <c r="K433" s="470">
        <f ca="1">IF(I433&gt;0,J433*100/I433,0)</f>
        <v>0</v>
      </c>
      <c r="L433" s="465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465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465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465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465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465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465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IFERROR(__xludf.DUMMYFUNCTION("IMPORTRANGE(""https://docs.google.com/spreadsheets/d/1eHaY18a8A9IcSdp1K8H6x8fbOy06t2VsZHhMHf-1x7Y/edit?usp=sharing"",""แผน!HJ27"")"),0)</f>
        <v>0</v>
      </c>
      <c r="J440" s="328">
        <f>J442+J444+J446+J452+J454</f>
        <v>0</v>
      </c>
      <c r="K440" s="470">
        <f ca="1">IF(I440&gt;0,J440*100/I440,0)</f>
        <v>0</v>
      </c>
      <c r="L440" s="465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IFERROR(__xludf.DUMMYFUNCTION("IMPORTRANGE(""https://docs.google.com/spreadsheets/d/1eHaY18a8A9IcSdp1K8H6x8fbOy06t2VsZHhMHf-1x7Y/edit?usp=sharing"",""แผน!HK27"")"),0)</f>
        <v>0</v>
      </c>
      <c r="J441" s="328">
        <f>J443+J445+J447+J453+J455</f>
        <v>0</v>
      </c>
      <c r="K441" s="470">
        <f ca="1">IF(I441&gt;0,J441*100/I441,0)</f>
        <v>0</v>
      </c>
      <c r="L441" s="465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465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465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465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465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>J448+J450</f>
        <v>0</v>
      </c>
      <c r="K446" s="45"/>
      <c r="L446" s="465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>J449+J451</f>
        <v>0</v>
      </c>
      <c r="K447" s="45"/>
      <c r="L447" s="465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465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465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465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465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465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465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542"/>
      <c r="K454" s="45"/>
      <c r="L454" s="465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465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hidden="1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ca="1">I457</f>
        <v>0</v>
      </c>
      <c r="J456" s="328">
        <f>J457</f>
        <v>0</v>
      </c>
      <c r="K456" s="470">
        <f ca="1">IF(I456&gt;0,J456*100/I456,0)</f>
        <v>0</v>
      </c>
      <c r="L456" s="465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IFERROR(__xludf.DUMMYFUNCTION("IMPORTRANGE(""https://docs.google.com/spreadsheets/d/1eHaY18a8A9IcSdp1K8H6x8fbOy06t2VsZHhMHf-1x7Y/edit?usp=sharing"",""แผน!HL27"")"),0)</f>
        <v>0</v>
      </c>
      <c r="J457" s="328">
        <f>J459+J467+J473</f>
        <v>0</v>
      </c>
      <c r="K457" s="470">
        <f ca="1">IF(I457&gt;0,J457*100/I457,0)</f>
        <v>0</v>
      </c>
      <c r="L457" s="465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IFERROR(__xludf.DUMMYFUNCTION("IMPORTRANGE(""https://docs.google.com/spreadsheets/d/1eHaY18a8A9IcSdp1K8H6x8fbOy06t2VsZHhMHf-1x7Y/edit?usp=sharing"",""แผน!HM27"")"),0)</f>
        <v>0</v>
      </c>
      <c r="J458" s="328">
        <f>J460+J468+J474</f>
        <v>0</v>
      </c>
      <c r="K458" s="470">
        <f ca="1">IF(I458&gt;0,J458*100/I458,0)</f>
        <v>0</v>
      </c>
      <c r="L458" s="465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hidden="1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>J461+J463</f>
        <v>0</v>
      </c>
      <c r="K459" s="45"/>
      <c r="L459" s="465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>J462+J464</f>
        <v>0</v>
      </c>
      <c r="K460" s="45"/>
      <c r="L460" s="465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465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465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465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465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465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465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>J469+J471</f>
        <v>0</v>
      </c>
      <c r="K467" s="45"/>
      <c r="L467" s="465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>J470+J472</f>
        <v>0</v>
      </c>
      <c r="K468" s="45"/>
      <c r="L468" s="465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465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465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465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465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465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465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470">
        <f>IF(I475&gt;0,J475*100/I475,0)</f>
        <v>0</v>
      </c>
      <c r="L475" s="465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>J478+J480</f>
        <v>0</v>
      </c>
      <c r="K476" s="470">
        <f>IF(I476&gt;0,J476*100/I476,0)</f>
        <v>0</v>
      </c>
      <c r="L476" s="465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>J479+J481</f>
        <v>0</v>
      </c>
      <c r="K477" s="470">
        <f>IF(I477&gt;0,J477*100/I477,0)</f>
        <v>0</v>
      </c>
      <c r="L477" s="465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hidden="1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465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465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465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465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IFERROR(__xludf.DUMMYFUNCTION("IMPORTRANGE(""https://docs.google.com/spreadsheets/d/1eHaY18a8A9IcSdp1K8H6x8fbOy06t2VsZHhMHf-1x7Y/edit?usp=sharing"",""แผน!HN27"")"),0)</f>
        <v>0</v>
      </c>
      <c r="K482" s="45"/>
      <c r="L482" s="465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IFERROR(__xludf.DUMMYFUNCTION("IMPORTRANGE(""https://docs.google.com/spreadsheets/d/1eHaY18a8A9IcSdp1K8H6x8fbOy06t2VsZHhMHf-1x7Y/edit?usp=sharing"",""แผน!HO27"")"),0)</f>
        <v>0</v>
      </c>
      <c r="K483" s="45"/>
      <c r="L483" s="465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>J480</f>
        <v>0</v>
      </c>
      <c r="J484" s="328">
        <f>J486+J488+J490</f>
        <v>0</v>
      </c>
      <c r="K484" s="470">
        <f>IF(I484&gt;0,J484*100/I484,0)</f>
        <v>0</v>
      </c>
      <c r="L484" s="465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>J481</f>
        <v>0</v>
      </c>
      <c r="J485" s="328">
        <f>J487+J489+J491</f>
        <v>0</v>
      </c>
      <c r="K485" s="470">
        <f>IF(I485&gt;0,J485*100/I485,0)</f>
        <v>0</v>
      </c>
      <c r="L485" s="465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hidden="1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465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465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465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465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465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46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541">
        <f ca="1">I503</f>
        <v>0</v>
      </c>
      <c r="J492" s="541">
        <f ca="1">J503</f>
        <v>0</v>
      </c>
      <c r="K492" s="540">
        <f ca="1">IF(I492&gt;0,J492*100/I492,0)</f>
        <v>0</v>
      </c>
      <c r="L492" s="539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hidden="1" x14ac:dyDescent="0.3">
      <c r="A493" s="128"/>
      <c r="B493" s="158"/>
      <c r="C493" s="177" t="s">
        <v>18</v>
      </c>
      <c r="D493" s="819" t="s">
        <v>19</v>
      </c>
      <c r="E493" s="800"/>
      <c r="F493" s="800"/>
      <c r="G493" s="42"/>
      <c r="H493" s="221" t="s">
        <v>14</v>
      </c>
      <c r="I493" s="44"/>
      <c r="J493" s="44"/>
      <c r="K493" s="45"/>
      <c r="L493" s="471">
        <f>L494+L495</f>
        <v>0</v>
      </c>
      <c r="M493" s="470">
        <f>M494+M495</f>
        <v>0</v>
      </c>
      <c r="N493" s="470">
        <f>N494+N495</f>
        <v>0</v>
      </c>
      <c r="O493" s="470">
        <f t="shared" ref="O493:O501" si="120">IF(L493&gt;0,N493*100/L493,0)</f>
        <v>0</v>
      </c>
      <c r="P493" s="470">
        <f t="shared" ref="P493:P501" si="121">IF(M493&gt;0,N493*100/M493,0)</f>
        <v>0</v>
      </c>
      <c r="Q493" s="470">
        <f ca="1">Q494+Q495</f>
        <v>0</v>
      </c>
      <c r="R493" s="470">
        <f ca="1">R494+R495</f>
        <v>0</v>
      </c>
      <c r="S493" s="470">
        <f ca="1">S494+S495</f>
        <v>0</v>
      </c>
      <c r="T493" s="470">
        <f t="shared" ref="T493:T501" ca="1" si="122">IF(Q493&gt;0,S493*100/Q493,0)</f>
        <v>0</v>
      </c>
      <c r="U493" s="470">
        <f t="shared" ref="U493:U501" ca="1" si="123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469">
        <f t="shared" ref="L494:N495" si="124">L497+L500</f>
        <v>0</v>
      </c>
      <c r="M494" s="83">
        <f t="shared" si="124"/>
        <v>0</v>
      </c>
      <c r="N494" s="83">
        <f t="shared" si="124"/>
        <v>0</v>
      </c>
      <c r="O494" s="83">
        <f t="shared" si="120"/>
        <v>0</v>
      </c>
      <c r="P494" s="83">
        <f t="shared" si="121"/>
        <v>0</v>
      </c>
      <c r="Q494" s="83">
        <f t="shared" ref="Q494:S495" si="125">Q497+Q500</f>
        <v>0</v>
      </c>
      <c r="R494" s="83">
        <f t="shared" si="125"/>
        <v>0</v>
      </c>
      <c r="S494" s="83">
        <f t="shared" si="125"/>
        <v>0</v>
      </c>
      <c r="T494" s="83">
        <f t="shared" si="122"/>
        <v>0</v>
      </c>
      <c r="U494" s="83">
        <f t="shared" si="123"/>
        <v>0</v>
      </c>
    </row>
    <row r="495" spans="1:21" ht="18.75" hidden="1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468">
        <f t="shared" si="124"/>
        <v>0</v>
      </c>
      <c r="M495" s="224">
        <f t="shared" si="124"/>
        <v>0</v>
      </c>
      <c r="N495" s="224">
        <f t="shared" si="124"/>
        <v>0</v>
      </c>
      <c r="O495" s="224">
        <f t="shared" si="120"/>
        <v>0</v>
      </c>
      <c r="P495" s="224">
        <f t="shared" si="121"/>
        <v>0</v>
      </c>
      <c r="Q495" s="224">
        <f t="shared" ca="1" si="125"/>
        <v>0</v>
      </c>
      <c r="R495" s="224">
        <f t="shared" ca="1" si="125"/>
        <v>0</v>
      </c>
      <c r="S495" s="224">
        <f t="shared" ca="1" si="125"/>
        <v>0</v>
      </c>
      <c r="T495" s="224">
        <f t="shared" ca="1" si="122"/>
        <v>0</v>
      </c>
      <c r="U495" s="224">
        <f t="shared" ca="1" si="123"/>
        <v>0</v>
      </c>
    </row>
    <row r="496" spans="1:21" ht="18.75" hidden="1" x14ac:dyDescent="0.25">
      <c r="A496" s="128"/>
      <c r="B496" s="158"/>
      <c r="C496" s="158"/>
      <c r="D496" s="53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468">
        <f>L497+L498</f>
        <v>0</v>
      </c>
      <c r="M496" s="224">
        <f>M497+M498</f>
        <v>0</v>
      </c>
      <c r="N496" s="224">
        <f>N497+N498</f>
        <v>0</v>
      </c>
      <c r="O496" s="224">
        <f t="shared" si="120"/>
        <v>0</v>
      </c>
      <c r="P496" s="224">
        <f t="shared" si="121"/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t="shared" ca="1" si="122"/>
        <v>0</v>
      </c>
      <c r="U496" s="224">
        <f t="shared" ca="1" si="123"/>
        <v>0</v>
      </c>
    </row>
    <row r="497" spans="1:21" ht="18.75" hidden="1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469">
        <v>0</v>
      </c>
      <c r="M497" s="83">
        <v>0</v>
      </c>
      <c r="N497" s="83">
        <v>0</v>
      </c>
      <c r="O497" s="83">
        <f t="shared" si="120"/>
        <v>0</v>
      </c>
      <c r="P497" s="83">
        <f t="shared" si="121"/>
        <v>0</v>
      </c>
      <c r="Q497" s="83">
        <v>0</v>
      </c>
      <c r="R497" s="83">
        <v>0</v>
      </c>
      <c r="S497" s="83">
        <v>0</v>
      </c>
      <c r="T497" s="83">
        <f t="shared" si="122"/>
        <v>0</v>
      </c>
      <c r="U497" s="83">
        <f t="shared" si="123"/>
        <v>0</v>
      </c>
    </row>
    <row r="498" spans="1:21" ht="18.75" hidden="1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468">
        <v>0</v>
      </c>
      <c r="M498" s="224">
        <v>0</v>
      </c>
      <c r="N498" s="224">
        <v>0</v>
      </c>
      <c r="O498" s="224">
        <f t="shared" si="120"/>
        <v>0</v>
      </c>
      <c r="P498" s="224">
        <f t="shared" si="121"/>
        <v>0</v>
      </c>
      <c r="Q498" s="224">
        <f ca="1">IFERROR(__xludf.DUMMYFUNCTION("IMPORTRANGE(""https://docs.google.com/spreadsheets/d/1ItG2mGa2ceCfYo0BwxsXqNm01IGEUdYcSSLTEv9YCik/edit?usp=sharing"",""เบิกจ่ายกองทุน!X27"")"),0)</f>
        <v>0</v>
      </c>
      <c r="R498" s="224">
        <f ca="1">IFERROR(__xludf.DUMMYFUNCTION("IMPORTRANGE(""https://docs.google.com/spreadsheets/d/1ItG2mGa2ceCfYo0BwxsXqNm01IGEUdYcSSLTEv9YCik/edit?usp=sharing"",""เบิกจ่ายกองทุน!Y27"")"),0)</f>
        <v>0</v>
      </c>
      <c r="S498" s="224">
        <f ca="1">IFERROR(__xludf.DUMMYFUNCTION("IMPORTRANGE(""https://docs.google.com/spreadsheets/d/1ItG2mGa2ceCfYo0BwxsXqNm01IGEUdYcSSLTEv9YCik/edit?usp=sharing"",""เบิกจ่ายกองทุน!Z27"")"),0)</f>
        <v>0</v>
      </c>
      <c r="T498" s="224">
        <f t="shared" ca="1" si="122"/>
        <v>0</v>
      </c>
      <c r="U498" s="224">
        <f t="shared" ca="1" si="123"/>
        <v>0</v>
      </c>
    </row>
    <row r="499" spans="1:21" ht="18.75" hidden="1" x14ac:dyDescent="0.25">
      <c r="A499" s="128"/>
      <c r="B499" s="158"/>
      <c r="C499" s="158"/>
      <c r="D499" s="53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468">
        <f>L500+L501</f>
        <v>0</v>
      </c>
      <c r="M499" s="224">
        <f>M500+M501</f>
        <v>0</v>
      </c>
      <c r="N499" s="224">
        <f>N500+N501</f>
        <v>0</v>
      </c>
      <c r="O499" s="224">
        <f t="shared" si="120"/>
        <v>0</v>
      </c>
      <c r="P499" s="224">
        <f t="shared" si="121"/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 t="shared" si="122"/>
        <v>0</v>
      </c>
      <c r="U499" s="224">
        <f t="shared" si="123"/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469">
        <v>0</v>
      </c>
      <c r="M500" s="83">
        <v>0</v>
      </c>
      <c r="N500" s="83">
        <v>0</v>
      </c>
      <c r="O500" s="83">
        <f t="shared" si="120"/>
        <v>0</v>
      </c>
      <c r="P500" s="83">
        <f t="shared" si="121"/>
        <v>0</v>
      </c>
      <c r="Q500" s="83">
        <v>0</v>
      </c>
      <c r="R500" s="83">
        <v>0</v>
      </c>
      <c r="S500" s="83">
        <v>0</v>
      </c>
      <c r="T500" s="83">
        <f t="shared" si="122"/>
        <v>0</v>
      </c>
      <c r="U500" s="83">
        <f t="shared" si="123"/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468">
        <v>0</v>
      </c>
      <c r="M501" s="224">
        <v>0</v>
      </c>
      <c r="N501" s="224">
        <v>0</v>
      </c>
      <c r="O501" s="224">
        <f t="shared" si="120"/>
        <v>0</v>
      </c>
      <c r="P501" s="224">
        <f t="shared" si="121"/>
        <v>0</v>
      </c>
      <c r="Q501" s="224">
        <v>0</v>
      </c>
      <c r="R501" s="224">
        <v>0</v>
      </c>
      <c r="S501" s="224">
        <v>0</v>
      </c>
      <c r="T501" s="224">
        <f t="shared" si="122"/>
        <v>0</v>
      </c>
      <c r="U501" s="224">
        <f t="shared" si="123"/>
        <v>0</v>
      </c>
    </row>
    <row r="502" spans="1:21" ht="19.5" hidden="1" x14ac:dyDescent="0.3">
      <c r="A502" s="138"/>
      <c r="B502" s="139"/>
      <c r="C502" s="177" t="s">
        <v>18</v>
      </c>
      <c r="D502" s="491" t="s">
        <v>38</v>
      </c>
      <c r="E502" s="141"/>
      <c r="F502" s="141"/>
      <c r="G502" s="142"/>
      <c r="H502" s="178"/>
      <c r="I502" s="135"/>
      <c r="J502" s="135"/>
      <c r="K502" s="136"/>
      <c r="L502" s="4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IFERROR(__xludf.DUMMYFUNCTION("IMPORTRANGE(""https://docs.google.com/spreadsheets/d/1eHaY18a8A9IcSdp1K8H6x8fbOy06t2VsZHhMHf-1x7Y/edit?usp=sharing"",""แผน!GX27"")"),0)</f>
        <v>0</v>
      </c>
      <c r="J503" s="328">
        <f ca="1">IF(AND(J504=I504,J505=I505,J506=I506,J507=I507),I503,0)</f>
        <v>0</v>
      </c>
      <c r="K503" s="470">
        <f t="shared" ref="K503:K509" ca="1" si="126">IF(I503&gt;0,J503*100/I503,0)</f>
        <v>0</v>
      </c>
      <c r="L503" s="465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IFERROR(__xludf.DUMMYFUNCTION("IMPORTRANGE(""https://docs.google.com/spreadsheets/d/1eHaY18a8A9IcSdp1K8H6x8fbOy06t2VsZHhMHf-1x7Y/edit?usp=sharing"",""แผน!GY27"")"),0)</f>
        <v>0</v>
      </c>
      <c r="J504" s="466">
        <v>0</v>
      </c>
      <c r="K504" s="224">
        <f t="shared" ca="1" si="126"/>
        <v>0</v>
      </c>
      <c r="L504" s="465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IFERROR(__xludf.DUMMYFUNCTION("IMPORTRANGE(""https://docs.google.com/spreadsheets/d/1eHaY18a8A9IcSdp1K8H6x8fbOy06t2VsZHhMHf-1x7Y/edit?usp=sharing"",""แผน!GZ27"")"),0)</f>
        <v>0</v>
      </c>
      <c r="J505" s="466">
        <v>0</v>
      </c>
      <c r="K505" s="224">
        <f t="shared" ca="1" si="126"/>
        <v>0</v>
      </c>
      <c r="L505" s="465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IFERROR(__xludf.DUMMYFUNCTION("IMPORTRANGE(""https://docs.google.com/spreadsheets/d/1eHaY18a8A9IcSdp1K8H6x8fbOy06t2VsZHhMHf-1x7Y/edit?usp=sharing"",""แผน!HA27"")"),0)</f>
        <v>0</v>
      </c>
      <c r="J506" s="466">
        <v>0</v>
      </c>
      <c r="K506" s="224">
        <f t="shared" ca="1" si="126"/>
        <v>0</v>
      </c>
      <c r="L506" s="465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IFERROR(__xludf.DUMMYFUNCTION("IMPORTRANGE(""https://docs.google.com/spreadsheets/d/1eHaY18a8A9IcSdp1K8H6x8fbOy06t2VsZHhMHf-1x7Y/edit?usp=sharing"",""แผน!HB27"")"),0)</f>
        <v>0</v>
      </c>
      <c r="J507" s="466">
        <v>0</v>
      </c>
      <c r="K507" s="224">
        <f t="shared" ca="1" si="126"/>
        <v>0</v>
      </c>
      <c r="L507" s="465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 t="shared" si="126"/>
        <v>0</v>
      </c>
      <c r="L508" s="465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IFERROR(__xludf.DUMMYFUNCTION("IMPORTRANGE(""https://docs.google.com/spreadsheets/d/1eHaY18a8A9IcSdp1K8H6x8fbOy06t2VsZHhMHf-1x7Y/edit?usp=sharing"",""แผน!HC27"")"),0)</f>
        <v>0</v>
      </c>
      <c r="J509" s="464">
        <v>0</v>
      </c>
      <c r="K509" s="455">
        <f t="shared" ca="1" si="126"/>
        <v>0</v>
      </c>
      <c r="L509" s="46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537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536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hidden="1" x14ac:dyDescent="0.3">
      <c r="A511" s="535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534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hidden="1" x14ac:dyDescent="0.3">
      <c r="A512" s="349"/>
      <c r="B512" s="533" t="s">
        <v>207</v>
      </c>
      <c r="C512" s="351"/>
      <c r="D512" s="352"/>
      <c r="E512" s="352"/>
      <c r="F512" s="352"/>
      <c r="G512" s="353"/>
      <c r="H512" s="532" t="s">
        <v>61</v>
      </c>
      <c r="I512" s="531">
        <f>I524</f>
        <v>0</v>
      </c>
      <c r="J512" s="531">
        <f>J524</f>
        <v>0</v>
      </c>
      <c r="K512" s="530">
        <f>IF(I512&gt;0,J512*100/I512,0)</f>
        <v>0</v>
      </c>
      <c r="L512" s="512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hidden="1" x14ac:dyDescent="0.3">
      <c r="A513" s="128"/>
      <c r="B513" s="40"/>
      <c r="C513" s="527" t="s">
        <v>18</v>
      </c>
      <c r="D513" s="494" t="s">
        <v>19</v>
      </c>
      <c r="E513" s="40"/>
      <c r="F513" s="40"/>
      <c r="G513" s="42"/>
      <c r="H513" s="529" t="s">
        <v>14</v>
      </c>
      <c r="I513" s="44"/>
      <c r="J513" s="44"/>
      <c r="K513" s="45"/>
      <c r="L513" s="471">
        <f ca="1">L514+L515</f>
        <v>0</v>
      </c>
      <c r="M513" s="470">
        <f ca="1">M514+M515</f>
        <v>0</v>
      </c>
      <c r="N513" s="470">
        <f ca="1">N514+N515</f>
        <v>0</v>
      </c>
      <c r="O513" s="470">
        <f t="shared" ref="O513:O521" ca="1" si="127">IF(L513&gt;0,N513*100/L513,0)</f>
        <v>0</v>
      </c>
      <c r="P513" s="470">
        <f t="shared" ref="P513:P521" ca="1" si="128">IF(M513&gt;0,N513*100/M513,0)</f>
        <v>0</v>
      </c>
      <c r="Q513" s="470">
        <f>Q514+Q515</f>
        <v>0</v>
      </c>
      <c r="R513" s="470">
        <f>R514+R515</f>
        <v>0</v>
      </c>
      <c r="S513" s="470">
        <f>S514+S515</f>
        <v>0</v>
      </c>
      <c r="T513" s="470">
        <f t="shared" ref="T513:T521" si="129">IF(Q513&gt;0,S513*100/Q513,0)</f>
        <v>0</v>
      </c>
      <c r="U513" s="470">
        <f t="shared" ref="U513:U521" si="130"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469">
        <f t="shared" ref="L514:N515" si="131">L517+L520</f>
        <v>0</v>
      </c>
      <c r="M514" s="83">
        <f t="shared" si="131"/>
        <v>0</v>
      </c>
      <c r="N514" s="83">
        <f t="shared" si="131"/>
        <v>0</v>
      </c>
      <c r="O514" s="83">
        <f t="shared" si="127"/>
        <v>0</v>
      </c>
      <c r="P514" s="83">
        <f t="shared" si="128"/>
        <v>0</v>
      </c>
      <c r="Q514" s="83">
        <f t="shared" ref="Q514:S515" si="132">Q517+Q520</f>
        <v>0</v>
      </c>
      <c r="R514" s="83">
        <f t="shared" si="132"/>
        <v>0</v>
      </c>
      <c r="S514" s="83">
        <f t="shared" si="132"/>
        <v>0</v>
      </c>
      <c r="T514" s="83">
        <f t="shared" si="129"/>
        <v>0</v>
      </c>
      <c r="U514" s="83">
        <f t="shared" si="130"/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468">
        <f t="shared" ca="1" si="131"/>
        <v>0</v>
      </c>
      <c r="M515" s="224">
        <f t="shared" ca="1" si="131"/>
        <v>0</v>
      </c>
      <c r="N515" s="224">
        <f t="shared" ca="1" si="131"/>
        <v>0</v>
      </c>
      <c r="O515" s="224">
        <f t="shared" ca="1" si="127"/>
        <v>0</v>
      </c>
      <c r="P515" s="224">
        <f t="shared" ca="1" si="128"/>
        <v>0</v>
      </c>
      <c r="Q515" s="224">
        <f t="shared" si="132"/>
        <v>0</v>
      </c>
      <c r="R515" s="224">
        <f t="shared" si="132"/>
        <v>0</v>
      </c>
      <c r="S515" s="224">
        <f t="shared" si="132"/>
        <v>0</v>
      </c>
      <c r="T515" s="224">
        <f t="shared" si="129"/>
        <v>0</v>
      </c>
      <c r="U515" s="224">
        <f t="shared" si="130"/>
        <v>0</v>
      </c>
    </row>
    <row r="516" spans="1:21" ht="18.75" hidden="1" x14ac:dyDescent="0.25">
      <c r="A516" s="128"/>
      <c r="B516" s="40"/>
      <c r="C516" s="40"/>
      <c r="D516" s="52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468">
        <f ca="1">L517+L518</f>
        <v>0</v>
      </c>
      <c r="M516" s="224">
        <f ca="1">M517+M518</f>
        <v>0</v>
      </c>
      <c r="N516" s="224">
        <f ca="1">N517+N518</f>
        <v>0</v>
      </c>
      <c r="O516" s="224">
        <f t="shared" ca="1" si="127"/>
        <v>0</v>
      </c>
      <c r="P516" s="224">
        <f t="shared" ca="1" si="128"/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 t="shared" si="129"/>
        <v>0</v>
      </c>
      <c r="U516" s="224">
        <f t="shared" si="130"/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469">
        <v>0</v>
      </c>
      <c r="M517" s="83">
        <v>0</v>
      </c>
      <c r="N517" s="83">
        <v>0</v>
      </c>
      <c r="O517" s="83">
        <f t="shared" si="127"/>
        <v>0</v>
      </c>
      <c r="P517" s="83">
        <f t="shared" si="128"/>
        <v>0</v>
      </c>
      <c r="Q517" s="83">
        <v>0</v>
      </c>
      <c r="R517" s="83">
        <v>0</v>
      </c>
      <c r="S517" s="83">
        <v>0</v>
      </c>
      <c r="T517" s="83">
        <f t="shared" si="129"/>
        <v>0</v>
      </c>
      <c r="U517" s="83">
        <f t="shared" si="130"/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468">
        <f ca="1">IFERROR(__xludf.DUMMYFUNCTION("IMPORTRANGE(""https://docs.google.com/spreadsheets/d/1-uDff_7J0KD5mKrp0Vvzr7lt3OU09vwQwhkpOPPYv2Y/edit?usp=sharing"",""งบพรบ!FM27"")"),0)</f>
        <v>0</v>
      </c>
      <c r="M518" s="224">
        <f ca="1">IFERROR(__xludf.DUMMYFUNCTION("IMPORTRANGE(""https://docs.google.com/spreadsheets/d/1-uDff_7J0KD5mKrp0Vvzr7lt3OU09vwQwhkpOPPYv2Y/edit?usp=sharing"",""งบพรบ!FR27"")"),0)</f>
        <v>0</v>
      </c>
      <c r="N518" s="224">
        <f ca="1">IFERROR(__xludf.DUMMYFUNCTION("IMPORTRANGE(""https://docs.google.com/spreadsheets/d/1-uDff_7J0KD5mKrp0Vvzr7lt3OU09vwQwhkpOPPYv2Y/edit?usp=sharing"",""งบพรบ!FT27"")"),0)</f>
        <v>0</v>
      </c>
      <c r="O518" s="224">
        <f t="shared" ca="1" si="127"/>
        <v>0</v>
      </c>
      <c r="P518" s="224">
        <f t="shared" ca="1" si="128"/>
        <v>0</v>
      </c>
      <c r="Q518" s="224">
        <v>0</v>
      </c>
      <c r="R518" s="224">
        <v>0</v>
      </c>
      <c r="S518" s="224">
        <v>0</v>
      </c>
      <c r="T518" s="224">
        <f t="shared" si="129"/>
        <v>0</v>
      </c>
      <c r="U518" s="224">
        <f t="shared" si="130"/>
        <v>0</v>
      </c>
    </row>
    <row r="519" spans="1:21" ht="18.75" hidden="1" x14ac:dyDescent="0.25">
      <c r="A519" s="128"/>
      <c r="B519" s="40"/>
      <c r="C519" s="40"/>
      <c r="D519" s="528" t="s">
        <v>23</v>
      </c>
      <c r="E519" s="40"/>
      <c r="F519" s="40"/>
      <c r="G519" s="42"/>
      <c r="H519" s="375" t="s">
        <v>14</v>
      </c>
      <c r="I519" s="135"/>
      <c r="J519" s="135"/>
      <c r="K519" s="136"/>
      <c r="L519" s="468">
        <f ca="1">L520+L521</f>
        <v>0</v>
      </c>
      <c r="M519" s="224">
        <f ca="1">M520+M521</f>
        <v>0</v>
      </c>
      <c r="N519" s="224">
        <f ca="1">N520+N521</f>
        <v>0</v>
      </c>
      <c r="O519" s="224">
        <f t="shared" ca="1" si="127"/>
        <v>0</v>
      </c>
      <c r="P519" s="224">
        <f t="shared" ca="1" si="128"/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 t="shared" si="129"/>
        <v>0</v>
      </c>
      <c r="U519" s="224">
        <f t="shared" si="130"/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469">
        <v>0</v>
      </c>
      <c r="M520" s="83">
        <v>0</v>
      </c>
      <c r="N520" s="83">
        <v>0</v>
      </c>
      <c r="O520" s="83">
        <f t="shared" si="127"/>
        <v>0</v>
      </c>
      <c r="P520" s="83">
        <f t="shared" si="128"/>
        <v>0</v>
      </c>
      <c r="Q520" s="83">
        <v>0</v>
      </c>
      <c r="R520" s="83">
        <v>0</v>
      </c>
      <c r="S520" s="83">
        <v>0</v>
      </c>
      <c r="T520" s="83">
        <f t="shared" si="129"/>
        <v>0</v>
      </c>
      <c r="U520" s="83">
        <f t="shared" si="130"/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375" t="s">
        <v>14</v>
      </c>
      <c r="I521" s="135"/>
      <c r="J521" s="135"/>
      <c r="K521" s="136"/>
      <c r="L521" s="468">
        <f ca="1">IFERROR(__xludf.DUMMYFUNCTION("IMPORTRANGE(""https://docs.google.com/spreadsheets/d/1-uDff_7J0KD5mKrp0Vvzr7lt3OU09vwQwhkpOPPYv2Y/edit?usp=sharing"",""งบพรบ!FP27"")"),0)</f>
        <v>0</v>
      </c>
      <c r="M521" s="224">
        <f ca="1">IFERROR(__xludf.DUMMYFUNCTION("IMPORTRANGE(""https://docs.google.com/spreadsheets/d/1-uDff_7J0KD5mKrp0Vvzr7lt3OU09vwQwhkpOPPYv2Y/edit?usp=sharing"",""งบพรบ!FS27"")"),0)</f>
        <v>0</v>
      </c>
      <c r="N521" s="224">
        <f ca="1">IFERROR(__xludf.DUMMYFUNCTION("IMPORTRANGE(""https://docs.google.com/spreadsheets/d/1-uDff_7J0KD5mKrp0Vvzr7lt3OU09vwQwhkpOPPYv2Y/edit?usp=sharing"",""งบพรบ!FU27"")"),0)</f>
        <v>0</v>
      </c>
      <c r="O521" s="224">
        <f t="shared" ca="1" si="127"/>
        <v>0</v>
      </c>
      <c r="P521" s="224">
        <f t="shared" ca="1" si="128"/>
        <v>0</v>
      </c>
      <c r="Q521" s="224">
        <v>0</v>
      </c>
      <c r="R521" s="224">
        <v>0</v>
      </c>
      <c r="S521" s="224">
        <v>0</v>
      </c>
      <c r="T521" s="224">
        <f t="shared" si="129"/>
        <v>0</v>
      </c>
      <c r="U521" s="224">
        <f t="shared" si="130"/>
        <v>0</v>
      </c>
    </row>
    <row r="522" spans="1:21" ht="19.5" hidden="1" x14ac:dyDescent="0.3">
      <c r="A522" s="138"/>
      <c r="B522" s="139"/>
      <c r="C522" s="527" t="s">
        <v>18</v>
      </c>
      <c r="D522" s="509" t="s">
        <v>38</v>
      </c>
      <c r="E522" s="141"/>
      <c r="F522" s="141"/>
      <c r="G522" s="142"/>
      <c r="H522" s="143"/>
      <c r="I522" s="135"/>
      <c r="J522" s="44"/>
      <c r="K522" s="45"/>
      <c r="L522" s="465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208</v>
      </c>
      <c r="E523" s="139"/>
      <c r="F523" s="40"/>
      <c r="G523" s="42"/>
      <c r="H523" s="526" t="s">
        <v>11</v>
      </c>
      <c r="I523" s="430">
        <v>0</v>
      </c>
      <c r="J523" s="525">
        <v>0</v>
      </c>
      <c r="K523" s="83">
        <f>IF(I523&gt;0,J523*100/I523,0)</f>
        <v>0</v>
      </c>
      <c r="L523" s="465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29"/>
      <c r="B524" s="1"/>
      <c r="C524" s="2"/>
      <c r="D524" s="524" t="s">
        <v>209</v>
      </c>
      <c r="E524" s="250"/>
      <c r="F524" s="1"/>
      <c r="G524" s="52"/>
      <c r="H524" s="523" t="s">
        <v>61</v>
      </c>
      <c r="I524" s="433">
        <v>0</v>
      </c>
      <c r="J524" s="522">
        <v>0</v>
      </c>
      <c r="K524" s="521">
        <f>IF(I524&gt;0,J524*100/I524,0)</f>
        <v>0</v>
      </c>
      <c r="L524" s="465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520"/>
      <c r="B525" s="519"/>
      <c r="C525" s="519"/>
      <c r="D525" s="518"/>
      <c r="E525" s="518"/>
      <c r="F525" s="518"/>
      <c r="G525" s="517"/>
      <c r="H525" s="516"/>
      <c r="I525" s="515"/>
      <c r="J525" s="515"/>
      <c r="K525" s="514"/>
      <c r="L525" s="511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11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11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11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11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11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11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496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hidden="1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64">
        <f>I545</f>
        <v>0</v>
      </c>
      <c r="J533" s="364">
        <f>J545</f>
        <v>0</v>
      </c>
      <c r="K533" s="513">
        <f>IF(I533&gt;0,J533*100/I533,0)</f>
        <v>0</v>
      </c>
      <c r="L533" s="512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hidden="1" x14ac:dyDescent="0.3">
      <c r="A534" s="128"/>
      <c r="B534" s="40"/>
      <c r="C534" s="129" t="s">
        <v>18</v>
      </c>
      <c r="D534" s="472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471">
        <f>L535+L536</f>
        <v>0</v>
      </c>
      <c r="M534" s="470">
        <f>M535+M536</f>
        <v>0</v>
      </c>
      <c r="N534" s="470">
        <f>N535+N536</f>
        <v>0</v>
      </c>
      <c r="O534" s="470">
        <f t="shared" ref="O534:O542" si="133">IF(L534&gt;0,N534*100/L534,0)</f>
        <v>0</v>
      </c>
      <c r="P534" s="470">
        <f t="shared" ref="P534:P542" si="134">IF(M534&gt;0,N534*100/M534,0)</f>
        <v>0</v>
      </c>
      <c r="Q534" s="470">
        <f>Q535+Q536</f>
        <v>0</v>
      </c>
      <c r="R534" s="470">
        <f>R535+R536</f>
        <v>0</v>
      </c>
      <c r="S534" s="470">
        <f>S535+S536</f>
        <v>0</v>
      </c>
      <c r="T534" s="470">
        <f t="shared" ref="T534:T542" si="135">IF(Q534&gt;0,S534*100/Q534,0)</f>
        <v>0</v>
      </c>
      <c r="U534" s="470">
        <f t="shared" ref="U534:U542" si="136"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469">
        <f t="shared" ref="L535:N536" si="137">L538+L541</f>
        <v>0</v>
      </c>
      <c r="M535" s="83">
        <f t="shared" si="137"/>
        <v>0</v>
      </c>
      <c r="N535" s="83">
        <f t="shared" si="137"/>
        <v>0</v>
      </c>
      <c r="O535" s="83">
        <f t="shared" si="133"/>
        <v>0</v>
      </c>
      <c r="P535" s="83">
        <f t="shared" si="134"/>
        <v>0</v>
      </c>
      <c r="Q535" s="83">
        <f t="shared" ref="Q535:S536" si="138">Q538+Q541</f>
        <v>0</v>
      </c>
      <c r="R535" s="83">
        <f t="shared" si="138"/>
        <v>0</v>
      </c>
      <c r="S535" s="83">
        <f t="shared" si="138"/>
        <v>0</v>
      </c>
      <c r="T535" s="83">
        <f t="shared" si="135"/>
        <v>0</v>
      </c>
      <c r="U535" s="83">
        <f t="shared" si="136"/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468">
        <f t="shared" si="137"/>
        <v>0</v>
      </c>
      <c r="M536" s="224">
        <f t="shared" si="137"/>
        <v>0</v>
      </c>
      <c r="N536" s="224">
        <f t="shared" si="137"/>
        <v>0</v>
      </c>
      <c r="O536" s="224">
        <f t="shared" si="133"/>
        <v>0</v>
      </c>
      <c r="P536" s="224">
        <f t="shared" si="134"/>
        <v>0</v>
      </c>
      <c r="Q536" s="224">
        <f t="shared" si="138"/>
        <v>0</v>
      </c>
      <c r="R536" s="224">
        <f t="shared" si="138"/>
        <v>0</v>
      </c>
      <c r="S536" s="224">
        <f t="shared" si="138"/>
        <v>0</v>
      </c>
      <c r="T536" s="224">
        <f t="shared" si="135"/>
        <v>0</v>
      </c>
      <c r="U536" s="224">
        <f t="shared" si="136"/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468">
        <f>L538+L539</f>
        <v>0</v>
      </c>
      <c r="M537" s="224">
        <f>M538+M539</f>
        <v>0</v>
      </c>
      <c r="N537" s="224">
        <f>N538+N539</f>
        <v>0</v>
      </c>
      <c r="O537" s="224">
        <f t="shared" si="133"/>
        <v>0</v>
      </c>
      <c r="P537" s="224">
        <f t="shared" si="134"/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 t="shared" si="135"/>
        <v>0</v>
      </c>
      <c r="U537" s="224">
        <f t="shared" si="136"/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469">
        <v>0</v>
      </c>
      <c r="M538" s="83">
        <v>0</v>
      </c>
      <c r="N538" s="83">
        <v>0</v>
      </c>
      <c r="O538" s="83">
        <f t="shared" si="133"/>
        <v>0</v>
      </c>
      <c r="P538" s="83">
        <f t="shared" si="134"/>
        <v>0</v>
      </c>
      <c r="Q538" s="83">
        <v>0</v>
      </c>
      <c r="R538" s="83">
        <v>0</v>
      </c>
      <c r="S538" s="83">
        <v>0</v>
      </c>
      <c r="T538" s="83">
        <f t="shared" si="135"/>
        <v>0</v>
      </c>
      <c r="U538" s="83">
        <f t="shared" si="136"/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468">
        <v>0</v>
      </c>
      <c r="M539" s="224">
        <v>0</v>
      </c>
      <c r="N539" s="224">
        <v>0</v>
      </c>
      <c r="O539" s="224">
        <f t="shared" si="133"/>
        <v>0</v>
      </c>
      <c r="P539" s="224">
        <f t="shared" si="134"/>
        <v>0</v>
      </c>
      <c r="Q539" s="224">
        <v>0</v>
      </c>
      <c r="R539" s="224">
        <v>0</v>
      </c>
      <c r="S539" s="224">
        <v>0</v>
      </c>
      <c r="T539" s="224">
        <f t="shared" si="135"/>
        <v>0</v>
      </c>
      <c r="U539" s="224">
        <f t="shared" si="136"/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468">
        <f>L541+L542</f>
        <v>0</v>
      </c>
      <c r="M540" s="224">
        <f>M541+M542</f>
        <v>0</v>
      </c>
      <c r="N540" s="224">
        <f>N541+N542</f>
        <v>0</v>
      </c>
      <c r="O540" s="224">
        <f t="shared" si="133"/>
        <v>0</v>
      </c>
      <c r="P540" s="224">
        <f t="shared" si="134"/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 t="shared" si="135"/>
        <v>0</v>
      </c>
      <c r="U540" s="224">
        <f t="shared" si="136"/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469">
        <v>0</v>
      </c>
      <c r="M541" s="83">
        <v>0</v>
      </c>
      <c r="N541" s="83">
        <v>0</v>
      </c>
      <c r="O541" s="83">
        <f t="shared" si="133"/>
        <v>0</v>
      </c>
      <c r="P541" s="83">
        <f t="shared" si="134"/>
        <v>0</v>
      </c>
      <c r="Q541" s="83">
        <v>0</v>
      </c>
      <c r="R541" s="83">
        <v>0</v>
      </c>
      <c r="S541" s="83">
        <v>0</v>
      </c>
      <c r="T541" s="83">
        <f t="shared" si="135"/>
        <v>0</v>
      </c>
      <c r="U541" s="83">
        <f t="shared" si="136"/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468">
        <v>0</v>
      </c>
      <c r="M542" s="224">
        <v>0</v>
      </c>
      <c r="N542" s="224">
        <v>0</v>
      </c>
      <c r="O542" s="224">
        <f t="shared" si="133"/>
        <v>0</v>
      </c>
      <c r="P542" s="224">
        <f t="shared" si="134"/>
        <v>0</v>
      </c>
      <c r="Q542" s="224">
        <v>0</v>
      </c>
      <c r="R542" s="224">
        <v>0</v>
      </c>
      <c r="S542" s="224">
        <v>0</v>
      </c>
      <c r="T542" s="224">
        <f t="shared" si="135"/>
        <v>0</v>
      </c>
      <c r="U542" s="224">
        <f t="shared" si="136"/>
        <v>0</v>
      </c>
    </row>
    <row r="543" spans="1:21" ht="19.5" hidden="1" x14ac:dyDescent="0.3">
      <c r="A543" s="138"/>
      <c r="B543" s="139"/>
      <c r="C543" s="365" t="s">
        <v>18</v>
      </c>
      <c r="D543" s="498" t="s">
        <v>38</v>
      </c>
      <c r="E543" s="141"/>
      <c r="F543" s="141"/>
      <c r="G543" s="142"/>
      <c r="H543" s="143"/>
      <c r="I543" s="135"/>
      <c r="J543" s="44"/>
      <c r="K543" s="45"/>
      <c r="L543" s="465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11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11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11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11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11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11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11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11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11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496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hidden="1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64">
        <f>I566</f>
        <v>0</v>
      </c>
      <c r="J554" s="364">
        <f>J566</f>
        <v>0</v>
      </c>
      <c r="K554" s="513">
        <f>IF(I554&gt;0,J554*100/I554,0)</f>
        <v>0</v>
      </c>
      <c r="L554" s="512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hidden="1" x14ac:dyDescent="0.3">
      <c r="A555" s="128"/>
      <c r="B555" s="40"/>
      <c r="C555" s="129" t="s">
        <v>18</v>
      </c>
      <c r="D555" s="472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471">
        <f>L556+L557</f>
        <v>0</v>
      </c>
      <c r="M555" s="470">
        <f>M556+M557</f>
        <v>0</v>
      </c>
      <c r="N555" s="470">
        <f>N556+N557</f>
        <v>0</v>
      </c>
      <c r="O555" s="470">
        <f t="shared" ref="O555:O563" si="139">IF(L555&gt;0,N555*100/L555,0)</f>
        <v>0</v>
      </c>
      <c r="P555" s="470">
        <f t="shared" ref="P555:P563" si="140">IF(M555&gt;0,N555*100/M555,0)</f>
        <v>0</v>
      </c>
      <c r="Q555" s="470">
        <f>Q556+Q557</f>
        <v>0</v>
      </c>
      <c r="R555" s="470">
        <f>R556+R557</f>
        <v>0</v>
      </c>
      <c r="S555" s="470">
        <f>S556+S557</f>
        <v>0</v>
      </c>
      <c r="T555" s="470">
        <f t="shared" ref="T555:T563" si="141">IF(Q555&gt;0,S555*100/Q555,0)</f>
        <v>0</v>
      </c>
      <c r="U555" s="470">
        <f t="shared" ref="U555:U563" si="142"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469">
        <f t="shared" ref="L556:N557" si="143">L559+L562</f>
        <v>0</v>
      </c>
      <c r="M556" s="83">
        <f t="shared" si="143"/>
        <v>0</v>
      </c>
      <c r="N556" s="83">
        <f t="shared" si="143"/>
        <v>0</v>
      </c>
      <c r="O556" s="83">
        <f t="shared" si="139"/>
        <v>0</v>
      </c>
      <c r="P556" s="83">
        <f t="shared" si="140"/>
        <v>0</v>
      </c>
      <c r="Q556" s="83">
        <f t="shared" ref="Q556:S557" si="144">Q559+Q562</f>
        <v>0</v>
      </c>
      <c r="R556" s="83">
        <f t="shared" si="144"/>
        <v>0</v>
      </c>
      <c r="S556" s="83">
        <f t="shared" si="144"/>
        <v>0</v>
      </c>
      <c r="T556" s="83">
        <f t="shared" si="141"/>
        <v>0</v>
      </c>
      <c r="U556" s="83">
        <f t="shared" si="142"/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468">
        <f t="shared" si="143"/>
        <v>0</v>
      </c>
      <c r="M557" s="224">
        <f t="shared" si="143"/>
        <v>0</v>
      </c>
      <c r="N557" s="224">
        <f t="shared" si="143"/>
        <v>0</v>
      </c>
      <c r="O557" s="224">
        <f t="shared" si="139"/>
        <v>0</v>
      </c>
      <c r="P557" s="224">
        <f t="shared" si="140"/>
        <v>0</v>
      </c>
      <c r="Q557" s="224">
        <f t="shared" si="144"/>
        <v>0</v>
      </c>
      <c r="R557" s="224">
        <f t="shared" si="144"/>
        <v>0</v>
      </c>
      <c r="S557" s="224">
        <f t="shared" si="144"/>
        <v>0</v>
      </c>
      <c r="T557" s="224">
        <f t="shared" si="141"/>
        <v>0</v>
      </c>
      <c r="U557" s="224">
        <f t="shared" si="142"/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468">
        <f>L559+L560</f>
        <v>0</v>
      </c>
      <c r="M558" s="224">
        <f>M559+M560</f>
        <v>0</v>
      </c>
      <c r="N558" s="224">
        <f>N559+N560</f>
        <v>0</v>
      </c>
      <c r="O558" s="224">
        <f t="shared" si="139"/>
        <v>0</v>
      </c>
      <c r="P558" s="224">
        <f t="shared" si="140"/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 t="shared" si="141"/>
        <v>0</v>
      </c>
      <c r="U558" s="224">
        <f t="shared" si="142"/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469">
        <v>0</v>
      </c>
      <c r="M559" s="83">
        <v>0</v>
      </c>
      <c r="N559" s="83">
        <v>0</v>
      </c>
      <c r="O559" s="83">
        <f t="shared" si="139"/>
        <v>0</v>
      </c>
      <c r="P559" s="83">
        <f t="shared" si="140"/>
        <v>0</v>
      </c>
      <c r="Q559" s="83">
        <v>0</v>
      </c>
      <c r="R559" s="83">
        <v>0</v>
      </c>
      <c r="S559" s="83">
        <v>0</v>
      </c>
      <c r="T559" s="83">
        <f t="shared" si="141"/>
        <v>0</v>
      </c>
      <c r="U559" s="83">
        <f t="shared" si="142"/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468">
        <v>0</v>
      </c>
      <c r="M560" s="224">
        <v>0</v>
      </c>
      <c r="N560" s="224">
        <v>0</v>
      </c>
      <c r="O560" s="224">
        <f t="shared" si="139"/>
        <v>0</v>
      </c>
      <c r="P560" s="224">
        <f t="shared" si="140"/>
        <v>0</v>
      </c>
      <c r="Q560" s="224">
        <v>0</v>
      </c>
      <c r="R560" s="224">
        <v>0</v>
      </c>
      <c r="S560" s="224">
        <v>0</v>
      </c>
      <c r="T560" s="224">
        <f t="shared" si="141"/>
        <v>0</v>
      </c>
      <c r="U560" s="224">
        <f t="shared" si="142"/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468">
        <f>L562+L563</f>
        <v>0</v>
      </c>
      <c r="M561" s="224">
        <f>M562+M563</f>
        <v>0</v>
      </c>
      <c r="N561" s="224">
        <f>N562+N563</f>
        <v>0</v>
      </c>
      <c r="O561" s="224">
        <f t="shared" si="139"/>
        <v>0</v>
      </c>
      <c r="P561" s="224">
        <f t="shared" si="140"/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 t="shared" si="141"/>
        <v>0</v>
      </c>
      <c r="U561" s="224">
        <f t="shared" si="142"/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469">
        <v>0</v>
      </c>
      <c r="M562" s="83">
        <v>0</v>
      </c>
      <c r="N562" s="83">
        <v>0</v>
      </c>
      <c r="O562" s="83">
        <f t="shared" si="139"/>
        <v>0</v>
      </c>
      <c r="P562" s="83">
        <f t="shared" si="140"/>
        <v>0</v>
      </c>
      <c r="Q562" s="83">
        <v>0</v>
      </c>
      <c r="R562" s="83">
        <v>0</v>
      </c>
      <c r="S562" s="83">
        <v>0</v>
      </c>
      <c r="T562" s="83">
        <f t="shared" si="141"/>
        <v>0</v>
      </c>
      <c r="U562" s="83">
        <f t="shared" si="142"/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468">
        <v>0</v>
      </c>
      <c r="M563" s="224">
        <v>0</v>
      </c>
      <c r="N563" s="224">
        <v>0</v>
      </c>
      <c r="O563" s="224">
        <f t="shared" si="139"/>
        <v>0</v>
      </c>
      <c r="P563" s="224">
        <f t="shared" si="140"/>
        <v>0</v>
      </c>
      <c r="Q563" s="224">
        <v>0</v>
      </c>
      <c r="R563" s="224">
        <v>0</v>
      </c>
      <c r="S563" s="224">
        <v>0</v>
      </c>
      <c r="T563" s="224">
        <f t="shared" si="141"/>
        <v>0</v>
      </c>
      <c r="U563" s="224">
        <f t="shared" si="142"/>
        <v>0</v>
      </c>
    </row>
    <row r="564" spans="1:21" ht="19.5" hidden="1" x14ac:dyDescent="0.3">
      <c r="A564" s="138"/>
      <c r="B564" s="139"/>
      <c r="C564" s="365" t="s">
        <v>18</v>
      </c>
      <c r="D564" s="498" t="s">
        <v>38</v>
      </c>
      <c r="E564" s="141"/>
      <c r="F564" s="141"/>
      <c r="G564" s="142"/>
      <c r="H564" s="143"/>
      <c r="I564" s="135"/>
      <c r="J564" s="44"/>
      <c r="K564" s="45"/>
      <c r="L564" s="465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11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11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11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11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11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11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11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11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11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496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hidden="1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64">
        <f>I587</f>
        <v>0</v>
      </c>
      <c r="J575" s="364">
        <f>J587</f>
        <v>0</v>
      </c>
      <c r="K575" s="513">
        <f>IF(I575&gt;0,J575*100/I575,0)</f>
        <v>0</v>
      </c>
      <c r="L575" s="512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hidden="1" x14ac:dyDescent="0.3">
      <c r="A576" s="128"/>
      <c r="B576" s="40"/>
      <c r="C576" s="129" t="s">
        <v>18</v>
      </c>
      <c r="D576" s="472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471">
        <f>L577+L578</f>
        <v>0</v>
      </c>
      <c r="M576" s="470">
        <f>M577+M578</f>
        <v>0</v>
      </c>
      <c r="N576" s="470">
        <f>N577+N578</f>
        <v>0</v>
      </c>
      <c r="O576" s="470">
        <f t="shared" ref="O576:O584" si="145">IF(L576&gt;0,N576*100/L576,0)</f>
        <v>0</v>
      </c>
      <c r="P576" s="470">
        <f t="shared" ref="P576:P584" si="146">IF(M576&gt;0,N576*100/M576,0)</f>
        <v>0</v>
      </c>
      <c r="Q576" s="470">
        <f>Q577+Q578</f>
        <v>0</v>
      </c>
      <c r="R576" s="470">
        <f>R577+R578</f>
        <v>0</v>
      </c>
      <c r="S576" s="470">
        <f>S577+S578</f>
        <v>0</v>
      </c>
      <c r="T576" s="470">
        <f t="shared" ref="T576:T584" si="147">IF(Q576&gt;0,S576*100/Q576,0)</f>
        <v>0</v>
      </c>
      <c r="U576" s="470">
        <f t="shared" ref="U576:U584" si="148"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469">
        <f t="shared" ref="L577:N578" si="149">L580+L583</f>
        <v>0</v>
      </c>
      <c r="M577" s="83">
        <f t="shared" si="149"/>
        <v>0</v>
      </c>
      <c r="N577" s="83">
        <f t="shared" si="149"/>
        <v>0</v>
      </c>
      <c r="O577" s="83">
        <f t="shared" si="145"/>
        <v>0</v>
      </c>
      <c r="P577" s="83">
        <f t="shared" si="146"/>
        <v>0</v>
      </c>
      <c r="Q577" s="83">
        <f t="shared" ref="Q577:S578" si="150">Q580+Q583</f>
        <v>0</v>
      </c>
      <c r="R577" s="83">
        <f t="shared" si="150"/>
        <v>0</v>
      </c>
      <c r="S577" s="83">
        <f t="shared" si="150"/>
        <v>0</v>
      </c>
      <c r="T577" s="83">
        <f t="shared" si="147"/>
        <v>0</v>
      </c>
      <c r="U577" s="83">
        <f t="shared" si="148"/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468">
        <f t="shared" si="149"/>
        <v>0</v>
      </c>
      <c r="M578" s="224">
        <f t="shared" si="149"/>
        <v>0</v>
      </c>
      <c r="N578" s="224">
        <f t="shared" si="149"/>
        <v>0</v>
      </c>
      <c r="O578" s="224">
        <f t="shared" si="145"/>
        <v>0</v>
      </c>
      <c r="P578" s="224">
        <f t="shared" si="146"/>
        <v>0</v>
      </c>
      <c r="Q578" s="224">
        <f t="shared" si="150"/>
        <v>0</v>
      </c>
      <c r="R578" s="224">
        <f t="shared" si="150"/>
        <v>0</v>
      </c>
      <c r="S578" s="224">
        <f t="shared" si="150"/>
        <v>0</v>
      </c>
      <c r="T578" s="224">
        <f t="shared" si="147"/>
        <v>0</v>
      </c>
      <c r="U578" s="224">
        <f t="shared" si="148"/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468">
        <f>L580+L581</f>
        <v>0</v>
      </c>
      <c r="M579" s="224">
        <f>M580+M581</f>
        <v>0</v>
      </c>
      <c r="N579" s="224">
        <f>N580+N581</f>
        <v>0</v>
      </c>
      <c r="O579" s="224">
        <f t="shared" si="145"/>
        <v>0</v>
      </c>
      <c r="P579" s="224">
        <f t="shared" si="146"/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 t="shared" si="147"/>
        <v>0</v>
      </c>
      <c r="U579" s="224">
        <f t="shared" si="148"/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469">
        <v>0</v>
      </c>
      <c r="M580" s="83">
        <v>0</v>
      </c>
      <c r="N580" s="83">
        <v>0</v>
      </c>
      <c r="O580" s="83">
        <f t="shared" si="145"/>
        <v>0</v>
      </c>
      <c r="P580" s="83">
        <f t="shared" si="146"/>
        <v>0</v>
      </c>
      <c r="Q580" s="83">
        <v>0</v>
      </c>
      <c r="R580" s="83">
        <v>0</v>
      </c>
      <c r="S580" s="83">
        <v>0</v>
      </c>
      <c r="T580" s="83">
        <f t="shared" si="147"/>
        <v>0</v>
      </c>
      <c r="U580" s="83">
        <f t="shared" si="148"/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468">
        <v>0</v>
      </c>
      <c r="M581" s="224">
        <v>0</v>
      </c>
      <c r="N581" s="224">
        <v>0</v>
      </c>
      <c r="O581" s="224">
        <f t="shared" si="145"/>
        <v>0</v>
      </c>
      <c r="P581" s="224">
        <f t="shared" si="146"/>
        <v>0</v>
      </c>
      <c r="Q581" s="224">
        <v>0</v>
      </c>
      <c r="R581" s="224">
        <v>0</v>
      </c>
      <c r="S581" s="224">
        <v>0</v>
      </c>
      <c r="T581" s="224">
        <f t="shared" si="147"/>
        <v>0</v>
      </c>
      <c r="U581" s="224">
        <f t="shared" si="148"/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468">
        <f>L583+L584</f>
        <v>0</v>
      </c>
      <c r="M582" s="224">
        <f>M583+M584</f>
        <v>0</v>
      </c>
      <c r="N582" s="224">
        <f>N583+N584</f>
        <v>0</v>
      </c>
      <c r="O582" s="224">
        <f t="shared" si="145"/>
        <v>0</v>
      </c>
      <c r="P582" s="224">
        <f t="shared" si="146"/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 t="shared" si="147"/>
        <v>0</v>
      </c>
      <c r="U582" s="224">
        <f t="shared" si="148"/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469">
        <v>0</v>
      </c>
      <c r="M583" s="83">
        <v>0</v>
      </c>
      <c r="N583" s="83">
        <v>0</v>
      </c>
      <c r="O583" s="83">
        <f t="shared" si="145"/>
        <v>0</v>
      </c>
      <c r="P583" s="83">
        <f t="shared" si="146"/>
        <v>0</v>
      </c>
      <c r="Q583" s="83">
        <v>0</v>
      </c>
      <c r="R583" s="83">
        <v>0</v>
      </c>
      <c r="S583" s="83">
        <v>0</v>
      </c>
      <c r="T583" s="83">
        <f t="shared" si="147"/>
        <v>0</v>
      </c>
      <c r="U583" s="83">
        <f t="shared" si="148"/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468">
        <v>0</v>
      </c>
      <c r="M584" s="224">
        <v>0</v>
      </c>
      <c r="N584" s="224">
        <v>0</v>
      </c>
      <c r="O584" s="224">
        <f t="shared" si="145"/>
        <v>0</v>
      </c>
      <c r="P584" s="224">
        <f t="shared" si="146"/>
        <v>0</v>
      </c>
      <c r="Q584" s="224">
        <v>0</v>
      </c>
      <c r="R584" s="224">
        <v>0</v>
      </c>
      <c r="S584" s="224">
        <v>0</v>
      </c>
      <c r="T584" s="224">
        <f t="shared" si="147"/>
        <v>0</v>
      </c>
      <c r="U584" s="224">
        <f t="shared" si="148"/>
        <v>0</v>
      </c>
    </row>
    <row r="585" spans="1:21" ht="19.5" hidden="1" x14ac:dyDescent="0.3">
      <c r="A585" s="138"/>
      <c r="B585" s="139"/>
      <c r="C585" s="365" t="s">
        <v>18</v>
      </c>
      <c r="D585" s="498" t="s">
        <v>38</v>
      </c>
      <c r="E585" s="141"/>
      <c r="F585" s="141"/>
      <c r="G585" s="142"/>
      <c r="H585" s="143"/>
      <c r="I585" s="135"/>
      <c r="J585" s="44"/>
      <c r="K585" s="45"/>
      <c r="L585" s="465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11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11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11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11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11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11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11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11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11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496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hidden="1" x14ac:dyDescent="0.3">
      <c r="A596" s="366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67" t="s">
        <v>214</v>
      </c>
      <c r="C597" s="172"/>
      <c r="D597" s="125"/>
      <c r="E597" s="27"/>
      <c r="F597" s="27"/>
      <c r="G597" s="27"/>
      <c r="H597" s="368" t="s">
        <v>99</v>
      </c>
      <c r="I597" s="182"/>
      <c r="J597" s="32"/>
      <c r="K597" s="33"/>
      <c r="L597" s="510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369"/>
      <c r="B598" s="370" t="s">
        <v>215</v>
      </c>
      <c r="C598" s="125"/>
      <c r="D598" s="27"/>
      <c r="E598" s="27"/>
      <c r="F598" s="27"/>
      <c r="G598" s="30"/>
      <c r="H598" s="371" t="s">
        <v>35</v>
      </c>
      <c r="I598" s="32"/>
      <c r="J598" s="32"/>
      <c r="K598" s="33"/>
      <c r="L598" s="510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820" t="s">
        <v>19</v>
      </c>
      <c r="E599" s="793"/>
      <c r="F599" s="793"/>
      <c r="G599" s="794"/>
      <c r="H599" s="372" t="s">
        <v>14</v>
      </c>
      <c r="I599" s="44"/>
      <c r="J599" s="44"/>
      <c r="K599" s="45"/>
      <c r="L599" s="471">
        <f>L600+L601</f>
        <v>0</v>
      </c>
      <c r="M599" s="470">
        <f>M600+M601</f>
        <v>0</v>
      </c>
      <c r="N599" s="470">
        <f>N600+N601</f>
        <v>0</v>
      </c>
      <c r="O599" s="470">
        <f t="shared" ref="O599:O607" si="151">IF(L599&gt;0,N599*100/L599,0)</f>
        <v>0</v>
      </c>
      <c r="P599" s="470">
        <f t="shared" ref="P599:P607" si="152">IF(M599&gt;0,N599*100/M599,0)</f>
        <v>0</v>
      </c>
      <c r="Q599" s="470">
        <f>Q600+Q601</f>
        <v>0</v>
      </c>
      <c r="R599" s="470">
        <f>R600+R601</f>
        <v>0</v>
      </c>
      <c r="S599" s="470">
        <f>S600+S601</f>
        <v>0</v>
      </c>
      <c r="T599" s="470">
        <f t="shared" ref="T599:T607" si="153">IF(Q599&gt;0,S599*100/Q599,0)</f>
        <v>0</v>
      </c>
      <c r="U599" s="470">
        <f t="shared" ref="U599:U607" si="154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469">
        <f t="shared" ref="L600:N601" si="155">L603+L606</f>
        <v>0</v>
      </c>
      <c r="M600" s="83">
        <f t="shared" si="155"/>
        <v>0</v>
      </c>
      <c r="N600" s="83">
        <f t="shared" si="155"/>
        <v>0</v>
      </c>
      <c r="O600" s="83">
        <f t="shared" si="151"/>
        <v>0</v>
      </c>
      <c r="P600" s="83">
        <f t="shared" si="152"/>
        <v>0</v>
      </c>
      <c r="Q600" s="83">
        <f t="shared" ref="Q600:S601" si="156">Q603+Q606</f>
        <v>0</v>
      </c>
      <c r="R600" s="83">
        <f t="shared" si="156"/>
        <v>0</v>
      </c>
      <c r="S600" s="83">
        <f t="shared" si="156"/>
        <v>0</v>
      </c>
      <c r="T600" s="83">
        <f t="shared" si="153"/>
        <v>0</v>
      </c>
      <c r="U600" s="83">
        <f t="shared" si="154"/>
        <v>0</v>
      </c>
    </row>
    <row r="601" spans="1:21" ht="18.75" hidden="1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468">
        <f t="shared" si="155"/>
        <v>0</v>
      </c>
      <c r="M601" s="224">
        <f t="shared" si="155"/>
        <v>0</v>
      </c>
      <c r="N601" s="224">
        <f t="shared" si="155"/>
        <v>0</v>
      </c>
      <c r="O601" s="224">
        <f t="shared" si="151"/>
        <v>0</v>
      </c>
      <c r="P601" s="224">
        <f t="shared" si="152"/>
        <v>0</v>
      </c>
      <c r="Q601" s="224">
        <f t="shared" si="156"/>
        <v>0</v>
      </c>
      <c r="R601" s="224">
        <f t="shared" si="156"/>
        <v>0</v>
      </c>
      <c r="S601" s="224">
        <f t="shared" si="156"/>
        <v>0</v>
      </c>
      <c r="T601" s="224">
        <f t="shared" si="153"/>
        <v>0</v>
      </c>
      <c r="U601" s="224">
        <f t="shared" si="154"/>
        <v>0</v>
      </c>
    </row>
    <row r="602" spans="1:21" ht="19.5" hidden="1" x14ac:dyDescent="0.3">
      <c r="A602" s="128"/>
      <c r="B602" s="158"/>
      <c r="C602" s="158"/>
      <c r="D602" s="494" t="s">
        <v>22</v>
      </c>
      <c r="E602" s="40"/>
      <c r="F602" s="40"/>
      <c r="G602" s="42"/>
      <c r="H602" s="372" t="s">
        <v>14</v>
      </c>
      <c r="I602" s="135"/>
      <c r="J602" s="135"/>
      <c r="K602" s="136"/>
      <c r="L602" s="468">
        <f>L603+L604</f>
        <v>0</v>
      </c>
      <c r="M602" s="224">
        <f>M603+M604</f>
        <v>0</v>
      </c>
      <c r="N602" s="224">
        <f>N603+N604</f>
        <v>0</v>
      </c>
      <c r="O602" s="224">
        <f t="shared" si="151"/>
        <v>0</v>
      </c>
      <c r="P602" s="224">
        <f t="shared" si="152"/>
        <v>0</v>
      </c>
      <c r="Q602" s="224">
        <f>Q603+Q604</f>
        <v>0</v>
      </c>
      <c r="R602" s="224">
        <f>R603+R604</f>
        <v>0</v>
      </c>
      <c r="S602" s="224">
        <f>S603+S604</f>
        <v>0</v>
      </c>
      <c r="T602" s="224">
        <f t="shared" si="153"/>
        <v>0</v>
      </c>
      <c r="U602" s="224">
        <f t="shared" si="154"/>
        <v>0</v>
      </c>
    </row>
    <row r="603" spans="1:21" ht="18.75" hidden="1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469">
        <v>0</v>
      </c>
      <c r="M603" s="83">
        <v>0</v>
      </c>
      <c r="N603" s="83">
        <v>0</v>
      </c>
      <c r="O603" s="83">
        <f t="shared" si="151"/>
        <v>0</v>
      </c>
      <c r="P603" s="83">
        <f t="shared" si="152"/>
        <v>0</v>
      </c>
      <c r="Q603" s="83">
        <v>0</v>
      </c>
      <c r="R603" s="83">
        <v>0</v>
      </c>
      <c r="S603" s="83">
        <v>0</v>
      </c>
      <c r="T603" s="83">
        <f t="shared" si="153"/>
        <v>0</v>
      </c>
      <c r="U603" s="83">
        <f t="shared" si="154"/>
        <v>0</v>
      </c>
    </row>
    <row r="604" spans="1:21" ht="18.75" hidden="1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468">
        <v>0</v>
      </c>
      <c r="M604" s="224">
        <v>0</v>
      </c>
      <c r="N604" s="224">
        <v>0</v>
      </c>
      <c r="O604" s="224">
        <f t="shared" si="151"/>
        <v>0</v>
      </c>
      <c r="P604" s="224">
        <f t="shared" si="152"/>
        <v>0</v>
      </c>
      <c r="Q604" s="224">
        <v>0</v>
      </c>
      <c r="R604" s="224">
        <v>0</v>
      </c>
      <c r="S604" s="224">
        <v>0</v>
      </c>
      <c r="T604" s="224">
        <f t="shared" si="153"/>
        <v>0</v>
      </c>
      <c r="U604" s="224">
        <f t="shared" si="154"/>
        <v>0</v>
      </c>
    </row>
    <row r="605" spans="1:21" ht="19.5" hidden="1" x14ac:dyDescent="0.3">
      <c r="A605" s="128"/>
      <c r="B605" s="158"/>
      <c r="C605" s="158"/>
      <c r="D605" s="494" t="s">
        <v>23</v>
      </c>
      <c r="E605" s="158"/>
      <c r="F605" s="40"/>
      <c r="G605" s="42"/>
      <c r="H605" s="374" t="s">
        <v>14</v>
      </c>
      <c r="I605" s="135"/>
      <c r="J605" s="135"/>
      <c r="K605" s="136"/>
      <c r="L605" s="468">
        <f>L606+L607</f>
        <v>0</v>
      </c>
      <c r="M605" s="224">
        <f>M606+M607</f>
        <v>0</v>
      </c>
      <c r="N605" s="224">
        <f>N606+N607</f>
        <v>0</v>
      </c>
      <c r="O605" s="224">
        <f t="shared" si="151"/>
        <v>0</v>
      </c>
      <c r="P605" s="224">
        <f t="shared" si="152"/>
        <v>0</v>
      </c>
      <c r="Q605" s="224">
        <f>Q606+Q607</f>
        <v>0</v>
      </c>
      <c r="R605" s="224">
        <f>R606+R607</f>
        <v>0</v>
      </c>
      <c r="S605" s="224">
        <f>S606+S607</f>
        <v>0</v>
      </c>
      <c r="T605" s="224">
        <f t="shared" si="153"/>
        <v>0</v>
      </c>
      <c r="U605" s="224">
        <f t="shared" si="154"/>
        <v>0</v>
      </c>
    </row>
    <row r="606" spans="1:21" ht="18.75" hidden="1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469">
        <v>0</v>
      </c>
      <c r="M606" s="83">
        <v>0</v>
      </c>
      <c r="N606" s="83">
        <v>0</v>
      </c>
      <c r="O606" s="83">
        <f t="shared" si="151"/>
        <v>0</v>
      </c>
      <c r="P606" s="83">
        <f t="shared" si="152"/>
        <v>0</v>
      </c>
      <c r="Q606" s="83">
        <v>0</v>
      </c>
      <c r="R606" s="83">
        <v>0</v>
      </c>
      <c r="S606" s="83">
        <v>0</v>
      </c>
      <c r="T606" s="83">
        <f t="shared" si="153"/>
        <v>0</v>
      </c>
      <c r="U606" s="83">
        <f t="shared" si="154"/>
        <v>0</v>
      </c>
    </row>
    <row r="607" spans="1:21" ht="18.75" hidden="1" x14ac:dyDescent="0.25">
      <c r="A607" s="128"/>
      <c r="B607" s="158"/>
      <c r="C607" s="158"/>
      <c r="D607" s="40"/>
      <c r="E607" s="314" t="s">
        <v>21</v>
      </c>
      <c r="F607" s="40"/>
      <c r="G607" s="42"/>
      <c r="H607" s="375" t="s">
        <v>14</v>
      </c>
      <c r="I607" s="135"/>
      <c r="J607" s="135"/>
      <c r="K607" s="136"/>
      <c r="L607" s="468">
        <v>0</v>
      </c>
      <c r="M607" s="224">
        <v>0</v>
      </c>
      <c r="N607" s="224">
        <v>0</v>
      </c>
      <c r="O607" s="224">
        <f t="shared" si="151"/>
        <v>0</v>
      </c>
      <c r="P607" s="224">
        <f t="shared" si="152"/>
        <v>0</v>
      </c>
      <c r="Q607" s="224">
        <v>0</v>
      </c>
      <c r="R607" s="224">
        <v>0</v>
      </c>
      <c r="S607" s="224">
        <v>0</v>
      </c>
      <c r="T607" s="224">
        <f t="shared" si="153"/>
        <v>0</v>
      </c>
      <c r="U607" s="224">
        <f t="shared" si="154"/>
        <v>0</v>
      </c>
    </row>
    <row r="608" spans="1:21" ht="19.5" hidden="1" x14ac:dyDescent="0.3">
      <c r="A608" s="138"/>
      <c r="B608" s="139"/>
      <c r="C608" s="177" t="s">
        <v>18</v>
      </c>
      <c r="D608" s="509" t="s">
        <v>38</v>
      </c>
      <c r="E608" s="141"/>
      <c r="F608" s="141"/>
      <c r="G608" s="142"/>
      <c r="H608" s="178"/>
      <c r="I608" s="135"/>
      <c r="J608" s="135"/>
      <c r="K608" s="136"/>
      <c r="L608" s="465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377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465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377" t="s">
        <v>217</v>
      </c>
      <c r="E610" s="145"/>
      <c r="F610" s="145"/>
      <c r="G610" s="143"/>
      <c r="H610" s="372" t="s">
        <v>35</v>
      </c>
      <c r="I610" s="44"/>
      <c r="J610" s="44"/>
      <c r="K610" s="136"/>
      <c r="L610" s="465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377" t="s">
        <v>218</v>
      </c>
      <c r="F611" s="145"/>
      <c r="G611" s="143"/>
      <c r="H611" s="375" t="s">
        <v>35</v>
      </c>
      <c r="I611" s="44"/>
      <c r="J611" s="44"/>
      <c r="K611" s="136"/>
      <c r="L611" s="465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378"/>
      <c r="B612" s="379"/>
      <c r="C612" s="379"/>
      <c r="D612" s="379"/>
      <c r="E612" s="380" t="s">
        <v>219</v>
      </c>
      <c r="F612" s="381"/>
      <c r="G612" s="382"/>
      <c r="H612" s="383" t="s">
        <v>35</v>
      </c>
      <c r="I612" s="384"/>
      <c r="J612" s="384"/>
      <c r="K612" s="385"/>
      <c r="L612" s="508"/>
      <c r="M612" s="386"/>
      <c r="N612" s="386"/>
      <c r="O612" s="386"/>
      <c r="P612" s="386"/>
      <c r="Q612" s="386"/>
      <c r="R612" s="386"/>
      <c r="S612" s="386"/>
      <c r="T612" s="386"/>
      <c r="U612" s="386"/>
    </row>
    <row r="613" spans="1:21" ht="19.5" hidden="1" x14ac:dyDescent="0.3">
      <c r="A613" s="387" t="s">
        <v>220</v>
      </c>
      <c r="B613" s="388"/>
      <c r="C613" s="388"/>
      <c r="D613" s="389"/>
      <c r="E613" s="389"/>
      <c r="F613" s="389"/>
      <c r="G613" s="390"/>
      <c r="H613" s="391"/>
      <c r="I613" s="392"/>
      <c r="J613" s="392"/>
      <c r="K613" s="393"/>
      <c r="L613" s="507"/>
      <c r="M613" s="393"/>
      <c r="N613" s="393"/>
      <c r="O613" s="393"/>
      <c r="P613" s="393"/>
      <c r="Q613" s="393"/>
      <c r="R613" s="393"/>
      <c r="S613" s="393"/>
      <c r="T613" s="393"/>
      <c r="U613" s="393"/>
    </row>
    <row r="614" spans="1:21" ht="19.5" x14ac:dyDescent="0.3">
      <c r="A614" s="394"/>
      <c r="B614" s="395" t="s">
        <v>221</v>
      </c>
      <c r="C614" s="394"/>
      <c r="D614" s="396"/>
      <c r="E614" s="396"/>
      <c r="F614" s="396"/>
      <c r="G614" s="397"/>
      <c r="H614" s="398"/>
      <c r="I614" s="399"/>
      <c r="J614" s="399"/>
      <c r="K614" s="400"/>
      <c r="L614" s="473"/>
      <c r="M614" s="400"/>
      <c r="N614" s="400"/>
      <c r="O614" s="400"/>
      <c r="P614" s="400"/>
      <c r="Q614" s="400"/>
      <c r="R614" s="400"/>
      <c r="S614" s="400"/>
      <c r="T614" s="400"/>
      <c r="U614" s="400"/>
    </row>
    <row r="615" spans="1:21" ht="19.5" x14ac:dyDescent="0.3">
      <c r="A615" s="401"/>
      <c r="B615" s="402" t="s">
        <v>222</v>
      </c>
      <c r="C615" s="401"/>
      <c r="D615" s="403"/>
      <c r="E615" s="403"/>
      <c r="F615" s="403"/>
      <c r="G615" s="404"/>
      <c r="H615" s="405" t="s">
        <v>46</v>
      </c>
      <c r="I615" s="506">
        <f ca="1">I626</f>
        <v>50</v>
      </c>
      <c r="J615" s="506">
        <f>J626</f>
        <v>0</v>
      </c>
      <c r="K615" s="505">
        <f ca="1">IF(I615&gt;0,J615*100/I615,0)</f>
        <v>0</v>
      </c>
      <c r="L615" s="504"/>
      <c r="M615" s="408"/>
      <c r="N615" s="408"/>
      <c r="O615" s="408"/>
      <c r="P615" s="408"/>
      <c r="Q615" s="408"/>
      <c r="R615" s="408"/>
      <c r="S615" s="408"/>
      <c r="T615" s="408"/>
      <c r="U615" s="408"/>
    </row>
    <row r="616" spans="1:21" ht="19.5" x14ac:dyDescent="0.3">
      <c r="A616" s="128"/>
      <c r="B616" s="158"/>
      <c r="C616" s="177" t="s">
        <v>18</v>
      </c>
      <c r="D616" s="821" t="s">
        <v>19</v>
      </c>
      <c r="E616" s="793"/>
      <c r="F616" s="793"/>
      <c r="G616" s="794"/>
      <c r="H616" s="221" t="s">
        <v>14</v>
      </c>
      <c r="I616" s="44"/>
      <c r="J616" s="44"/>
      <c r="K616" s="45"/>
      <c r="L616" s="471">
        <f>L617+L618</f>
        <v>0</v>
      </c>
      <c r="M616" s="470">
        <f>M617+M618</f>
        <v>0</v>
      </c>
      <c r="N616" s="470">
        <f>N617+N618</f>
        <v>0</v>
      </c>
      <c r="O616" s="470">
        <f t="shared" ref="O616:O624" si="157">IF(L616&gt;0,N616*100/L616,0)</f>
        <v>0</v>
      </c>
      <c r="P616" s="470">
        <f t="shared" ref="P616:P624" si="158">IF(M616&gt;0,N616*100/M616,0)</f>
        <v>0</v>
      </c>
      <c r="Q616" s="470">
        <f ca="1">Q617+Q618</f>
        <v>6700</v>
      </c>
      <c r="R616" s="470">
        <f ca="1">R617+R618</f>
        <v>6700</v>
      </c>
      <c r="S616" s="470">
        <f ca="1">S617+S618</f>
        <v>0</v>
      </c>
      <c r="T616" s="470">
        <f t="shared" ref="T616:T624" ca="1" si="159">IF(Q616&gt;0,S616*100/Q616,0)</f>
        <v>0</v>
      </c>
      <c r="U616" s="470">
        <f t="shared" ref="U616:U624" ca="1" si="160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469">
        <f t="shared" ref="L617:N618" si="161">L620+L623</f>
        <v>0</v>
      </c>
      <c r="M617" s="83">
        <f t="shared" si="161"/>
        <v>0</v>
      </c>
      <c r="N617" s="83">
        <f t="shared" si="161"/>
        <v>0</v>
      </c>
      <c r="O617" s="83">
        <f t="shared" si="157"/>
        <v>0</v>
      </c>
      <c r="P617" s="83">
        <f t="shared" si="158"/>
        <v>0</v>
      </c>
      <c r="Q617" s="83">
        <f t="shared" ref="Q617:S618" si="162">Q620+Q623</f>
        <v>0</v>
      </c>
      <c r="R617" s="83">
        <f t="shared" si="162"/>
        <v>0</v>
      </c>
      <c r="S617" s="83">
        <f t="shared" si="162"/>
        <v>0</v>
      </c>
      <c r="T617" s="83">
        <f t="shared" si="159"/>
        <v>0</v>
      </c>
      <c r="U617" s="83">
        <f t="shared" si="160"/>
        <v>0</v>
      </c>
    </row>
    <row r="618" spans="1:21" ht="18.75" hidden="1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468">
        <f t="shared" si="161"/>
        <v>0</v>
      </c>
      <c r="M618" s="224">
        <f t="shared" si="161"/>
        <v>0</v>
      </c>
      <c r="N618" s="224">
        <f t="shared" si="161"/>
        <v>0</v>
      </c>
      <c r="O618" s="224">
        <f t="shared" si="157"/>
        <v>0</v>
      </c>
      <c r="P618" s="224">
        <f t="shared" si="158"/>
        <v>0</v>
      </c>
      <c r="Q618" s="224">
        <f t="shared" ca="1" si="162"/>
        <v>6700</v>
      </c>
      <c r="R618" s="224">
        <f t="shared" ca="1" si="162"/>
        <v>6700</v>
      </c>
      <c r="S618" s="224">
        <f t="shared" ca="1" si="162"/>
        <v>0</v>
      </c>
      <c r="T618" s="224">
        <f t="shared" ca="1" si="159"/>
        <v>0</v>
      </c>
      <c r="U618" s="224">
        <f t="shared" ca="1" si="160"/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468">
        <f>L620+L621</f>
        <v>0</v>
      </c>
      <c r="M619" s="224">
        <f>M620+M621</f>
        <v>0</v>
      </c>
      <c r="N619" s="224">
        <f>N620+N621</f>
        <v>0</v>
      </c>
      <c r="O619" s="224">
        <f t="shared" si="157"/>
        <v>0</v>
      </c>
      <c r="P619" s="224">
        <f t="shared" si="158"/>
        <v>0</v>
      </c>
      <c r="Q619" s="224">
        <f ca="1">Q620+Q621</f>
        <v>6700</v>
      </c>
      <c r="R619" s="224">
        <f ca="1">R620+R621</f>
        <v>6700</v>
      </c>
      <c r="S619" s="224">
        <f ca="1">S620+S621</f>
        <v>0</v>
      </c>
      <c r="T619" s="224">
        <f t="shared" ca="1" si="159"/>
        <v>0</v>
      </c>
      <c r="U619" s="224">
        <f t="shared" ca="1" si="160"/>
        <v>0</v>
      </c>
    </row>
    <row r="620" spans="1:21" ht="18.75" hidden="1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469">
        <v>0</v>
      </c>
      <c r="M620" s="83">
        <v>0</v>
      </c>
      <c r="N620" s="83">
        <v>0</v>
      </c>
      <c r="O620" s="83">
        <f t="shared" si="157"/>
        <v>0</v>
      </c>
      <c r="P620" s="83">
        <f t="shared" si="158"/>
        <v>0</v>
      </c>
      <c r="Q620" s="83">
        <v>0</v>
      </c>
      <c r="R620" s="83">
        <v>0</v>
      </c>
      <c r="S620" s="83">
        <v>0</v>
      </c>
      <c r="T620" s="83">
        <f t="shared" si="159"/>
        <v>0</v>
      </c>
      <c r="U620" s="83">
        <f t="shared" si="160"/>
        <v>0</v>
      </c>
    </row>
    <row r="621" spans="1:21" ht="18.75" hidden="1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468">
        <v>0</v>
      </c>
      <c r="M621" s="224">
        <v>0</v>
      </c>
      <c r="N621" s="224">
        <v>0</v>
      </c>
      <c r="O621" s="224">
        <f t="shared" si="157"/>
        <v>0</v>
      </c>
      <c r="P621" s="224">
        <f t="shared" si="158"/>
        <v>0</v>
      </c>
      <c r="Q621" s="224">
        <f ca="1">IFERROR(__xludf.DUMMYFUNCTION("IMPORTRANGE(""https://docs.google.com/spreadsheets/d/1ItG2mGa2ceCfYo0BwxsXqNm01IGEUdYcSSLTEv9YCik/edit?usp=sharing"",""เบิกจ่ายกองทุน!F27"")"),6700)</f>
        <v>6700</v>
      </c>
      <c r="R621" s="224">
        <f ca="1">IFERROR(__xludf.DUMMYFUNCTION("IMPORTRANGE(""https://docs.google.com/spreadsheets/d/1ItG2mGa2ceCfYo0BwxsXqNm01IGEUdYcSSLTEv9YCik/edit?usp=sharing"",""เบิกจ่ายกองทุน!G27"")"),6700)</f>
        <v>6700</v>
      </c>
      <c r="S621" s="224">
        <f ca="1">IFERROR(__xludf.DUMMYFUNCTION("IMPORTRANGE(""https://docs.google.com/spreadsheets/d/1ItG2mGa2ceCfYo0BwxsXqNm01IGEUdYcSSLTEv9YCik/edit?usp=sharing"",""เบิกจ่ายกองทุน!H27"")"),0)</f>
        <v>0</v>
      </c>
      <c r="T621" s="224">
        <f t="shared" ca="1" si="159"/>
        <v>0</v>
      </c>
      <c r="U621" s="224">
        <f t="shared" ca="1" si="160"/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468">
        <f>L623+L624</f>
        <v>0</v>
      </c>
      <c r="M622" s="224">
        <f>M623+M624</f>
        <v>0</v>
      </c>
      <c r="N622" s="224">
        <f>N623+N624</f>
        <v>0</v>
      </c>
      <c r="O622" s="224">
        <f t="shared" si="157"/>
        <v>0</v>
      </c>
      <c r="P622" s="224">
        <f t="shared" si="158"/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 t="shared" si="159"/>
        <v>0</v>
      </c>
      <c r="U622" s="224">
        <f t="shared" si="160"/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469">
        <v>0</v>
      </c>
      <c r="M623" s="83">
        <v>0</v>
      </c>
      <c r="N623" s="83">
        <v>0</v>
      </c>
      <c r="O623" s="83">
        <f t="shared" si="157"/>
        <v>0</v>
      </c>
      <c r="P623" s="83">
        <f t="shared" si="158"/>
        <v>0</v>
      </c>
      <c r="Q623" s="83">
        <v>0</v>
      </c>
      <c r="R623" s="83">
        <v>0</v>
      </c>
      <c r="S623" s="83">
        <v>0</v>
      </c>
      <c r="T623" s="83">
        <f t="shared" si="159"/>
        <v>0</v>
      </c>
      <c r="U623" s="83">
        <f t="shared" si="160"/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468">
        <v>0</v>
      </c>
      <c r="M624" s="224">
        <v>0</v>
      </c>
      <c r="N624" s="224">
        <v>0</v>
      </c>
      <c r="O624" s="224">
        <f t="shared" si="157"/>
        <v>0</v>
      </c>
      <c r="P624" s="224">
        <f t="shared" si="158"/>
        <v>0</v>
      </c>
      <c r="Q624" s="224">
        <v>0</v>
      </c>
      <c r="R624" s="224">
        <v>0</v>
      </c>
      <c r="S624" s="224">
        <v>0</v>
      </c>
      <c r="T624" s="224">
        <f t="shared" si="159"/>
        <v>0</v>
      </c>
      <c r="U624" s="224">
        <f t="shared" si="160"/>
        <v>0</v>
      </c>
    </row>
    <row r="625" spans="1:21" ht="19.5" x14ac:dyDescent="0.3">
      <c r="A625" s="138"/>
      <c r="B625" s="139"/>
      <c r="C625" s="177" t="s">
        <v>18</v>
      </c>
      <c r="D625" s="467" t="s">
        <v>38</v>
      </c>
      <c r="E625" s="141"/>
      <c r="F625" s="141"/>
      <c r="G625" s="142"/>
      <c r="H625" s="178"/>
      <c r="I625" s="135"/>
      <c r="J625" s="135"/>
      <c r="K625" s="136"/>
      <c r="L625" s="4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10" t="s">
        <v>223</v>
      </c>
      <c r="E626" s="145"/>
      <c r="F626" s="145"/>
      <c r="G626" s="143"/>
      <c r="H626" s="411" t="s">
        <v>46</v>
      </c>
      <c r="I626" s="328">
        <f ca="1">IFERROR(__xludf.DUMMYFUNCTION("IMPORTRANGE(""https://docs.google.com/spreadsheets/d/1eHaY18a8A9IcSdp1K8H6x8fbOy06t2VsZHhMHf-1x7Y/edit?usp=sharing"",""แผน!ID27"")"),50)</f>
        <v>50</v>
      </c>
      <c r="J626" s="328">
        <f>J632</f>
        <v>0</v>
      </c>
      <c r="K626" s="470">
        <f ca="1">IF(I626&gt;0,J626*100/I626,0)</f>
        <v>0</v>
      </c>
      <c r="L626" s="4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IFERROR(__xludf.DUMMYFUNCTION("IMPORTRANGE(""https://docs.google.com/spreadsheets/d/1eHaY18a8A9IcSdp1K8H6x8fbOy06t2VsZHhMHf-1x7Y/edit?usp=sharing"",""แผน!IC27"")"),0)</f>
        <v>0</v>
      </c>
      <c r="J627" s="466">
        <v>0</v>
      </c>
      <c r="K627" s="224">
        <f ca="1">IF(I627&gt;0,(J627*100)/I627,0)</f>
        <v>0</v>
      </c>
      <c r="L627" s="4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IFERROR(__xludf.DUMMYFUNCTION("IMPORTRANGE(""https://docs.google.com/spreadsheets/d/1eHaY18a8A9IcSdp1K8H6x8fbOy06t2VsZHhMHf-1x7Y/edit?usp=sharing"",""แผน!IC27"")"),0)</f>
        <v>0</v>
      </c>
      <c r="J628" s="466">
        <v>0</v>
      </c>
      <c r="K628" s="224">
        <f ca="1">IF(I628&gt;0,(J628*100)/I628,0)</f>
        <v>0</v>
      </c>
      <c r="L628" s="4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466">
        <v>117.96</v>
      </c>
      <c r="K629" s="224">
        <f ca="1">IF(I$626&gt;0,J629*100/I$626,0)</f>
        <v>235.92</v>
      </c>
      <c r="L629" s="4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466">
        <v>0</v>
      </c>
      <c r="K630" s="224">
        <f ca="1">IF(I$626&gt;0,J630*100/I$626,0)</f>
        <v>0</v>
      </c>
      <c r="L630" s="4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466">
        <v>0</v>
      </c>
      <c r="K631" s="224">
        <f ca="1">IF(I$626&gt;0,J631*100/I$626,0)</f>
        <v>0</v>
      </c>
      <c r="L631" s="4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470">
        <f ca="1">IF(I626&gt;0,J632*100/I626,0)</f>
        <v>0</v>
      </c>
      <c r="L632" s="4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466">
        <v>0</v>
      </c>
      <c r="K633" s="45"/>
      <c r="L633" s="4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466">
        <v>0</v>
      </c>
      <c r="K634" s="45"/>
      <c r="L634" s="4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10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IFERROR(__xludf.DUMMYFUNCTION("IMPORTRANGE(""https://docs.google.com/spreadsheets/d/1eHaY18a8A9IcSdp1K8H6x8fbOy06t2VsZHhMHf-1x7Y/edit?usp=sharing"",""แผน!IE27"")"),0)</f>
        <v>0</v>
      </c>
      <c r="J635" s="328">
        <f>J636</f>
        <v>0</v>
      </c>
      <c r="K635" s="470">
        <f ca="1">IF(I635&gt;0,J635*100/I635,0)</f>
        <v>0</v>
      </c>
      <c r="L635" s="4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4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466">
        <v>0</v>
      </c>
      <c r="K637" s="45"/>
      <c r="L637" s="4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466">
        <v>0</v>
      </c>
      <c r="K638" s="45"/>
      <c r="L638" s="4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466">
        <v>0</v>
      </c>
      <c r="K639" s="45"/>
      <c r="L639" s="4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466">
        <v>0</v>
      </c>
      <c r="K640" s="45"/>
      <c r="L640" s="4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01"/>
      <c r="B641" s="402" t="s">
        <v>236</v>
      </c>
      <c r="C641" s="401"/>
      <c r="D641" s="403"/>
      <c r="E641" s="403"/>
      <c r="F641" s="403"/>
      <c r="G641" s="404"/>
      <c r="H641" s="412"/>
      <c r="I641" s="413"/>
      <c r="J641" s="413"/>
      <c r="K641" s="408"/>
      <c r="L641" s="504"/>
      <c r="M641" s="408"/>
      <c r="N641" s="408"/>
      <c r="O641" s="408"/>
      <c r="P641" s="408"/>
      <c r="Q641" s="408"/>
      <c r="R641" s="408"/>
      <c r="S641" s="408"/>
      <c r="T641" s="408"/>
      <c r="U641" s="408"/>
    </row>
    <row r="642" spans="1:21" ht="19.5" x14ac:dyDescent="0.3">
      <c r="A642" s="128"/>
      <c r="B642" s="158"/>
      <c r="C642" s="209" t="s">
        <v>18</v>
      </c>
      <c r="D642" s="821" t="s">
        <v>19</v>
      </c>
      <c r="E642" s="793"/>
      <c r="F642" s="793"/>
      <c r="G642" s="794"/>
      <c r="H642" s="221" t="s">
        <v>14</v>
      </c>
      <c r="I642" s="44"/>
      <c r="J642" s="44"/>
      <c r="K642" s="45"/>
      <c r="L642" s="471">
        <f>L643+L644</f>
        <v>0</v>
      </c>
      <c r="M642" s="470">
        <f>M643+M644</f>
        <v>0</v>
      </c>
      <c r="N642" s="470">
        <f>N643+N644</f>
        <v>0</v>
      </c>
      <c r="O642" s="470">
        <f t="shared" ref="O642:O650" si="163">IF(L642&gt;0,N642*100/L642,0)</f>
        <v>0</v>
      </c>
      <c r="P642" s="470">
        <f t="shared" ref="P642:P650" si="164">IF(M642&gt;0,N642*100/M642,0)</f>
        <v>0</v>
      </c>
      <c r="Q642" s="470">
        <f ca="1">Q643+Q644</f>
        <v>16640</v>
      </c>
      <c r="R642" s="470">
        <f ca="1">R643+R644</f>
        <v>16640</v>
      </c>
      <c r="S642" s="470">
        <f ca="1">S643+S644</f>
        <v>0</v>
      </c>
      <c r="T642" s="470">
        <f t="shared" ref="T642:T650" ca="1" si="165">IF(Q642&gt;0,S642*100/Q642,0)</f>
        <v>0</v>
      </c>
      <c r="U642" s="470">
        <f t="shared" ref="U642:U650" ca="1" si="166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469">
        <f t="shared" ref="L643:N644" si="167">L646+L649</f>
        <v>0</v>
      </c>
      <c r="M643" s="83">
        <f t="shared" si="167"/>
        <v>0</v>
      </c>
      <c r="N643" s="83">
        <f t="shared" si="167"/>
        <v>0</v>
      </c>
      <c r="O643" s="83">
        <f t="shared" si="163"/>
        <v>0</v>
      </c>
      <c r="P643" s="83">
        <f t="shared" si="164"/>
        <v>0</v>
      </c>
      <c r="Q643" s="83">
        <f t="shared" ref="Q643:S644" si="168">Q646+Q649</f>
        <v>0</v>
      </c>
      <c r="R643" s="83">
        <f t="shared" si="168"/>
        <v>0</v>
      </c>
      <c r="S643" s="83">
        <f t="shared" si="168"/>
        <v>0</v>
      </c>
      <c r="T643" s="83">
        <f t="shared" si="165"/>
        <v>0</v>
      </c>
      <c r="U643" s="83">
        <f t="shared" si="166"/>
        <v>0</v>
      </c>
    </row>
    <row r="644" spans="1:21" ht="18.75" hidden="1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468">
        <f t="shared" si="167"/>
        <v>0</v>
      </c>
      <c r="M644" s="224">
        <f t="shared" si="167"/>
        <v>0</v>
      </c>
      <c r="N644" s="224">
        <f t="shared" si="167"/>
        <v>0</v>
      </c>
      <c r="O644" s="224">
        <f t="shared" si="163"/>
        <v>0</v>
      </c>
      <c r="P644" s="224">
        <f t="shared" si="164"/>
        <v>0</v>
      </c>
      <c r="Q644" s="224">
        <f t="shared" ca="1" si="168"/>
        <v>16640</v>
      </c>
      <c r="R644" s="224">
        <f t="shared" ca="1" si="168"/>
        <v>16640</v>
      </c>
      <c r="S644" s="224">
        <f t="shared" ca="1" si="168"/>
        <v>0</v>
      </c>
      <c r="T644" s="224">
        <f t="shared" ca="1" si="165"/>
        <v>0</v>
      </c>
      <c r="U644" s="224">
        <f t="shared" ca="1" si="166"/>
        <v>0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468">
        <f>L646+L647</f>
        <v>0</v>
      </c>
      <c r="M645" s="224">
        <f>M646+M647</f>
        <v>0</v>
      </c>
      <c r="N645" s="224">
        <f>N646+N647</f>
        <v>0</v>
      </c>
      <c r="O645" s="224">
        <f t="shared" si="163"/>
        <v>0</v>
      </c>
      <c r="P645" s="224">
        <f t="shared" si="164"/>
        <v>0</v>
      </c>
      <c r="Q645" s="224">
        <f ca="1">Q646+Q647</f>
        <v>16640</v>
      </c>
      <c r="R645" s="224">
        <f ca="1">R646+R647</f>
        <v>16640</v>
      </c>
      <c r="S645" s="224">
        <f ca="1">S646+S647</f>
        <v>0</v>
      </c>
      <c r="T645" s="224">
        <f t="shared" ca="1" si="165"/>
        <v>0</v>
      </c>
      <c r="U645" s="224">
        <f t="shared" ca="1" si="166"/>
        <v>0</v>
      </c>
    </row>
    <row r="646" spans="1:21" ht="18.75" hidden="1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469">
        <v>0</v>
      </c>
      <c r="M646" s="83">
        <v>0</v>
      </c>
      <c r="N646" s="83">
        <v>0</v>
      </c>
      <c r="O646" s="83">
        <f t="shared" si="163"/>
        <v>0</v>
      </c>
      <c r="P646" s="83">
        <f t="shared" si="164"/>
        <v>0</v>
      </c>
      <c r="Q646" s="83">
        <v>0</v>
      </c>
      <c r="R646" s="83">
        <v>0</v>
      </c>
      <c r="S646" s="83">
        <v>0</v>
      </c>
      <c r="T646" s="83">
        <f t="shared" si="165"/>
        <v>0</v>
      </c>
      <c r="U646" s="83">
        <f t="shared" si="166"/>
        <v>0</v>
      </c>
    </row>
    <row r="647" spans="1:21" ht="18.75" hidden="1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468">
        <v>0</v>
      </c>
      <c r="M647" s="224">
        <v>0</v>
      </c>
      <c r="N647" s="224">
        <v>0</v>
      </c>
      <c r="O647" s="224">
        <f t="shared" si="163"/>
        <v>0</v>
      </c>
      <c r="P647" s="224">
        <f t="shared" si="164"/>
        <v>0</v>
      </c>
      <c r="Q647" s="224">
        <f ca="1">IFERROR(__xludf.DUMMYFUNCTION("IMPORTRANGE(""https://docs.google.com/spreadsheets/d/1ItG2mGa2ceCfYo0BwxsXqNm01IGEUdYcSSLTEv9YCik/edit?usp=sharing"",""เบิกจ่ายกองทุน!I27"")"),16640)</f>
        <v>16640</v>
      </c>
      <c r="R647" s="224">
        <f ca="1">IFERROR(__xludf.DUMMYFUNCTION("IMPORTRANGE(""https://docs.google.com/spreadsheets/d/1ItG2mGa2ceCfYo0BwxsXqNm01IGEUdYcSSLTEv9YCik/edit?usp=sharing"",""เบิกจ่ายกองทุน!J27"")"),16640)</f>
        <v>16640</v>
      </c>
      <c r="S647" s="224">
        <f ca="1">IFERROR(__xludf.DUMMYFUNCTION("IMPORTRANGE(""https://docs.google.com/spreadsheets/d/1ItG2mGa2ceCfYo0BwxsXqNm01IGEUdYcSSLTEv9YCik/edit?usp=sharing"",""เบิกจ่ายกองทุน!K27"")"),0)</f>
        <v>0</v>
      </c>
      <c r="T647" s="224">
        <f t="shared" ca="1" si="165"/>
        <v>0</v>
      </c>
      <c r="U647" s="224">
        <f t="shared" ca="1" si="166"/>
        <v>0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468">
        <f>L649+L650</f>
        <v>0</v>
      </c>
      <c r="M648" s="224">
        <f>M649+M650</f>
        <v>0</v>
      </c>
      <c r="N648" s="224">
        <f>N649+N650</f>
        <v>0</v>
      </c>
      <c r="O648" s="224">
        <f t="shared" si="163"/>
        <v>0</v>
      </c>
      <c r="P648" s="224">
        <f t="shared" si="164"/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 t="shared" si="165"/>
        <v>0</v>
      </c>
      <c r="U648" s="224">
        <f t="shared" si="166"/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469">
        <v>0</v>
      </c>
      <c r="M649" s="83">
        <v>0</v>
      </c>
      <c r="N649" s="83">
        <v>0</v>
      </c>
      <c r="O649" s="83">
        <f t="shared" si="163"/>
        <v>0</v>
      </c>
      <c r="P649" s="83">
        <f t="shared" si="164"/>
        <v>0</v>
      </c>
      <c r="Q649" s="83">
        <v>0</v>
      </c>
      <c r="R649" s="83">
        <v>0</v>
      </c>
      <c r="S649" s="83">
        <v>0</v>
      </c>
      <c r="T649" s="83">
        <f t="shared" si="165"/>
        <v>0</v>
      </c>
      <c r="U649" s="83">
        <f t="shared" si="166"/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468">
        <v>0</v>
      </c>
      <c r="M650" s="224">
        <v>0</v>
      </c>
      <c r="N650" s="224">
        <v>0</v>
      </c>
      <c r="O650" s="224">
        <f t="shared" si="163"/>
        <v>0</v>
      </c>
      <c r="P650" s="224">
        <f t="shared" si="164"/>
        <v>0</v>
      </c>
      <c r="Q650" s="224">
        <v>0</v>
      </c>
      <c r="R650" s="224">
        <v>0</v>
      </c>
      <c r="S650" s="224">
        <v>0</v>
      </c>
      <c r="T650" s="224">
        <f t="shared" si="165"/>
        <v>0</v>
      </c>
      <c r="U650" s="224">
        <f t="shared" si="166"/>
        <v>0</v>
      </c>
    </row>
    <row r="651" spans="1:21" ht="19.5" x14ac:dyDescent="0.3">
      <c r="A651" s="138"/>
      <c r="B651" s="139"/>
      <c r="C651" s="209" t="s">
        <v>18</v>
      </c>
      <c r="D651" s="503" t="s">
        <v>38</v>
      </c>
      <c r="E651" s="141"/>
      <c r="F651" s="141"/>
      <c r="G651" s="142"/>
      <c r="H651" s="178"/>
      <c r="I651" s="135"/>
      <c r="J651" s="135"/>
      <c r="K651" s="136"/>
      <c r="L651" s="4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502">
        <f ca="1">IFERROR(__xludf.DUMMYFUNCTION("IMPORTRANGE(""https://docs.google.com/spreadsheets/d/1eHaY18a8A9IcSdp1K8H6x8fbOy06t2VsZHhMHf-1x7Y/edit?usp=sharing"",""แผน!IF27"")"),0)</f>
        <v>0</v>
      </c>
      <c r="J652" s="184">
        <f ca="1">IFERROR(__xludf.DUMMYFUNCTION("IMPORTRANGE(""https://docs.google.com/spreadsheets/d/1tdoBKaGub7dwA3U6UFTqxio9LNnvDCQjHKmttSEBsFQ/edit?usp=sharing"",""จัดที่ดิน!AU27"")"),0)</f>
        <v>0</v>
      </c>
      <c r="K652" s="224">
        <f ca="1">IF(I652&gt;0,J652*100/I652,0)</f>
        <v>0</v>
      </c>
      <c r="L652" s="465"/>
      <c r="M652" s="45"/>
      <c r="N652" s="416"/>
      <c r="O652" s="45"/>
      <c r="P652" s="45"/>
      <c r="Q652" s="45"/>
      <c r="R652" s="45"/>
      <c r="S652" s="416"/>
      <c r="T652" s="45"/>
      <c r="U652" s="45"/>
    </row>
    <row r="653" spans="1:21" ht="18.75" hidden="1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502">
        <f ca="1">IFERROR(__xludf.DUMMYFUNCTION("IMPORTRANGE(""https://docs.google.com/spreadsheets/d/1eHaY18a8A9IcSdp1K8H6x8fbOy06t2VsZHhMHf-1x7Y/edit?usp=sharing"",""แผน!IG27"")"),0)</f>
        <v>0</v>
      </c>
      <c r="J653" s="184">
        <f ca="1">IFERROR(__xludf.DUMMYFUNCTION("IMPORTRANGE(""https://docs.google.com/spreadsheets/d/1tdoBKaGub7dwA3U6UFTqxio9LNnvDCQjHKmttSEBsFQ/edit?usp=sharing"",""จัดที่ดิน!AW27"")"),0)</f>
        <v>0</v>
      </c>
      <c r="K653" s="224">
        <f ca="1">IF(I653&gt;0,J653*100/I653,0)</f>
        <v>0</v>
      </c>
      <c r="L653" s="465"/>
      <c r="M653" s="45"/>
      <c r="N653" s="416"/>
      <c r="O653" s="45"/>
      <c r="P653" s="45"/>
      <c r="Q653" s="45"/>
      <c r="R653" s="45"/>
      <c r="S653" s="416"/>
      <c r="T653" s="45"/>
      <c r="U653" s="45"/>
    </row>
    <row r="654" spans="1:21" ht="19.5" x14ac:dyDescent="0.3">
      <c r="A654" s="208"/>
      <c r="B654" s="158"/>
      <c r="C654" s="158"/>
      <c r="D654" s="47" t="s">
        <v>239</v>
      </c>
      <c r="E654" s="40"/>
      <c r="F654" s="40"/>
      <c r="G654" s="42"/>
      <c r="H654" s="411" t="s">
        <v>46</v>
      </c>
      <c r="I654" s="501">
        <f ca="1">IFERROR(__xludf.DUMMYFUNCTION("IMPORTRANGE(""https://docs.google.com/spreadsheets/d/1eHaY18a8A9IcSdp1K8H6x8fbOy06t2VsZHhMHf-1x7Y/edit?usp=sharing"",""แผน!IH27"")"),80)</f>
        <v>80</v>
      </c>
      <c r="J654" s="328">
        <f>J657+J660</f>
        <v>30.68</v>
      </c>
      <c r="K654" s="470">
        <f ca="1">IF(I654&gt;0,J654*100/I654,0)</f>
        <v>38.35</v>
      </c>
      <c r="L654" s="465"/>
      <c r="M654" s="45"/>
      <c r="N654" s="416"/>
      <c r="O654" s="45"/>
      <c r="P654" s="45"/>
      <c r="Q654" s="45"/>
      <c r="R654" s="45"/>
      <c r="S654" s="416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466">
        <v>4</v>
      </c>
      <c r="K655" s="45"/>
      <c r="L655" s="465"/>
      <c r="M655" s="45"/>
      <c r="N655" s="416"/>
      <c r="O655" s="45"/>
      <c r="P655" s="45"/>
      <c r="Q655" s="45"/>
      <c r="R655" s="45"/>
      <c r="S655" s="416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466">
        <v>5</v>
      </c>
      <c r="K656" s="45"/>
      <c r="L656" s="465"/>
      <c r="M656" s="45"/>
      <c r="N656" s="416"/>
      <c r="O656" s="45"/>
      <c r="P656" s="45"/>
      <c r="Q656" s="45"/>
      <c r="R656" s="45"/>
      <c r="S656" s="416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02">
        <f ca="1">IFERROR(__xludf.DUMMYFUNCTION("IMPORTRANGE(""https://docs.google.com/spreadsheets/d/1eHaY18a8A9IcSdp1K8H6x8fbOy06t2VsZHhMHf-1x7Y/edit?usp=sharing"",""แผน!II27"")"),80)</f>
        <v>80</v>
      </c>
      <c r="J657" s="466">
        <v>30.68</v>
      </c>
      <c r="K657" s="45"/>
      <c r="L657" s="465"/>
      <c r="M657" s="45"/>
      <c r="N657" s="416"/>
      <c r="O657" s="45"/>
      <c r="P657" s="45"/>
      <c r="Q657" s="45"/>
      <c r="R657" s="45"/>
      <c r="S657" s="416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466">
        <v>0</v>
      </c>
      <c r="K658" s="45"/>
      <c r="L658" s="465"/>
      <c r="M658" s="45"/>
      <c r="N658" s="416"/>
      <c r="O658" s="45"/>
      <c r="P658" s="45"/>
      <c r="Q658" s="45"/>
      <c r="R658" s="45"/>
      <c r="S658" s="416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466">
        <v>0</v>
      </c>
      <c r="K659" s="45"/>
      <c r="L659" s="465"/>
      <c r="M659" s="45"/>
      <c r="N659" s="416"/>
      <c r="O659" s="45"/>
      <c r="P659" s="45"/>
      <c r="Q659" s="45"/>
      <c r="R659" s="45"/>
      <c r="S659" s="416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02">
        <f ca="1">IFERROR(__xludf.DUMMYFUNCTION("IMPORTRANGE(""https://docs.google.com/spreadsheets/d/1eHaY18a8A9IcSdp1K8H6x8fbOy06t2VsZHhMHf-1x7Y/edit?usp=sharing"",""แผน!IJ27"")"),0)</f>
        <v>0</v>
      </c>
      <c r="J660" s="466">
        <v>0</v>
      </c>
      <c r="K660" s="45"/>
      <c r="L660" s="465"/>
      <c r="M660" s="45"/>
      <c r="N660" s="416"/>
      <c r="O660" s="45"/>
      <c r="P660" s="45"/>
      <c r="Q660" s="45"/>
      <c r="R660" s="45"/>
      <c r="S660" s="416"/>
      <c r="T660" s="45"/>
      <c r="U660" s="45"/>
    </row>
    <row r="661" spans="1:21" ht="19.5" x14ac:dyDescent="0.3">
      <c r="A661" s="208"/>
      <c r="B661" s="158"/>
      <c r="C661" s="158"/>
      <c r="D661" s="332" t="s">
        <v>242</v>
      </c>
      <c r="E661" s="40"/>
      <c r="F661" s="40"/>
      <c r="G661" s="42"/>
      <c r="H661" s="411" t="s">
        <v>46</v>
      </c>
      <c r="I661" s="501">
        <f ca="1">IFERROR(__xludf.DUMMYFUNCTION("IMPORTRANGE(""https://docs.google.com/spreadsheets/d/1eHaY18a8A9IcSdp1K8H6x8fbOy06t2VsZHhMHf-1x7Y/edit?usp=sharing"",""แผน!IK27"")"),1)</f>
        <v>1</v>
      </c>
      <c r="J661" s="328">
        <f>J667+J670</f>
        <v>0</v>
      </c>
      <c r="K661" s="470">
        <f ca="1">IF(I661&gt;0,J661*100/I661,0)</f>
        <v>0</v>
      </c>
      <c r="L661" s="465"/>
      <c r="M661" s="45"/>
      <c r="N661" s="416"/>
      <c r="O661" s="45"/>
      <c r="P661" s="45"/>
      <c r="Q661" s="45"/>
      <c r="R661" s="45"/>
      <c r="S661" s="416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466">
        <v>0</v>
      </c>
      <c r="K662" s="45"/>
      <c r="L662" s="500"/>
      <c r="M662" s="45"/>
      <c r="N662" s="416"/>
      <c r="O662" s="45"/>
      <c r="P662" s="45"/>
      <c r="Q662" s="416"/>
      <c r="R662" s="45"/>
      <c r="S662" s="416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466">
        <v>0</v>
      </c>
      <c r="K663" s="45"/>
      <c r="L663" s="500"/>
      <c r="M663" s="45"/>
      <c r="N663" s="416"/>
      <c r="O663" s="45"/>
      <c r="P663" s="45"/>
      <c r="Q663" s="416"/>
      <c r="R663" s="45"/>
      <c r="S663" s="416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500"/>
      <c r="M664" s="45"/>
      <c r="N664" s="416"/>
      <c r="O664" s="45"/>
      <c r="P664" s="45"/>
      <c r="Q664" s="416"/>
      <c r="R664" s="45"/>
      <c r="S664" s="416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466">
        <v>0</v>
      </c>
      <c r="K665" s="45"/>
      <c r="L665" s="500"/>
      <c r="M665" s="45"/>
      <c r="N665" s="416"/>
      <c r="O665" s="45"/>
      <c r="P665" s="45"/>
      <c r="Q665" s="416"/>
      <c r="R665" s="45"/>
      <c r="S665" s="416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466">
        <v>0</v>
      </c>
      <c r="K666" s="45"/>
      <c r="L666" s="500"/>
      <c r="M666" s="45"/>
      <c r="N666" s="416"/>
      <c r="O666" s="45"/>
      <c r="P666" s="45"/>
      <c r="Q666" s="416"/>
      <c r="R666" s="45"/>
      <c r="S666" s="416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466">
        <v>0</v>
      </c>
      <c r="K667" s="45"/>
      <c r="L667" s="500"/>
      <c r="M667" s="45"/>
      <c r="N667" s="416"/>
      <c r="O667" s="45"/>
      <c r="P667" s="45"/>
      <c r="Q667" s="416"/>
      <c r="R667" s="45"/>
      <c r="S667" s="416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466">
        <v>0</v>
      </c>
      <c r="K668" s="45"/>
      <c r="L668" s="500"/>
      <c r="M668" s="45"/>
      <c r="N668" s="416"/>
      <c r="O668" s="45"/>
      <c r="P668" s="45"/>
      <c r="Q668" s="416"/>
      <c r="R668" s="45"/>
      <c r="S668" s="416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466">
        <v>0</v>
      </c>
      <c r="K669" s="45"/>
      <c r="L669" s="500"/>
      <c r="M669" s="45"/>
      <c r="N669" s="416"/>
      <c r="O669" s="45"/>
      <c r="P669" s="45"/>
      <c r="Q669" s="416"/>
      <c r="R669" s="45"/>
      <c r="S669" s="416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466">
        <v>0</v>
      </c>
      <c r="K670" s="45"/>
      <c r="L670" s="500"/>
      <c r="M670" s="45"/>
      <c r="N670" s="416"/>
      <c r="O670" s="45"/>
      <c r="P670" s="45"/>
      <c r="Q670" s="416"/>
      <c r="R670" s="45"/>
      <c r="S670" s="416"/>
      <c r="T670" s="45"/>
      <c r="U670" s="45"/>
    </row>
    <row r="671" spans="1:21" ht="18.75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IFERROR(__xludf.DUMMYFUNCTION("IMPORTRANGE(""https://docs.google.com/spreadsheets/d/1tdoBKaGub7dwA3U6UFTqxio9LNnvDCQjHKmttSEBsFQ/edit?usp=sharing"",""จัดที่ดิน!AY27"")"),0)</f>
        <v>0</v>
      </c>
      <c r="K671" s="45"/>
      <c r="L671" s="465"/>
      <c r="M671" s="45"/>
      <c r="N671" s="416"/>
      <c r="O671" s="45"/>
      <c r="P671" s="45"/>
      <c r="Q671" s="45"/>
      <c r="R671" s="45"/>
      <c r="S671" s="416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IFERROR(__xludf.DUMMYFUNCTION("IMPORTRANGE(""https://docs.google.com/spreadsheets/d/1tdoBKaGub7dwA3U6UFTqxio9LNnvDCQjHKmttSEBsFQ/edit?usp=sharing"",""จัดที่ดิน!AZ27"")"),0)</f>
        <v>0</v>
      </c>
      <c r="K672" s="45"/>
      <c r="L672" s="500"/>
      <c r="M672" s="45"/>
      <c r="N672" s="416"/>
      <c r="O672" s="45"/>
      <c r="P672" s="45"/>
      <c r="Q672" s="416"/>
      <c r="R672" s="45"/>
      <c r="S672" s="416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02">
        <f ca="1">IFERROR(__xludf.DUMMYFUNCTION("IMPORTRANGE(""https://docs.google.com/spreadsheets/d/1eHaY18a8A9IcSdp1K8H6x8fbOy06t2VsZHhMHf-1x7Y/edit?usp=sharing"",""แผน!IL27"")"),100)</f>
        <v>100</v>
      </c>
      <c r="J673" s="184">
        <f ca="1">IFERROR(__xludf.DUMMYFUNCTION("IMPORTRANGE(""https://docs.google.com/spreadsheets/d/1tdoBKaGub7dwA3U6UFTqxio9LNnvDCQjHKmttSEBsFQ/edit?usp=sharing"",""จัดที่ดิน!BA27"")"),0)</f>
        <v>0</v>
      </c>
      <c r="K673" s="224">
        <f ca="1">IF(I673&gt;0,J673*100/I673,0)</f>
        <v>0</v>
      </c>
      <c r="L673" s="500"/>
      <c r="M673" s="45"/>
      <c r="N673" s="416"/>
      <c r="O673" s="45"/>
      <c r="P673" s="45"/>
      <c r="Q673" s="416"/>
      <c r="R673" s="45"/>
      <c r="S673" s="416"/>
      <c r="T673" s="45"/>
      <c r="U673" s="45"/>
    </row>
    <row r="674" spans="1:21" ht="19.5" x14ac:dyDescent="0.3">
      <c r="A674" s="208"/>
      <c r="B674" s="158"/>
      <c r="C674" s="158"/>
      <c r="D674" s="47" t="s">
        <v>248</v>
      </c>
      <c r="E674" s="40"/>
      <c r="F674" s="40"/>
      <c r="G674" s="42"/>
      <c r="H674" s="411" t="s">
        <v>35</v>
      </c>
      <c r="I674" s="501">
        <f ca="1">IFERROR(__xludf.DUMMYFUNCTION("IMPORTRANGE(""https://docs.google.com/spreadsheets/d/1eHaY18a8A9IcSdp1K8H6x8fbOy06t2VsZHhMHf-1x7Y/edit?usp=sharing"",""แผน!IM27"")"),25)</f>
        <v>25</v>
      </c>
      <c r="J674" s="328">
        <f ca="1">J676+J679</f>
        <v>2</v>
      </c>
      <c r="K674" s="470">
        <f ca="1">IF(I674&gt;0,J674*100/I674,0)</f>
        <v>8</v>
      </c>
      <c r="L674" s="500"/>
      <c r="M674" s="45"/>
      <c r="N674" s="416"/>
      <c r="O674" s="45"/>
      <c r="P674" s="45"/>
      <c r="Q674" s="416"/>
      <c r="R674" s="45"/>
      <c r="S674" s="416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11" t="s">
        <v>46</v>
      </c>
      <c r="I675" s="501">
        <f ca="1">IFERROR(__xludf.DUMMYFUNCTION("IMPORTRANGE(""https://docs.google.com/spreadsheets/d/1eHaY18a8A9IcSdp1K8H6x8fbOy06t2VsZHhMHf-1x7Y/edit?usp=sharing"",""แผน!IN27"")"),210)</f>
        <v>210</v>
      </c>
      <c r="J675" s="328">
        <f ca="1">J678+J681</f>
        <v>12.12</v>
      </c>
      <c r="K675" s="470">
        <f ca="1">IF(I675&gt;0,J675*100/I675,0)</f>
        <v>5.7714285714285714</v>
      </c>
      <c r="L675" s="465"/>
      <c r="M675" s="45"/>
      <c r="N675" s="416"/>
      <c r="O675" s="45"/>
      <c r="P675" s="45"/>
      <c r="Q675" s="45"/>
      <c r="R675" s="45"/>
      <c r="S675" s="416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502">
        <f ca="1">IFERROR(__xludf.DUMMYFUNCTION("IMPORTRANGE(""https://docs.google.com/spreadsheets/d/1eHaY18a8A9IcSdp1K8H6x8fbOy06t2VsZHhMHf-1x7Y/edit?usp=sharing"",""แผน!IO27"")"),20)</f>
        <v>20</v>
      </c>
      <c r="J676" s="184">
        <f ca="1">IFERROR(__xludf.DUMMYFUNCTION("IMPORTRANGE(""https://docs.google.com/spreadsheets/d/1tdoBKaGub7dwA3U6UFTqxio9LNnvDCQjHKmttSEBsFQ/edit?usp=sharing"",""จัดที่ดิน!BF27"")"),2)</f>
        <v>2</v>
      </c>
      <c r="K676" s="224">
        <f ca="1">IF(I676&gt;0,J676*100/I676,0)</f>
        <v>10</v>
      </c>
      <c r="L676" s="465"/>
      <c r="M676" s="45"/>
      <c r="N676" s="416"/>
      <c r="O676" s="45"/>
      <c r="P676" s="45"/>
      <c r="Q676" s="45"/>
      <c r="R676" s="45"/>
      <c r="S676" s="416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IFERROR(__xludf.DUMMYFUNCTION("IMPORTRANGE(""https://docs.google.com/spreadsheets/d/1tdoBKaGub7dwA3U6UFTqxio9LNnvDCQjHKmttSEBsFQ/edit?usp=sharing"",""จัดที่ดิน!BG27"")"),2)</f>
        <v>2</v>
      </c>
      <c r="K677" s="45"/>
      <c r="L677" s="500"/>
      <c r="M677" s="45"/>
      <c r="N677" s="416"/>
      <c r="O677" s="45"/>
      <c r="P677" s="45"/>
      <c r="Q677" s="416"/>
      <c r="R677" s="45"/>
      <c r="S677" s="416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02">
        <f ca="1">IFERROR(__xludf.DUMMYFUNCTION("IMPORTRANGE(""https://docs.google.com/spreadsheets/d/1eHaY18a8A9IcSdp1K8H6x8fbOy06t2VsZHhMHf-1x7Y/edit?usp=sharing"",""แผน!IP27"")"),160)</f>
        <v>160</v>
      </c>
      <c r="J678" s="184">
        <f ca="1">IFERROR(__xludf.DUMMYFUNCTION("IMPORTRANGE(""https://docs.google.com/spreadsheets/d/1tdoBKaGub7dwA3U6UFTqxio9LNnvDCQjHKmttSEBsFQ/edit?usp=sharing"",""จัดที่ดิน!BH27"")"),12.12)</f>
        <v>12.12</v>
      </c>
      <c r="K678" s="224">
        <f ca="1">IF(I678&gt;0,J678*100/I678,0)</f>
        <v>7.5750000000000002</v>
      </c>
      <c r="L678" s="500"/>
      <c r="M678" s="45"/>
      <c r="N678" s="416"/>
      <c r="O678" s="45"/>
      <c r="P678" s="45"/>
      <c r="Q678" s="416"/>
      <c r="R678" s="45"/>
      <c r="S678" s="416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502">
        <f ca="1">IFERROR(__xludf.DUMMYFUNCTION("IMPORTRANGE(""https://docs.google.com/spreadsheets/d/1eHaY18a8A9IcSdp1K8H6x8fbOy06t2VsZHhMHf-1x7Y/edit?usp=sharing"",""แผน!IQ27"")"),5)</f>
        <v>5</v>
      </c>
      <c r="J679" s="184">
        <f ca="1">IFERROR(__xludf.DUMMYFUNCTION("IMPORTRANGE(""https://docs.google.com/spreadsheets/d/1tdoBKaGub7dwA3U6UFTqxio9LNnvDCQjHKmttSEBsFQ/edit?usp=sharing"",""จัดที่ดิน!BK27"")"),0)</f>
        <v>0</v>
      </c>
      <c r="K679" s="224">
        <f ca="1">IF(I679&gt;0,J679*100/I679,0)</f>
        <v>0</v>
      </c>
      <c r="L679" s="465"/>
      <c r="M679" s="45"/>
      <c r="N679" s="416"/>
      <c r="O679" s="45"/>
      <c r="P679" s="45"/>
      <c r="Q679" s="45"/>
      <c r="R679" s="45"/>
      <c r="S679" s="416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IFERROR(__xludf.DUMMYFUNCTION("IMPORTRANGE(""https://docs.google.com/spreadsheets/d/1tdoBKaGub7dwA3U6UFTqxio9LNnvDCQjHKmttSEBsFQ/edit?usp=sharing"",""จัดที่ดิน!BL27"")"),0)</f>
        <v>0</v>
      </c>
      <c r="K680" s="45"/>
      <c r="L680" s="500"/>
      <c r="M680" s="45"/>
      <c r="N680" s="416"/>
      <c r="O680" s="45"/>
      <c r="P680" s="45"/>
      <c r="Q680" s="416"/>
      <c r="R680" s="45"/>
      <c r="S680" s="416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02">
        <f ca="1">IFERROR(__xludf.DUMMYFUNCTION("IMPORTRANGE(""https://docs.google.com/spreadsheets/d/1eHaY18a8A9IcSdp1K8H6x8fbOy06t2VsZHhMHf-1x7Y/edit?usp=sharing"",""แผน!IR27"")"),50)</f>
        <v>50</v>
      </c>
      <c r="J681" s="184">
        <f ca="1">IFERROR(__xludf.DUMMYFUNCTION("IMPORTRANGE(""https://docs.google.com/spreadsheets/d/1tdoBKaGub7dwA3U6UFTqxio9LNnvDCQjHKmttSEBsFQ/edit?usp=sharing"",""จัดที่ดิน!BM27"")"),0)</f>
        <v>0</v>
      </c>
      <c r="K681" s="224">
        <f ca="1">IF(I681&gt;0,J681*100/I681,0)</f>
        <v>0</v>
      </c>
      <c r="L681" s="500"/>
      <c r="M681" s="45"/>
      <c r="N681" s="416"/>
      <c r="O681" s="45"/>
      <c r="P681" s="45"/>
      <c r="Q681" s="416"/>
      <c r="R681" s="45"/>
      <c r="S681" s="416"/>
      <c r="T681" s="45"/>
      <c r="U681" s="45"/>
    </row>
    <row r="682" spans="1:21" ht="19.5" hidden="1" x14ac:dyDescent="0.3">
      <c r="A682" s="208"/>
      <c r="B682" s="158"/>
      <c r="C682" s="158"/>
      <c r="D682" s="47" t="s">
        <v>251</v>
      </c>
      <c r="E682" s="40"/>
      <c r="F682" s="40"/>
      <c r="G682" s="42"/>
      <c r="H682" s="411" t="s">
        <v>46</v>
      </c>
      <c r="I682" s="501">
        <f ca="1">IFERROR(__xludf.DUMMYFUNCTION("IMPORTRANGE(""https://docs.google.com/spreadsheets/d/1eHaY18a8A9IcSdp1K8H6x8fbOy06t2VsZHhMHf-1x7Y/edit?usp=sharing"",""แผน!IS27"")"),0)</f>
        <v>0</v>
      </c>
      <c r="J682" s="328">
        <f>J685+J688</f>
        <v>0</v>
      </c>
      <c r="K682" s="470">
        <f ca="1">IF(I682&gt;0,J682*100/I682,0)</f>
        <v>0</v>
      </c>
      <c r="L682" s="465"/>
      <c r="M682" s="45"/>
      <c r="N682" s="416"/>
      <c r="O682" s="45"/>
      <c r="P682" s="45"/>
      <c r="Q682" s="45"/>
      <c r="R682" s="45"/>
      <c r="S682" s="416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466">
        <v>0</v>
      </c>
      <c r="K683" s="45"/>
      <c r="L683" s="500"/>
      <c r="M683" s="45"/>
      <c r="N683" s="416"/>
      <c r="O683" s="45"/>
      <c r="P683" s="45"/>
      <c r="Q683" s="416"/>
      <c r="R683" s="45"/>
      <c r="S683" s="416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466">
        <v>0</v>
      </c>
      <c r="K684" s="45"/>
      <c r="L684" s="500"/>
      <c r="M684" s="45"/>
      <c r="N684" s="416"/>
      <c r="O684" s="45"/>
      <c r="P684" s="45"/>
      <c r="Q684" s="416"/>
      <c r="R684" s="45"/>
      <c r="S684" s="416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466">
        <v>0</v>
      </c>
      <c r="K685" s="45"/>
      <c r="L685" s="500"/>
      <c r="M685" s="45"/>
      <c r="N685" s="416"/>
      <c r="O685" s="45"/>
      <c r="P685" s="45"/>
      <c r="Q685" s="416"/>
      <c r="R685" s="45"/>
      <c r="S685" s="416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466">
        <v>0</v>
      </c>
      <c r="K686" s="45"/>
      <c r="L686" s="500"/>
      <c r="M686" s="45"/>
      <c r="N686" s="416"/>
      <c r="O686" s="45"/>
      <c r="P686" s="45"/>
      <c r="Q686" s="416"/>
      <c r="R686" s="45"/>
      <c r="S686" s="416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466">
        <v>0</v>
      </c>
      <c r="K687" s="45"/>
      <c r="L687" s="500"/>
      <c r="M687" s="45"/>
      <c r="N687" s="416"/>
      <c r="O687" s="45"/>
      <c r="P687" s="45"/>
      <c r="Q687" s="416"/>
      <c r="R687" s="45"/>
      <c r="S687" s="416"/>
      <c r="T687" s="45"/>
      <c r="U687" s="45"/>
    </row>
    <row r="688" spans="1:21" ht="19.5" hidden="1" x14ac:dyDescent="0.3">
      <c r="A688" s="249"/>
      <c r="B688" s="419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464">
        <v>0</v>
      </c>
      <c r="K688" s="3"/>
      <c r="L688" s="499"/>
      <c r="M688" s="3"/>
      <c r="N688" s="420"/>
      <c r="O688" s="3"/>
      <c r="P688" s="3"/>
      <c r="Q688" s="420"/>
      <c r="R688" s="3"/>
      <c r="S688" s="420"/>
      <c r="T688" s="3"/>
      <c r="U688" s="3"/>
    </row>
    <row r="689" spans="1:21" ht="19.5" x14ac:dyDescent="0.3">
      <c r="A689" s="394"/>
      <c r="B689" s="395" t="s">
        <v>255</v>
      </c>
      <c r="C689" s="394"/>
      <c r="D689" s="396"/>
      <c r="E689" s="396"/>
      <c r="F689" s="396"/>
      <c r="G689" s="397"/>
      <c r="H689" s="421" t="s">
        <v>35</v>
      </c>
      <c r="I689" s="750">
        <f ca="1">I707</f>
        <v>0</v>
      </c>
      <c r="J689" s="750">
        <f ca="1">J707</f>
        <v>0</v>
      </c>
      <c r="K689" s="474">
        <f ca="1">IF(I689&gt;0,J689*100/I689,0)</f>
        <v>0</v>
      </c>
      <c r="L689" s="473"/>
      <c r="M689" s="400"/>
      <c r="N689" s="400"/>
      <c r="O689" s="400"/>
      <c r="P689" s="400"/>
      <c r="Q689" s="400"/>
      <c r="R689" s="400"/>
      <c r="S689" s="400"/>
      <c r="T689" s="400"/>
      <c r="U689" s="400"/>
    </row>
    <row r="690" spans="1:21" ht="19.5" x14ac:dyDescent="0.3">
      <c r="A690" s="128"/>
      <c r="B690" s="158"/>
      <c r="C690" s="177" t="s">
        <v>18</v>
      </c>
      <c r="D690" s="821" t="s">
        <v>19</v>
      </c>
      <c r="E690" s="793"/>
      <c r="F690" s="793"/>
      <c r="G690" s="794"/>
      <c r="H690" s="221" t="s">
        <v>14</v>
      </c>
      <c r="I690" s="44"/>
      <c r="J690" s="44"/>
      <c r="K690" s="45"/>
      <c r="L690" s="471">
        <f>L691+L692</f>
        <v>0</v>
      </c>
      <c r="M690" s="470">
        <f>M691+M692</f>
        <v>0</v>
      </c>
      <c r="N690" s="470">
        <f>N691+N692</f>
        <v>0</v>
      </c>
      <c r="O690" s="470">
        <f t="shared" ref="O690:O698" si="169">IF(L690&gt;0,N690*100/L690,0)</f>
        <v>0</v>
      </c>
      <c r="P690" s="470">
        <f t="shared" ref="P690:P698" si="170">IF(M690&gt;0,N690*100/M690,0)</f>
        <v>0</v>
      </c>
      <c r="Q690" s="470">
        <f ca="1">Q691+Q692</f>
        <v>66060</v>
      </c>
      <c r="R690" s="470">
        <f ca="1">R691+R692</f>
        <v>66060</v>
      </c>
      <c r="S690" s="470">
        <f ca="1">S691+S692</f>
        <v>0</v>
      </c>
      <c r="T690" s="470">
        <f t="shared" ref="T690:T698" ca="1" si="171">IF(Q690&gt;0,S690*100/Q690,0)</f>
        <v>0</v>
      </c>
      <c r="U690" s="470">
        <f t="shared" ref="U690:U698" ca="1" si="172">IF(R690&gt;0,S690*100/R690,0)</f>
        <v>0</v>
      </c>
    </row>
    <row r="691" spans="1:21" ht="18.75" hidden="1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469">
        <f t="shared" ref="L691:N692" si="173">L694+L697</f>
        <v>0</v>
      </c>
      <c r="M691" s="83">
        <f t="shared" si="173"/>
        <v>0</v>
      </c>
      <c r="N691" s="83">
        <f t="shared" si="173"/>
        <v>0</v>
      </c>
      <c r="O691" s="83">
        <f t="shared" si="169"/>
        <v>0</v>
      </c>
      <c r="P691" s="83">
        <f t="shared" si="170"/>
        <v>0</v>
      </c>
      <c r="Q691" s="83">
        <f t="shared" ref="Q691:S692" si="174">Q694+Q697</f>
        <v>0</v>
      </c>
      <c r="R691" s="83">
        <f t="shared" si="174"/>
        <v>0</v>
      </c>
      <c r="S691" s="83">
        <f t="shared" si="174"/>
        <v>0</v>
      </c>
      <c r="T691" s="83">
        <f t="shared" si="171"/>
        <v>0</v>
      </c>
      <c r="U691" s="83">
        <f t="shared" si="172"/>
        <v>0</v>
      </c>
    </row>
    <row r="692" spans="1:21" ht="18.75" hidden="1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468">
        <f t="shared" si="173"/>
        <v>0</v>
      </c>
      <c r="M692" s="224">
        <f t="shared" si="173"/>
        <v>0</v>
      </c>
      <c r="N692" s="224">
        <f t="shared" si="173"/>
        <v>0</v>
      </c>
      <c r="O692" s="224">
        <f t="shared" si="169"/>
        <v>0</v>
      </c>
      <c r="P692" s="224">
        <f t="shared" si="170"/>
        <v>0</v>
      </c>
      <c r="Q692" s="224">
        <f t="shared" ca="1" si="174"/>
        <v>66060</v>
      </c>
      <c r="R692" s="224">
        <f t="shared" ca="1" si="174"/>
        <v>66060</v>
      </c>
      <c r="S692" s="224">
        <f t="shared" ca="1" si="174"/>
        <v>0</v>
      </c>
      <c r="T692" s="224">
        <f t="shared" ca="1" si="171"/>
        <v>0</v>
      </c>
      <c r="U692" s="224">
        <f t="shared" ca="1" si="172"/>
        <v>0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468">
        <f>L694+L695</f>
        <v>0</v>
      </c>
      <c r="M693" s="224">
        <f>M694+M695</f>
        <v>0</v>
      </c>
      <c r="N693" s="224">
        <f>N694+N695</f>
        <v>0</v>
      </c>
      <c r="O693" s="224">
        <f t="shared" si="169"/>
        <v>0</v>
      </c>
      <c r="P693" s="224">
        <f t="shared" si="170"/>
        <v>0</v>
      </c>
      <c r="Q693" s="224">
        <f ca="1">Q694+Q695</f>
        <v>66060</v>
      </c>
      <c r="R693" s="224">
        <f ca="1">R694+R695</f>
        <v>66060</v>
      </c>
      <c r="S693" s="224">
        <f ca="1">S694+S695</f>
        <v>0</v>
      </c>
      <c r="T693" s="224">
        <f t="shared" ca="1" si="171"/>
        <v>0</v>
      </c>
      <c r="U693" s="224">
        <f t="shared" ca="1" si="172"/>
        <v>0</v>
      </c>
    </row>
    <row r="694" spans="1:21" ht="18.75" hidden="1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469">
        <v>0</v>
      </c>
      <c r="M694" s="83">
        <v>0</v>
      </c>
      <c r="N694" s="83">
        <v>0</v>
      </c>
      <c r="O694" s="83">
        <f t="shared" si="169"/>
        <v>0</v>
      </c>
      <c r="P694" s="83">
        <f t="shared" si="170"/>
        <v>0</v>
      </c>
      <c r="Q694" s="83">
        <v>0</v>
      </c>
      <c r="R694" s="83">
        <v>0</v>
      </c>
      <c r="S694" s="83">
        <v>0</v>
      </c>
      <c r="T694" s="83">
        <f t="shared" si="171"/>
        <v>0</v>
      </c>
      <c r="U694" s="83">
        <f t="shared" si="172"/>
        <v>0</v>
      </c>
    </row>
    <row r="695" spans="1:21" ht="18.75" hidden="1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468">
        <v>0</v>
      </c>
      <c r="M695" s="224">
        <v>0</v>
      </c>
      <c r="N695" s="224">
        <v>0</v>
      </c>
      <c r="O695" s="224">
        <f t="shared" si="169"/>
        <v>0</v>
      </c>
      <c r="P695" s="224">
        <f t="shared" si="170"/>
        <v>0</v>
      </c>
      <c r="Q695" s="224">
        <f ca="1">IFERROR(__xludf.DUMMYFUNCTION("IMPORTRANGE(""https://docs.google.com/spreadsheets/d/1ItG2mGa2ceCfYo0BwxsXqNm01IGEUdYcSSLTEv9YCik/edit?usp=sharing"",""เบิกจ่ายกองทุน!L27"")"),66060)</f>
        <v>66060</v>
      </c>
      <c r="R695" s="224">
        <f ca="1">IFERROR(__xludf.DUMMYFUNCTION("IMPORTRANGE(""https://docs.google.com/spreadsheets/d/1ItG2mGa2ceCfYo0BwxsXqNm01IGEUdYcSSLTEv9YCik/edit?usp=sharing"",""เบิกจ่ายกองทุน!M27"")"),66060)</f>
        <v>66060</v>
      </c>
      <c r="S695" s="224">
        <f ca="1">IFERROR(__xludf.DUMMYFUNCTION("IMPORTRANGE(""https://docs.google.com/spreadsheets/d/1ItG2mGa2ceCfYo0BwxsXqNm01IGEUdYcSSLTEv9YCik/edit?usp=sharing"",""เบิกจ่ายกองทุน!N27"")"),0)</f>
        <v>0</v>
      </c>
      <c r="T695" s="224">
        <f t="shared" ca="1" si="171"/>
        <v>0</v>
      </c>
      <c r="U695" s="224">
        <f t="shared" ca="1" si="172"/>
        <v>0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468">
        <f>L697+L698</f>
        <v>0</v>
      </c>
      <c r="M696" s="224">
        <f>M697+M698</f>
        <v>0</v>
      </c>
      <c r="N696" s="224">
        <f>N697+N698</f>
        <v>0</v>
      </c>
      <c r="O696" s="224">
        <f t="shared" si="169"/>
        <v>0</v>
      </c>
      <c r="P696" s="224">
        <f t="shared" si="170"/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 t="shared" si="171"/>
        <v>0</v>
      </c>
      <c r="U696" s="224">
        <f t="shared" si="172"/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469">
        <v>0</v>
      </c>
      <c r="M697" s="83">
        <v>0</v>
      </c>
      <c r="N697" s="83">
        <v>0</v>
      </c>
      <c r="O697" s="83">
        <f t="shared" si="169"/>
        <v>0</v>
      </c>
      <c r="P697" s="83">
        <f t="shared" si="170"/>
        <v>0</v>
      </c>
      <c r="Q697" s="83">
        <v>0</v>
      </c>
      <c r="R697" s="83">
        <v>0</v>
      </c>
      <c r="S697" s="83">
        <v>0</v>
      </c>
      <c r="T697" s="83">
        <f t="shared" si="171"/>
        <v>0</v>
      </c>
      <c r="U697" s="83">
        <f t="shared" si="172"/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468">
        <v>0</v>
      </c>
      <c r="M698" s="224">
        <v>0</v>
      </c>
      <c r="N698" s="224">
        <v>0</v>
      </c>
      <c r="O698" s="224">
        <f t="shared" si="169"/>
        <v>0</v>
      </c>
      <c r="P698" s="224">
        <f t="shared" si="170"/>
        <v>0</v>
      </c>
      <c r="Q698" s="224">
        <v>0</v>
      </c>
      <c r="R698" s="224">
        <v>0</v>
      </c>
      <c r="S698" s="224">
        <v>0</v>
      </c>
      <c r="T698" s="224">
        <f t="shared" si="171"/>
        <v>0</v>
      </c>
      <c r="U698" s="224">
        <f t="shared" si="172"/>
        <v>0</v>
      </c>
    </row>
    <row r="699" spans="1:21" ht="19.5" x14ac:dyDescent="0.3">
      <c r="A699" s="138"/>
      <c r="B699" s="139"/>
      <c r="C699" s="177" t="s">
        <v>18</v>
      </c>
      <c r="D699" s="498" t="s">
        <v>38</v>
      </c>
      <c r="E699" s="141"/>
      <c r="F699" s="141"/>
      <c r="G699" s="141"/>
      <c r="H699" s="178"/>
      <c r="I699" s="135"/>
      <c r="J699" s="135"/>
      <c r="K699" s="136"/>
      <c r="L699" s="465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IFERROR(__xludf.DUMMYFUNCTION("IMPORTRANGE(""https://docs.google.com/spreadsheets/d/1eHaY18a8A9IcSdp1K8H6x8fbOy06t2VsZHhMHf-1x7Y/edit?usp=sharing"",""แผน!LC27"")"),0)</f>
        <v>0</v>
      </c>
      <c r="J700" s="466">
        <v>0</v>
      </c>
      <c r="K700" s="497">
        <f t="shared" ref="K700:K710" ca="1" si="175">IF(I700&gt;0,J700*100/I700,0)</f>
        <v>0</v>
      </c>
      <c r="L700" s="4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24" t="s">
        <v>258</v>
      </c>
      <c r="F701" s="145"/>
      <c r="G701" s="143"/>
      <c r="H701" s="131" t="s">
        <v>35</v>
      </c>
      <c r="I701" s="328">
        <f ca="1">I703+I705</f>
        <v>4</v>
      </c>
      <c r="J701" s="328">
        <f ca="1">J703+J705</f>
        <v>0</v>
      </c>
      <c r="K701" s="470">
        <f t="shared" ca="1" si="175"/>
        <v>0</v>
      </c>
      <c r="L701" s="4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0</v>
      </c>
      <c r="K702" s="470">
        <f t="shared" si="175"/>
        <v>0</v>
      </c>
      <c r="L702" s="4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IFERROR(__xludf.DUMMYFUNCTION("IMPORTRANGE(""https://docs.google.com/spreadsheets/d/1eHaY18a8A9IcSdp1K8H6x8fbOy06t2VsZHhMHf-1x7Y/edit?usp=sharing"",""แผน!LJ27"")"),0)</f>
        <v>0</v>
      </c>
      <c r="J703" s="184">
        <f ca="1">IFERROR(__xludf.DUMMYFUNCTION("IMPORTRANGE(""https://docs.google.com/spreadsheets/d/1tdoBKaGub7dwA3U6UFTqxio9LNnvDCQjHKmttSEBsFQ/edit?usp=sharing"",""จัดที่ดิน!AP27"")"),0)</f>
        <v>0</v>
      </c>
      <c r="K703" s="224">
        <f t="shared" ca="1" si="175"/>
        <v>0</v>
      </c>
      <c r="L703" s="4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IFERROR(__xludf.DUMMYFUNCTION("IMPORTRANGE(""https://docs.google.com/spreadsheets/d/1tdoBKaGub7dwA3U6UFTqxio9LNnvDCQjHKmttSEBsFQ/edit?usp=sharing"",""จัดที่ดิน!AQ27"")"),0)</f>
        <v>0</v>
      </c>
      <c r="K704" s="224">
        <f t="shared" si="175"/>
        <v>0</v>
      </c>
      <c r="L704" s="4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IFERROR(__xludf.DUMMYFUNCTION("IMPORTRANGE(""https://docs.google.com/spreadsheets/d/1eHaY18a8A9IcSdp1K8H6x8fbOy06t2VsZHhMHf-1x7Y/edit?usp=sharing"",""แผน!LK27"")"),4)</f>
        <v>4</v>
      </c>
      <c r="J705" s="184">
        <f ca="1">IFERROR(__xludf.DUMMYFUNCTION("IMPORTRANGE(""https://docs.google.com/spreadsheets/d/1tdoBKaGub7dwA3U6UFTqxio9LNnvDCQjHKmttSEBsFQ/edit?usp=sharing"",""จัดที่ดิน!AR27"")"),0)</f>
        <v>0</v>
      </c>
      <c r="K705" s="497">
        <f t="shared" ca="1" si="175"/>
        <v>0</v>
      </c>
      <c r="L705" s="4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IFERROR(__xludf.DUMMYFUNCTION("IMPORTRANGE(""https://docs.google.com/spreadsheets/d/1tdoBKaGub7dwA3U6UFTqxio9LNnvDCQjHKmttSEBsFQ/edit?usp=sharing"",""จัดที่ดิน!AS27"")"),0)</f>
        <v>0</v>
      </c>
      <c r="K706" s="224">
        <f t="shared" si="175"/>
        <v>0</v>
      </c>
      <c r="L706" s="4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IFERROR(__xludf.DUMMYFUNCTION("IMPORTRANGE(""https://docs.google.com/spreadsheets/d/1eHaY18a8A9IcSdp1K8H6x8fbOy06t2VsZHhMHf-1x7Y/edit?usp=sharing"",""แผน!LJ27"")"),0)</f>
        <v>0</v>
      </c>
      <c r="J707" s="184">
        <f ca="1">IFERROR(__xludf.DUMMYFUNCTION("IMPORTRANGE(""https://docs.google.com/spreadsheets/d/1tdoBKaGub7dwA3U6UFTqxio9LNnvDCQjHKmttSEBsFQ/edit?usp=sharing"",""จัดที่ดิน!BN27"")"),0)</f>
        <v>0</v>
      </c>
      <c r="K707" s="224">
        <f t="shared" ca="1" si="175"/>
        <v>0</v>
      </c>
      <c r="L707" s="4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25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IFERROR(__xludf.DUMMYFUNCTION("IMPORTRANGE(""https://docs.google.com/spreadsheets/d/1tdoBKaGub7dwA3U6UFTqxio9LNnvDCQjHKmttSEBsFQ/edit?usp=sharing"",""จัดที่ดิน!BO27"")"),0)</f>
        <v>0</v>
      </c>
      <c r="K708" s="224">
        <f t="shared" si="175"/>
        <v>0</v>
      </c>
      <c r="L708" s="4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IFERROR(__xludf.DUMMYFUNCTION("IMPORTRANGE(""https://docs.google.com/spreadsheets/d/1eHaY18a8A9IcSdp1K8H6x8fbOy06t2VsZHhMHf-1x7Y/edit?usp=sharing"",""แผน!LK27"")"),4)</f>
        <v>4</v>
      </c>
      <c r="J709" s="184">
        <f ca="1">IFERROR(__xludf.DUMMYFUNCTION("IMPORTRANGE(""https://docs.google.com/spreadsheets/d/1tdoBKaGub7dwA3U6UFTqxio9LNnvDCQjHKmttSEBsFQ/edit?usp=sharing"",""จัดที่ดิน!BP27"")"),0)</f>
        <v>0</v>
      </c>
      <c r="K709" s="224">
        <f t="shared" ca="1" si="175"/>
        <v>0</v>
      </c>
      <c r="L709" s="465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25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IFERROR(__xludf.DUMMYFUNCTION("IMPORTRANGE(""https://docs.google.com/spreadsheets/d/1tdoBKaGub7dwA3U6UFTqxio9LNnvDCQjHKmttSEBsFQ/edit?usp=sharing"",""จัดที่ดิน!BQ27"")"),0)</f>
        <v>0</v>
      </c>
      <c r="K710" s="224">
        <f t="shared" si="175"/>
        <v>0</v>
      </c>
      <c r="L710" s="465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496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hidden="1" x14ac:dyDescent="0.3">
      <c r="A712" s="394"/>
      <c r="B712" s="426" t="s">
        <v>265</v>
      </c>
      <c r="C712" s="394"/>
      <c r="D712" s="396"/>
      <c r="E712" s="396"/>
      <c r="F712" s="396"/>
      <c r="G712" s="397"/>
      <c r="H712" s="427" t="s">
        <v>46</v>
      </c>
      <c r="I712" s="399"/>
      <c r="J712" s="399">
        <f>J724</f>
        <v>0</v>
      </c>
      <c r="K712" s="495">
        <f>IF(I712&gt;0,J712*100/I712,0)</f>
        <v>0</v>
      </c>
      <c r="L712" s="473"/>
      <c r="M712" s="400"/>
      <c r="N712" s="400"/>
      <c r="O712" s="400"/>
      <c r="P712" s="400"/>
      <c r="Q712" s="400"/>
      <c r="R712" s="400"/>
      <c r="S712" s="400"/>
      <c r="T712" s="400"/>
      <c r="U712" s="400"/>
    </row>
    <row r="713" spans="1:21" ht="19.5" hidden="1" x14ac:dyDescent="0.3">
      <c r="A713" s="394"/>
      <c r="B713" s="426" t="s">
        <v>266</v>
      </c>
      <c r="C713" s="394"/>
      <c r="D713" s="396"/>
      <c r="E713" s="396"/>
      <c r="F713" s="396"/>
      <c r="G713" s="397"/>
      <c r="H713" s="398"/>
      <c r="I713" s="399"/>
      <c r="J713" s="399"/>
      <c r="K713" s="400"/>
      <c r="L713" s="47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128"/>
      <c r="B714" s="158"/>
      <c r="C714" s="314" t="s">
        <v>18</v>
      </c>
      <c r="D714" s="820" t="s">
        <v>19</v>
      </c>
      <c r="E714" s="793"/>
      <c r="F714" s="793"/>
      <c r="G714" s="794"/>
      <c r="H714" s="372" t="s">
        <v>14</v>
      </c>
      <c r="I714" s="44"/>
      <c r="J714" s="44"/>
      <c r="K714" s="45"/>
      <c r="L714" s="471">
        <f>L715+L716</f>
        <v>0</v>
      </c>
      <c r="M714" s="470">
        <f>M715+M716</f>
        <v>0</v>
      </c>
      <c r="N714" s="470">
        <f>N715+N716</f>
        <v>0</v>
      </c>
      <c r="O714" s="470">
        <f t="shared" ref="O714:O722" si="176">IF(L714&gt;0,N714*100/L714,0)</f>
        <v>0</v>
      </c>
      <c r="P714" s="470">
        <f t="shared" ref="P714:P722" si="177">IF(M714&gt;0,N714*100/M714,0)</f>
        <v>0</v>
      </c>
      <c r="Q714" s="470">
        <f>Q715+Q716</f>
        <v>0</v>
      </c>
      <c r="R714" s="470">
        <f>R715+R716</f>
        <v>0</v>
      </c>
      <c r="S714" s="470">
        <f>S715+S716</f>
        <v>0</v>
      </c>
      <c r="T714" s="470">
        <f t="shared" ref="T714:T722" si="178">IF(Q714&gt;0,S714*100/Q714,0)</f>
        <v>0</v>
      </c>
      <c r="U714" s="470">
        <f t="shared" ref="U714:U722" si="179"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469">
        <f t="shared" ref="L715:N716" si="180">L718+L721</f>
        <v>0</v>
      </c>
      <c r="M715" s="83">
        <f t="shared" si="180"/>
        <v>0</v>
      </c>
      <c r="N715" s="83">
        <f t="shared" si="180"/>
        <v>0</v>
      </c>
      <c r="O715" s="83">
        <f t="shared" si="176"/>
        <v>0</v>
      </c>
      <c r="P715" s="83">
        <f t="shared" si="177"/>
        <v>0</v>
      </c>
      <c r="Q715" s="83">
        <f t="shared" ref="Q715:S716" si="181">Q718+Q721</f>
        <v>0</v>
      </c>
      <c r="R715" s="83">
        <f t="shared" si="181"/>
        <v>0</v>
      </c>
      <c r="S715" s="83">
        <f t="shared" si="181"/>
        <v>0</v>
      </c>
      <c r="T715" s="83">
        <f t="shared" si="178"/>
        <v>0</v>
      </c>
      <c r="U715" s="83">
        <f t="shared" si="179"/>
        <v>0</v>
      </c>
    </row>
    <row r="716" spans="1:21" ht="18.75" hidden="1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468">
        <f t="shared" si="180"/>
        <v>0</v>
      </c>
      <c r="M716" s="224">
        <f t="shared" si="180"/>
        <v>0</v>
      </c>
      <c r="N716" s="224">
        <f t="shared" si="180"/>
        <v>0</v>
      </c>
      <c r="O716" s="224">
        <f t="shared" si="176"/>
        <v>0</v>
      </c>
      <c r="P716" s="224">
        <f t="shared" si="177"/>
        <v>0</v>
      </c>
      <c r="Q716" s="224">
        <f t="shared" si="181"/>
        <v>0</v>
      </c>
      <c r="R716" s="224">
        <f t="shared" si="181"/>
        <v>0</v>
      </c>
      <c r="S716" s="224">
        <f t="shared" si="181"/>
        <v>0</v>
      </c>
      <c r="T716" s="224">
        <f t="shared" si="178"/>
        <v>0</v>
      </c>
      <c r="U716" s="224">
        <f t="shared" si="179"/>
        <v>0</v>
      </c>
    </row>
    <row r="717" spans="1:21" ht="19.5" hidden="1" x14ac:dyDescent="0.3">
      <c r="A717" s="128"/>
      <c r="B717" s="158"/>
      <c r="C717" s="158"/>
      <c r="D717" s="494" t="s">
        <v>22</v>
      </c>
      <c r="E717" s="40"/>
      <c r="F717" s="40"/>
      <c r="G717" s="42"/>
      <c r="H717" s="372" t="s">
        <v>14</v>
      </c>
      <c r="I717" s="135"/>
      <c r="J717" s="135"/>
      <c r="K717" s="136"/>
      <c r="L717" s="468">
        <f>L718+L719</f>
        <v>0</v>
      </c>
      <c r="M717" s="224">
        <f>M718+M719</f>
        <v>0</v>
      </c>
      <c r="N717" s="224">
        <f>N718+N719</f>
        <v>0</v>
      </c>
      <c r="O717" s="224">
        <f t="shared" si="176"/>
        <v>0</v>
      </c>
      <c r="P717" s="224">
        <f t="shared" si="177"/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 t="shared" si="178"/>
        <v>0</v>
      </c>
      <c r="U717" s="224">
        <f t="shared" si="179"/>
        <v>0</v>
      </c>
    </row>
    <row r="718" spans="1:21" ht="18.75" hidden="1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469">
        <v>0</v>
      </c>
      <c r="M718" s="83">
        <v>0</v>
      </c>
      <c r="N718" s="83">
        <v>0</v>
      </c>
      <c r="O718" s="83">
        <f t="shared" si="176"/>
        <v>0</v>
      </c>
      <c r="P718" s="83">
        <f t="shared" si="177"/>
        <v>0</v>
      </c>
      <c r="Q718" s="83">
        <v>0</v>
      </c>
      <c r="R718" s="83">
        <v>0</v>
      </c>
      <c r="S718" s="83">
        <v>0</v>
      </c>
      <c r="T718" s="83">
        <f t="shared" si="178"/>
        <v>0</v>
      </c>
      <c r="U718" s="83">
        <f t="shared" si="179"/>
        <v>0</v>
      </c>
    </row>
    <row r="719" spans="1:21" ht="18.75" hidden="1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468">
        <v>0</v>
      </c>
      <c r="M719" s="224">
        <v>0</v>
      </c>
      <c r="N719" s="224">
        <v>0</v>
      </c>
      <c r="O719" s="224">
        <f t="shared" si="176"/>
        <v>0</v>
      </c>
      <c r="P719" s="224">
        <f t="shared" si="177"/>
        <v>0</v>
      </c>
      <c r="Q719" s="224">
        <v>0</v>
      </c>
      <c r="R719" s="224">
        <v>0</v>
      </c>
      <c r="S719" s="224">
        <v>0</v>
      </c>
      <c r="T719" s="224">
        <f t="shared" si="178"/>
        <v>0</v>
      </c>
      <c r="U719" s="224">
        <f t="shared" si="179"/>
        <v>0</v>
      </c>
    </row>
    <row r="720" spans="1:21" ht="19.5" hidden="1" x14ac:dyDescent="0.3">
      <c r="A720" s="128"/>
      <c r="B720" s="158"/>
      <c r="C720" s="158"/>
      <c r="D720" s="494" t="s">
        <v>23</v>
      </c>
      <c r="E720" s="40"/>
      <c r="F720" s="40"/>
      <c r="G720" s="42"/>
      <c r="H720" s="374" t="s">
        <v>14</v>
      </c>
      <c r="I720" s="135"/>
      <c r="J720" s="135"/>
      <c r="K720" s="136"/>
      <c r="L720" s="468">
        <f>L721+L722</f>
        <v>0</v>
      </c>
      <c r="M720" s="224">
        <f>M721+M722</f>
        <v>0</v>
      </c>
      <c r="N720" s="224">
        <f>N721+N722</f>
        <v>0</v>
      </c>
      <c r="O720" s="224">
        <f t="shared" si="176"/>
        <v>0</v>
      </c>
      <c r="P720" s="224">
        <f t="shared" si="177"/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 t="shared" si="178"/>
        <v>0</v>
      </c>
      <c r="U720" s="224">
        <f t="shared" si="179"/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469">
        <v>0</v>
      </c>
      <c r="M721" s="83">
        <v>0</v>
      </c>
      <c r="N721" s="83">
        <v>0</v>
      </c>
      <c r="O721" s="83">
        <f t="shared" si="176"/>
        <v>0</v>
      </c>
      <c r="P721" s="83">
        <f t="shared" si="177"/>
        <v>0</v>
      </c>
      <c r="Q721" s="83">
        <v>0</v>
      </c>
      <c r="R721" s="83">
        <v>0</v>
      </c>
      <c r="S721" s="83">
        <v>0</v>
      </c>
      <c r="T721" s="83">
        <f t="shared" si="178"/>
        <v>0</v>
      </c>
      <c r="U721" s="83">
        <f t="shared" si="179"/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375" t="s">
        <v>14</v>
      </c>
      <c r="I722" s="135"/>
      <c r="J722" s="135"/>
      <c r="K722" s="136"/>
      <c r="L722" s="468">
        <v>0</v>
      </c>
      <c r="M722" s="224">
        <v>0</v>
      </c>
      <c r="N722" s="224">
        <v>0</v>
      </c>
      <c r="O722" s="224">
        <f t="shared" si="176"/>
        <v>0</v>
      </c>
      <c r="P722" s="224">
        <f t="shared" si="177"/>
        <v>0</v>
      </c>
      <c r="Q722" s="224">
        <v>0</v>
      </c>
      <c r="R722" s="224">
        <v>0</v>
      </c>
      <c r="S722" s="224">
        <v>0</v>
      </c>
      <c r="T722" s="224">
        <f t="shared" si="178"/>
        <v>0</v>
      </c>
      <c r="U722" s="224">
        <f t="shared" si="179"/>
        <v>0</v>
      </c>
    </row>
    <row r="723" spans="1:21" ht="19.5" hidden="1" x14ac:dyDescent="0.3">
      <c r="A723" s="138"/>
      <c r="B723" s="139"/>
      <c r="C723" s="314" t="s">
        <v>18</v>
      </c>
      <c r="D723" s="493" t="s">
        <v>38</v>
      </c>
      <c r="E723" s="141"/>
      <c r="F723" s="141"/>
      <c r="G723" s="142"/>
      <c r="H723" s="178"/>
      <c r="I723" s="135"/>
      <c r="J723" s="135"/>
      <c r="K723" s="136"/>
      <c r="L723" s="4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30">
        <v>0</v>
      </c>
      <c r="J724" s="44"/>
      <c r="K724" s="45"/>
      <c r="L724" s="465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29"/>
      <c r="B725" s="2"/>
      <c r="C725" s="2"/>
      <c r="D725" s="1"/>
      <c r="E725" s="431" t="s">
        <v>268</v>
      </c>
      <c r="F725" s="1"/>
      <c r="G725" s="52"/>
      <c r="H725" s="432" t="s">
        <v>46</v>
      </c>
      <c r="I725" s="433">
        <v>0</v>
      </c>
      <c r="J725" s="54"/>
      <c r="K725" s="3"/>
      <c r="L725" s="46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94"/>
      <c r="B726" s="395" t="s">
        <v>269</v>
      </c>
      <c r="C726" s="394"/>
      <c r="D726" s="396"/>
      <c r="E726" s="396"/>
      <c r="F726" s="396"/>
      <c r="G726" s="397"/>
      <c r="H726" s="434" t="s">
        <v>35</v>
      </c>
      <c r="I726" s="475">
        <f ca="1">IFERROR(__xludf.DUMMYFUNCTION("IMPORTRANGE(""https://docs.google.com/spreadsheets/d/1eHaY18a8A9IcSdp1K8H6x8fbOy06t2VsZHhMHf-1x7Y/edit?usp=sharing"",""แผน!GA27"")"),42)</f>
        <v>42</v>
      </c>
      <c r="J726" s="475">
        <f>J742+J746+J749</f>
        <v>50</v>
      </c>
      <c r="K726" s="474">
        <f ca="1">IF(I726&gt;0,J726*100/I726,0)</f>
        <v>119.04761904761905</v>
      </c>
      <c r="L726" s="473"/>
      <c r="M726" s="400"/>
      <c r="N726" s="400"/>
      <c r="O726" s="400"/>
      <c r="P726" s="400"/>
      <c r="Q726" s="400"/>
      <c r="R726" s="400"/>
      <c r="S726" s="400"/>
      <c r="T726" s="400"/>
      <c r="U726" s="400"/>
    </row>
    <row r="727" spans="1:21" ht="19.5" x14ac:dyDescent="0.3">
      <c r="A727" s="436"/>
      <c r="B727" s="394"/>
      <c r="C727" s="394"/>
      <c r="D727" s="396"/>
      <c r="E727" s="396"/>
      <c r="F727" s="396"/>
      <c r="G727" s="397"/>
      <c r="H727" s="434" t="s">
        <v>46</v>
      </c>
      <c r="I727" s="475">
        <f ca="1">IFERROR(__xludf.DUMMYFUNCTION("IMPORTRANGE(""https://docs.google.com/spreadsheets/d/1eHaY18a8A9IcSdp1K8H6x8fbOy06t2VsZHhMHf-1x7Y/edit?usp=sharing"",""แผน!FZ27"")"),400)</f>
        <v>400</v>
      </c>
      <c r="J727" s="475">
        <f>J752+J755</f>
        <v>0</v>
      </c>
      <c r="K727" s="474">
        <f ca="1">IF(I727&gt;0,J727*100/I727,0)</f>
        <v>0</v>
      </c>
      <c r="L727" s="47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128"/>
      <c r="B728" s="158"/>
      <c r="C728" s="177" t="s">
        <v>18</v>
      </c>
      <c r="D728" s="821" t="s">
        <v>19</v>
      </c>
      <c r="E728" s="793"/>
      <c r="F728" s="793"/>
      <c r="G728" s="794"/>
      <c r="H728" s="221" t="s">
        <v>14</v>
      </c>
      <c r="I728" s="44"/>
      <c r="J728" s="44"/>
      <c r="K728" s="45"/>
      <c r="L728" s="471">
        <f>L729+L730</f>
        <v>0</v>
      </c>
      <c r="M728" s="470">
        <f>M729+M730</f>
        <v>0</v>
      </c>
      <c r="N728" s="470">
        <f>N729+N730</f>
        <v>0</v>
      </c>
      <c r="O728" s="470">
        <f t="shared" ref="O728:O736" si="182">IF(L728&gt;0,N728*100/L728,0)</f>
        <v>0</v>
      </c>
      <c r="P728" s="470">
        <f t="shared" ref="P728:P736" si="183">IF(M728&gt;0,N728*100/M728,0)</f>
        <v>0</v>
      </c>
      <c r="Q728" s="470">
        <f ca="1">Q729+Q730</f>
        <v>322458</v>
      </c>
      <c r="R728" s="470">
        <f ca="1">R729+R730</f>
        <v>322458</v>
      </c>
      <c r="S728" s="470">
        <f ca="1">S729+S730</f>
        <v>62015</v>
      </c>
      <c r="T728" s="470">
        <f t="shared" ref="T728:T736" ca="1" si="184">IF(Q728&gt;0,S728*100/Q728,0)</f>
        <v>19.231961991949341</v>
      </c>
      <c r="U728" s="470">
        <f t="shared" ref="U728:U736" ca="1" si="185">IF(R728&gt;0,S728*100/R728,0)</f>
        <v>19.231961991949341</v>
      </c>
    </row>
    <row r="729" spans="1:21" ht="18.75" hidden="1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469">
        <f t="shared" ref="L729:N730" si="186">L732+L735</f>
        <v>0</v>
      </c>
      <c r="M729" s="83">
        <f t="shared" si="186"/>
        <v>0</v>
      </c>
      <c r="N729" s="83">
        <f t="shared" si="186"/>
        <v>0</v>
      </c>
      <c r="O729" s="83">
        <f t="shared" si="182"/>
        <v>0</v>
      </c>
      <c r="P729" s="83">
        <f t="shared" si="183"/>
        <v>0</v>
      </c>
      <c r="Q729" s="83">
        <f t="shared" ref="Q729:S730" si="187">Q732+Q735</f>
        <v>0</v>
      </c>
      <c r="R729" s="83">
        <f t="shared" si="187"/>
        <v>0</v>
      </c>
      <c r="S729" s="83">
        <f t="shared" si="187"/>
        <v>0</v>
      </c>
      <c r="T729" s="83">
        <f t="shared" si="184"/>
        <v>0</v>
      </c>
      <c r="U729" s="83">
        <f t="shared" si="185"/>
        <v>0</v>
      </c>
    </row>
    <row r="730" spans="1:21" ht="18.75" hidden="1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468">
        <f t="shared" si="186"/>
        <v>0</v>
      </c>
      <c r="M730" s="224">
        <f t="shared" si="186"/>
        <v>0</v>
      </c>
      <c r="N730" s="224">
        <f t="shared" si="186"/>
        <v>0</v>
      </c>
      <c r="O730" s="224">
        <f t="shared" si="182"/>
        <v>0</v>
      </c>
      <c r="P730" s="224">
        <f t="shared" si="183"/>
        <v>0</v>
      </c>
      <c r="Q730" s="224">
        <f t="shared" ca="1" si="187"/>
        <v>322458</v>
      </c>
      <c r="R730" s="224">
        <f t="shared" ca="1" si="187"/>
        <v>322458</v>
      </c>
      <c r="S730" s="224">
        <f t="shared" ca="1" si="187"/>
        <v>62015</v>
      </c>
      <c r="T730" s="224">
        <f t="shared" ca="1" si="184"/>
        <v>19.231961991949341</v>
      </c>
      <c r="U730" s="224">
        <f t="shared" ca="1" si="185"/>
        <v>19.231961991949341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468">
        <f>L732+L733</f>
        <v>0</v>
      </c>
      <c r="M731" s="224">
        <f>M732+M733</f>
        <v>0</v>
      </c>
      <c r="N731" s="224">
        <f>N732+N733</f>
        <v>0</v>
      </c>
      <c r="O731" s="224">
        <f t="shared" si="182"/>
        <v>0</v>
      </c>
      <c r="P731" s="224">
        <f t="shared" si="183"/>
        <v>0</v>
      </c>
      <c r="Q731" s="224">
        <f ca="1">Q732+Q733</f>
        <v>322458</v>
      </c>
      <c r="R731" s="224">
        <f ca="1">R732+R733</f>
        <v>322458</v>
      </c>
      <c r="S731" s="224">
        <f ca="1">S732+S733</f>
        <v>62015</v>
      </c>
      <c r="T731" s="224">
        <f t="shared" ca="1" si="184"/>
        <v>19.231961991949341</v>
      </c>
      <c r="U731" s="224">
        <f t="shared" ca="1" si="185"/>
        <v>19.231961991949341</v>
      </c>
    </row>
    <row r="732" spans="1:21" ht="18.75" hidden="1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469">
        <v>0</v>
      </c>
      <c r="M732" s="83">
        <v>0</v>
      </c>
      <c r="N732" s="83">
        <v>0</v>
      </c>
      <c r="O732" s="83">
        <f t="shared" si="182"/>
        <v>0</v>
      </c>
      <c r="P732" s="83">
        <f t="shared" si="183"/>
        <v>0</v>
      </c>
      <c r="Q732" s="83">
        <v>0</v>
      </c>
      <c r="R732" s="83">
        <v>0</v>
      </c>
      <c r="S732" s="83">
        <v>0</v>
      </c>
      <c r="T732" s="83">
        <f t="shared" si="184"/>
        <v>0</v>
      </c>
      <c r="U732" s="83">
        <f t="shared" si="185"/>
        <v>0</v>
      </c>
    </row>
    <row r="733" spans="1:21" ht="18.75" hidden="1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468">
        <v>0</v>
      </c>
      <c r="M733" s="224">
        <v>0</v>
      </c>
      <c r="N733" s="224">
        <v>0</v>
      </c>
      <c r="O733" s="224">
        <f t="shared" si="182"/>
        <v>0</v>
      </c>
      <c r="P733" s="224">
        <f t="shared" si="183"/>
        <v>0</v>
      </c>
      <c r="Q733" s="224">
        <f ca="1">IFERROR(__xludf.DUMMYFUNCTION("IMPORTRANGE(""https://docs.google.com/spreadsheets/d/1ItG2mGa2ceCfYo0BwxsXqNm01IGEUdYcSSLTEv9YCik/edit?usp=sharing"",""เบิกจ่ายกองทุน!O27"")"),322458)</f>
        <v>322458</v>
      </c>
      <c r="R733" s="224">
        <f ca="1">IFERROR(__xludf.DUMMYFUNCTION("IMPORTRANGE(""https://docs.google.com/spreadsheets/d/1ItG2mGa2ceCfYo0BwxsXqNm01IGEUdYcSSLTEv9YCik/edit?usp=sharing"",""เบิกจ่ายกองทุน!P27"")"),322458)</f>
        <v>322458</v>
      </c>
      <c r="S733" s="224">
        <f ca="1">IFERROR(__xludf.DUMMYFUNCTION("IMPORTRANGE(""https://docs.google.com/spreadsheets/d/1ItG2mGa2ceCfYo0BwxsXqNm01IGEUdYcSSLTEv9YCik/edit?usp=sharing"",""เบิกจ่ายกองทุน!Q27"")"),62015)</f>
        <v>62015</v>
      </c>
      <c r="T733" s="224">
        <f t="shared" ca="1" si="184"/>
        <v>19.231961991949341</v>
      </c>
      <c r="U733" s="224">
        <f t="shared" ca="1" si="185"/>
        <v>19.231961991949341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468">
        <f>L735+L736</f>
        <v>0</v>
      </c>
      <c r="M734" s="224">
        <f>M735+M736</f>
        <v>0</v>
      </c>
      <c r="N734" s="224">
        <f>N735+N736</f>
        <v>0</v>
      </c>
      <c r="O734" s="224">
        <f t="shared" si="182"/>
        <v>0</v>
      </c>
      <c r="P734" s="224">
        <f t="shared" si="183"/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 t="shared" si="184"/>
        <v>0</v>
      </c>
      <c r="U734" s="224">
        <f t="shared" si="185"/>
        <v>0</v>
      </c>
    </row>
    <row r="735" spans="1:21" ht="18.75" hidden="1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469">
        <v>0</v>
      </c>
      <c r="M735" s="83">
        <v>0</v>
      </c>
      <c r="N735" s="83">
        <v>0</v>
      </c>
      <c r="O735" s="83">
        <f t="shared" si="182"/>
        <v>0</v>
      </c>
      <c r="P735" s="83">
        <f t="shared" si="183"/>
        <v>0</v>
      </c>
      <c r="Q735" s="83">
        <v>0</v>
      </c>
      <c r="R735" s="83">
        <v>0</v>
      </c>
      <c r="S735" s="83">
        <v>0</v>
      </c>
      <c r="T735" s="83">
        <f t="shared" si="184"/>
        <v>0</v>
      </c>
      <c r="U735" s="83">
        <f t="shared" si="185"/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468">
        <v>0</v>
      </c>
      <c r="M736" s="224">
        <v>0</v>
      </c>
      <c r="N736" s="224">
        <v>0</v>
      </c>
      <c r="O736" s="224">
        <f t="shared" si="182"/>
        <v>0</v>
      </c>
      <c r="P736" s="224">
        <f t="shared" si="183"/>
        <v>0</v>
      </c>
      <c r="Q736" s="224">
        <v>0</v>
      </c>
      <c r="R736" s="224">
        <v>0</v>
      </c>
      <c r="S736" s="224">
        <v>0</v>
      </c>
      <c r="T736" s="224">
        <f t="shared" si="184"/>
        <v>0</v>
      </c>
      <c r="U736" s="224">
        <f t="shared" si="185"/>
        <v>0</v>
      </c>
    </row>
    <row r="737" spans="1:21" ht="19.5" x14ac:dyDescent="0.3">
      <c r="A737" s="138"/>
      <c r="B737" s="139"/>
      <c r="C737" s="177" t="s">
        <v>18</v>
      </c>
      <c r="D737" s="491" t="s">
        <v>38</v>
      </c>
      <c r="E737" s="203"/>
      <c r="F737" s="141"/>
      <c r="G737" s="142"/>
      <c r="H737" s="178"/>
      <c r="I737" s="44"/>
      <c r="J737" s="44"/>
      <c r="K737" s="45"/>
      <c r="L737" s="465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7" t="s">
        <v>121</v>
      </c>
      <c r="E738" s="139"/>
      <c r="F738" s="139"/>
      <c r="G738" s="143"/>
      <c r="H738" s="180"/>
      <c r="I738" s="44"/>
      <c r="J738" s="44"/>
      <c r="K738" s="45"/>
      <c r="L738" s="465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10" t="s">
        <v>270</v>
      </c>
      <c r="F739" s="139"/>
      <c r="G739" s="143"/>
      <c r="H739" s="180"/>
      <c r="I739" s="44"/>
      <c r="J739" s="44"/>
      <c r="K739" s="45"/>
      <c r="L739" s="465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10" t="s">
        <v>271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IFERROR(__xludf.DUMMYFUNCTION("IMPORTRANGE(""https://docs.google.com/spreadsheets/d/1eHaY18a8A9IcSdp1K8H6x8fbOy06t2VsZHhMHf-1x7Y/edit?usp=sharing"",""แผน!GB27"")"),320)</f>
        <v>320</v>
      </c>
      <c r="J740" s="466">
        <v>320</v>
      </c>
      <c r="K740" s="224">
        <f ca="1">IF(I740&gt;0,J740*100/I740,0)</f>
        <v>100</v>
      </c>
      <c r="L740" s="465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138"/>
      <c r="B741" s="139"/>
      <c r="C741" s="139"/>
      <c r="D741" s="139"/>
      <c r="E741" s="139"/>
      <c r="F741" s="410" t="s">
        <v>272</v>
      </c>
      <c r="G741" s="143"/>
      <c r="H741" s="133" t="s">
        <v>35</v>
      </c>
      <c r="I741" s="44"/>
      <c r="J741" s="466">
        <v>40</v>
      </c>
      <c r="K741" s="45"/>
      <c r="L741" s="465"/>
      <c r="M741" s="45"/>
      <c r="N741" s="45"/>
      <c r="O741" s="45"/>
      <c r="P741" s="45"/>
      <c r="Q741" s="45"/>
      <c r="R741" s="45"/>
      <c r="S741" s="45"/>
      <c r="T741" s="45"/>
      <c r="U741" s="45"/>
    </row>
    <row r="742" spans="1:21" ht="18.75" x14ac:dyDescent="0.25">
      <c r="A742" s="138"/>
      <c r="B742" s="139"/>
      <c r="C742" s="139"/>
      <c r="D742" s="139"/>
      <c r="E742" s="139"/>
      <c r="F742" s="410" t="s">
        <v>273</v>
      </c>
      <c r="G742" s="143"/>
      <c r="H742" s="133" t="s">
        <v>35</v>
      </c>
      <c r="I742" s="184">
        <f ca="1">IFERROR(__xludf.DUMMYFUNCTION("IMPORTRANGE(""https://docs.google.com/spreadsheets/d/1eHaY18a8A9IcSdp1K8H6x8fbOy06t2VsZHhMHf-1x7Y/edit?usp=sharing"",""แผน!GC27"")"),32)</f>
        <v>32</v>
      </c>
      <c r="J742" s="466">
        <v>40</v>
      </c>
      <c r="K742" s="224">
        <f ca="1">IF(I742&gt;0,J742*100/I742,0)</f>
        <v>125</v>
      </c>
      <c r="L742" s="465"/>
      <c r="M742" s="45"/>
      <c r="N742" s="45"/>
      <c r="O742" s="45"/>
      <c r="P742" s="45"/>
      <c r="Q742" s="45"/>
      <c r="R742" s="45"/>
      <c r="S742" s="45"/>
      <c r="T742" s="45"/>
      <c r="U742" s="45"/>
    </row>
    <row r="743" spans="1:21" ht="18.75" x14ac:dyDescent="0.25">
      <c r="A743" s="138"/>
      <c r="B743" s="139"/>
      <c r="C743" s="139"/>
      <c r="D743" s="139"/>
      <c r="E743" s="410" t="s">
        <v>274</v>
      </c>
      <c r="F743" s="139"/>
      <c r="G743" s="143"/>
      <c r="H743" s="180"/>
      <c r="I743" s="44"/>
      <c r="J743" s="44"/>
      <c r="K743" s="45"/>
      <c r="L743" s="465"/>
      <c r="M743" s="45"/>
      <c r="N743" s="45"/>
      <c r="O743" s="45"/>
      <c r="P743" s="45"/>
      <c r="Q743" s="45"/>
      <c r="R743" s="45"/>
      <c r="S743" s="45"/>
      <c r="T743" s="45"/>
      <c r="U743" s="45"/>
    </row>
    <row r="744" spans="1:21" ht="18.75" x14ac:dyDescent="0.25">
      <c r="A744" s="138"/>
      <c r="B744" s="139"/>
      <c r="C744" s="139"/>
      <c r="D744" s="139"/>
      <c r="E744" s="139"/>
      <c r="F744" s="410" t="s">
        <v>271</v>
      </c>
      <c r="G744" s="143"/>
      <c r="H744" s="133" t="s">
        <v>46</v>
      </c>
      <c r="I744" s="184">
        <f ca="1">IFERROR(__xludf.DUMMYFUNCTION("IMPORTRANGE(""https://docs.google.com/spreadsheets/d/1eHaY18a8A9IcSdp1K8H6x8fbOy06t2VsZHhMHf-1x7Y/edit?usp=sharing"",""แผน!GD27"")"),80)</f>
        <v>80</v>
      </c>
      <c r="J744" s="466">
        <v>80</v>
      </c>
      <c r="K744" s="224">
        <f ca="1">IF(I744&gt;0,J744*100/I744,0)</f>
        <v>100</v>
      </c>
      <c r="L744" s="465"/>
      <c r="M744" s="45"/>
      <c r="N744" s="45"/>
      <c r="O744" s="45"/>
      <c r="P744" s="45"/>
      <c r="Q744" s="45"/>
      <c r="R744" s="45"/>
      <c r="S744" s="45"/>
      <c r="T744" s="45"/>
      <c r="U744" s="45"/>
    </row>
    <row r="745" spans="1:21" ht="18.75" x14ac:dyDescent="0.25">
      <c r="A745" s="485"/>
      <c r="B745" s="484"/>
      <c r="C745" s="484"/>
      <c r="D745" s="484"/>
      <c r="E745" s="484"/>
      <c r="F745" s="489" t="s">
        <v>304</v>
      </c>
      <c r="G745" s="481"/>
      <c r="H745" s="480" t="s">
        <v>35</v>
      </c>
      <c r="I745" s="479"/>
      <c r="J745" s="478">
        <v>8</v>
      </c>
      <c r="K745" s="476"/>
      <c r="L745" s="477"/>
      <c r="M745" s="476"/>
      <c r="N745" s="476"/>
      <c r="O745" s="476"/>
      <c r="P745" s="476"/>
      <c r="Q745" s="476"/>
      <c r="R745" s="476"/>
      <c r="S745" s="476"/>
      <c r="T745" s="476"/>
      <c r="U745" s="476"/>
    </row>
    <row r="746" spans="1:21" ht="18.75" x14ac:dyDescent="0.25">
      <c r="A746" s="485"/>
      <c r="B746" s="484"/>
      <c r="C746" s="484"/>
      <c r="D746" s="484"/>
      <c r="E746" s="484"/>
      <c r="F746" s="489" t="s">
        <v>303</v>
      </c>
      <c r="G746" s="481"/>
      <c r="H746" s="480" t="s">
        <v>35</v>
      </c>
      <c r="I746" s="487">
        <f ca="1">IFERROR(__xludf.DUMMYFUNCTION("IMPORTRANGE(""https://docs.google.com/spreadsheets/d/1eHaY18a8A9IcSdp1K8H6x8fbOy06t2VsZHhMHf-1x7Y/edit?usp=sharing"",""แผน!GE27"")"),8)</f>
        <v>8</v>
      </c>
      <c r="J746" s="478">
        <v>8</v>
      </c>
      <c r="K746" s="486">
        <f ca="1">IF(I746&gt;0,J746*100/I746,0)</f>
        <v>100</v>
      </c>
      <c r="L746" s="477"/>
      <c r="M746" s="476"/>
      <c r="N746" s="476"/>
      <c r="O746" s="476"/>
      <c r="P746" s="476"/>
      <c r="Q746" s="476"/>
      <c r="R746" s="476"/>
      <c r="S746" s="476"/>
      <c r="T746" s="476"/>
      <c r="U746" s="476"/>
    </row>
    <row r="747" spans="1:21" ht="18.75" x14ac:dyDescent="0.25">
      <c r="A747" s="485"/>
      <c r="B747" s="484"/>
      <c r="C747" s="484"/>
      <c r="D747" s="484"/>
      <c r="E747" s="489" t="s">
        <v>277</v>
      </c>
      <c r="F747" s="483"/>
      <c r="G747" s="481"/>
      <c r="H747" s="488"/>
      <c r="I747" s="479"/>
      <c r="J747" s="479"/>
      <c r="K747" s="476"/>
      <c r="L747" s="477"/>
      <c r="M747" s="476"/>
      <c r="N747" s="476"/>
      <c r="O747" s="476"/>
      <c r="P747" s="476"/>
      <c r="Q747" s="476"/>
      <c r="R747" s="476"/>
      <c r="S747" s="476"/>
      <c r="T747" s="476"/>
      <c r="U747" s="476"/>
    </row>
    <row r="748" spans="1:21" ht="18.75" x14ac:dyDescent="0.25">
      <c r="A748" s="485"/>
      <c r="B748" s="484"/>
      <c r="C748" s="484"/>
      <c r="D748" s="484"/>
      <c r="E748" s="484"/>
      <c r="F748" s="489" t="s">
        <v>302</v>
      </c>
      <c r="G748" s="481"/>
      <c r="H748" s="480" t="s">
        <v>35</v>
      </c>
      <c r="I748" s="479"/>
      <c r="J748" s="478">
        <v>2</v>
      </c>
      <c r="K748" s="476"/>
      <c r="L748" s="477"/>
      <c r="M748" s="476"/>
      <c r="N748" s="476"/>
      <c r="O748" s="476"/>
      <c r="P748" s="476"/>
      <c r="Q748" s="476"/>
      <c r="R748" s="476"/>
      <c r="S748" s="476"/>
      <c r="T748" s="476"/>
      <c r="U748" s="476"/>
    </row>
    <row r="749" spans="1:21" ht="18.75" x14ac:dyDescent="0.25">
      <c r="A749" s="485"/>
      <c r="B749" s="484"/>
      <c r="C749" s="484"/>
      <c r="D749" s="484"/>
      <c r="E749" s="484"/>
      <c r="F749" s="489" t="s">
        <v>301</v>
      </c>
      <c r="G749" s="481"/>
      <c r="H749" s="480" t="s">
        <v>35</v>
      </c>
      <c r="I749" s="487">
        <f ca="1">IFERROR(__xludf.DUMMYFUNCTION("IMPORTRANGE(""https://docs.google.com/spreadsheets/d/1eHaY18a8A9IcSdp1K8H6x8fbOy06t2VsZHhMHf-1x7Y/edit?usp=sharing"",""แผน!GF27"")"),2)</f>
        <v>2</v>
      </c>
      <c r="J749" s="478">
        <v>2</v>
      </c>
      <c r="K749" s="486">
        <f ca="1">IF(I749&gt;0,J749*100/I749,0)</f>
        <v>100</v>
      </c>
      <c r="L749" s="477"/>
      <c r="M749" s="476"/>
      <c r="N749" s="476"/>
      <c r="O749" s="476"/>
      <c r="P749" s="476"/>
      <c r="Q749" s="476"/>
      <c r="R749" s="476"/>
      <c r="S749" s="476"/>
      <c r="T749" s="476"/>
      <c r="U749" s="476"/>
    </row>
    <row r="750" spans="1:21" ht="19.5" x14ac:dyDescent="0.3">
      <c r="A750" s="485"/>
      <c r="B750" s="484"/>
      <c r="C750" s="484"/>
      <c r="D750" s="490" t="s">
        <v>50</v>
      </c>
      <c r="E750" s="484"/>
      <c r="F750" s="483"/>
      <c r="G750" s="481"/>
      <c r="H750" s="488"/>
      <c r="I750" s="479"/>
      <c r="J750" s="479"/>
      <c r="K750" s="476"/>
      <c r="L750" s="477"/>
      <c r="M750" s="476"/>
      <c r="N750" s="476"/>
      <c r="O750" s="476"/>
      <c r="P750" s="476"/>
      <c r="Q750" s="476"/>
      <c r="R750" s="476"/>
      <c r="S750" s="476"/>
      <c r="T750" s="476"/>
      <c r="U750" s="476"/>
    </row>
    <row r="751" spans="1:21" ht="18.75" x14ac:dyDescent="0.25">
      <c r="A751" s="485"/>
      <c r="B751" s="484"/>
      <c r="C751" s="484"/>
      <c r="D751" s="484"/>
      <c r="E751" s="489" t="s">
        <v>270</v>
      </c>
      <c r="F751" s="483"/>
      <c r="G751" s="481"/>
      <c r="H751" s="488"/>
      <c r="I751" s="479"/>
      <c r="J751" s="479"/>
      <c r="K751" s="476"/>
      <c r="L751" s="477"/>
      <c r="M751" s="476"/>
      <c r="N751" s="476"/>
      <c r="O751" s="476"/>
      <c r="P751" s="476"/>
      <c r="Q751" s="476"/>
      <c r="R751" s="476"/>
      <c r="S751" s="476"/>
      <c r="T751" s="476"/>
      <c r="U751" s="476"/>
    </row>
    <row r="752" spans="1:21" ht="18.75" x14ac:dyDescent="0.25">
      <c r="A752" s="485"/>
      <c r="B752" s="484"/>
      <c r="C752" s="484"/>
      <c r="D752" s="484"/>
      <c r="E752" s="484"/>
      <c r="F752" s="482" t="s">
        <v>300</v>
      </c>
      <c r="G752" s="481"/>
      <c r="H752" s="480" t="s">
        <v>46</v>
      </c>
      <c r="I752" s="487">
        <f ca="1">IFERROR(__xludf.DUMMYFUNCTION("IMPORTRANGE(""https://docs.google.com/spreadsheets/d/1eHaY18a8A9IcSdp1K8H6x8fbOy06t2VsZHhMHf-1x7Y/edit?usp=sharing"",""แผน!GB27"")"),320)</f>
        <v>320</v>
      </c>
      <c r="J752" s="478">
        <v>0</v>
      </c>
      <c r="K752" s="486">
        <f ca="1">IF(I752&gt;0,J752*100/I752,0)</f>
        <v>0</v>
      </c>
      <c r="L752" s="477"/>
      <c r="M752" s="476"/>
      <c r="N752" s="476"/>
      <c r="O752" s="476"/>
      <c r="P752" s="476"/>
      <c r="Q752" s="476"/>
      <c r="R752" s="476"/>
      <c r="S752" s="476"/>
      <c r="T752" s="476"/>
      <c r="U752" s="476"/>
    </row>
    <row r="753" spans="1:21" ht="18.75" x14ac:dyDescent="0.25">
      <c r="A753" s="485"/>
      <c r="B753" s="484"/>
      <c r="C753" s="484"/>
      <c r="D753" s="484"/>
      <c r="E753" s="484"/>
      <c r="F753" s="482" t="s">
        <v>299</v>
      </c>
      <c r="G753" s="481"/>
      <c r="H753" s="480" t="s">
        <v>46</v>
      </c>
      <c r="I753" s="479"/>
      <c r="J753" s="478">
        <v>0</v>
      </c>
      <c r="K753" s="476"/>
      <c r="L753" s="477"/>
      <c r="M753" s="476"/>
      <c r="N753" s="476"/>
      <c r="O753" s="476"/>
      <c r="P753" s="476"/>
      <c r="Q753" s="476"/>
      <c r="R753" s="476"/>
      <c r="S753" s="476"/>
      <c r="T753" s="476"/>
      <c r="U753" s="476"/>
    </row>
    <row r="754" spans="1:21" ht="18.75" x14ac:dyDescent="0.25">
      <c r="A754" s="485"/>
      <c r="B754" s="484"/>
      <c r="C754" s="484"/>
      <c r="D754" s="484"/>
      <c r="E754" s="489" t="s">
        <v>274</v>
      </c>
      <c r="F754" s="483"/>
      <c r="G754" s="481"/>
      <c r="H754" s="488"/>
      <c r="I754" s="479"/>
      <c r="J754" s="479"/>
      <c r="K754" s="476"/>
      <c r="L754" s="477"/>
      <c r="M754" s="476"/>
      <c r="N754" s="476"/>
      <c r="O754" s="476"/>
      <c r="P754" s="476"/>
      <c r="Q754" s="476"/>
      <c r="R754" s="476"/>
      <c r="S754" s="476"/>
      <c r="T754" s="476"/>
      <c r="U754" s="476"/>
    </row>
    <row r="755" spans="1:21" ht="18.75" x14ac:dyDescent="0.25">
      <c r="A755" s="485"/>
      <c r="B755" s="484"/>
      <c r="C755" s="484"/>
      <c r="D755" s="484"/>
      <c r="E755" s="483"/>
      <c r="F755" s="482" t="s">
        <v>298</v>
      </c>
      <c r="G755" s="481"/>
      <c r="H755" s="480" t="s">
        <v>46</v>
      </c>
      <c r="I755" s="487">
        <f ca="1">IFERROR(__xludf.DUMMYFUNCTION("IMPORTRANGE(""https://docs.google.com/spreadsheets/d/1eHaY18a8A9IcSdp1K8H6x8fbOy06t2VsZHhMHf-1x7Y/edit?usp=sharing"",""แผน!GD27"")"),80)</f>
        <v>80</v>
      </c>
      <c r="J755" s="478">
        <v>0</v>
      </c>
      <c r="K755" s="486">
        <f ca="1">IF(I755&gt;0,J755*100/I755,0)</f>
        <v>0</v>
      </c>
      <c r="L755" s="477"/>
      <c r="M755" s="476"/>
      <c r="N755" s="476"/>
      <c r="O755" s="476"/>
      <c r="P755" s="476"/>
      <c r="Q755" s="476"/>
      <c r="R755" s="476"/>
      <c r="S755" s="476"/>
      <c r="T755" s="476"/>
      <c r="U755" s="476"/>
    </row>
    <row r="756" spans="1:21" ht="18.75" x14ac:dyDescent="0.25">
      <c r="A756" s="485"/>
      <c r="B756" s="484"/>
      <c r="C756" s="484"/>
      <c r="D756" s="484"/>
      <c r="E756" s="483"/>
      <c r="F756" s="482" t="s">
        <v>297</v>
      </c>
      <c r="G756" s="481"/>
      <c r="H756" s="480" t="s">
        <v>46</v>
      </c>
      <c r="I756" s="479"/>
      <c r="J756" s="478">
        <v>0</v>
      </c>
      <c r="K756" s="476"/>
      <c r="L756" s="477"/>
      <c r="M756" s="476"/>
      <c r="N756" s="476"/>
      <c r="O756" s="476"/>
      <c r="P756" s="476"/>
      <c r="Q756" s="476"/>
      <c r="R756" s="476"/>
      <c r="S756" s="476"/>
      <c r="T756" s="476"/>
      <c r="U756" s="476"/>
    </row>
    <row r="757" spans="1:21" ht="18.75" x14ac:dyDescent="0.25">
      <c r="A757" s="438"/>
      <c r="B757" s="438"/>
      <c r="C757" s="438"/>
      <c r="D757" s="438"/>
      <c r="E757" s="439" t="s">
        <v>284</v>
      </c>
      <c r="F757" s="440"/>
      <c r="G757" s="441"/>
      <c r="H757" s="442" t="s">
        <v>35</v>
      </c>
      <c r="I757" s="443"/>
      <c r="J757" s="444">
        <v>0</v>
      </c>
      <c r="K757" s="445"/>
      <c r="L757" s="445"/>
      <c r="M757" s="445"/>
      <c r="N757" s="445"/>
      <c r="O757" s="445"/>
      <c r="P757" s="445"/>
      <c r="Q757" s="445"/>
      <c r="R757" s="445"/>
      <c r="S757" s="445"/>
      <c r="T757" s="445"/>
      <c r="U757" s="445"/>
    </row>
    <row r="758" spans="1:21" ht="19.5" x14ac:dyDescent="0.3">
      <c r="A758" s="394"/>
      <c r="B758" s="395" t="s">
        <v>285</v>
      </c>
      <c r="C758" s="394"/>
      <c r="D758" s="396"/>
      <c r="E758" s="396"/>
      <c r="F758" s="396"/>
      <c r="G758" s="397"/>
      <c r="H758" s="434" t="s">
        <v>35</v>
      </c>
      <c r="I758" s="475">
        <f ca="1">I772</f>
        <v>60</v>
      </c>
      <c r="J758" s="475">
        <f>J772</f>
        <v>60</v>
      </c>
      <c r="K758" s="474">
        <f ca="1">IF(I758&gt;0,J758*100/I758,0)</f>
        <v>100</v>
      </c>
      <c r="L758" s="47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6"/>
      <c r="B759" s="394"/>
      <c r="C759" s="394"/>
      <c r="D759" s="396"/>
      <c r="E759" s="396"/>
      <c r="F759" s="396"/>
      <c r="G759" s="397"/>
      <c r="H759" s="434" t="s">
        <v>46</v>
      </c>
      <c r="I759" s="475">
        <f ca="1">I774</f>
        <v>250</v>
      </c>
      <c r="J759" s="475">
        <f>J774</f>
        <v>250</v>
      </c>
      <c r="K759" s="474">
        <f ca="1">IF(I759&gt;0,J759*100/I759,0)</f>
        <v>100</v>
      </c>
      <c r="L759" s="47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8"/>
      <c r="C760" s="177" t="s">
        <v>18</v>
      </c>
      <c r="D760" s="821" t="s">
        <v>19</v>
      </c>
      <c r="E760" s="793"/>
      <c r="F760" s="793"/>
      <c r="G760" s="794"/>
      <c r="H760" s="221" t="s">
        <v>14</v>
      </c>
      <c r="I760" s="44"/>
      <c r="J760" s="44"/>
      <c r="K760" s="45"/>
      <c r="L760" s="471">
        <f>L761+L762</f>
        <v>0</v>
      </c>
      <c r="M760" s="470">
        <f>M761+M762</f>
        <v>0</v>
      </c>
      <c r="N760" s="470">
        <f>N761+N762</f>
        <v>0</v>
      </c>
      <c r="O760" s="470">
        <f t="shared" ref="O760:O768" si="188">IF(L760&gt;0,N760*100/L760,0)</f>
        <v>0</v>
      </c>
      <c r="P760" s="470">
        <f t="shared" ref="P760:P768" si="189">IF(M760&gt;0,N760*100/M760,0)</f>
        <v>0</v>
      </c>
      <c r="Q760" s="470">
        <f ca="1">Q761+Q762</f>
        <v>571100</v>
      </c>
      <c r="R760" s="470">
        <f ca="1">R761+R762</f>
        <v>571100</v>
      </c>
      <c r="S760" s="470">
        <f ca="1">S761+S762</f>
        <v>174300</v>
      </c>
      <c r="T760" s="470">
        <f t="shared" ref="T760:T768" ca="1" si="190">IF(Q760&gt;0,S760*100/Q760,0)</f>
        <v>30.52004902819121</v>
      </c>
      <c r="U760" s="470">
        <f t="shared" ref="U760:U768" ca="1" si="191">IF(R760&gt;0,S760*100/R760,0)</f>
        <v>30.52004902819121</v>
      </c>
    </row>
    <row r="761" spans="1:21" ht="18.75" hidden="1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469">
        <f t="shared" ref="L761:N762" si="192">L764+L767</f>
        <v>0</v>
      </c>
      <c r="M761" s="83">
        <f t="shared" si="192"/>
        <v>0</v>
      </c>
      <c r="N761" s="83">
        <f t="shared" si="192"/>
        <v>0</v>
      </c>
      <c r="O761" s="83">
        <f t="shared" si="188"/>
        <v>0</v>
      </c>
      <c r="P761" s="83">
        <f t="shared" si="189"/>
        <v>0</v>
      </c>
      <c r="Q761" s="83">
        <f t="shared" ref="Q761:S762" si="193">Q764+Q767</f>
        <v>0</v>
      </c>
      <c r="R761" s="83">
        <f t="shared" si="193"/>
        <v>0</v>
      </c>
      <c r="S761" s="83">
        <f t="shared" si="193"/>
        <v>0</v>
      </c>
      <c r="T761" s="83">
        <f t="shared" si="190"/>
        <v>0</v>
      </c>
      <c r="U761" s="83">
        <f t="shared" si="191"/>
        <v>0</v>
      </c>
    </row>
    <row r="762" spans="1:21" ht="18.75" hidden="1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468">
        <f t="shared" si="192"/>
        <v>0</v>
      </c>
      <c r="M762" s="224">
        <f t="shared" si="192"/>
        <v>0</v>
      </c>
      <c r="N762" s="224">
        <f t="shared" si="192"/>
        <v>0</v>
      </c>
      <c r="O762" s="224">
        <f t="shared" si="188"/>
        <v>0</v>
      </c>
      <c r="P762" s="224">
        <f t="shared" si="189"/>
        <v>0</v>
      </c>
      <c r="Q762" s="224">
        <f t="shared" ca="1" si="193"/>
        <v>571100</v>
      </c>
      <c r="R762" s="224">
        <f t="shared" ca="1" si="193"/>
        <v>571100</v>
      </c>
      <c r="S762" s="224">
        <f t="shared" ca="1" si="193"/>
        <v>174300</v>
      </c>
      <c r="T762" s="224">
        <f t="shared" ca="1" si="190"/>
        <v>30.52004902819121</v>
      </c>
      <c r="U762" s="224">
        <f t="shared" ca="1" si="191"/>
        <v>30.52004902819121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468">
        <f>L764+L765</f>
        <v>0</v>
      </c>
      <c r="M763" s="224">
        <f>M764+M765</f>
        <v>0</v>
      </c>
      <c r="N763" s="224">
        <f>N764+N765</f>
        <v>0</v>
      </c>
      <c r="O763" s="224">
        <f t="shared" si="188"/>
        <v>0</v>
      </c>
      <c r="P763" s="224">
        <f t="shared" si="189"/>
        <v>0</v>
      </c>
      <c r="Q763" s="224">
        <f ca="1">Q764+Q765</f>
        <v>571100</v>
      </c>
      <c r="R763" s="224">
        <f ca="1">R764+R765</f>
        <v>571100</v>
      </c>
      <c r="S763" s="224">
        <f ca="1">S764+S765</f>
        <v>174300</v>
      </c>
      <c r="T763" s="224">
        <f t="shared" ca="1" si="190"/>
        <v>30.52004902819121</v>
      </c>
      <c r="U763" s="224">
        <f t="shared" ca="1" si="191"/>
        <v>30.52004902819121</v>
      </c>
    </row>
    <row r="764" spans="1:21" ht="18.75" hidden="1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469">
        <v>0</v>
      </c>
      <c r="M764" s="83">
        <v>0</v>
      </c>
      <c r="N764" s="83">
        <v>0</v>
      </c>
      <c r="O764" s="83">
        <f t="shared" si="188"/>
        <v>0</v>
      </c>
      <c r="P764" s="83">
        <f t="shared" si="189"/>
        <v>0</v>
      </c>
      <c r="Q764" s="83">
        <v>0</v>
      </c>
      <c r="R764" s="83">
        <v>0</v>
      </c>
      <c r="S764" s="83">
        <v>0</v>
      </c>
      <c r="T764" s="83">
        <f t="shared" si="190"/>
        <v>0</v>
      </c>
      <c r="U764" s="83">
        <f t="shared" si="191"/>
        <v>0</v>
      </c>
    </row>
    <row r="765" spans="1:21" ht="18.75" hidden="1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468">
        <v>0</v>
      </c>
      <c r="M765" s="224">
        <v>0</v>
      </c>
      <c r="N765" s="224">
        <v>0</v>
      </c>
      <c r="O765" s="224">
        <f t="shared" si="188"/>
        <v>0</v>
      </c>
      <c r="P765" s="224">
        <f t="shared" si="189"/>
        <v>0</v>
      </c>
      <c r="Q765" s="224">
        <f ca="1">IFERROR(__xludf.DUMMYFUNCTION("IMPORTRANGE(""https://docs.google.com/spreadsheets/d/1ItG2mGa2ceCfYo0BwxsXqNm01IGEUdYcSSLTEv9YCik/edit?usp=sharing"",""เบิกจ่ายกองทุน!U27"")"),571100)</f>
        <v>571100</v>
      </c>
      <c r="R765" s="224">
        <f ca="1">IFERROR(__xludf.DUMMYFUNCTION("IMPORTRANGE(""https://docs.google.com/spreadsheets/d/1ItG2mGa2ceCfYo0BwxsXqNm01IGEUdYcSSLTEv9YCik/edit?usp=sharing"",""เบิกจ่ายกองทุน!V27"")"),571100)</f>
        <v>571100</v>
      </c>
      <c r="S765" s="224">
        <f ca="1">IFERROR(__xludf.DUMMYFUNCTION("IMPORTRANGE(""https://docs.google.com/spreadsheets/d/1ItG2mGa2ceCfYo0BwxsXqNm01IGEUdYcSSLTEv9YCik/edit?usp=sharing"",""เบิกจ่ายกองทุน!W27"")"),174300)</f>
        <v>174300</v>
      </c>
      <c r="T765" s="224">
        <f t="shared" ca="1" si="190"/>
        <v>30.52004902819121</v>
      </c>
      <c r="U765" s="224">
        <f t="shared" ca="1" si="191"/>
        <v>30.52004902819121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468">
        <f>L767+L768</f>
        <v>0</v>
      </c>
      <c r="M766" s="224">
        <f>M767+M768</f>
        <v>0</v>
      </c>
      <c r="N766" s="224">
        <f>N767+N768</f>
        <v>0</v>
      </c>
      <c r="O766" s="224">
        <f t="shared" si="188"/>
        <v>0</v>
      </c>
      <c r="P766" s="224">
        <f t="shared" si="189"/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 t="shared" si="190"/>
        <v>0</v>
      </c>
      <c r="U766" s="224">
        <f t="shared" si="191"/>
        <v>0</v>
      </c>
    </row>
    <row r="767" spans="1:21" ht="18.75" hidden="1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469">
        <v>0</v>
      </c>
      <c r="M767" s="83">
        <v>0</v>
      </c>
      <c r="N767" s="83">
        <v>0</v>
      </c>
      <c r="O767" s="83">
        <f t="shared" si="188"/>
        <v>0</v>
      </c>
      <c r="P767" s="83">
        <f t="shared" si="189"/>
        <v>0</v>
      </c>
      <c r="Q767" s="83">
        <v>0</v>
      </c>
      <c r="R767" s="83">
        <v>0</v>
      </c>
      <c r="S767" s="83">
        <v>0</v>
      </c>
      <c r="T767" s="83">
        <f t="shared" si="190"/>
        <v>0</v>
      </c>
      <c r="U767" s="83">
        <f t="shared" si="191"/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468">
        <v>0</v>
      </c>
      <c r="M768" s="224">
        <v>0</v>
      </c>
      <c r="N768" s="224">
        <v>0</v>
      </c>
      <c r="O768" s="224">
        <f t="shared" si="188"/>
        <v>0</v>
      </c>
      <c r="P768" s="224">
        <f t="shared" si="189"/>
        <v>0</v>
      </c>
      <c r="Q768" s="224">
        <v>0</v>
      </c>
      <c r="R768" s="224">
        <v>0</v>
      </c>
      <c r="S768" s="224">
        <v>0</v>
      </c>
      <c r="T768" s="224">
        <f t="shared" si="190"/>
        <v>0</v>
      </c>
      <c r="U768" s="224">
        <f t="shared" si="191"/>
        <v>0</v>
      </c>
    </row>
    <row r="769" spans="1:21" ht="19.5" x14ac:dyDescent="0.3">
      <c r="A769" s="138"/>
      <c r="B769" s="139"/>
      <c r="C769" s="446" t="s">
        <v>18</v>
      </c>
      <c r="D769" s="467" t="s">
        <v>38</v>
      </c>
      <c r="E769" s="203"/>
      <c r="F769" s="141"/>
      <c r="G769" s="142"/>
      <c r="H769" s="178"/>
      <c r="I769" s="44"/>
      <c r="J769" s="44"/>
      <c r="K769" s="45"/>
      <c r="L769" s="465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377" t="s">
        <v>286</v>
      </c>
      <c r="E770" s="139"/>
      <c r="F770" s="145"/>
      <c r="G770" s="143"/>
      <c r="H770" s="375" t="s">
        <v>35</v>
      </c>
      <c r="I770" s="430">
        <f ca="1">IFERROR(__xludf.DUMMYFUNCTION("IMPORTRANGE(""https://docs.google.com/spreadsheets/d/1eHaY18a8A9IcSdp1K8H6x8fbOy06t2VsZHhMHf-1x7Y/edit?usp=sharing"",""แผน!FI27"")"),0)</f>
        <v>0</v>
      </c>
      <c r="J770" s="430">
        <v>0</v>
      </c>
      <c r="K770" s="83">
        <f ca="1">IF(I770&gt;0,J770*100/I770,0)</f>
        <v>0</v>
      </c>
      <c r="L770" s="465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377" t="s">
        <v>287</v>
      </c>
      <c r="E771" s="139"/>
      <c r="F771" s="145"/>
      <c r="G771" s="143"/>
      <c r="H771" s="178"/>
      <c r="I771" s="44"/>
      <c r="J771" s="44"/>
      <c r="K771" s="45"/>
      <c r="L771" s="465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10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IFERROR(__xludf.DUMMYFUNCTION("IMPORTRANGE(""https://docs.google.com/spreadsheets/d/1eHaY18a8A9IcSdp1K8H6x8fbOy06t2VsZHhMHf-1x7Y/edit?usp=sharing"",""แผน!FQ27"")"),60)</f>
        <v>60</v>
      </c>
      <c r="J772" s="466">
        <v>60</v>
      </c>
      <c r="K772" s="224">
        <f ca="1">IF(I772&gt;0,J772*100/I772,0)</f>
        <v>100</v>
      </c>
      <c r="L772" s="465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10" t="s">
        <v>289</v>
      </c>
      <c r="E773" s="139"/>
      <c r="F773" s="145"/>
      <c r="G773" s="143"/>
      <c r="H773" s="178"/>
      <c r="I773" s="44"/>
      <c r="J773" s="44"/>
      <c r="K773" s="45"/>
      <c r="L773" s="465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10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IFERROR(__xludf.DUMMYFUNCTION("IMPORTRANGE(""https://docs.google.com/spreadsheets/d/1eHaY18a8A9IcSdp1K8H6x8fbOy06t2VsZHhMHf-1x7Y/edit?usp=sharing"",""แผน!FR27"")"),250)</f>
        <v>250</v>
      </c>
      <c r="J774" s="466">
        <v>250</v>
      </c>
      <c r="K774" s="224">
        <f ca="1">IF(I774&gt;0,J774*100/I774,0)</f>
        <v>100</v>
      </c>
      <c r="L774" s="465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10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IFERROR(__xludf.DUMMYFUNCTION("IMPORTRANGE(""https://docs.google.com/spreadsheets/d/1eHaY18a8A9IcSdp1K8H6x8fbOy06t2VsZHhMHf-1x7Y/edit?usp=sharing"",""แผน!FS27"")"),250)</f>
        <v>250</v>
      </c>
      <c r="J775" s="466">
        <v>0</v>
      </c>
      <c r="K775" s="45"/>
      <c r="L775" s="465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IFERROR(__xludf.DUMMYFUNCTION("IMPORTRANGE(""https://docs.google.com/spreadsheets/d/1eHaY18a8A9IcSdp1K8H6x8fbOy06t2VsZHhMHf-1x7Y/edit?usp=sharing"",""แผน!FT27"")"),60)</f>
        <v>60</v>
      </c>
      <c r="J776" s="464">
        <v>0</v>
      </c>
      <c r="K776" s="3"/>
      <c r="L776" s="46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462" t="s">
        <v>291</v>
      </c>
      <c r="B777" s="449"/>
      <c r="C777" s="449"/>
      <c r="D777" s="448"/>
      <c r="E777" s="449"/>
      <c r="F777" s="449"/>
      <c r="G777" s="450"/>
      <c r="H777" s="461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2"/>
      <c r="J777" s="453"/>
      <c r="K777" s="454"/>
      <c r="L777" s="454"/>
      <c r="M777" s="454"/>
      <c r="N777" s="454"/>
      <c r="O777" s="454"/>
      <c r="P777" s="454"/>
      <c r="Q777" s="454"/>
      <c r="R777" s="454"/>
      <c r="S777" s="454"/>
      <c r="T777" s="454"/>
      <c r="U777" s="454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IFERROR(__xludf.DUMMYFUNCTION("IMPORTRANGE(""https://docs.google.com/spreadsheets/d/10OvvATaaLtwErnr3qtWFcTmtbfpFEt5Bsqel9sXx0uE/edit?usp=sharing"",""งานกองทุน!D27"")"),6830000)</f>
        <v>6830000</v>
      </c>
      <c r="J778" s="184">
        <f ca="1">IFERROR(__xludf.DUMMYFUNCTION("IMPORTRANGE(""https://docs.google.com/spreadsheets/d/10OvvATaaLtwErnr3qtWFcTmtbfpFEt5Bsqel9sXx0uE/edit?usp=sharing"",""งานกองทุน!F27"")"),1149520)</f>
        <v>1149520</v>
      </c>
      <c r="K778" s="224">
        <f t="shared" ref="K778:K785" ca="1" si="194">IF(I778&gt;0,J778*100/I778,0)</f>
        <v>16.830453879941434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IFERROR(__xludf.DUMMYFUNCTION("IMPORTRANGE(""https://docs.google.com/spreadsheets/d/10OvvATaaLtwErnr3qtWFcTmtbfpFEt5Bsqel9sXx0uE/edit?usp=sharing"",""งานกองทุน!C27"")"),213)</f>
        <v>213</v>
      </c>
      <c r="J779" s="184">
        <f ca="1">IFERROR(__xludf.DUMMYFUNCTION("IMPORTRANGE(""https://docs.google.com/spreadsheets/d/10OvvATaaLtwErnr3qtWFcTmtbfpFEt5Bsqel9sXx0uE/edit?usp=sharing"",""งานกองทุน!E27"")"),35)</f>
        <v>35</v>
      </c>
      <c r="K779" s="224">
        <f t="shared" ca="1" si="194"/>
        <v>16.431924882629108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IFERROR(__xludf.DUMMYFUNCTION("IMPORTRANGE(""https://docs.google.com/spreadsheets/d/10OvvATaaLtwErnr3qtWFcTmtbfpFEt5Bsqel9sXx0uE/edit?usp=sharing"",""งานกองทุน!I27"")"),5666637.15)</f>
        <v>5666637.1500000004</v>
      </c>
      <c r="J780" s="184">
        <f ca="1">IFERROR(__xludf.DUMMYFUNCTION("IMPORTRANGE(""https://docs.google.com/spreadsheets/d/10OvvATaaLtwErnr3qtWFcTmtbfpFEt5Bsqel9sXx0uE/edit?usp=sharing"",""งานกองทุน!K27"")"),116229.05)</f>
        <v>116229.05</v>
      </c>
      <c r="K780" s="224">
        <f t="shared" ca="1" si="194"/>
        <v>2.0511115662311288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IFERROR(__xludf.DUMMYFUNCTION("IMPORTRANGE(""https://docs.google.com/spreadsheets/d/10OvvATaaLtwErnr3qtWFcTmtbfpFEt5Bsqel9sXx0uE/edit?usp=sharing"",""งานกองทุน!H27"")"),223)</f>
        <v>223</v>
      </c>
      <c r="J781" s="184">
        <f ca="1">IFERROR(__xludf.DUMMYFUNCTION("IMPORTRANGE(""https://docs.google.com/spreadsheets/d/10OvvATaaLtwErnr3qtWFcTmtbfpFEt5Bsqel9sXx0uE/edit?usp=sharing"",""งานกองทุน!J27"")"),21)</f>
        <v>21</v>
      </c>
      <c r="K781" s="224">
        <f t="shared" ca="1" si="194"/>
        <v>9.4170403587443943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IFERROR(__xludf.DUMMYFUNCTION("IMPORTRANGE(""https://docs.google.com/spreadsheets/d/10OvvATaaLtwErnr3qtWFcTmtbfpFEt5Bsqel9sXx0uE/edit?usp=sharing"",""งานกองทุน!N27"")"),3567946.64)</f>
        <v>3567946.64</v>
      </c>
      <c r="J782" s="184">
        <f ca="1">IFERROR(__xludf.DUMMYFUNCTION("IMPORTRANGE(""https://docs.google.com/spreadsheets/d/10OvvATaaLtwErnr3qtWFcTmtbfpFEt5Bsqel9sXx0uE/edit?usp=sharing"",""งานกองทุน!P27"")"),396685.64)</f>
        <v>396685.64</v>
      </c>
      <c r="K782" s="224">
        <f t="shared" ca="1" si="194"/>
        <v>11.118037348226709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IFERROR(__xludf.DUMMYFUNCTION("IMPORTRANGE(""https://docs.google.com/spreadsheets/d/10OvvATaaLtwErnr3qtWFcTmtbfpFEt5Bsqel9sXx0uE/edit?usp=sharing"",""งานกองทุน!M27"")"),436)</f>
        <v>436</v>
      </c>
      <c r="J783" s="184">
        <f ca="1">IFERROR(__xludf.DUMMYFUNCTION("IMPORTRANGE(""https://docs.google.com/spreadsheets/d/10OvvATaaLtwErnr3qtWFcTmtbfpFEt5Bsqel9sXx0uE/edit?usp=sharing"",""งานกองทุน!O27"")"),140)</f>
        <v>140</v>
      </c>
      <c r="K783" s="224">
        <f t="shared" ca="1" si="194"/>
        <v>32.110091743119263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IFERROR(__xludf.DUMMYFUNCTION("IMPORTRANGE(""https://docs.google.com/spreadsheets/d/10OvvATaaLtwErnr3qtWFcTmtbfpFEt5Bsqel9sXx0uE/edit?usp=sharing"",""งานกองทุน!S27"")"),5656000)</f>
        <v>5656000</v>
      </c>
      <c r="J784" s="184">
        <f ca="1">IFERROR(__xludf.DUMMYFUNCTION("IMPORTRANGE(""https://docs.google.com/spreadsheets/d/10OvvATaaLtwErnr3qtWFcTmtbfpFEt5Bsqel9sXx0uE/edit?usp=sharing"",""งานกองทุน!U27"")"),1160000)</f>
        <v>1160000</v>
      </c>
      <c r="K784" s="224">
        <f t="shared" ca="1" si="194"/>
        <v>20.509193776520508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IFERROR(__xludf.DUMMYFUNCTION("IMPORTRANGE(""https://docs.google.com/spreadsheets/d/10OvvATaaLtwErnr3qtWFcTmtbfpFEt5Bsqel9sXx0uE/edit?usp=sharing"",""งานกองทุน!R27"")"),202)</f>
        <v>202</v>
      </c>
      <c r="J785" s="188">
        <f ca="1">IFERROR(__xludf.DUMMYFUNCTION("IMPORTRANGE(""https://docs.google.com/spreadsheets/d/10OvvATaaLtwErnr3qtWFcTmtbfpFEt5Bsqel9sXx0uE/edit?usp=sharing"",""งานกองทุน!T27"")"),29)</f>
        <v>29</v>
      </c>
      <c r="K785" s="455">
        <f t="shared" ca="1" si="194"/>
        <v>14.356435643564357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460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4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4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horizontalDpi="4294967293" verticalDpi="4294967293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0693E-FB3A-49A3-92BC-9A6A3F65CD9E}">
  <sheetPr>
    <outlinePr summaryBelow="0" summaryRight="0"/>
  </sheetPr>
  <dimension ref="A1:U789"/>
  <sheetViews>
    <sheetView view="pageBreakPreview" zoomScale="60" zoomScaleNormal="70" workbookViewId="0">
      <pane xSplit="8" ySplit="6" topLeftCell="I7" activePane="bottomRight" state="frozen"/>
      <selection activeCell="N28" sqref="N28"/>
      <selection pane="topRight" activeCell="N28" sqref="N28"/>
      <selection pane="bottomLeft" activeCell="N28" sqref="N28"/>
      <selection pane="bottomRight" activeCell="N28" sqref="N2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7109375" bestFit="1" customWidth="1"/>
    <col min="11" max="11" width="12.42578125" bestFit="1" customWidth="1"/>
    <col min="12" max="14" width="21" bestFit="1" customWidth="1"/>
    <col min="15" max="15" width="20.140625" bestFit="1" customWidth="1"/>
    <col min="16" max="16" width="22" bestFit="1" customWidth="1"/>
    <col min="17" max="18" width="21" bestFit="1" customWidth="1"/>
    <col min="19" max="19" width="18.57031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815" t="s">
        <v>0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5"/>
      <c r="T1" s="815"/>
      <c r="U1" s="815"/>
    </row>
    <row r="2" spans="1:21" ht="19.5" x14ac:dyDescent="0.3">
      <c r="A2" s="815" t="s">
        <v>332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</row>
    <row r="3" spans="1:21" ht="19.5" x14ac:dyDescent="0.3">
      <c r="A3" s="815" t="s">
        <v>335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709"/>
      <c r="L4" s="816" t="s">
        <v>2</v>
      </c>
      <c r="M4" s="800"/>
      <c r="N4" s="800"/>
      <c r="O4" s="800"/>
      <c r="P4" s="801"/>
      <c r="Q4" s="817" t="s">
        <v>3</v>
      </c>
      <c r="R4" s="800"/>
      <c r="S4" s="800"/>
      <c r="T4" s="800"/>
      <c r="U4" s="801"/>
    </row>
    <row r="5" spans="1:21" ht="19.5" x14ac:dyDescent="0.3">
      <c r="A5" s="822" t="s">
        <v>4</v>
      </c>
      <c r="B5" s="797"/>
      <c r="C5" s="797"/>
      <c r="D5" s="797"/>
      <c r="E5" s="797"/>
      <c r="F5" s="797"/>
      <c r="G5" s="798"/>
      <c r="H5" s="789" t="s">
        <v>5</v>
      </c>
      <c r="I5" s="814" t="s">
        <v>6</v>
      </c>
      <c r="J5" s="800"/>
      <c r="K5" s="801"/>
      <c r="L5" s="818" t="s">
        <v>7</v>
      </c>
      <c r="M5" s="801"/>
      <c r="N5" s="807" t="s">
        <v>8</v>
      </c>
      <c r="O5" s="800"/>
      <c r="P5" s="801"/>
      <c r="Q5" s="808" t="s">
        <v>7</v>
      </c>
      <c r="R5" s="801"/>
      <c r="S5" s="807" t="s">
        <v>8</v>
      </c>
      <c r="T5" s="800"/>
      <c r="U5" s="801"/>
    </row>
    <row r="6" spans="1:21" ht="19.5" x14ac:dyDescent="0.3">
      <c r="A6" s="799"/>
      <c r="B6" s="800"/>
      <c r="C6" s="800"/>
      <c r="D6" s="800"/>
      <c r="E6" s="800"/>
      <c r="F6" s="800"/>
      <c r="G6" s="801"/>
      <c r="H6" s="788"/>
      <c r="I6" s="6" t="s">
        <v>9</v>
      </c>
      <c r="J6" s="7" t="s">
        <v>10</v>
      </c>
      <c r="K6" s="6" t="s">
        <v>11</v>
      </c>
      <c r="L6" s="706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823"/>
      <c r="B7" s="800"/>
      <c r="C7" s="800"/>
      <c r="D7" s="800"/>
      <c r="E7" s="800"/>
      <c r="F7" s="800"/>
      <c r="G7" s="801"/>
      <c r="H7" s="14"/>
      <c r="I7" s="15"/>
      <c r="J7" s="15"/>
      <c r="K7" s="16"/>
      <c r="L7" s="580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571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71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71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71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71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71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71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71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580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803" t="s">
        <v>309</v>
      </c>
      <c r="B17" s="800"/>
      <c r="C17" s="800"/>
      <c r="D17" s="800"/>
      <c r="E17" s="800"/>
      <c r="F17" s="800"/>
      <c r="G17" s="801"/>
      <c r="H17" s="23"/>
      <c r="I17" s="24"/>
      <c r="J17" s="24"/>
      <c r="K17" s="25"/>
      <c r="L17" s="705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704">
        <f ca="1">L19+L20</f>
        <v>2045605</v>
      </c>
      <c r="M18" s="664">
        <f ca="1">M19+M20</f>
        <v>2324773.27</v>
      </c>
      <c r="N18" s="664">
        <f ca="1">N19+N20</f>
        <v>1773048.92</v>
      </c>
      <c r="O18" s="664">
        <f t="shared" ref="O18:O26" ca="1" si="0">IF(L18&gt;0,N18*100/L18,0)</f>
        <v>86.676016141923782</v>
      </c>
      <c r="P18" s="664">
        <f t="shared" ref="P18:P26" ca="1" si="1">IF(M18&gt;0,N18*100/M18,0)</f>
        <v>76.267606087883138</v>
      </c>
      <c r="Q18" s="664">
        <f ca="1">Q19+Q20</f>
        <v>4290197.1500000004</v>
      </c>
      <c r="R18" s="664">
        <f ca="1">R19+R20</f>
        <v>4165197</v>
      </c>
      <c r="S18" s="664">
        <f ca="1">S19+S20</f>
        <v>395533.29000000004</v>
      </c>
      <c r="T18" s="664">
        <f t="shared" ref="T18:T26" ca="1" si="2">IF(Q18&gt;0,S18*100/Q18,0)</f>
        <v>9.219466522651528</v>
      </c>
      <c r="U18" s="664">
        <f t="shared" ref="U18:U26" ca="1" si="3">IF(R18&gt;0,S18*100/R18,0)</f>
        <v>9.4961484414782777</v>
      </c>
    </row>
    <row r="19" spans="1:21" ht="18.75" hidden="1" x14ac:dyDescent="0.25">
      <c r="A19" s="26"/>
      <c r="B19" s="27"/>
      <c r="C19" s="27"/>
      <c r="D19" s="27"/>
      <c r="E19" s="703" t="s">
        <v>20</v>
      </c>
      <c r="F19" s="27"/>
      <c r="G19" s="30"/>
      <c r="H19" s="702" t="s">
        <v>14</v>
      </c>
      <c r="I19" s="32"/>
      <c r="J19" s="32"/>
      <c r="K19" s="33"/>
      <c r="L19" s="701">
        <f t="shared" ref="L19:N20" si="4">L22+L25</f>
        <v>0</v>
      </c>
      <c r="M19" s="700">
        <f t="shared" si="4"/>
        <v>0</v>
      </c>
      <c r="N19" s="700">
        <f t="shared" si="4"/>
        <v>0</v>
      </c>
      <c r="O19" s="700">
        <f t="shared" si="0"/>
        <v>0</v>
      </c>
      <c r="P19" s="700">
        <f t="shared" si="1"/>
        <v>0</v>
      </c>
      <c r="Q19" s="700">
        <f t="shared" ref="Q19:S20" si="5">Q22+Q25</f>
        <v>0</v>
      </c>
      <c r="R19" s="700">
        <f t="shared" si="5"/>
        <v>0</v>
      </c>
      <c r="S19" s="700">
        <f t="shared" si="5"/>
        <v>0</v>
      </c>
      <c r="T19" s="700">
        <f t="shared" si="2"/>
        <v>0</v>
      </c>
      <c r="U19" s="700">
        <f t="shared" si="3"/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699">
        <f t="shared" ca="1" si="4"/>
        <v>2045605</v>
      </c>
      <c r="M20" s="698">
        <f t="shared" ca="1" si="4"/>
        <v>2324773.27</v>
      </c>
      <c r="N20" s="698">
        <f t="shared" ca="1" si="4"/>
        <v>1773048.92</v>
      </c>
      <c r="O20" s="698">
        <f t="shared" ca="1" si="0"/>
        <v>86.676016141923782</v>
      </c>
      <c r="P20" s="698">
        <f t="shared" ca="1" si="1"/>
        <v>76.267606087883138</v>
      </c>
      <c r="Q20" s="698">
        <f t="shared" ca="1" si="5"/>
        <v>4290197.1500000004</v>
      </c>
      <c r="R20" s="698">
        <f t="shared" ca="1" si="5"/>
        <v>4165197</v>
      </c>
      <c r="S20" s="698">
        <f t="shared" ca="1" si="5"/>
        <v>395533.29000000004</v>
      </c>
      <c r="T20" s="698">
        <f t="shared" ca="1" si="2"/>
        <v>9.219466522651528</v>
      </c>
      <c r="U20" s="698">
        <f t="shared" ca="1" si="3"/>
        <v>9.4961484414782777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468">
        <f ca="1">L22+L23</f>
        <v>2045605</v>
      </c>
      <c r="M21" s="224">
        <f ca="1">M22+M23</f>
        <v>2324773.27</v>
      </c>
      <c r="N21" s="224">
        <f ca="1">N22+N23</f>
        <v>1773048.92</v>
      </c>
      <c r="O21" s="224">
        <f t="shared" ca="1" si="0"/>
        <v>86.676016141923782</v>
      </c>
      <c r="P21" s="224">
        <f t="shared" ca="1" si="1"/>
        <v>76.267606087883138</v>
      </c>
      <c r="Q21" s="224">
        <f ca="1">Q22+Q23</f>
        <v>4290197.1500000004</v>
      </c>
      <c r="R21" s="224">
        <f ca="1">R22+R23</f>
        <v>4165197</v>
      </c>
      <c r="S21" s="224">
        <f ca="1">S22+S23</f>
        <v>395533.29000000004</v>
      </c>
      <c r="T21" s="224">
        <f t="shared" ca="1" si="2"/>
        <v>9.219466522651528</v>
      </c>
      <c r="U21" s="224">
        <f t="shared" ca="1" si="3"/>
        <v>9.4961484414782777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674" t="s">
        <v>14</v>
      </c>
      <c r="I22" s="44"/>
      <c r="J22" s="44"/>
      <c r="K22" s="45"/>
      <c r="L22" s="469">
        <f t="shared" ref="L22:N23" si="6">L48+L63+L76+L98+L129+L143+L161+L190+L177+L270+L286+L307+L324+L337+L360+L517</f>
        <v>0</v>
      </c>
      <c r="M22" s="83">
        <f t="shared" si="6"/>
        <v>0</v>
      </c>
      <c r="N22" s="83">
        <f t="shared" si="6"/>
        <v>0</v>
      </c>
      <c r="O22" s="83">
        <f t="shared" si="0"/>
        <v>0</v>
      </c>
      <c r="P22" s="83">
        <f t="shared" si="1"/>
        <v>0</v>
      </c>
      <c r="Q22" s="83">
        <f t="shared" ref="Q22:S23" si="7">Q76+Q98+Q121+Q143+Q161+Q177+Q190+Q270+Q286+Q307+Q337+Q379+Q396+Q417+Q497+Q603+Q620+Q646+Q694+Q718+Q732+Q764</f>
        <v>0</v>
      </c>
      <c r="R22" s="83">
        <f t="shared" si="7"/>
        <v>0</v>
      </c>
      <c r="S22" s="83">
        <f t="shared" si="7"/>
        <v>0</v>
      </c>
      <c r="T22" s="83">
        <f t="shared" si="2"/>
        <v>0</v>
      </c>
      <c r="U22" s="83">
        <f t="shared" si="3"/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468">
        <f t="shared" ca="1" si="6"/>
        <v>2045605</v>
      </c>
      <c r="M23" s="224">
        <f t="shared" ca="1" si="6"/>
        <v>2324773.27</v>
      </c>
      <c r="N23" s="224">
        <f t="shared" ca="1" si="6"/>
        <v>1773048.92</v>
      </c>
      <c r="O23" s="224">
        <f t="shared" ca="1" si="0"/>
        <v>86.676016141923782</v>
      </c>
      <c r="P23" s="224">
        <f t="shared" ca="1" si="1"/>
        <v>76.267606087883138</v>
      </c>
      <c r="Q23" s="224">
        <f t="shared" ca="1" si="7"/>
        <v>4290197.1500000004</v>
      </c>
      <c r="R23" s="224">
        <f t="shared" ca="1" si="7"/>
        <v>4165197</v>
      </c>
      <c r="S23" s="224">
        <f t="shared" ca="1" si="7"/>
        <v>395533.29000000004</v>
      </c>
      <c r="T23" s="224">
        <f t="shared" ca="1" si="2"/>
        <v>9.219466522651528</v>
      </c>
      <c r="U23" s="224">
        <f t="shared" ca="1" si="3"/>
        <v>9.4961484414782777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468">
        <f ca="1">L25+L26</f>
        <v>0</v>
      </c>
      <c r="M24" s="224">
        <f ca="1">M25+M26</f>
        <v>0</v>
      </c>
      <c r="N24" s="224">
        <f ca="1">N25+N26</f>
        <v>0</v>
      </c>
      <c r="O24" s="224">
        <f t="shared" ca="1" si="0"/>
        <v>0</v>
      </c>
      <c r="P24" s="224">
        <f t="shared" ca="1" si="1"/>
        <v>0</v>
      </c>
      <c r="Q24" s="224">
        <f>Q25+Q26</f>
        <v>0</v>
      </c>
      <c r="R24" s="224">
        <f>R25+R26</f>
        <v>0</v>
      </c>
      <c r="S24" s="224">
        <f>S25+S26</f>
        <v>0</v>
      </c>
      <c r="T24" s="224">
        <f t="shared" si="2"/>
        <v>0</v>
      </c>
      <c r="U24" s="224">
        <f t="shared" si="3"/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674" t="s">
        <v>14</v>
      </c>
      <c r="I25" s="44"/>
      <c r="J25" s="44"/>
      <c r="K25" s="45"/>
      <c r="L25" s="469">
        <f t="shared" ref="L25:N26" si="8">L51+L66+L79+L101+L132+L146+L164+L193+L180+L273+L289+L310+L327+L340+L363+L520</f>
        <v>0</v>
      </c>
      <c r="M25" s="83">
        <f t="shared" si="8"/>
        <v>0</v>
      </c>
      <c r="N25" s="83">
        <f t="shared" si="8"/>
        <v>0</v>
      </c>
      <c r="O25" s="83">
        <f t="shared" si="0"/>
        <v>0</v>
      </c>
      <c r="P25" s="83">
        <f t="shared" si="1"/>
        <v>0</v>
      </c>
      <c r="Q25" s="83">
        <f t="shared" ref="Q25:S26" si="9">Q79+Q101+Q124+Q146+Q164+Q180+Q193+Q273+Q289+Q310+Q340+Q382+Q399+Q420+Q500+Q606+Q623+Q649+Q697+Q721+Q735+Q767</f>
        <v>0</v>
      </c>
      <c r="R25" s="83">
        <f t="shared" si="9"/>
        <v>0</v>
      </c>
      <c r="S25" s="83">
        <f t="shared" si="9"/>
        <v>0</v>
      </c>
      <c r="T25" s="83">
        <f t="shared" si="2"/>
        <v>0</v>
      </c>
      <c r="U25" s="83">
        <f t="shared" si="3"/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468">
        <f t="shared" ca="1" si="8"/>
        <v>0</v>
      </c>
      <c r="M26" s="224">
        <f t="shared" ca="1" si="8"/>
        <v>0</v>
      </c>
      <c r="N26" s="224">
        <f t="shared" ca="1" si="8"/>
        <v>0</v>
      </c>
      <c r="O26" s="224">
        <f t="shared" ca="1" si="0"/>
        <v>0</v>
      </c>
      <c r="P26" s="224">
        <f t="shared" ca="1" si="1"/>
        <v>0</v>
      </c>
      <c r="Q26" s="83">
        <f t="shared" si="9"/>
        <v>0</v>
      </c>
      <c r="R26" s="83">
        <f t="shared" si="9"/>
        <v>0</v>
      </c>
      <c r="S26" s="83">
        <f t="shared" si="9"/>
        <v>0</v>
      </c>
      <c r="T26" s="224">
        <f t="shared" si="2"/>
        <v>0</v>
      </c>
      <c r="U26" s="224">
        <f t="shared" si="3"/>
        <v>0</v>
      </c>
    </row>
    <row r="27" spans="1:21" ht="18.75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465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674" t="s">
        <v>14</v>
      </c>
      <c r="I28" s="44"/>
      <c r="J28" s="44"/>
      <c r="K28" s="45"/>
      <c r="L28" s="465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463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823"/>
      <c r="B30" s="800"/>
      <c r="C30" s="800"/>
      <c r="D30" s="800"/>
      <c r="E30" s="800"/>
      <c r="F30" s="800"/>
      <c r="G30" s="801"/>
      <c r="H30" s="14"/>
      <c r="I30" s="15"/>
      <c r="J30" s="15"/>
      <c r="K30" s="16"/>
      <c r="L30" s="580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571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7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71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7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7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7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7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71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580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697">
        <f ca="1">L44+L59+L72+L94+L125+L139+L157+L173+L186+L266+L282+L303+L320+L333+L356</f>
        <v>2045605</v>
      </c>
      <c r="M40" s="696">
        <f ca="1">M44+M59+M72+M94+M125+M139+M157+M173+M186+M266+M282+M303+M320+M333+M356</f>
        <v>2324773.27</v>
      </c>
      <c r="N40" s="696">
        <f ca="1">N44+N59+N72+N94+N125+N139+N157+N173+N186+N266+N282+N303+N320+N333+N356</f>
        <v>1773048.92</v>
      </c>
      <c r="O40" s="696">
        <f ca="1">IF(L40&gt;0,N40*100/L40,0)</f>
        <v>86.676016141923782</v>
      </c>
      <c r="P40" s="696">
        <f ca="1">IF(M40&gt;0,N40*100/M40,0)</f>
        <v>76.267606087883138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695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571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694" t="s">
        <v>19</v>
      </c>
      <c r="E44" s="71"/>
      <c r="F44" s="71"/>
      <c r="G44" s="74"/>
      <c r="H44" s="75" t="s">
        <v>14</v>
      </c>
      <c r="I44" s="76"/>
      <c r="J44" s="76"/>
      <c r="K44" s="77"/>
      <c r="L44" s="693">
        <f ca="1">L45+L46</f>
        <v>372970</v>
      </c>
      <c r="M44" s="692">
        <f ca="1">M45+M46</f>
        <v>392408.27</v>
      </c>
      <c r="N44" s="692">
        <f ca="1">N45+N46</f>
        <v>386981.61</v>
      </c>
      <c r="O44" s="692">
        <f t="shared" ref="O44:O52" ca="1" si="10">IF(L44&gt;0,N44*100/L44,0)</f>
        <v>103.75676595972867</v>
      </c>
      <c r="P44" s="692">
        <f t="shared" ref="P44:P52" ca="1" si="11">IF(M44&gt;0,N44*100/M44,0)</f>
        <v>98.617088268807379</v>
      </c>
      <c r="Q44" s="692">
        <f>Q45+Q46</f>
        <v>0</v>
      </c>
      <c r="R44" s="692">
        <f>R45+R46</f>
        <v>0</v>
      </c>
      <c r="S44" s="692">
        <f>S45+S46</f>
        <v>0</v>
      </c>
      <c r="T44" s="692">
        <f t="shared" ref="T44:T52" si="12">IF(Q44&gt;0,S44*100/Q44,0)</f>
        <v>0</v>
      </c>
      <c r="U44" s="692">
        <f t="shared" ref="U44:U52" si="13">IF(R44&gt;0,S44*100/R44,0)</f>
        <v>0</v>
      </c>
    </row>
    <row r="45" spans="1:21" ht="18.75" hidden="1" x14ac:dyDescent="0.25">
      <c r="A45" s="70"/>
      <c r="B45" s="71"/>
      <c r="C45" s="71"/>
      <c r="D45" s="71"/>
      <c r="E45" s="691" t="s">
        <v>20</v>
      </c>
      <c r="F45" s="71"/>
      <c r="G45" s="74"/>
      <c r="H45" s="690" t="s">
        <v>14</v>
      </c>
      <c r="I45" s="76"/>
      <c r="J45" s="76"/>
      <c r="K45" s="77"/>
      <c r="L45" s="689">
        <f t="shared" ref="L45:N46" si="14">L48+L51</f>
        <v>0</v>
      </c>
      <c r="M45" s="688">
        <f t="shared" si="14"/>
        <v>0</v>
      </c>
      <c r="N45" s="688">
        <f t="shared" si="14"/>
        <v>0</v>
      </c>
      <c r="O45" s="688">
        <f t="shared" si="10"/>
        <v>0</v>
      </c>
      <c r="P45" s="688">
        <f t="shared" si="11"/>
        <v>0</v>
      </c>
      <c r="Q45" s="688">
        <f t="shared" ref="Q45:S46" si="15">Q48+Q51</f>
        <v>0</v>
      </c>
      <c r="R45" s="688">
        <f t="shared" si="15"/>
        <v>0</v>
      </c>
      <c r="S45" s="688">
        <f t="shared" si="15"/>
        <v>0</v>
      </c>
      <c r="T45" s="688">
        <f t="shared" si="12"/>
        <v>0</v>
      </c>
      <c r="U45" s="688">
        <f t="shared" si="13"/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687">
        <f t="shared" ca="1" si="14"/>
        <v>372970</v>
      </c>
      <c r="M46" s="686">
        <f t="shared" ca="1" si="14"/>
        <v>392408.27</v>
      </c>
      <c r="N46" s="686">
        <f t="shared" ca="1" si="14"/>
        <v>386981.61</v>
      </c>
      <c r="O46" s="686">
        <f t="shared" ca="1" si="10"/>
        <v>103.75676595972867</v>
      </c>
      <c r="P46" s="686">
        <f t="shared" ca="1" si="11"/>
        <v>98.617088268807379</v>
      </c>
      <c r="Q46" s="686">
        <f t="shared" si="15"/>
        <v>0</v>
      </c>
      <c r="R46" s="686">
        <f t="shared" si="15"/>
        <v>0</v>
      </c>
      <c r="S46" s="686">
        <f t="shared" si="15"/>
        <v>0</v>
      </c>
      <c r="T46" s="686">
        <f t="shared" si="12"/>
        <v>0</v>
      </c>
      <c r="U46" s="686">
        <f t="shared" si="13"/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468">
        <f ca="1">L48+L49</f>
        <v>372970</v>
      </c>
      <c r="M47" s="224">
        <f ca="1">M48+M49</f>
        <v>392408.27</v>
      </c>
      <c r="N47" s="224">
        <f ca="1">N48+N49</f>
        <v>386981.61</v>
      </c>
      <c r="O47" s="224">
        <f t="shared" ca="1" si="10"/>
        <v>103.75676595972867</v>
      </c>
      <c r="P47" s="224">
        <f t="shared" ca="1" si="11"/>
        <v>98.617088268807379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 t="shared" si="12"/>
        <v>0</v>
      </c>
      <c r="U47" s="224">
        <f t="shared" si="13"/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674" t="s">
        <v>14</v>
      </c>
      <c r="I48" s="44"/>
      <c r="J48" s="44"/>
      <c r="K48" s="45"/>
      <c r="L48" s="469">
        <v>0</v>
      </c>
      <c r="M48" s="83">
        <v>0</v>
      </c>
      <c r="N48" s="83">
        <v>0</v>
      </c>
      <c r="O48" s="83">
        <f t="shared" si="10"/>
        <v>0</v>
      </c>
      <c r="P48" s="83">
        <f t="shared" si="11"/>
        <v>0</v>
      </c>
      <c r="Q48" s="83">
        <v>0</v>
      </c>
      <c r="R48" s="83">
        <v>0</v>
      </c>
      <c r="S48" s="83">
        <v>0</v>
      </c>
      <c r="T48" s="83">
        <f t="shared" si="12"/>
        <v>0</v>
      </c>
      <c r="U48" s="83">
        <f t="shared" si="13"/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468">
        <f ca="1">IFERROR(__xludf.DUMMYFUNCTION("IMPORTRANGE(""https://docs.google.com/spreadsheets/d/1-uDff_7J0KD5mKrp0Vvzr7lt3OU09vwQwhkpOPPYv2Y/edit?usp=sharing"",""งบพรบ!P28"")"),372970)</f>
        <v>372970</v>
      </c>
      <c r="M49" s="224">
        <f ca="1">IFERROR(__xludf.DUMMYFUNCTION("IMPORTRANGE(""https://docs.google.com/spreadsheets/d/1-uDff_7J0KD5mKrp0Vvzr7lt3OU09vwQwhkpOPPYv2Y/edit?usp=sharing"",""งบพรบ!V28"")"),392408.27)</f>
        <v>392408.27</v>
      </c>
      <c r="N49" s="224">
        <f ca="1">IFERROR(__xludf.DUMMYFUNCTION("IMPORTRANGE(""https://docs.google.com/spreadsheets/d/1-uDff_7J0KD5mKrp0Vvzr7lt3OU09vwQwhkpOPPYv2Y/edit?usp=sharing"",""งบพรบ!Y28"")"),386981.61)</f>
        <v>386981.61</v>
      </c>
      <c r="O49" s="224">
        <f t="shared" ca="1" si="10"/>
        <v>103.75676595972867</v>
      </c>
      <c r="P49" s="224">
        <f t="shared" ca="1" si="11"/>
        <v>98.617088268807379</v>
      </c>
      <c r="Q49" s="224">
        <v>0</v>
      </c>
      <c r="R49" s="224">
        <v>0</v>
      </c>
      <c r="S49" s="224">
        <v>0</v>
      </c>
      <c r="T49" s="224">
        <f t="shared" si="12"/>
        <v>0</v>
      </c>
      <c r="U49" s="224">
        <f t="shared" si="13"/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468">
        <f ca="1">L51+L52</f>
        <v>0</v>
      </c>
      <c r="M50" s="224">
        <f ca="1">M51+M52</f>
        <v>0</v>
      </c>
      <c r="N50" s="224">
        <f ca="1">N51+N52</f>
        <v>0</v>
      </c>
      <c r="O50" s="224">
        <f t="shared" ca="1" si="10"/>
        <v>0</v>
      </c>
      <c r="P50" s="224">
        <f t="shared" ca="1" si="11"/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 t="shared" si="12"/>
        <v>0</v>
      </c>
      <c r="U50" s="224">
        <f t="shared" si="13"/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674" t="s">
        <v>14</v>
      </c>
      <c r="I51" s="44"/>
      <c r="J51" s="44"/>
      <c r="K51" s="45"/>
      <c r="L51" s="469">
        <v>0</v>
      </c>
      <c r="M51" s="83">
        <v>0</v>
      </c>
      <c r="N51" s="83">
        <v>0</v>
      </c>
      <c r="O51" s="83">
        <f t="shared" si="10"/>
        <v>0</v>
      </c>
      <c r="P51" s="83">
        <f t="shared" si="11"/>
        <v>0</v>
      </c>
      <c r="Q51" s="83">
        <v>0</v>
      </c>
      <c r="R51" s="83">
        <v>0</v>
      </c>
      <c r="S51" s="83">
        <v>0</v>
      </c>
      <c r="T51" s="83">
        <f t="shared" si="12"/>
        <v>0</v>
      </c>
      <c r="U51" s="83">
        <f t="shared" si="13"/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468">
        <f ca="1">IFERROR(__xludf.DUMMYFUNCTION("IMPORTRANGE(""https://docs.google.com/spreadsheets/d/1-uDff_7J0KD5mKrp0Vvzr7lt3OU09vwQwhkpOPPYv2Y/edit?usp=sharing"",""งบพรบ!S28"")"),0)</f>
        <v>0</v>
      </c>
      <c r="M52" s="224">
        <f ca="1">IFERROR(__xludf.DUMMYFUNCTION("IMPORTRANGE(""https://docs.google.com/spreadsheets/d/1-uDff_7J0KD5mKrp0Vvzr7lt3OU09vwQwhkpOPPYv2Y/edit?usp=sharing"",""งบพรบ!W28"")"),0)</f>
        <v>0</v>
      </c>
      <c r="N52" s="224">
        <f ca="1">IFERROR(__xludf.DUMMYFUNCTION("IMPORTRANGE(""https://docs.google.com/spreadsheets/d/1-uDff_7J0KD5mKrp0Vvzr7lt3OU09vwQwhkpOPPYv2Y/edit?usp=sharing"",""งบพรบ!Z28"")"),0)</f>
        <v>0</v>
      </c>
      <c r="O52" s="224">
        <f t="shared" ca="1" si="10"/>
        <v>0</v>
      </c>
      <c r="P52" s="224">
        <f t="shared" ca="1" si="11"/>
        <v>0</v>
      </c>
      <c r="Q52" s="224">
        <v>0</v>
      </c>
      <c r="R52" s="224">
        <v>0</v>
      </c>
      <c r="S52" s="224">
        <v>0</v>
      </c>
      <c r="T52" s="224">
        <f t="shared" si="12"/>
        <v>0</v>
      </c>
      <c r="U52" s="224">
        <f t="shared" si="13"/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465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674" t="s">
        <v>14</v>
      </c>
      <c r="I54" s="44"/>
      <c r="J54" s="44"/>
      <c r="K54" s="45"/>
      <c r="L54" s="465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463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804" t="s">
        <v>28</v>
      </c>
      <c r="B56" s="800"/>
      <c r="C56" s="800"/>
      <c r="D56" s="800"/>
      <c r="E56" s="800"/>
      <c r="F56" s="800"/>
      <c r="G56" s="80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805" t="s">
        <v>29</v>
      </c>
      <c r="C57" s="793"/>
      <c r="D57" s="793"/>
      <c r="E57" s="793"/>
      <c r="F57" s="793"/>
      <c r="G57" s="794"/>
      <c r="H57" s="89"/>
      <c r="I57" s="90"/>
      <c r="J57" s="90"/>
      <c r="K57" s="91"/>
      <c r="L57" s="68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8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8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82">
        <f ca="1">L60+L61</f>
        <v>510600</v>
      </c>
      <c r="M59" s="681">
        <f ca="1">M60+M61</f>
        <v>510600</v>
      </c>
      <c r="N59" s="681">
        <f ca="1">N60+N61</f>
        <v>465803.37</v>
      </c>
      <c r="O59" s="681">
        <f t="shared" ref="O59:O67" ca="1" si="16">IF(L59&gt;0,N59*100/L59,0)</f>
        <v>91.226668625146885</v>
      </c>
      <c r="P59" s="681">
        <f t="shared" ref="P59:P67" ca="1" si="17">IF(M59&gt;0,N59*100/M59,0)</f>
        <v>91.226668625146885</v>
      </c>
      <c r="Q59" s="681">
        <f>Q60+Q61</f>
        <v>0</v>
      </c>
      <c r="R59" s="681">
        <f>R60+R61</f>
        <v>0</v>
      </c>
      <c r="S59" s="681">
        <f>S60+S61</f>
        <v>0</v>
      </c>
      <c r="T59" s="681">
        <f t="shared" ref="T59:T67" si="18">IF(Q59&gt;0,S59*100/Q59,0)</f>
        <v>0</v>
      </c>
      <c r="U59" s="681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80" t="s">
        <v>20</v>
      </c>
      <c r="F60" s="99"/>
      <c r="G60" s="102"/>
      <c r="H60" s="679" t="s">
        <v>14</v>
      </c>
      <c r="I60" s="104"/>
      <c r="J60" s="104"/>
      <c r="K60" s="105"/>
      <c r="L60" s="678">
        <f t="shared" ref="L60:N61" si="20">L63+L66</f>
        <v>0</v>
      </c>
      <c r="M60" s="677">
        <f t="shared" si="20"/>
        <v>0</v>
      </c>
      <c r="N60" s="677">
        <f t="shared" si="20"/>
        <v>0</v>
      </c>
      <c r="O60" s="677">
        <f t="shared" si="16"/>
        <v>0</v>
      </c>
      <c r="P60" s="677">
        <f t="shared" si="17"/>
        <v>0</v>
      </c>
      <c r="Q60" s="677">
        <f t="shared" ref="Q60:S61" si="21">Q63+Q66</f>
        <v>0</v>
      </c>
      <c r="R60" s="677">
        <f t="shared" si="21"/>
        <v>0</v>
      </c>
      <c r="S60" s="677">
        <f t="shared" si="21"/>
        <v>0</v>
      </c>
      <c r="T60" s="677">
        <f t="shared" si="18"/>
        <v>0</v>
      </c>
      <c r="U60" s="677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76">
        <f t="shared" ca="1" si="20"/>
        <v>510600</v>
      </c>
      <c r="M61" s="675">
        <f t="shared" ca="1" si="20"/>
        <v>510600</v>
      </c>
      <c r="N61" s="675">
        <f t="shared" ca="1" si="20"/>
        <v>465803.37</v>
      </c>
      <c r="O61" s="675">
        <f t="shared" ca="1" si="16"/>
        <v>91.226668625146885</v>
      </c>
      <c r="P61" s="675">
        <f t="shared" ca="1" si="17"/>
        <v>91.226668625146885</v>
      </c>
      <c r="Q61" s="675">
        <f t="shared" si="21"/>
        <v>0</v>
      </c>
      <c r="R61" s="675">
        <f t="shared" si="21"/>
        <v>0</v>
      </c>
      <c r="S61" s="675">
        <f t="shared" si="21"/>
        <v>0</v>
      </c>
      <c r="T61" s="675">
        <f t="shared" si="18"/>
        <v>0</v>
      </c>
      <c r="U61" s="675">
        <f t="shared" si="19"/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468">
        <f ca="1">L63+L64</f>
        <v>510600</v>
      </c>
      <c r="M62" s="224">
        <f ca="1">M63+M64</f>
        <v>510600</v>
      </c>
      <c r="N62" s="224">
        <f ca="1">N63+N64</f>
        <v>465803.37</v>
      </c>
      <c r="O62" s="224">
        <f t="shared" ca="1" si="16"/>
        <v>91.226668625146885</v>
      </c>
      <c r="P62" s="224">
        <f t="shared" ca="1" si="17"/>
        <v>91.226668625146885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 t="shared" si="18"/>
        <v>0</v>
      </c>
      <c r="U62" s="224">
        <f t="shared" si="19"/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674" t="s">
        <v>14</v>
      </c>
      <c r="I63" s="44"/>
      <c r="J63" s="44"/>
      <c r="K63" s="45"/>
      <c r="L63" s="469">
        <v>0</v>
      </c>
      <c r="M63" s="83">
        <v>0</v>
      </c>
      <c r="N63" s="83">
        <v>0</v>
      </c>
      <c r="O63" s="83">
        <f t="shared" si="16"/>
        <v>0</v>
      </c>
      <c r="P63" s="83">
        <f t="shared" si="17"/>
        <v>0</v>
      </c>
      <c r="Q63" s="83">
        <v>0</v>
      </c>
      <c r="R63" s="83">
        <v>0</v>
      </c>
      <c r="S63" s="83">
        <v>0</v>
      </c>
      <c r="T63" s="83">
        <f t="shared" si="18"/>
        <v>0</v>
      </c>
      <c r="U63" s="83">
        <f t="shared" si="19"/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468">
        <f ca="1">IFERROR(__xludf.DUMMYFUNCTION("IMPORTRANGE(""https://docs.google.com/spreadsheets/d/1-uDff_7J0KD5mKrp0Vvzr7lt3OU09vwQwhkpOPPYv2Y/edit?usp=sharing"",""งบพรบ!AC28"")"),510600)</f>
        <v>510600</v>
      </c>
      <c r="M64" s="224">
        <f ca="1">IFERROR(__xludf.DUMMYFUNCTION("IMPORTRANGE(""https://docs.google.com/spreadsheets/d/1-uDff_7J0KD5mKrp0Vvzr7lt3OU09vwQwhkpOPPYv2Y/edit?usp=sharing"",""งบพรบ!AH28"")"),510600)</f>
        <v>510600</v>
      </c>
      <c r="N64" s="224">
        <f ca="1">IFERROR(__xludf.DUMMYFUNCTION("IMPORTRANGE(""https://docs.google.com/spreadsheets/d/1-uDff_7J0KD5mKrp0Vvzr7lt3OU09vwQwhkpOPPYv2Y/edit?usp=sharing"",""งบพรบ!AJ28"")"),465803.37)</f>
        <v>465803.37</v>
      </c>
      <c r="O64" s="224">
        <f t="shared" ca="1" si="16"/>
        <v>91.226668625146885</v>
      </c>
      <c r="P64" s="224">
        <f t="shared" ca="1" si="17"/>
        <v>91.226668625146885</v>
      </c>
      <c r="Q64" s="224">
        <v>0</v>
      </c>
      <c r="R64" s="224">
        <v>0</v>
      </c>
      <c r="S64" s="224">
        <v>0</v>
      </c>
      <c r="T64" s="224">
        <f t="shared" si="18"/>
        <v>0</v>
      </c>
      <c r="U64" s="224">
        <f t="shared" si="19"/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468">
        <f ca="1">L66+L67</f>
        <v>0</v>
      </c>
      <c r="M65" s="224">
        <f ca="1">M66+M67</f>
        <v>0</v>
      </c>
      <c r="N65" s="224">
        <f ca="1">N66+N67</f>
        <v>0</v>
      </c>
      <c r="O65" s="224">
        <f t="shared" ca="1" si="16"/>
        <v>0</v>
      </c>
      <c r="P65" s="224">
        <f t="shared" ca="1" si="17"/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 t="shared" si="18"/>
        <v>0</v>
      </c>
      <c r="U65" s="224">
        <f t="shared" si="19"/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674" t="s">
        <v>14</v>
      </c>
      <c r="I66" s="44"/>
      <c r="J66" s="44"/>
      <c r="K66" s="45"/>
      <c r="L66" s="469">
        <v>0</v>
      </c>
      <c r="M66" s="83">
        <v>0</v>
      </c>
      <c r="N66" s="83">
        <v>0</v>
      </c>
      <c r="O66" s="83">
        <f t="shared" si="16"/>
        <v>0</v>
      </c>
      <c r="P66" s="83">
        <f t="shared" si="17"/>
        <v>0</v>
      </c>
      <c r="Q66" s="83">
        <v>0</v>
      </c>
      <c r="R66" s="83">
        <v>0</v>
      </c>
      <c r="S66" s="83">
        <v>0</v>
      </c>
      <c r="T66" s="83">
        <f t="shared" si="18"/>
        <v>0</v>
      </c>
      <c r="U66" s="83">
        <f t="shared" si="19"/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673">
        <f ca="1">IFERROR(__xludf.DUMMYFUNCTION("IMPORTRANGE(""https://docs.google.com/spreadsheets/d/1-uDff_7J0KD5mKrp0Vvzr7lt3OU09vwQwhkpOPPYv2Y/edit?usp=sharing"",""งบพรบ!AF28"")"),0)</f>
        <v>0</v>
      </c>
      <c r="M67" s="455">
        <f ca="1">IFERROR(__xludf.DUMMYFUNCTION("IMPORTRANGE(""https://docs.google.com/spreadsheets/d/1-uDff_7J0KD5mKrp0Vvzr7lt3OU09vwQwhkpOPPYv2Y/edit?usp=sharing"",""งบพรบ!AI28"")"),0)</f>
        <v>0</v>
      </c>
      <c r="N67" s="455">
        <f ca="1">IFERROR(__xludf.DUMMYFUNCTION("IMPORTRANGE(""https://docs.google.com/spreadsheets/d/1-uDff_7J0KD5mKrp0Vvzr7lt3OU09vwQwhkpOPPYv2Y/edit?usp=sharing"",""งบพรบ!AK28"")"),0)</f>
        <v>0</v>
      </c>
      <c r="O67" s="455">
        <f t="shared" ca="1" si="16"/>
        <v>0</v>
      </c>
      <c r="P67" s="455">
        <f t="shared" ca="1" si="17"/>
        <v>0</v>
      </c>
      <c r="Q67" s="455">
        <v>0</v>
      </c>
      <c r="R67" s="455">
        <v>0</v>
      </c>
      <c r="S67" s="455">
        <v>0</v>
      </c>
      <c r="T67" s="455">
        <f t="shared" si="18"/>
        <v>0</v>
      </c>
      <c r="U67" s="455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7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665">
        <f ca="1">I82</f>
        <v>2</v>
      </c>
      <c r="J70" s="665">
        <f>J82</f>
        <v>0</v>
      </c>
      <c r="K70" s="664">
        <f ca="1">IF(I70&gt;0,J70*100/I70,0)</f>
        <v>0</v>
      </c>
      <c r="L70" s="510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665">
        <f ca="1">I83</f>
        <v>77</v>
      </c>
      <c r="J71" s="665">
        <f>J83</f>
        <v>0</v>
      </c>
      <c r="K71" s="664">
        <f ca="1">IF(I71&gt;0,J71*100/I71,0)</f>
        <v>0</v>
      </c>
      <c r="L71" s="510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129" t="s">
        <v>18</v>
      </c>
      <c r="D72" s="472" t="s">
        <v>19</v>
      </c>
      <c r="E72" s="40"/>
      <c r="F72" s="40"/>
      <c r="G72" s="42"/>
      <c r="H72" s="131" t="s">
        <v>14</v>
      </c>
      <c r="I72" s="44"/>
      <c r="J72" s="44"/>
      <c r="K72" s="45"/>
      <c r="L72" s="471">
        <f ca="1">L73+L74</f>
        <v>98000</v>
      </c>
      <c r="M72" s="470">
        <f ca="1">M73+M74</f>
        <v>98000</v>
      </c>
      <c r="N72" s="470">
        <f ca="1">N73+N74</f>
        <v>0</v>
      </c>
      <c r="O72" s="470">
        <f t="shared" ref="O72:O80" ca="1" si="22">IF(L72&gt;0,N72*100/L72,0)</f>
        <v>0</v>
      </c>
      <c r="P72" s="470">
        <f t="shared" ref="P72:P80" ca="1" si="23">IF(M72&gt;0,N72*100/M72,0)</f>
        <v>0</v>
      </c>
      <c r="Q72" s="470">
        <f ca="1">Q73+Q74</f>
        <v>1729763</v>
      </c>
      <c r="R72" s="470">
        <f ca="1">R73+R74</f>
        <v>1729763</v>
      </c>
      <c r="S72" s="470">
        <f ca="1">S73+S74</f>
        <v>4700</v>
      </c>
      <c r="T72" s="470">
        <f t="shared" ref="T72:T80" ca="1" si="24">IF(Q72&gt;0,S72*100/Q72,0)</f>
        <v>0.27171352376019142</v>
      </c>
      <c r="U72" s="470">
        <f t="shared" ref="U72:U80" ca="1" si="25">IF(R72&gt;0,S72*100/R72,0)</f>
        <v>0.27171352376019142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469">
        <f t="shared" ref="L73:N74" si="26">L76+L79</f>
        <v>0</v>
      </c>
      <c r="M73" s="83">
        <f t="shared" si="26"/>
        <v>0</v>
      </c>
      <c r="N73" s="83">
        <f t="shared" si="26"/>
        <v>0</v>
      </c>
      <c r="O73" s="83">
        <f t="shared" si="22"/>
        <v>0</v>
      </c>
      <c r="P73" s="83">
        <f t="shared" si="23"/>
        <v>0</v>
      </c>
      <c r="Q73" s="83">
        <f t="shared" ref="Q73:S74" si="27">Q76+Q79</f>
        <v>0</v>
      </c>
      <c r="R73" s="83">
        <f t="shared" si="27"/>
        <v>0</v>
      </c>
      <c r="S73" s="83">
        <f t="shared" si="27"/>
        <v>0</v>
      </c>
      <c r="T73" s="83">
        <f t="shared" si="24"/>
        <v>0</v>
      </c>
      <c r="U73" s="83">
        <f t="shared" si="25"/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468">
        <f t="shared" ca="1" si="26"/>
        <v>98000</v>
      </c>
      <c r="M74" s="224">
        <f t="shared" ca="1" si="26"/>
        <v>98000</v>
      </c>
      <c r="N74" s="224">
        <f t="shared" ca="1" si="26"/>
        <v>0</v>
      </c>
      <c r="O74" s="224">
        <f t="shared" ca="1" si="22"/>
        <v>0</v>
      </c>
      <c r="P74" s="224">
        <f t="shared" ca="1" si="23"/>
        <v>0</v>
      </c>
      <c r="Q74" s="224">
        <f t="shared" ca="1" si="27"/>
        <v>1729763</v>
      </c>
      <c r="R74" s="224">
        <f t="shared" ca="1" si="27"/>
        <v>1729763</v>
      </c>
      <c r="S74" s="224">
        <f t="shared" ca="1" si="27"/>
        <v>4700</v>
      </c>
      <c r="T74" s="224">
        <f t="shared" ca="1" si="24"/>
        <v>0.27171352376019142</v>
      </c>
      <c r="U74" s="224">
        <f t="shared" ca="1" si="25"/>
        <v>0.27171352376019142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468">
        <f ca="1">L76+L77</f>
        <v>98000</v>
      </c>
      <c r="M75" s="224">
        <f ca="1">M76+M77</f>
        <v>98000</v>
      </c>
      <c r="N75" s="224">
        <f ca="1">N76+N77</f>
        <v>0</v>
      </c>
      <c r="O75" s="224">
        <f t="shared" ca="1" si="22"/>
        <v>0</v>
      </c>
      <c r="P75" s="224">
        <f t="shared" ca="1" si="23"/>
        <v>0</v>
      </c>
      <c r="Q75" s="224">
        <f ca="1">Q76+Q77</f>
        <v>1729763</v>
      </c>
      <c r="R75" s="224">
        <f ca="1">R76+R77</f>
        <v>1729763</v>
      </c>
      <c r="S75" s="224">
        <f ca="1">S76+S77</f>
        <v>4700</v>
      </c>
      <c r="T75" s="224">
        <f t="shared" ca="1" si="24"/>
        <v>0.27171352376019142</v>
      </c>
      <c r="U75" s="224">
        <f t="shared" ca="1" si="25"/>
        <v>0.27171352376019142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469">
        <v>0</v>
      </c>
      <c r="M76" s="83">
        <v>0</v>
      </c>
      <c r="N76" s="83">
        <v>0</v>
      </c>
      <c r="O76" s="83">
        <f t="shared" si="22"/>
        <v>0</v>
      </c>
      <c r="P76" s="83">
        <f t="shared" si="23"/>
        <v>0</v>
      </c>
      <c r="Q76" s="83">
        <v>0</v>
      </c>
      <c r="R76" s="83">
        <v>0</v>
      </c>
      <c r="S76" s="83">
        <v>0</v>
      </c>
      <c r="T76" s="83">
        <f t="shared" si="24"/>
        <v>0</v>
      </c>
      <c r="U76" s="83">
        <f t="shared" si="25"/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468">
        <f ca="1">IFERROR(__xludf.DUMMYFUNCTION("IMPORTRANGE(""https://docs.google.com/spreadsheets/d/1-uDff_7J0KD5mKrp0Vvzr7lt3OU09vwQwhkpOPPYv2Y/edit?usp=sharing"",""งบพรบ!AM28"")"),98000)</f>
        <v>98000</v>
      </c>
      <c r="M77" s="224">
        <f ca="1">IFERROR(__xludf.DUMMYFUNCTION("IMPORTRANGE(""https://docs.google.com/spreadsheets/d/1-uDff_7J0KD5mKrp0Vvzr7lt3OU09vwQwhkpOPPYv2Y/edit?usp=sharing"",""งบพรบ!AR28"")"),98000)</f>
        <v>98000</v>
      </c>
      <c r="N77" s="224">
        <f ca="1">IFERROR(__xludf.DUMMYFUNCTION("IMPORTRANGE(""https://docs.google.com/spreadsheets/d/1-uDff_7J0KD5mKrp0Vvzr7lt3OU09vwQwhkpOPPYv2Y/edit?usp=sharing"",""งบพรบ!AT28"")"),0)</f>
        <v>0</v>
      </c>
      <c r="O77" s="224">
        <f t="shared" ca="1" si="22"/>
        <v>0</v>
      </c>
      <c r="P77" s="224">
        <f t="shared" ca="1" si="23"/>
        <v>0</v>
      </c>
      <c r="Q77" s="224">
        <f ca="1">IFERROR(__xludf.DUMMYFUNCTION("IMPORTRANGE(""https://docs.google.com/spreadsheets/d/1ItG2mGa2ceCfYo0BwxsXqNm01IGEUdYcSSLTEv9YCik/edit?usp=sharing"",""เบิกจ่ายกองทุน!AS28"")"),1729763)</f>
        <v>1729763</v>
      </c>
      <c r="R77" s="224">
        <f ca="1">IFERROR(__xludf.DUMMYFUNCTION("IMPORTRANGE(""https://docs.google.com/spreadsheets/d/1ItG2mGa2ceCfYo0BwxsXqNm01IGEUdYcSSLTEv9YCik/edit?usp=sharing"",""เบิกจ่ายกองทุน!AT28"")"),1729763)</f>
        <v>1729763</v>
      </c>
      <c r="S77" s="224">
        <f ca="1">IFERROR(__xludf.DUMMYFUNCTION("IMPORTRANGE(""https://docs.google.com/spreadsheets/d/1ItG2mGa2ceCfYo0BwxsXqNm01IGEUdYcSSLTEv9YCik/edit?usp=sharing"",""เบิกจ่ายกองทุน!AU28"")"),4700)</f>
        <v>4700</v>
      </c>
      <c r="T77" s="224">
        <f t="shared" ca="1" si="24"/>
        <v>0.27171352376019142</v>
      </c>
      <c r="U77" s="224">
        <f t="shared" ca="1" si="25"/>
        <v>0.27171352376019142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468">
        <f ca="1">L79+L80</f>
        <v>0</v>
      </c>
      <c r="M78" s="224">
        <f ca="1">M79+M80</f>
        <v>0</v>
      </c>
      <c r="N78" s="224">
        <f ca="1">N79+N80</f>
        <v>0</v>
      </c>
      <c r="O78" s="224">
        <f t="shared" ca="1" si="22"/>
        <v>0</v>
      </c>
      <c r="P78" s="224">
        <f t="shared" ca="1" si="23"/>
        <v>0</v>
      </c>
      <c r="Q78" s="224">
        <f>Q79+Q80</f>
        <v>0</v>
      </c>
      <c r="R78" s="224">
        <f>R79+R80</f>
        <v>0</v>
      </c>
      <c r="S78" s="224">
        <f>S79+S80</f>
        <v>0</v>
      </c>
      <c r="T78" s="224">
        <f t="shared" si="24"/>
        <v>0</v>
      </c>
      <c r="U78" s="224">
        <f t="shared" si="25"/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469">
        <v>0</v>
      </c>
      <c r="M79" s="224">
        <v>0</v>
      </c>
      <c r="N79" s="224">
        <v>0</v>
      </c>
      <c r="O79" s="83">
        <f t="shared" si="22"/>
        <v>0</v>
      </c>
      <c r="P79" s="83">
        <f t="shared" si="23"/>
        <v>0</v>
      </c>
      <c r="Q79" s="83">
        <v>0</v>
      </c>
      <c r="R79" s="224">
        <v>0</v>
      </c>
      <c r="S79" s="224">
        <v>0</v>
      </c>
      <c r="T79" s="83">
        <f t="shared" si="24"/>
        <v>0</v>
      </c>
      <c r="U79" s="83">
        <f t="shared" si="25"/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468">
        <f ca="1">IFERROR(__xludf.DUMMYFUNCTION("IMPORTRANGE(""https://docs.google.com/spreadsheets/d/1-uDff_7J0KD5mKrp0Vvzr7lt3OU09vwQwhkpOPPYv2Y/edit?usp=sharing"",""งบพรบ!AP28"")"),0)</f>
        <v>0</v>
      </c>
      <c r="M80" s="224">
        <f ca="1">IFERROR(__xludf.DUMMYFUNCTION("IMPORTRANGE(""https://docs.google.com/spreadsheets/d/1-uDff_7J0KD5mKrp0Vvzr7lt3OU09vwQwhkpOPPYv2Y/edit?usp=sharing"",""งบพรบ!AS28"")"),0)</f>
        <v>0</v>
      </c>
      <c r="N80" s="224">
        <f ca="1">IFERROR(__xludf.DUMMYFUNCTION("IMPORTRANGE(""https://docs.google.com/spreadsheets/d/1-uDff_7J0KD5mKrp0Vvzr7lt3OU09vwQwhkpOPPYv2Y/edit?usp=sharing"",""งบพรบ!AU28"")"),0)</f>
        <v>0</v>
      </c>
      <c r="O80" s="224">
        <f t="shared" ca="1" si="22"/>
        <v>0</v>
      </c>
      <c r="P80" s="224">
        <f t="shared" ca="1" si="23"/>
        <v>0</v>
      </c>
      <c r="Q80" s="224">
        <v>0</v>
      </c>
      <c r="R80" s="224">
        <v>0</v>
      </c>
      <c r="S80" s="224">
        <v>0</v>
      </c>
      <c r="T80" s="224">
        <f t="shared" si="24"/>
        <v>0</v>
      </c>
      <c r="U80" s="224">
        <f t="shared" si="25"/>
        <v>0</v>
      </c>
    </row>
    <row r="81" spans="1:21" ht="19.5" x14ac:dyDescent="0.3">
      <c r="A81" s="138"/>
      <c r="B81" s="139"/>
      <c r="C81" s="129" t="s">
        <v>18</v>
      </c>
      <c r="D81" s="498" t="s">
        <v>38</v>
      </c>
      <c r="E81" s="141"/>
      <c r="F81" s="141"/>
      <c r="G81" s="142"/>
      <c r="H81" s="143"/>
      <c r="I81" s="135"/>
      <c r="J81" s="135"/>
      <c r="K81" s="136"/>
      <c r="L81" s="4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ca="1">I84+I86+I88</f>
        <v>2</v>
      </c>
      <c r="J82" s="328">
        <f>J84+J86+J88</f>
        <v>0</v>
      </c>
      <c r="K82" s="582">
        <f t="shared" ref="K82:K90" ca="1" si="28">IF(I82&gt;0,J82*100/I82,0)</f>
        <v>0</v>
      </c>
      <c r="L82" s="4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ca="1">I85+I87+I89</f>
        <v>77</v>
      </c>
      <c r="J83" s="328">
        <f>J85+J87+J89</f>
        <v>0</v>
      </c>
      <c r="K83" s="582">
        <f t="shared" ca="1" si="28"/>
        <v>0</v>
      </c>
      <c r="L83" s="4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581">
        <f ca="1">IFERROR(__xludf.DUMMYFUNCTION("IMPORTRANGE(""https://docs.google.com/spreadsheets/d/1eHaY18a8A9IcSdp1K8H6x8fbOy06t2VsZHhMHf-1x7Y/edit?usp=sharing"",""แผน!H28"")"),1)</f>
        <v>1</v>
      </c>
      <c r="J84" s="466">
        <v>0</v>
      </c>
      <c r="K84" s="497">
        <f t="shared" ca="1" si="28"/>
        <v>0</v>
      </c>
      <c r="L84" s="4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581">
        <f ca="1">IFERROR(__xludf.DUMMYFUNCTION("IMPORTRANGE(""https://docs.google.com/spreadsheets/d/1eHaY18a8A9IcSdp1K8H6x8fbOy06t2VsZHhMHf-1x7Y/edit?usp=sharing"",""แผน!I28"")"),47)</f>
        <v>47</v>
      </c>
      <c r="J85" s="466">
        <v>0</v>
      </c>
      <c r="K85" s="497">
        <f t="shared" ca="1" si="28"/>
        <v>0</v>
      </c>
      <c r="L85" s="4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581">
        <f ca="1">IFERROR(__xludf.DUMMYFUNCTION("IMPORTRANGE(""https://docs.google.com/spreadsheets/d/1eHaY18a8A9IcSdp1K8H6x8fbOy06t2VsZHhMHf-1x7Y/edit?usp=sharing"",""แผน!F28"")"),1)</f>
        <v>1</v>
      </c>
      <c r="J86" s="466">
        <v>0</v>
      </c>
      <c r="K86" s="497">
        <f t="shared" ca="1" si="28"/>
        <v>0</v>
      </c>
      <c r="L86" s="4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581">
        <f ca="1">IFERROR(__xludf.DUMMYFUNCTION("IMPORTRANGE(""https://docs.google.com/spreadsheets/d/1eHaY18a8A9IcSdp1K8H6x8fbOy06t2VsZHhMHf-1x7Y/edit?usp=sharing"",""แผน!G28"")"),30)</f>
        <v>30</v>
      </c>
      <c r="J87" s="466">
        <v>0</v>
      </c>
      <c r="K87" s="497">
        <f t="shared" ca="1" si="28"/>
        <v>0</v>
      </c>
      <c r="L87" s="4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581">
        <f ca="1">IFERROR(__xludf.DUMMYFUNCTION("IMPORTRANGE(""https://docs.google.com/spreadsheets/d/1eHaY18a8A9IcSdp1K8H6x8fbOy06t2VsZHhMHf-1x7Y/edit?usp=sharing"",""แผน!D28"")"),0)</f>
        <v>0</v>
      </c>
      <c r="J88" s="466">
        <v>0</v>
      </c>
      <c r="K88" s="497">
        <f t="shared" ca="1" si="28"/>
        <v>0</v>
      </c>
      <c r="L88" s="4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581">
        <f ca="1">IFERROR(__xludf.DUMMYFUNCTION("IMPORTRANGE(""https://docs.google.com/spreadsheets/d/1eHaY18a8A9IcSdp1K8H6x8fbOy06t2VsZHhMHf-1x7Y/edit?usp=sharing"",""แผน!E28"")"),0)</f>
        <v>0</v>
      </c>
      <c r="J89" s="466">
        <v>0</v>
      </c>
      <c r="K89" s="497">
        <f t="shared" ca="1" si="28"/>
        <v>0</v>
      </c>
      <c r="L89" s="4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581">
        <f ca="1">IFERROR(__xludf.DUMMYFUNCTION("IMPORTRANGE(""https://docs.google.com/spreadsheets/d/1eHaY18a8A9IcSdp1K8H6x8fbOy06t2VsZHhMHf-1x7Y/edit?usp=sharing"",""แผน!J28"")"),2)</f>
        <v>2</v>
      </c>
      <c r="J90" s="466">
        <v>0</v>
      </c>
      <c r="K90" s="497">
        <f t="shared" ca="1" si="28"/>
        <v>0</v>
      </c>
      <c r="L90" s="4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7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665">
        <f ca="1">I108</f>
        <v>0</v>
      </c>
      <c r="J92" s="665">
        <f>J108</f>
        <v>0</v>
      </c>
      <c r="K92" s="664">
        <f ca="1">IF(I92&gt;0,J92*100/I92,0)</f>
        <v>0</v>
      </c>
      <c r="L92" s="510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665">
        <f ca="1">I109</f>
        <v>0</v>
      </c>
      <c r="J93" s="665">
        <f>J109</f>
        <v>0</v>
      </c>
      <c r="K93" s="664">
        <f ca="1">IF(I93&gt;0,J93*100/I93,0)</f>
        <v>0</v>
      </c>
      <c r="L93" s="510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472" t="s">
        <v>19</v>
      </c>
      <c r="E94" s="40"/>
      <c r="F94" s="40"/>
      <c r="G94" s="42"/>
      <c r="H94" s="131" t="s">
        <v>14</v>
      </c>
      <c r="I94" s="44"/>
      <c r="J94" s="44"/>
      <c r="K94" s="45"/>
      <c r="L94" s="471">
        <f ca="1">L95+L96</f>
        <v>0</v>
      </c>
      <c r="M94" s="470">
        <f ca="1">M95+M96</f>
        <v>0</v>
      </c>
      <c r="N94" s="470">
        <f ca="1">N95+N96</f>
        <v>0</v>
      </c>
      <c r="O94" s="470">
        <f t="shared" ref="O94:O102" ca="1" si="29">IF(L94&gt;0,N94*100/L94,0)</f>
        <v>0</v>
      </c>
      <c r="P94" s="470">
        <f t="shared" ref="P94:P102" ca="1" si="30">IF(M94&gt;0,N94*100/M94,0)</f>
        <v>0</v>
      </c>
      <c r="Q94" s="470">
        <f ca="1">Q95+Q96</f>
        <v>0</v>
      </c>
      <c r="R94" s="470">
        <f ca="1">R95+R96</f>
        <v>0</v>
      </c>
      <c r="S94" s="470">
        <f ca="1">S95+S96</f>
        <v>0</v>
      </c>
      <c r="T94" s="470">
        <f t="shared" ref="T94:T102" ca="1" si="31">IF(Q94&gt;0,S94*100/Q94,0)</f>
        <v>0</v>
      </c>
      <c r="U94" s="470">
        <f t="shared" ref="U94:U102" ca="1" si="32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469">
        <f t="shared" ref="L95:N96" si="33">L98+L101</f>
        <v>0</v>
      </c>
      <c r="M95" s="83">
        <f t="shared" si="33"/>
        <v>0</v>
      </c>
      <c r="N95" s="83">
        <f t="shared" si="33"/>
        <v>0</v>
      </c>
      <c r="O95" s="83">
        <f t="shared" si="29"/>
        <v>0</v>
      </c>
      <c r="P95" s="83">
        <f t="shared" si="30"/>
        <v>0</v>
      </c>
      <c r="Q95" s="83">
        <f t="shared" ref="Q95:S96" si="34">Q98+Q101</f>
        <v>0</v>
      </c>
      <c r="R95" s="83">
        <f t="shared" si="34"/>
        <v>0</v>
      </c>
      <c r="S95" s="83">
        <f t="shared" si="34"/>
        <v>0</v>
      </c>
      <c r="T95" s="83">
        <f t="shared" si="31"/>
        <v>0</v>
      </c>
      <c r="U95" s="83">
        <f t="shared" si="32"/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468">
        <f t="shared" ca="1" si="33"/>
        <v>0</v>
      </c>
      <c r="M96" s="224">
        <f t="shared" ca="1" si="33"/>
        <v>0</v>
      </c>
      <c r="N96" s="224">
        <f t="shared" ca="1" si="33"/>
        <v>0</v>
      </c>
      <c r="O96" s="224">
        <f t="shared" ca="1" si="29"/>
        <v>0</v>
      </c>
      <c r="P96" s="224">
        <f t="shared" ca="1" si="30"/>
        <v>0</v>
      </c>
      <c r="Q96" s="224">
        <f t="shared" ca="1" si="34"/>
        <v>0</v>
      </c>
      <c r="R96" s="224">
        <f t="shared" ca="1" si="34"/>
        <v>0</v>
      </c>
      <c r="S96" s="224">
        <f t="shared" ca="1" si="34"/>
        <v>0</v>
      </c>
      <c r="T96" s="224">
        <f t="shared" ca="1" si="31"/>
        <v>0</v>
      </c>
      <c r="U96" s="224">
        <f t="shared" ca="1" si="32"/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468">
        <f ca="1">L98+L99</f>
        <v>0</v>
      </c>
      <c r="M97" s="224">
        <f ca="1">M98+M99</f>
        <v>0</v>
      </c>
      <c r="N97" s="224">
        <f ca="1">N98+N99</f>
        <v>0</v>
      </c>
      <c r="O97" s="224">
        <f t="shared" ca="1" si="29"/>
        <v>0</v>
      </c>
      <c r="P97" s="224">
        <f t="shared" ca="1" si="30"/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t="shared" ca="1" si="31"/>
        <v>0</v>
      </c>
      <c r="U97" s="224">
        <f t="shared" ca="1" si="32"/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469">
        <v>0</v>
      </c>
      <c r="M98" s="83">
        <v>0</v>
      </c>
      <c r="N98" s="83">
        <v>0</v>
      </c>
      <c r="O98" s="83">
        <f t="shared" si="29"/>
        <v>0</v>
      </c>
      <c r="P98" s="83">
        <f t="shared" si="30"/>
        <v>0</v>
      </c>
      <c r="Q98" s="83">
        <v>0</v>
      </c>
      <c r="R98" s="83">
        <v>0</v>
      </c>
      <c r="S98" s="83">
        <v>0</v>
      </c>
      <c r="T98" s="83">
        <f t="shared" si="31"/>
        <v>0</v>
      </c>
      <c r="U98" s="83">
        <f t="shared" si="32"/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468">
        <f ca="1">IFERROR(__xludf.DUMMYFUNCTION("IMPORTRANGE(""https://docs.google.com/spreadsheets/d/1-uDff_7J0KD5mKrp0Vvzr7lt3OU09vwQwhkpOPPYv2Y/edit?usp=sharing"",""งบพรบ!AW28"")"),0)</f>
        <v>0</v>
      </c>
      <c r="M99" s="224">
        <f ca="1">IFERROR(__xludf.DUMMYFUNCTION("IMPORTRANGE(""https://docs.google.com/spreadsheets/d/1-uDff_7J0KD5mKrp0Vvzr7lt3OU09vwQwhkpOPPYv2Y/edit?usp=sharing"",""งบพรบ!BB28"")"),0)</f>
        <v>0</v>
      </c>
      <c r="N99" s="224">
        <f ca="1">IFERROR(__xludf.DUMMYFUNCTION("IMPORTRANGE(""https://docs.google.com/spreadsheets/d/1-uDff_7J0KD5mKrp0Vvzr7lt3OU09vwQwhkpOPPYv2Y/edit?usp=sharing"",""งบพรบ!BD28"")"),0)</f>
        <v>0</v>
      </c>
      <c r="O99" s="224">
        <f t="shared" ca="1" si="29"/>
        <v>0</v>
      </c>
      <c r="P99" s="224">
        <f t="shared" ca="1" si="30"/>
        <v>0</v>
      </c>
      <c r="Q99" s="224">
        <f ca="1">IFERROR(__xludf.DUMMYFUNCTION("IMPORTRANGE(""https://docs.google.com/spreadsheets/d/1ItG2mGa2ceCfYo0BwxsXqNm01IGEUdYcSSLTEv9YCik/edit?usp=sharing"",""เบิกจ่ายกองทุน!AD28"")"),0)</f>
        <v>0</v>
      </c>
      <c r="R99" s="224">
        <f ca="1">IFERROR(__xludf.DUMMYFUNCTION("IMPORTRANGE(""https://docs.google.com/spreadsheets/d/1ItG2mGa2ceCfYo0BwxsXqNm01IGEUdYcSSLTEv9YCik/edit?usp=sharing"",""เบิกจ่ายกองทุน!AE28"")"),0)</f>
        <v>0</v>
      </c>
      <c r="S99" s="224">
        <f ca="1">IFERROR(__xludf.DUMMYFUNCTION("IMPORTRANGE(""https://docs.google.com/spreadsheets/d/1ItG2mGa2ceCfYo0BwxsXqNm01IGEUdYcSSLTEv9YCik/edit?usp=sharing"",""เบิกจ่ายกองทุน!AF28"")"),0)</f>
        <v>0</v>
      </c>
      <c r="T99" s="224">
        <f t="shared" ca="1" si="31"/>
        <v>0</v>
      </c>
      <c r="U99" s="224">
        <f t="shared" ca="1" si="32"/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468">
        <f ca="1">L101+L102</f>
        <v>0</v>
      </c>
      <c r="M100" s="224">
        <f ca="1">M101+M102</f>
        <v>0</v>
      </c>
      <c r="N100" s="224">
        <f ca="1">N101+N102</f>
        <v>0</v>
      </c>
      <c r="O100" s="224">
        <f t="shared" ca="1" si="29"/>
        <v>0</v>
      </c>
      <c r="P100" s="224">
        <f t="shared" ca="1" si="30"/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 t="shared" si="31"/>
        <v>0</v>
      </c>
      <c r="U100" s="224">
        <f t="shared" si="32"/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469">
        <v>0</v>
      </c>
      <c r="M101" s="83">
        <v>0</v>
      </c>
      <c r="N101" s="83">
        <v>0</v>
      </c>
      <c r="O101" s="83">
        <f t="shared" si="29"/>
        <v>0</v>
      </c>
      <c r="P101" s="83">
        <f t="shared" si="30"/>
        <v>0</v>
      </c>
      <c r="Q101" s="83">
        <v>0</v>
      </c>
      <c r="R101" s="83">
        <v>0</v>
      </c>
      <c r="S101" s="83">
        <v>0</v>
      </c>
      <c r="T101" s="83">
        <f t="shared" si="31"/>
        <v>0</v>
      </c>
      <c r="U101" s="83">
        <f t="shared" si="32"/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468">
        <f ca="1">IFERROR(__xludf.DUMMYFUNCTION("IMPORTRANGE(""https://docs.google.com/spreadsheets/d/1-uDff_7J0KD5mKrp0Vvzr7lt3OU09vwQwhkpOPPYv2Y/edit?usp=sharing"",""งบพรบ!AZ28"")"),0)</f>
        <v>0</v>
      </c>
      <c r="M102" s="224">
        <f ca="1">IFERROR(__xludf.DUMMYFUNCTION("IMPORTRANGE(""https://docs.google.com/spreadsheets/d/1-uDff_7J0KD5mKrp0Vvzr7lt3OU09vwQwhkpOPPYv2Y/edit?usp=sharing"",""งบพรบ!BC28"")"),0)</f>
        <v>0</v>
      </c>
      <c r="N102" s="224">
        <f ca="1">IFERROR(__xludf.DUMMYFUNCTION("IMPORTRANGE(""https://docs.google.com/spreadsheets/d/1-uDff_7J0KD5mKrp0Vvzr7lt3OU09vwQwhkpOPPYv2Y/edit?usp=sharing"",""งบพรบ!BE28"")"),0)</f>
        <v>0</v>
      </c>
      <c r="O102" s="224">
        <f t="shared" ca="1" si="29"/>
        <v>0</v>
      </c>
      <c r="P102" s="224">
        <f t="shared" ca="1" si="30"/>
        <v>0</v>
      </c>
      <c r="Q102" s="224">
        <v>0</v>
      </c>
      <c r="R102" s="224">
        <v>0</v>
      </c>
      <c r="S102" s="224">
        <v>0</v>
      </c>
      <c r="T102" s="224">
        <f t="shared" si="31"/>
        <v>0</v>
      </c>
      <c r="U102" s="224">
        <f t="shared" si="32"/>
        <v>0</v>
      </c>
    </row>
    <row r="103" spans="1:21" ht="19.5" hidden="1" x14ac:dyDescent="0.3">
      <c r="A103" s="138"/>
      <c r="B103" s="139"/>
      <c r="C103" s="129" t="s">
        <v>18</v>
      </c>
      <c r="D103" s="498" t="s">
        <v>38</v>
      </c>
      <c r="E103" s="141"/>
      <c r="F103" s="141"/>
      <c r="G103" s="142"/>
      <c r="H103" s="143"/>
      <c r="I103" s="135"/>
      <c r="J103" s="44"/>
      <c r="K103" s="45"/>
      <c r="L103" s="465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571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571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571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465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IFERROR(__xludf.DUMMYFUNCTION("IMPORTRANGE(""https://docs.google.com/spreadsheets/d/1eHaY18a8A9IcSdp1K8H6x8fbOy06t2VsZHhMHf-1x7Y/edit?usp=sharing"",""แผน!N28"")"),0)</f>
        <v>0</v>
      </c>
      <c r="J108" s="466">
        <v>0</v>
      </c>
      <c r="K108" s="224">
        <f ca="1">IF(I108&gt;0,J108*100/I108,0)</f>
        <v>0</v>
      </c>
      <c r="L108" s="465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IFERROR(__xludf.DUMMYFUNCTION("IMPORTRANGE(""https://docs.google.com/spreadsheets/d/1eHaY18a8A9IcSdp1K8H6x8fbOy06t2VsZHhMHf-1x7Y/edit?usp=sharing"",""แผน!O28"")"),0)</f>
        <v>0</v>
      </c>
      <c r="J109" s="466">
        <v>0</v>
      </c>
      <c r="K109" s="224">
        <f ca="1">IF(I109&gt;0,J109*100/I109,0)</f>
        <v>0</v>
      </c>
      <c r="L109" s="465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571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571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571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571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581">
        <f ca="1">IFERROR(__xludf.DUMMYFUNCTION("IMPORTRANGE(""https://docs.google.com/spreadsheets/d/1eHaY18a8A9IcSdp1K8H6x8fbOy06t2VsZHhMHf-1x7Y/edit?usp=sharing"",""แผน!R28"")"),0)</f>
        <v>0</v>
      </c>
      <c r="J114" s="466">
        <v>0</v>
      </c>
      <c r="K114" s="224">
        <f ca="1">IF(I114&gt;0,J114*100/I114,0)</f>
        <v>0</v>
      </c>
      <c r="L114" s="46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671" t="s">
        <v>51</v>
      </c>
      <c r="B115" s="668"/>
      <c r="C115" s="670"/>
      <c r="D115" s="669"/>
      <c r="E115" s="669"/>
      <c r="F115" s="669"/>
      <c r="G115" s="669"/>
      <c r="H115" s="668"/>
      <c r="I115" s="667"/>
      <c r="J115" s="667"/>
      <c r="K115" s="66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665">
        <f ca="1">I127</f>
        <v>100</v>
      </c>
      <c r="J116" s="665">
        <f>J127</f>
        <v>100</v>
      </c>
      <c r="K116" s="664">
        <f ca="1">IF(I116&gt;0,J116*100/I116,0)</f>
        <v>100</v>
      </c>
      <c r="L116" s="510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472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471">
        <f ca="1">L118+L119</f>
        <v>0</v>
      </c>
      <c r="M117" s="470">
        <f ca="1">M118+M119</f>
        <v>0</v>
      </c>
      <c r="N117" s="470">
        <f ca="1">N118+N119</f>
        <v>0</v>
      </c>
      <c r="O117" s="470">
        <f t="shared" ref="O117:O125" ca="1" si="35">IF(L117&gt;0,N117*100/L117,0)</f>
        <v>0</v>
      </c>
      <c r="P117" s="470">
        <f t="shared" ref="P117:P125" ca="1" si="36">IF(M117&gt;0,N117*100/M117,0)</f>
        <v>0</v>
      </c>
      <c r="Q117" s="470">
        <f ca="1">Q118+Q119</f>
        <v>408480</v>
      </c>
      <c r="R117" s="470">
        <f ca="1">R118+R119</f>
        <v>408480</v>
      </c>
      <c r="S117" s="470">
        <f ca="1">S118+S119</f>
        <v>156180</v>
      </c>
      <c r="T117" s="470">
        <f t="shared" ref="T117:T125" ca="1" si="37">IF(Q117&gt;0,S117*100/Q117,0)</f>
        <v>38.234430082256168</v>
      </c>
      <c r="U117" s="470">
        <f t="shared" ref="U117:U125" ca="1" si="38">IF(R117&gt;0,S117*100/R117,0)</f>
        <v>38.234430082256168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469">
        <f t="shared" ref="L118:N119" si="39">L121+L124</f>
        <v>0</v>
      </c>
      <c r="M118" s="83">
        <f t="shared" si="39"/>
        <v>0</v>
      </c>
      <c r="N118" s="83">
        <f t="shared" si="39"/>
        <v>0</v>
      </c>
      <c r="O118" s="83">
        <f t="shared" si="35"/>
        <v>0</v>
      </c>
      <c r="P118" s="83">
        <f t="shared" si="36"/>
        <v>0</v>
      </c>
      <c r="Q118" s="83">
        <f t="shared" ref="Q118:S119" si="40">Q121+Q124</f>
        <v>0</v>
      </c>
      <c r="R118" s="83">
        <f t="shared" si="40"/>
        <v>0</v>
      </c>
      <c r="S118" s="83">
        <f t="shared" si="40"/>
        <v>0</v>
      </c>
      <c r="T118" s="83">
        <f t="shared" si="37"/>
        <v>0</v>
      </c>
      <c r="U118" s="83">
        <f t="shared" si="38"/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468">
        <f t="shared" ca="1" si="39"/>
        <v>0</v>
      </c>
      <c r="M119" s="224">
        <f t="shared" ca="1" si="39"/>
        <v>0</v>
      </c>
      <c r="N119" s="224">
        <f t="shared" ca="1" si="39"/>
        <v>0</v>
      </c>
      <c r="O119" s="224">
        <f t="shared" ca="1" si="35"/>
        <v>0</v>
      </c>
      <c r="P119" s="224">
        <f t="shared" ca="1" si="36"/>
        <v>0</v>
      </c>
      <c r="Q119" s="224">
        <f t="shared" ca="1" si="40"/>
        <v>408480</v>
      </c>
      <c r="R119" s="224">
        <f t="shared" ca="1" si="40"/>
        <v>408480</v>
      </c>
      <c r="S119" s="224">
        <f t="shared" ca="1" si="40"/>
        <v>156180</v>
      </c>
      <c r="T119" s="224">
        <f t="shared" ca="1" si="37"/>
        <v>38.234430082256168</v>
      </c>
      <c r="U119" s="224">
        <f t="shared" ca="1" si="38"/>
        <v>38.234430082256168</v>
      </c>
    </row>
    <row r="120" spans="1:21" ht="18.75" x14ac:dyDescent="0.25">
      <c r="A120" s="128"/>
      <c r="B120" s="158"/>
      <c r="C120" s="174"/>
      <c r="D120" s="53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468">
        <f ca="1">L121+L122</f>
        <v>0</v>
      </c>
      <c r="M120" s="224">
        <f ca="1">M121+M122</f>
        <v>0</v>
      </c>
      <c r="N120" s="224">
        <f ca="1">N121+N122</f>
        <v>0</v>
      </c>
      <c r="O120" s="224">
        <f t="shared" ca="1" si="35"/>
        <v>0</v>
      </c>
      <c r="P120" s="224">
        <f t="shared" ca="1" si="36"/>
        <v>0</v>
      </c>
      <c r="Q120" s="224">
        <f ca="1">Q121+Q122</f>
        <v>408480</v>
      </c>
      <c r="R120" s="224">
        <f ca="1">R121+R122</f>
        <v>408480</v>
      </c>
      <c r="S120" s="224">
        <f ca="1">S121+S122</f>
        <v>156180</v>
      </c>
      <c r="T120" s="224">
        <f t="shared" ca="1" si="37"/>
        <v>38.234430082256168</v>
      </c>
      <c r="U120" s="224">
        <f t="shared" ca="1" si="38"/>
        <v>38.234430082256168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469">
        <v>0</v>
      </c>
      <c r="M121" s="83">
        <v>0</v>
      </c>
      <c r="N121" s="83">
        <v>0</v>
      </c>
      <c r="O121" s="83">
        <f t="shared" si="35"/>
        <v>0</v>
      </c>
      <c r="P121" s="83">
        <f t="shared" si="36"/>
        <v>0</v>
      </c>
      <c r="Q121" s="83">
        <v>0</v>
      </c>
      <c r="R121" s="83">
        <v>0</v>
      </c>
      <c r="S121" s="83">
        <v>0</v>
      </c>
      <c r="T121" s="83">
        <f t="shared" si="37"/>
        <v>0</v>
      </c>
      <c r="U121" s="83">
        <f t="shared" si="38"/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468">
        <f ca="1">IFERROR(__xludf.DUMMYFUNCTION("IMPORTRANGE(""https://docs.google.com/spreadsheets/d/1-uDff_7J0KD5mKrp0Vvzr7lt3OU09vwQwhkpOPPYv2Y/edit?usp=sharing"",""งบพรบ!BG28"")"),0)</f>
        <v>0</v>
      </c>
      <c r="M122" s="224">
        <f ca="1">IFERROR(__xludf.DUMMYFUNCTION("IMPORTRANGE(""https://docs.google.com/spreadsheets/d/1-uDff_7J0KD5mKrp0Vvzr7lt3OU09vwQwhkpOPPYv2Y/edit?usp=sharing"",""งบพรบ!BL28"")"),0)</f>
        <v>0</v>
      </c>
      <c r="N122" s="224">
        <f ca="1">IFERROR(__xludf.DUMMYFUNCTION("IMPORTRANGE(""https://docs.google.com/spreadsheets/d/1-uDff_7J0KD5mKrp0Vvzr7lt3OU09vwQwhkpOPPYv2Y/edit?usp=sharing"",""งบพรบ!BN28"")"),0)</f>
        <v>0</v>
      </c>
      <c r="O122" s="224">
        <f t="shared" ca="1" si="35"/>
        <v>0</v>
      </c>
      <c r="P122" s="224">
        <f t="shared" ca="1" si="36"/>
        <v>0</v>
      </c>
      <c r="Q122" s="224">
        <f ca="1">IFERROR(__xludf.DUMMYFUNCTION("IMPORTRANGE(""https://docs.google.com/spreadsheets/d/1ItG2mGa2ceCfYo0BwxsXqNm01IGEUdYcSSLTEv9YCik/edit?usp=sharing"",""เบิกจ่ายกองทุน!R28"")"),408480)</f>
        <v>408480</v>
      </c>
      <c r="R122" s="224">
        <f ca="1">IFERROR(__xludf.DUMMYFUNCTION("IMPORTRANGE(""https://docs.google.com/spreadsheets/d/1ItG2mGa2ceCfYo0BwxsXqNm01IGEUdYcSSLTEv9YCik/edit?usp=sharing"",""เบิกจ่ายกองทุน!S28"")"),408480)</f>
        <v>408480</v>
      </c>
      <c r="S122" s="224">
        <f ca="1">IFERROR(__xludf.DUMMYFUNCTION("IMPORTRANGE(""https://docs.google.com/spreadsheets/d/1ItG2mGa2ceCfYo0BwxsXqNm01IGEUdYcSSLTEv9YCik/edit?usp=sharing"",""เบิกจ่ายกองทุน!T28"")"),156180)</f>
        <v>156180</v>
      </c>
      <c r="T122" s="224">
        <f t="shared" ca="1" si="37"/>
        <v>38.234430082256168</v>
      </c>
      <c r="U122" s="224">
        <f t="shared" ca="1" si="38"/>
        <v>38.234430082256168</v>
      </c>
    </row>
    <row r="123" spans="1:21" ht="18.75" x14ac:dyDescent="0.25">
      <c r="A123" s="128"/>
      <c r="B123" s="40"/>
      <c r="C123" s="174"/>
      <c r="D123" s="53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468">
        <f ca="1">L124+L125</f>
        <v>0</v>
      </c>
      <c r="M123" s="224">
        <f ca="1">M124+M125</f>
        <v>0</v>
      </c>
      <c r="N123" s="224">
        <f ca="1">N124+N125</f>
        <v>0</v>
      </c>
      <c r="O123" s="224">
        <f t="shared" ca="1" si="35"/>
        <v>0</v>
      </c>
      <c r="P123" s="224">
        <f t="shared" ca="1" si="36"/>
        <v>0</v>
      </c>
      <c r="Q123" s="224">
        <f>Q124+Q125</f>
        <v>0</v>
      </c>
      <c r="R123" s="224">
        <f>R124+R125</f>
        <v>0</v>
      </c>
      <c r="S123" s="224">
        <f>S124+S125</f>
        <v>0</v>
      </c>
      <c r="T123" s="224">
        <f t="shared" si="37"/>
        <v>0</v>
      </c>
      <c r="U123" s="224">
        <f t="shared" si="38"/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469">
        <v>0</v>
      </c>
      <c r="M124" s="83">
        <v>0</v>
      </c>
      <c r="N124" s="83">
        <v>0</v>
      </c>
      <c r="O124" s="83">
        <f t="shared" si="35"/>
        <v>0</v>
      </c>
      <c r="P124" s="83">
        <f t="shared" si="36"/>
        <v>0</v>
      </c>
      <c r="Q124" s="83">
        <v>0</v>
      </c>
      <c r="R124" s="83">
        <v>0</v>
      </c>
      <c r="S124" s="83">
        <v>0</v>
      </c>
      <c r="T124" s="83">
        <f t="shared" si="37"/>
        <v>0</v>
      </c>
      <c r="U124" s="83">
        <f t="shared" si="38"/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468">
        <f ca="1">IFERROR(__xludf.DUMMYFUNCTION("IMPORTRANGE(""https://docs.google.com/spreadsheets/d/1-uDff_7J0KD5mKrp0Vvzr7lt3OU09vwQwhkpOPPYv2Y/edit?usp=sharing"",""งบพรบ!BJ28"")"),0)</f>
        <v>0</v>
      </c>
      <c r="M125" s="224">
        <f ca="1">IFERROR(__xludf.DUMMYFUNCTION("IMPORTRANGE(""https://docs.google.com/spreadsheets/d/1-uDff_7J0KD5mKrp0Vvzr7lt3OU09vwQwhkpOPPYv2Y/edit?usp=sharing"",""งบพรบ!BM28"")"),0)</f>
        <v>0</v>
      </c>
      <c r="N125" s="224">
        <f ca="1">IFERROR(__xludf.DUMMYFUNCTION("IMPORTRANGE(""https://docs.google.com/spreadsheets/d/1-uDff_7J0KD5mKrp0Vvzr7lt3OU09vwQwhkpOPPYv2Y/edit?usp=sharing"",""งบพรบ!BO28"")"),0)</f>
        <v>0</v>
      </c>
      <c r="O125" s="224">
        <f t="shared" ca="1" si="35"/>
        <v>0</v>
      </c>
      <c r="P125" s="224">
        <f t="shared" ca="1" si="36"/>
        <v>0</v>
      </c>
      <c r="Q125" s="224">
        <v>0</v>
      </c>
      <c r="R125" s="224">
        <v>0</v>
      </c>
      <c r="S125" s="224">
        <v>0</v>
      </c>
      <c r="T125" s="224">
        <f t="shared" si="37"/>
        <v>0</v>
      </c>
      <c r="U125" s="224">
        <f t="shared" si="38"/>
        <v>0</v>
      </c>
    </row>
    <row r="126" spans="1:21" ht="19.5" x14ac:dyDescent="0.3">
      <c r="A126" s="138"/>
      <c r="B126" s="139"/>
      <c r="C126" s="177" t="s">
        <v>18</v>
      </c>
      <c r="D126" s="498" t="s">
        <v>38</v>
      </c>
      <c r="E126" s="141"/>
      <c r="F126" s="141"/>
      <c r="G126" s="142"/>
      <c r="H126" s="178"/>
      <c r="I126" s="44"/>
      <c r="J126" s="44"/>
      <c r="K126" s="45"/>
      <c r="L126" s="465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IFERROR(__xludf.DUMMYFUNCTION("IMPORTRANGE(""https://docs.google.com/spreadsheets/d/1eHaY18a8A9IcSdp1K8H6x8fbOy06t2VsZHhMHf-1x7Y/edit?usp=sharing"",""แผน!FF28"")"),100)</f>
        <v>100</v>
      </c>
      <c r="J127" s="466">
        <v>100</v>
      </c>
      <c r="K127" s="224">
        <f ca="1">IF(I127&gt;0,J127*100/I127,0)</f>
        <v>100</v>
      </c>
      <c r="L127" s="465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IFERROR(__xludf.DUMMYFUNCTION("IMPORTRANGE(""https://docs.google.com/spreadsheets/d/1eHaY18a8A9IcSdp1K8H6x8fbOy06t2VsZHhMHf-1x7Y/edit?usp=sharing"",""แผน!FG28"")"),0)</f>
        <v>0</v>
      </c>
      <c r="J128" s="466">
        <v>0</v>
      </c>
      <c r="K128" s="224">
        <f ca="1">IF(I128&gt;0,J128*100/I128,0)</f>
        <v>0</v>
      </c>
      <c r="L128" s="465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IFERROR(__xludf.DUMMYFUNCTION("IMPORTRANGE(""https://docs.google.com/spreadsheets/d/1eHaY18a8A9IcSdp1K8H6x8fbOy06t2VsZHhMHf-1x7Y/edit?usp=sharing"",""แผน!FH28"")"),20)</f>
        <v>20</v>
      </c>
      <c r="J129" s="466">
        <v>0</v>
      </c>
      <c r="K129" s="224">
        <f ca="1">IF(I129&gt;0,J129*100/I129,0)</f>
        <v>0</v>
      </c>
      <c r="L129" s="465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IFERROR(__xludf.DUMMYFUNCTION("IMPORTRANGE(""https://docs.google.com/spreadsheets/d/1eHaY18a8A9IcSdp1K8H6x8fbOy06t2VsZHhMHf-1x7Y/edit?usp=sharing"",""แผน!FI28"")"),0)</f>
        <v>0</v>
      </c>
      <c r="J130" s="466">
        <v>0</v>
      </c>
      <c r="K130" s="224">
        <f ca="1">IF(I130&gt;0,J130*100/I130,0)</f>
        <v>0</v>
      </c>
      <c r="L130" s="465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465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465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57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hidden="1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10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hidden="1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665">
        <f ca="1">I154</f>
        <v>0</v>
      </c>
      <c r="J136" s="665">
        <f>J154</f>
        <v>0</v>
      </c>
      <c r="K136" s="664">
        <f ca="1">IF(I136&gt;0,J136*100/I136,0)</f>
        <v>0</v>
      </c>
      <c r="L136" s="510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665">
        <f ca="1">I152</f>
        <v>0</v>
      </c>
      <c r="J137" s="665">
        <f>J152</f>
        <v>0</v>
      </c>
      <c r="K137" s="664">
        <f ca="1">IF(I137&gt;0,J137*100/I137,0)</f>
        <v>0</v>
      </c>
      <c r="L137" s="510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665">
        <f ca="1">I153</f>
        <v>0</v>
      </c>
      <c r="J138" s="665">
        <f>J153</f>
        <v>0</v>
      </c>
      <c r="K138" s="664">
        <f ca="1">IF(I138&gt;0,J138*100/I138,0)</f>
        <v>0</v>
      </c>
      <c r="L138" s="510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8"/>
      <c r="B139" s="40"/>
      <c r="C139" s="129" t="s">
        <v>18</v>
      </c>
      <c r="D139" s="472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471">
        <f ca="1">L140+L141</f>
        <v>0</v>
      </c>
      <c r="M139" s="470">
        <f ca="1">M140+M141</f>
        <v>0</v>
      </c>
      <c r="N139" s="470">
        <f ca="1">N140+N141</f>
        <v>0</v>
      </c>
      <c r="O139" s="470">
        <f t="shared" ref="O139:O147" ca="1" si="41">IF(L139&gt;0,N139*100/L139,0)</f>
        <v>0</v>
      </c>
      <c r="P139" s="470">
        <f t="shared" ref="P139:P147" ca="1" si="42">IF(M139&gt;0,N139*100/M139,0)</f>
        <v>0</v>
      </c>
      <c r="Q139" s="470">
        <f ca="1">Q140+Q141</f>
        <v>0</v>
      </c>
      <c r="R139" s="470">
        <f ca="1">R140+R141</f>
        <v>0</v>
      </c>
      <c r="S139" s="470">
        <f ca="1">S140+S141</f>
        <v>0</v>
      </c>
      <c r="T139" s="470">
        <f t="shared" ref="T139:T147" ca="1" si="43">IF(Q139&gt;0,S139*100/Q139,0)</f>
        <v>0</v>
      </c>
      <c r="U139" s="470">
        <f t="shared" ref="U139:U147" ca="1" si="44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469">
        <f t="shared" ref="L140:N141" si="45">L143+L146</f>
        <v>0</v>
      </c>
      <c r="M140" s="83">
        <f t="shared" si="45"/>
        <v>0</v>
      </c>
      <c r="N140" s="83">
        <f t="shared" si="45"/>
        <v>0</v>
      </c>
      <c r="O140" s="83">
        <f t="shared" si="41"/>
        <v>0</v>
      </c>
      <c r="P140" s="83">
        <f t="shared" si="42"/>
        <v>0</v>
      </c>
      <c r="Q140" s="83">
        <f t="shared" ref="Q140:S141" si="46">Q143+Q146</f>
        <v>0</v>
      </c>
      <c r="R140" s="83">
        <f t="shared" si="46"/>
        <v>0</v>
      </c>
      <c r="S140" s="83">
        <f t="shared" si="46"/>
        <v>0</v>
      </c>
      <c r="T140" s="83">
        <f t="shared" si="43"/>
        <v>0</v>
      </c>
      <c r="U140" s="83">
        <f t="shared" si="44"/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468">
        <f t="shared" ca="1" si="45"/>
        <v>0</v>
      </c>
      <c r="M141" s="224">
        <f t="shared" ca="1" si="45"/>
        <v>0</v>
      </c>
      <c r="N141" s="224">
        <f t="shared" ca="1" si="45"/>
        <v>0</v>
      </c>
      <c r="O141" s="224">
        <f t="shared" ca="1" si="41"/>
        <v>0</v>
      </c>
      <c r="P141" s="224">
        <f t="shared" ca="1" si="42"/>
        <v>0</v>
      </c>
      <c r="Q141" s="224">
        <f t="shared" ca="1" si="46"/>
        <v>0</v>
      </c>
      <c r="R141" s="224">
        <f t="shared" ca="1" si="46"/>
        <v>0</v>
      </c>
      <c r="S141" s="224">
        <f t="shared" ca="1" si="46"/>
        <v>0</v>
      </c>
      <c r="T141" s="224">
        <f t="shared" ca="1" si="43"/>
        <v>0</v>
      </c>
      <c r="U141" s="224">
        <f t="shared" ca="1" si="44"/>
        <v>0</v>
      </c>
    </row>
    <row r="142" spans="1:21" ht="18.75" hidden="1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468">
        <f ca="1">L143+L144</f>
        <v>0</v>
      </c>
      <c r="M142" s="224">
        <f ca="1">M143+M144</f>
        <v>0</v>
      </c>
      <c r="N142" s="224">
        <f ca="1">N143+N144</f>
        <v>0</v>
      </c>
      <c r="O142" s="224">
        <f t="shared" ca="1" si="41"/>
        <v>0</v>
      </c>
      <c r="P142" s="224">
        <f t="shared" ca="1" si="42"/>
        <v>0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t="shared" ca="1" si="43"/>
        <v>0</v>
      </c>
      <c r="U142" s="224">
        <f t="shared" ca="1" si="44"/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469">
        <v>0</v>
      </c>
      <c r="M143" s="83">
        <v>0</v>
      </c>
      <c r="N143" s="83">
        <v>0</v>
      </c>
      <c r="O143" s="83">
        <f t="shared" si="41"/>
        <v>0</v>
      </c>
      <c r="P143" s="83">
        <f t="shared" si="42"/>
        <v>0</v>
      </c>
      <c r="Q143" s="83">
        <v>0</v>
      </c>
      <c r="R143" s="83">
        <v>0</v>
      </c>
      <c r="S143" s="83">
        <v>0</v>
      </c>
      <c r="T143" s="83">
        <f t="shared" si="43"/>
        <v>0</v>
      </c>
      <c r="U143" s="83">
        <f t="shared" si="44"/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468">
        <f ca="1">IFERROR(__xludf.DUMMYFUNCTION("IMPORTRANGE(""https://docs.google.com/spreadsheets/d/1-uDff_7J0KD5mKrp0Vvzr7lt3OU09vwQwhkpOPPYv2Y/edit?usp=sharing"",""งบพรบ!BQ28"")"),0)</f>
        <v>0</v>
      </c>
      <c r="M144" s="224">
        <f ca="1">IFERROR(__xludf.DUMMYFUNCTION("IMPORTRANGE(""https://docs.google.com/spreadsheets/d/1-uDff_7J0KD5mKrp0Vvzr7lt3OU09vwQwhkpOPPYv2Y/edit?usp=sharing"",""งบพรบ!BV28"")"),0)</f>
        <v>0</v>
      </c>
      <c r="N144" s="224">
        <f ca="1">IFERROR(__xludf.DUMMYFUNCTION("IMPORTRANGE(""https://docs.google.com/spreadsheets/d/1-uDff_7J0KD5mKrp0Vvzr7lt3OU09vwQwhkpOPPYv2Y/edit?usp=sharing"",""งบพรบ!BX28"")"),0)</f>
        <v>0</v>
      </c>
      <c r="O144" s="224">
        <f t="shared" ca="1" si="41"/>
        <v>0</v>
      </c>
      <c r="P144" s="224">
        <f t="shared" ca="1" si="42"/>
        <v>0</v>
      </c>
      <c r="Q144" s="224">
        <f ca="1">IFERROR(__xludf.DUMMYFUNCTION("IMPORTRANGE(""https://docs.google.com/spreadsheets/d/1ItG2mGa2ceCfYo0BwxsXqNm01IGEUdYcSSLTEv9YCik/edit?usp=sharing"",""เบิกจ่ายกองทุน!BB28"")"),0)</f>
        <v>0</v>
      </c>
      <c r="R144" s="224">
        <f ca="1">IFERROR(__xludf.DUMMYFUNCTION("IMPORTRANGE(""https://docs.google.com/spreadsheets/d/1ItG2mGa2ceCfYo0BwxsXqNm01IGEUdYcSSLTEv9YCik/edit?usp=sharing"",""เบิกจ่ายกองทุน!BC28"")"),0)</f>
        <v>0</v>
      </c>
      <c r="S144" s="224">
        <f ca="1">IFERROR(__xludf.DUMMYFUNCTION("IMPORTRANGE(""https://docs.google.com/spreadsheets/d/1ItG2mGa2ceCfYo0BwxsXqNm01IGEUdYcSSLTEv9YCik/edit?usp=sharing"",""เบิกจ่ายกองทุน!BD28"")"),0)</f>
        <v>0</v>
      </c>
      <c r="T144" s="224">
        <f t="shared" ca="1" si="43"/>
        <v>0</v>
      </c>
      <c r="U144" s="224">
        <f t="shared" ca="1" si="44"/>
        <v>0</v>
      </c>
    </row>
    <row r="145" spans="1:21" ht="18.75" hidden="1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468">
        <f ca="1">L146+L147</f>
        <v>0</v>
      </c>
      <c r="M145" s="224">
        <f ca="1">M146+M147</f>
        <v>0</v>
      </c>
      <c r="N145" s="224">
        <f ca="1">N146+N147</f>
        <v>0</v>
      </c>
      <c r="O145" s="224">
        <f t="shared" ca="1" si="41"/>
        <v>0</v>
      </c>
      <c r="P145" s="224">
        <f t="shared" ca="1" si="42"/>
        <v>0</v>
      </c>
      <c r="Q145" s="224">
        <f>Q146+Q147</f>
        <v>0</v>
      </c>
      <c r="R145" s="224">
        <f>R146+R147</f>
        <v>0</v>
      </c>
      <c r="S145" s="224">
        <f>S146+S147</f>
        <v>0</v>
      </c>
      <c r="T145" s="224">
        <f t="shared" si="43"/>
        <v>0</v>
      </c>
      <c r="U145" s="224">
        <f t="shared" si="44"/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469">
        <v>0</v>
      </c>
      <c r="M146" s="83">
        <v>0</v>
      </c>
      <c r="N146" s="83">
        <v>0</v>
      </c>
      <c r="O146" s="83">
        <f t="shared" si="41"/>
        <v>0</v>
      </c>
      <c r="P146" s="83">
        <f t="shared" si="42"/>
        <v>0</v>
      </c>
      <c r="Q146" s="83">
        <v>0</v>
      </c>
      <c r="R146" s="83">
        <v>0</v>
      </c>
      <c r="S146" s="83">
        <v>0</v>
      </c>
      <c r="T146" s="83">
        <f t="shared" si="43"/>
        <v>0</v>
      </c>
      <c r="U146" s="83">
        <f t="shared" si="44"/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468">
        <f ca="1">IFERROR(__xludf.DUMMYFUNCTION("IMPORTRANGE(""https://docs.google.com/spreadsheets/d/1-uDff_7J0KD5mKrp0Vvzr7lt3OU09vwQwhkpOPPYv2Y/edit?usp=sharing"",""งบพรบ!BT28"")"),0)</f>
        <v>0</v>
      </c>
      <c r="M147" s="224">
        <f ca="1">IFERROR(__xludf.DUMMYFUNCTION("IMPORTRANGE(""https://docs.google.com/spreadsheets/d/1-uDff_7J0KD5mKrp0Vvzr7lt3OU09vwQwhkpOPPYv2Y/edit?usp=sharing"",""งบพรบ!BW28"")"),0)</f>
        <v>0</v>
      </c>
      <c r="N147" s="224">
        <f ca="1">IFERROR(__xludf.DUMMYFUNCTION("IMPORTRANGE(""https://docs.google.com/spreadsheets/d/1-uDff_7J0KD5mKrp0Vvzr7lt3OU09vwQwhkpOPPYv2Y/edit?usp=sharing"",""งบพรบ!BY28"")"),0)</f>
        <v>0</v>
      </c>
      <c r="O147" s="224">
        <f t="shared" ca="1" si="41"/>
        <v>0</v>
      </c>
      <c r="P147" s="224">
        <f t="shared" ca="1" si="42"/>
        <v>0</v>
      </c>
      <c r="Q147" s="224">
        <v>0</v>
      </c>
      <c r="R147" s="224">
        <v>0</v>
      </c>
      <c r="S147" s="224">
        <v>0</v>
      </c>
      <c r="T147" s="224">
        <f t="shared" si="43"/>
        <v>0</v>
      </c>
      <c r="U147" s="224">
        <f t="shared" si="44"/>
        <v>0</v>
      </c>
    </row>
    <row r="148" spans="1:21" ht="19.5" hidden="1" x14ac:dyDescent="0.3">
      <c r="A148" s="138"/>
      <c r="B148" s="139"/>
      <c r="C148" s="129" t="s">
        <v>18</v>
      </c>
      <c r="D148" s="498" t="s">
        <v>38</v>
      </c>
      <c r="E148" s="141"/>
      <c r="F148" s="141"/>
      <c r="G148" s="142"/>
      <c r="H148" s="178"/>
      <c r="I148" s="44"/>
      <c r="J148" s="44"/>
      <c r="K148" s="45"/>
      <c r="L148" s="465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hidden="1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466">
        <v>0</v>
      </c>
      <c r="K149" s="45"/>
      <c r="L149" s="465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hidden="1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IFERROR(__xludf.DUMMYFUNCTION("IMPORTRANGE(""https://docs.google.com/spreadsheets/d/1eHaY18a8A9IcSdp1K8H6x8fbOy06t2VsZHhMHf-1x7Y/edit?usp=sharing"",""แผน!U28"")"),0)</f>
        <v>0</v>
      </c>
      <c r="J150" s="466">
        <v>0</v>
      </c>
      <c r="K150" s="224">
        <f ca="1">IF(I150&gt;0,J150*100/I150,0)</f>
        <v>0</v>
      </c>
      <c r="L150" s="465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hidden="1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IFERROR(__xludf.DUMMYFUNCTION("IMPORTRANGE(""https://docs.google.com/spreadsheets/d/1eHaY18a8A9IcSdp1K8H6x8fbOy06t2VsZHhMHf-1x7Y/edit?usp=sharing"",""แผน!V28"")"),0)</f>
        <v>0</v>
      </c>
      <c r="J151" s="466">
        <v>0</v>
      </c>
      <c r="K151" s="224">
        <f ca="1">IF(I151&gt;0,J151*100/I151,0)</f>
        <v>0</v>
      </c>
      <c r="L151" s="465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hidden="1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IFERROR(__xludf.DUMMYFUNCTION("IMPORTRANGE(""https://docs.google.com/spreadsheets/d/1eHaY18a8A9IcSdp1K8H6x8fbOy06t2VsZHhMHf-1x7Y/edit?usp=sharing"",""แผน!W28"")"),0)</f>
        <v>0</v>
      </c>
      <c r="J152" s="466">
        <v>0</v>
      </c>
      <c r="K152" s="224">
        <f ca="1">IF(I152&gt;0,J152*100/I152,0)</f>
        <v>0</v>
      </c>
      <c r="L152" s="465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hidden="1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IFERROR(__xludf.DUMMYFUNCTION("IMPORTRANGE(""https://docs.google.com/spreadsheets/d/1eHaY18a8A9IcSdp1K8H6x8fbOy06t2VsZHhMHf-1x7Y/edit?usp=sharing"",""แผน!X28"")"),0)</f>
        <v>0</v>
      </c>
      <c r="J153" s="466">
        <v>0</v>
      </c>
      <c r="K153" s="224">
        <f ca="1">IF(I153&gt;0,J153*100/I153,0)</f>
        <v>0</v>
      </c>
      <c r="L153" s="465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IFERROR(__xludf.DUMMYFUNCTION("IMPORTRANGE(""https://docs.google.com/spreadsheets/d/1eHaY18a8A9IcSdp1K8H6x8fbOy06t2VsZHhMHf-1x7Y/edit?usp=sharing"",""แผน!Y28"")"),0)</f>
        <v>0</v>
      </c>
      <c r="J154" s="466">
        <v>0</v>
      </c>
      <c r="K154" s="224">
        <f ca="1">IF(I154&gt;0,J154*100/I154,0)</f>
        <v>0</v>
      </c>
      <c r="L154" s="465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665">
        <f ca="1">I167</f>
        <v>75</v>
      </c>
      <c r="J156" s="665">
        <f>J167</f>
        <v>75</v>
      </c>
      <c r="K156" s="664">
        <f ca="1">IF(I156&gt;0,J156*100/I156,0)</f>
        <v>100</v>
      </c>
      <c r="L156" s="510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129" t="s">
        <v>18</v>
      </c>
      <c r="D157" s="472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471">
        <f ca="1">L158+L159</f>
        <v>6000</v>
      </c>
      <c r="M157" s="470">
        <f ca="1">M158+M159</f>
        <v>63250</v>
      </c>
      <c r="N157" s="470">
        <f ca="1">N158+N159</f>
        <v>8233.27</v>
      </c>
      <c r="O157" s="470">
        <f t="shared" ref="O157:O165" ca="1" si="47">IF(L157&gt;0,N157*100/L157,0)</f>
        <v>137.22116666666668</v>
      </c>
      <c r="P157" s="470">
        <f t="shared" ref="P157:P165" ca="1" si="48">IF(M157&gt;0,N157*100/M157,0)</f>
        <v>13.017027667984189</v>
      </c>
      <c r="Q157" s="470">
        <f ca="1">Q158+Q159</f>
        <v>0</v>
      </c>
      <c r="R157" s="470">
        <f ca="1">R158+R159</f>
        <v>0</v>
      </c>
      <c r="S157" s="470">
        <f ca="1">S158+S159</f>
        <v>0</v>
      </c>
      <c r="T157" s="470">
        <f t="shared" ref="T157:T165" ca="1" si="49">IF(Q157&gt;0,S157*100/Q157,0)</f>
        <v>0</v>
      </c>
      <c r="U157" s="470">
        <f t="shared" ref="U157:U165" ca="1" si="50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469">
        <f t="shared" ref="L158:N159" si="51">L161+L164</f>
        <v>0</v>
      </c>
      <c r="M158" s="83">
        <f t="shared" si="51"/>
        <v>0</v>
      </c>
      <c r="N158" s="83">
        <f t="shared" si="51"/>
        <v>0</v>
      </c>
      <c r="O158" s="83">
        <f t="shared" si="47"/>
        <v>0</v>
      </c>
      <c r="P158" s="83">
        <f t="shared" si="48"/>
        <v>0</v>
      </c>
      <c r="Q158" s="83">
        <f t="shared" ref="Q158:S159" si="52">Q161+Q164</f>
        <v>0</v>
      </c>
      <c r="R158" s="83">
        <f t="shared" si="52"/>
        <v>0</v>
      </c>
      <c r="S158" s="83">
        <f t="shared" si="52"/>
        <v>0</v>
      </c>
      <c r="T158" s="83">
        <f t="shared" si="49"/>
        <v>0</v>
      </c>
      <c r="U158" s="83">
        <f t="shared" si="50"/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468">
        <f t="shared" ca="1" si="51"/>
        <v>6000</v>
      </c>
      <c r="M159" s="224">
        <f t="shared" ca="1" si="51"/>
        <v>63250</v>
      </c>
      <c r="N159" s="224">
        <f t="shared" ca="1" si="51"/>
        <v>8233.27</v>
      </c>
      <c r="O159" s="224">
        <f t="shared" ca="1" si="47"/>
        <v>137.22116666666668</v>
      </c>
      <c r="P159" s="224">
        <f t="shared" ca="1" si="48"/>
        <v>13.017027667984189</v>
      </c>
      <c r="Q159" s="224">
        <f t="shared" ca="1" si="52"/>
        <v>0</v>
      </c>
      <c r="R159" s="224">
        <f t="shared" ca="1" si="52"/>
        <v>0</v>
      </c>
      <c r="S159" s="224">
        <f t="shared" ca="1" si="52"/>
        <v>0</v>
      </c>
      <c r="T159" s="224">
        <f t="shared" ca="1" si="49"/>
        <v>0</v>
      </c>
      <c r="U159" s="224">
        <f t="shared" ca="1" si="50"/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468">
        <f ca="1">L161+L162</f>
        <v>6000</v>
      </c>
      <c r="M160" s="224">
        <f ca="1">M161+M162</f>
        <v>63250</v>
      </c>
      <c r="N160" s="224">
        <f ca="1">N161+N162</f>
        <v>8233.27</v>
      </c>
      <c r="O160" s="224">
        <f t="shared" ca="1" si="47"/>
        <v>137.22116666666668</v>
      </c>
      <c r="P160" s="224">
        <f t="shared" ca="1" si="48"/>
        <v>13.017027667984189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t="shared" ca="1" si="49"/>
        <v>0</v>
      </c>
      <c r="U160" s="224">
        <f t="shared" ca="1" si="50"/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469">
        <v>0</v>
      </c>
      <c r="M161" s="83">
        <v>0</v>
      </c>
      <c r="N161" s="83">
        <v>0</v>
      </c>
      <c r="O161" s="83">
        <f t="shared" si="47"/>
        <v>0</v>
      </c>
      <c r="P161" s="83">
        <f t="shared" si="48"/>
        <v>0</v>
      </c>
      <c r="Q161" s="83">
        <v>0</v>
      </c>
      <c r="R161" s="83">
        <v>0</v>
      </c>
      <c r="S161" s="83">
        <v>0</v>
      </c>
      <c r="T161" s="83">
        <f t="shared" si="49"/>
        <v>0</v>
      </c>
      <c r="U161" s="83">
        <f t="shared" si="50"/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468">
        <f ca="1">IFERROR(__xludf.DUMMYFUNCTION("IMPORTRANGE(""https://docs.google.com/spreadsheets/d/1-uDff_7J0KD5mKrp0Vvzr7lt3OU09vwQwhkpOPPYv2Y/edit?usp=sharing"",""งบพรบ!CA28"")"),6000)</f>
        <v>6000</v>
      </c>
      <c r="M162" s="224">
        <f ca="1">IFERROR(__xludf.DUMMYFUNCTION("IMPORTRANGE(""https://docs.google.com/spreadsheets/d/1-uDff_7J0KD5mKrp0Vvzr7lt3OU09vwQwhkpOPPYv2Y/edit?usp=sharing"",""งบพรบ!CF28"")"),63250)</f>
        <v>63250</v>
      </c>
      <c r="N162" s="224">
        <f ca="1">IFERROR(__xludf.DUMMYFUNCTION("IMPORTRANGE(""https://docs.google.com/spreadsheets/d/1-uDff_7J0KD5mKrp0Vvzr7lt3OU09vwQwhkpOPPYv2Y/edit?usp=sharing"",""งบพรบ!CH28"")"),8233.27)</f>
        <v>8233.27</v>
      </c>
      <c r="O162" s="224">
        <f t="shared" ca="1" si="47"/>
        <v>137.22116666666668</v>
      </c>
      <c r="P162" s="224">
        <f t="shared" ca="1" si="48"/>
        <v>13.017027667984189</v>
      </c>
      <c r="Q162" s="224">
        <f ca="1">IFERROR(__xludf.DUMMYFUNCTION("IMPORTRANGE(""https://docs.google.com/spreadsheets/d/1ItG2mGa2ceCfYo0BwxsXqNm01IGEUdYcSSLTEv9YCik/edit?usp=sharing"",""เบิกจ่ายกองทุน!AG28"")"),0)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IFERROR(__xludf.DUMMYFUNCTION("IMPORTRANGE(""https://docs.google.com/spreadsheets/d/1ItG2mGa2ceCfYo0BwxsXqNm01IGEUdYcSSLTEv9YCik/edit?usp=sharing"",""เบิกจ่ายกองทุน!AH28"")"),0)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IFERROR(__xludf.DUMMYFUNCTION("IMPORTRANGE(""https://docs.google.com/spreadsheets/d/1ItG2mGa2ceCfYo0BwxsXqNm01IGEUdYcSSLTEv9YCik/edit?usp=sharing"",""เบิกจ่ายกองทุน!AI28"")"),0)</f>
        <v>0</v>
      </c>
      <c r="T162" s="224">
        <f t="shared" ca="1" si="49"/>
        <v>0</v>
      </c>
      <c r="U162" s="224">
        <f t="shared" ca="1" si="50"/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468">
        <f ca="1">L164+L165</f>
        <v>0</v>
      </c>
      <c r="M163" s="224">
        <f ca="1">M164+M165</f>
        <v>0</v>
      </c>
      <c r="N163" s="224">
        <f ca="1">N164+N165</f>
        <v>0</v>
      </c>
      <c r="O163" s="224">
        <f t="shared" ca="1" si="47"/>
        <v>0</v>
      </c>
      <c r="P163" s="224">
        <f t="shared" ca="1" si="48"/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 t="shared" si="49"/>
        <v>0</v>
      </c>
      <c r="U163" s="224">
        <f t="shared" si="50"/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469">
        <v>0</v>
      </c>
      <c r="M164" s="83">
        <v>0</v>
      </c>
      <c r="N164" s="83">
        <v>0</v>
      </c>
      <c r="O164" s="83">
        <f t="shared" si="47"/>
        <v>0</v>
      </c>
      <c r="P164" s="83">
        <f t="shared" si="48"/>
        <v>0</v>
      </c>
      <c r="Q164" s="83">
        <v>0</v>
      </c>
      <c r="R164" s="83">
        <v>0</v>
      </c>
      <c r="S164" s="83">
        <v>0</v>
      </c>
      <c r="T164" s="83">
        <f t="shared" si="49"/>
        <v>0</v>
      </c>
      <c r="U164" s="83">
        <f t="shared" si="50"/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468">
        <f ca="1">IFERROR(__xludf.DUMMYFUNCTION("IMPORTRANGE(""https://docs.google.com/spreadsheets/d/1-uDff_7J0KD5mKrp0Vvzr7lt3OU09vwQwhkpOPPYv2Y/edit?usp=sharing"",""งบพรบ!CD28"")"),0)</f>
        <v>0</v>
      </c>
      <c r="M165" s="224">
        <f ca="1">IFERROR(__xludf.DUMMYFUNCTION("IMPORTRANGE(""https://docs.google.com/spreadsheets/d/1-uDff_7J0KD5mKrp0Vvzr7lt3OU09vwQwhkpOPPYv2Y/edit?usp=sharing"",""งบพรบ!CG28"")"),0)</f>
        <v>0</v>
      </c>
      <c r="N165" s="224">
        <f ca="1">IFERROR(__xludf.DUMMYFUNCTION("IMPORTRANGE(""https://docs.google.com/spreadsheets/d/1-uDff_7J0KD5mKrp0Vvzr7lt3OU09vwQwhkpOPPYv2Y/edit?usp=sharing"",""งบพรบ!CI28"")"),0)</f>
        <v>0</v>
      </c>
      <c r="O165" s="224">
        <f t="shared" ca="1" si="47"/>
        <v>0</v>
      </c>
      <c r="P165" s="224">
        <f t="shared" ca="1" si="48"/>
        <v>0</v>
      </c>
      <c r="Q165" s="224">
        <v>0</v>
      </c>
      <c r="R165" s="224">
        <v>0</v>
      </c>
      <c r="S165" s="224">
        <v>0</v>
      </c>
      <c r="T165" s="224">
        <f t="shared" si="49"/>
        <v>0</v>
      </c>
      <c r="U165" s="224">
        <f t="shared" si="50"/>
        <v>0</v>
      </c>
    </row>
    <row r="166" spans="1:21" ht="19.5" x14ac:dyDescent="0.3">
      <c r="A166" s="138"/>
      <c r="B166" s="139"/>
      <c r="C166" s="129" t="s">
        <v>18</v>
      </c>
      <c r="D166" s="498" t="s">
        <v>38</v>
      </c>
      <c r="E166" s="141"/>
      <c r="F166" s="141"/>
      <c r="G166" s="142"/>
      <c r="H166" s="178"/>
      <c r="I166" s="44"/>
      <c r="J166" s="44"/>
      <c r="K166" s="45"/>
      <c r="L166" s="465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IFERROR(__xludf.DUMMYFUNCTION("IMPORTRANGE(""https://docs.google.com/spreadsheets/d/1eHaY18a8A9IcSdp1K8H6x8fbOy06t2VsZHhMHf-1x7Y/edit?usp=sharing"",""แผน!Z28"")"),75)</f>
        <v>75</v>
      </c>
      <c r="J167" s="466">
        <v>75</v>
      </c>
      <c r="K167" s="224">
        <f ca="1">IF(I167&gt;0,J167*100/I167,0)</f>
        <v>100</v>
      </c>
      <c r="L167" s="465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375" t="s">
        <v>35</v>
      </c>
      <c r="I168" s="430">
        <f ca="1">I167</f>
        <v>75</v>
      </c>
      <c r="J168" s="525">
        <v>0</v>
      </c>
      <c r="K168" s="83">
        <f ca="1">IF(I168&gt;0,J168*100/I168,0)</f>
        <v>0</v>
      </c>
      <c r="L168" s="465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31" t="s">
        <v>71</v>
      </c>
      <c r="E169" s="1"/>
      <c r="F169" s="1"/>
      <c r="G169" s="52"/>
      <c r="H169" s="663" t="s">
        <v>35</v>
      </c>
      <c r="I169" s="433">
        <f ca="1">I167</f>
        <v>75</v>
      </c>
      <c r="J169" s="522">
        <v>0</v>
      </c>
      <c r="K169" s="521">
        <f ca="1">IF(I169&gt;0,J169*100/I169,0)</f>
        <v>0</v>
      </c>
      <c r="L169" s="46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662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661">
        <f ca="1">I183+I184</f>
        <v>7</v>
      </c>
      <c r="J172" s="661">
        <f>J183+J184</f>
        <v>7</v>
      </c>
      <c r="K172" s="660">
        <f ca="1">IF(I172&gt;0,J172*100/I172,0)</f>
        <v>100</v>
      </c>
      <c r="L172" s="659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472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471">
        <f ca="1">L174+L175</f>
        <v>19590</v>
      </c>
      <c r="M173" s="470">
        <f ca="1">M174+M175</f>
        <v>244070</v>
      </c>
      <c r="N173" s="470">
        <f ca="1">N174+N175</f>
        <v>237940</v>
      </c>
      <c r="O173" s="470">
        <f t="shared" ref="O173:O181" ca="1" si="53">IF(L173&gt;0,N173*100/L173,0)</f>
        <v>1214.5992853496682</v>
      </c>
      <c r="P173" s="470">
        <f t="shared" ref="P173:P181" ca="1" si="54">IF(M173&gt;0,N173*100/M173,0)</f>
        <v>97.488425451714676</v>
      </c>
      <c r="Q173" s="470">
        <f ca="1">Q174+Q175</f>
        <v>0</v>
      </c>
      <c r="R173" s="470">
        <f ca="1">R174+R175</f>
        <v>0</v>
      </c>
      <c r="S173" s="470">
        <f ca="1">S174+S175</f>
        <v>0</v>
      </c>
      <c r="T173" s="470">
        <f t="shared" ref="T173:T181" ca="1" si="55">IF(Q173&gt;0,S173*100/Q173,0)</f>
        <v>0</v>
      </c>
      <c r="U173" s="470">
        <f t="shared" ref="U173:U181" ca="1" si="56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469">
        <f t="shared" ref="L174:N175" si="57">L177+L180</f>
        <v>0</v>
      </c>
      <c r="M174" s="83">
        <f t="shared" si="57"/>
        <v>0</v>
      </c>
      <c r="N174" s="83">
        <f t="shared" si="57"/>
        <v>0</v>
      </c>
      <c r="O174" s="83">
        <f t="shared" si="53"/>
        <v>0</v>
      </c>
      <c r="P174" s="83">
        <f t="shared" si="54"/>
        <v>0</v>
      </c>
      <c r="Q174" s="83">
        <f t="shared" ref="Q174:S175" si="58">Q177+Q180</f>
        <v>0</v>
      </c>
      <c r="R174" s="83">
        <f t="shared" si="58"/>
        <v>0</v>
      </c>
      <c r="S174" s="83">
        <f t="shared" si="58"/>
        <v>0</v>
      </c>
      <c r="T174" s="83">
        <f t="shared" si="55"/>
        <v>0</v>
      </c>
      <c r="U174" s="83">
        <f t="shared" si="56"/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468">
        <f t="shared" ca="1" si="57"/>
        <v>19590</v>
      </c>
      <c r="M175" s="224">
        <f t="shared" ca="1" si="57"/>
        <v>244070</v>
      </c>
      <c r="N175" s="224">
        <f t="shared" ca="1" si="57"/>
        <v>237940</v>
      </c>
      <c r="O175" s="224">
        <f t="shared" ca="1" si="53"/>
        <v>1214.5992853496682</v>
      </c>
      <c r="P175" s="224">
        <f t="shared" ca="1" si="54"/>
        <v>97.488425451714676</v>
      </c>
      <c r="Q175" s="224">
        <f t="shared" ca="1" si="58"/>
        <v>0</v>
      </c>
      <c r="R175" s="224">
        <f t="shared" ca="1" si="58"/>
        <v>0</v>
      </c>
      <c r="S175" s="224">
        <f t="shared" ca="1" si="58"/>
        <v>0</v>
      </c>
      <c r="T175" s="224">
        <f t="shared" ca="1" si="55"/>
        <v>0</v>
      </c>
      <c r="U175" s="224">
        <f t="shared" ca="1" si="56"/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468">
        <f ca="1">L177+L178</f>
        <v>19590</v>
      </c>
      <c r="M176" s="224">
        <f ca="1">M177+M178</f>
        <v>244070</v>
      </c>
      <c r="N176" s="224">
        <f ca="1">N177+N178</f>
        <v>237940</v>
      </c>
      <c r="O176" s="224">
        <f t="shared" ca="1" si="53"/>
        <v>1214.5992853496682</v>
      </c>
      <c r="P176" s="224">
        <f t="shared" ca="1" si="54"/>
        <v>97.488425451714676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t="shared" ca="1" si="55"/>
        <v>0</v>
      </c>
      <c r="U176" s="224">
        <f t="shared" ca="1" si="56"/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469">
        <v>0</v>
      </c>
      <c r="M177" s="83">
        <v>0</v>
      </c>
      <c r="N177" s="83">
        <v>0</v>
      </c>
      <c r="O177" s="83">
        <f t="shared" si="53"/>
        <v>0</v>
      </c>
      <c r="P177" s="83">
        <f t="shared" si="54"/>
        <v>0</v>
      </c>
      <c r="Q177" s="83">
        <v>0</v>
      </c>
      <c r="R177" s="83">
        <v>0</v>
      </c>
      <c r="S177" s="83">
        <v>0</v>
      </c>
      <c r="T177" s="83">
        <f t="shared" si="55"/>
        <v>0</v>
      </c>
      <c r="U177" s="83">
        <f t="shared" si="56"/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468">
        <f ca="1">IFERROR(__xludf.DUMMYFUNCTION("IMPORTRANGE(""https://docs.google.com/spreadsheets/d/1-uDff_7J0KD5mKrp0Vvzr7lt3OU09vwQwhkpOPPYv2Y/edit?usp=sharing"",""งบพรบ!CK28"")"),19590)</f>
        <v>19590</v>
      </c>
      <c r="M178" s="224">
        <f ca="1">IFERROR(__xludf.DUMMYFUNCTION("IMPORTRANGE(""https://docs.google.com/spreadsheets/d/1-uDff_7J0KD5mKrp0Vvzr7lt3OU09vwQwhkpOPPYv2Y/edit?usp=sharing"",""งบพรบ!CP28"")"),244070)</f>
        <v>244070</v>
      </c>
      <c r="N178" s="224">
        <f ca="1">IFERROR(__xludf.DUMMYFUNCTION("IMPORTRANGE(""https://docs.google.com/spreadsheets/d/1-uDff_7J0KD5mKrp0Vvzr7lt3OU09vwQwhkpOPPYv2Y/edit?usp=sharing"",""งบพรบ!CR28"")"),237940)</f>
        <v>237940</v>
      </c>
      <c r="O178" s="224">
        <f t="shared" ca="1" si="53"/>
        <v>1214.5992853496682</v>
      </c>
      <c r="P178" s="224">
        <f t="shared" ca="1" si="54"/>
        <v>97.488425451714676</v>
      </c>
      <c r="Q178" s="224">
        <f ca="1">IFERROR(__xludf.DUMMYFUNCTION("IMPORTRANGE(""https://docs.google.com/spreadsheets/d/1ItG2mGa2ceCfYo0BwxsXqNm01IGEUdYcSSLTEv9YCik/edit?usp=sharing"",""เบิกจ่ายกองทุน!BE28"")"),0)</f>
        <v>0</v>
      </c>
      <c r="R178" s="224">
        <f ca="1">IFERROR(__xludf.DUMMYFUNCTION("IMPORTRANGE(""https://docs.google.com/spreadsheets/d/1ItG2mGa2ceCfYo0BwxsXqNm01IGEUdYcSSLTEv9YCik/edit?usp=sharing"",""เบิกจ่ายกองทุน!BF28"")"),0)</f>
        <v>0</v>
      </c>
      <c r="S178" s="224">
        <f ca="1">IFERROR(__xludf.DUMMYFUNCTION("IMPORTRANGE(""https://docs.google.com/spreadsheets/d/1ItG2mGa2ceCfYo0BwxsXqNm01IGEUdYcSSLTEv9YCik/edit?usp=sharing"",""เบิกจ่ายกองทุน!BG28"")"),0)</f>
        <v>0</v>
      </c>
      <c r="T178" s="224">
        <f t="shared" ca="1" si="55"/>
        <v>0</v>
      </c>
      <c r="U178" s="224">
        <f t="shared" ca="1" si="56"/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468">
        <f ca="1">L180+L181</f>
        <v>0</v>
      </c>
      <c r="M179" s="224">
        <f ca="1">M180+M181</f>
        <v>0</v>
      </c>
      <c r="N179" s="224">
        <f ca="1">N180+N181</f>
        <v>0</v>
      </c>
      <c r="O179" s="224">
        <f t="shared" ca="1" si="53"/>
        <v>0</v>
      </c>
      <c r="P179" s="224">
        <f t="shared" ca="1" si="54"/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 t="shared" si="55"/>
        <v>0</v>
      </c>
      <c r="U179" s="224">
        <f t="shared" si="56"/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469">
        <v>0</v>
      </c>
      <c r="M180" s="83">
        <v>0</v>
      </c>
      <c r="N180" s="83">
        <v>0</v>
      </c>
      <c r="O180" s="83">
        <f t="shared" si="53"/>
        <v>0</v>
      </c>
      <c r="P180" s="83">
        <f t="shared" si="54"/>
        <v>0</v>
      </c>
      <c r="Q180" s="83">
        <v>0</v>
      </c>
      <c r="R180" s="83">
        <v>0</v>
      </c>
      <c r="S180" s="83">
        <v>0</v>
      </c>
      <c r="T180" s="83">
        <f t="shared" si="55"/>
        <v>0</v>
      </c>
      <c r="U180" s="83">
        <f t="shared" si="56"/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468">
        <f ca="1">IFERROR(__xludf.DUMMYFUNCTION("IMPORTRANGE(""https://docs.google.com/spreadsheets/d/1-uDff_7J0KD5mKrp0Vvzr7lt3OU09vwQwhkpOPPYv2Y/edit?usp=sharing"",""งบพรบ!CN28"")"),0)</f>
        <v>0</v>
      </c>
      <c r="M181" s="224">
        <f ca="1">IFERROR(__xludf.DUMMYFUNCTION("IMPORTRANGE(""https://docs.google.com/spreadsheets/d/1-uDff_7J0KD5mKrp0Vvzr7lt3OU09vwQwhkpOPPYv2Y/edit?usp=sharing"",""งบพรบ!CQ28"")"),0)</f>
        <v>0</v>
      </c>
      <c r="N181" s="224">
        <f ca="1">IFERROR(__xludf.DUMMYFUNCTION("IMPORTRANGE(""https://docs.google.com/spreadsheets/d/1-uDff_7J0KD5mKrp0Vvzr7lt3OU09vwQwhkpOPPYv2Y/edit?usp=sharing"",""งบพรบ!CS28"")"),0)</f>
        <v>0</v>
      </c>
      <c r="O181" s="224">
        <f t="shared" ca="1" si="53"/>
        <v>0</v>
      </c>
      <c r="P181" s="224">
        <f t="shared" ca="1" si="54"/>
        <v>0</v>
      </c>
      <c r="Q181" s="224">
        <v>0</v>
      </c>
      <c r="R181" s="224">
        <v>0</v>
      </c>
      <c r="S181" s="224">
        <v>0</v>
      </c>
      <c r="T181" s="224">
        <f t="shared" si="55"/>
        <v>0</v>
      </c>
      <c r="U181" s="224">
        <f t="shared" si="56"/>
        <v>0</v>
      </c>
    </row>
    <row r="182" spans="1:21" ht="19.5" x14ac:dyDescent="0.3">
      <c r="A182" s="138"/>
      <c r="B182" s="139"/>
      <c r="C182" s="129" t="s">
        <v>18</v>
      </c>
      <c r="D182" s="498" t="s">
        <v>38</v>
      </c>
      <c r="E182" s="141"/>
      <c r="F182" s="141"/>
      <c r="G182" s="142"/>
      <c r="H182" s="178"/>
      <c r="I182" s="44"/>
      <c r="J182" s="44"/>
      <c r="K182" s="45"/>
      <c r="L182" s="465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IFERROR(__xludf.DUMMYFUNCTION("IMPORTRANGE(""https://docs.google.com/spreadsheets/d/1eHaY18a8A9IcSdp1K8H6x8fbOy06t2VsZHhMHf-1x7Y/edit?usp=sharing"",""แผน!AA28"")"),7)</f>
        <v>7</v>
      </c>
      <c r="J183" s="466">
        <v>7</v>
      </c>
      <c r="K183" s="224">
        <f ca="1">IF(I183&gt;0,J183*100/I183,0)</f>
        <v>100</v>
      </c>
      <c r="L183" s="465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14" t="s">
        <v>76</v>
      </c>
      <c r="E184" s="40"/>
      <c r="F184" s="40"/>
      <c r="G184" s="42"/>
      <c r="H184" s="526" t="s">
        <v>35</v>
      </c>
      <c r="I184" s="430">
        <v>0</v>
      </c>
      <c r="J184" s="430">
        <v>0</v>
      </c>
      <c r="K184" s="83">
        <f>IF(I184&gt;0,J184*100/I184,0)</f>
        <v>0</v>
      </c>
      <c r="L184" s="465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661">
        <f ca="1">I230+I231</f>
        <v>0</v>
      </c>
      <c r="J185" s="661">
        <f>J230+J231</f>
        <v>0</v>
      </c>
      <c r="K185" s="660">
        <f ca="1">IF(I185&gt;0,J185*100/I185,0)</f>
        <v>0</v>
      </c>
      <c r="L185" s="659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472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471">
        <f ca="1">L187+L188</f>
        <v>66500</v>
      </c>
      <c r="M186" s="470">
        <f ca="1">M187+M188</f>
        <v>34500</v>
      </c>
      <c r="N186" s="470">
        <f ca="1">N187+N188</f>
        <v>0</v>
      </c>
      <c r="O186" s="470">
        <f t="shared" ref="O186:O194" ca="1" si="59">IF(L186&gt;0,N186*100/L186,0)</f>
        <v>0</v>
      </c>
      <c r="P186" s="470">
        <f t="shared" ref="P186:P194" ca="1" si="60">IF(M186&gt;0,N186*100/M186,0)</f>
        <v>0</v>
      </c>
      <c r="Q186" s="470">
        <f ca="1">Q187+Q188</f>
        <v>56000</v>
      </c>
      <c r="R186" s="470">
        <f ca="1">R187+R188</f>
        <v>56000</v>
      </c>
      <c r="S186" s="470">
        <f ca="1">S187+S188</f>
        <v>0</v>
      </c>
      <c r="T186" s="470">
        <f t="shared" ref="T186:T194" ca="1" si="61">IF(Q186&gt;0,S186*100/Q186,0)</f>
        <v>0</v>
      </c>
      <c r="U186" s="470">
        <f t="shared" ref="U186:U194" ca="1" si="62">IF(R186&gt;0,S186*100/R186,0)</f>
        <v>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469">
        <f t="shared" ref="L187:N188" si="63">L190+L193</f>
        <v>0</v>
      </c>
      <c r="M187" s="83">
        <f t="shared" si="63"/>
        <v>0</v>
      </c>
      <c r="N187" s="83">
        <f t="shared" si="63"/>
        <v>0</v>
      </c>
      <c r="O187" s="83">
        <f t="shared" si="59"/>
        <v>0</v>
      </c>
      <c r="P187" s="83">
        <f t="shared" si="60"/>
        <v>0</v>
      </c>
      <c r="Q187" s="83">
        <f t="shared" ref="Q187:S188" si="64">Q190+Q193</f>
        <v>0</v>
      </c>
      <c r="R187" s="83">
        <f t="shared" si="64"/>
        <v>0</v>
      </c>
      <c r="S187" s="83">
        <f t="shared" si="64"/>
        <v>0</v>
      </c>
      <c r="T187" s="83">
        <f t="shared" si="61"/>
        <v>0</v>
      </c>
      <c r="U187" s="83">
        <f t="shared" si="62"/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468">
        <f t="shared" ca="1" si="63"/>
        <v>66500</v>
      </c>
      <c r="M188" s="224">
        <f t="shared" ca="1" si="63"/>
        <v>34500</v>
      </c>
      <c r="N188" s="224">
        <f t="shared" ca="1" si="63"/>
        <v>0</v>
      </c>
      <c r="O188" s="224">
        <f t="shared" ca="1" si="59"/>
        <v>0</v>
      </c>
      <c r="P188" s="224">
        <f t="shared" ca="1" si="60"/>
        <v>0</v>
      </c>
      <c r="Q188" s="224">
        <f t="shared" ca="1" si="64"/>
        <v>56000</v>
      </c>
      <c r="R188" s="224">
        <f t="shared" ca="1" si="64"/>
        <v>56000</v>
      </c>
      <c r="S188" s="224">
        <f t="shared" ca="1" si="64"/>
        <v>0</v>
      </c>
      <c r="T188" s="224">
        <f t="shared" ca="1" si="61"/>
        <v>0</v>
      </c>
      <c r="U188" s="224">
        <f t="shared" ca="1" si="62"/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468">
        <f ca="1">L190+L191</f>
        <v>66500</v>
      </c>
      <c r="M189" s="224">
        <f ca="1">M190+M191</f>
        <v>34500</v>
      </c>
      <c r="N189" s="224">
        <f ca="1">N190+N191</f>
        <v>0</v>
      </c>
      <c r="O189" s="224">
        <f t="shared" ca="1" si="59"/>
        <v>0</v>
      </c>
      <c r="P189" s="224">
        <f t="shared" ca="1" si="60"/>
        <v>0</v>
      </c>
      <c r="Q189" s="224">
        <f ca="1">Q190+Q191</f>
        <v>56000</v>
      </c>
      <c r="R189" s="224">
        <f ca="1">R190+R191</f>
        <v>56000</v>
      </c>
      <c r="S189" s="224">
        <f ca="1">S190+S191</f>
        <v>0</v>
      </c>
      <c r="T189" s="224">
        <f t="shared" ca="1" si="61"/>
        <v>0</v>
      </c>
      <c r="U189" s="224">
        <f t="shared" ca="1" si="62"/>
        <v>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469">
        <v>0</v>
      </c>
      <c r="M190" s="83">
        <v>0</v>
      </c>
      <c r="N190" s="83">
        <v>0</v>
      </c>
      <c r="O190" s="83">
        <f t="shared" si="59"/>
        <v>0</v>
      </c>
      <c r="P190" s="83">
        <f t="shared" si="60"/>
        <v>0</v>
      </c>
      <c r="Q190" s="83">
        <v>0</v>
      </c>
      <c r="R190" s="83">
        <v>0</v>
      </c>
      <c r="S190" s="83">
        <v>0</v>
      </c>
      <c r="T190" s="83">
        <f t="shared" si="61"/>
        <v>0</v>
      </c>
      <c r="U190" s="83">
        <f t="shared" si="62"/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468">
        <f ca="1">IFERROR(__xludf.DUMMYFUNCTION("IMPORTRANGE(""https://docs.google.com/spreadsheets/d/1-uDff_7J0KD5mKrp0Vvzr7lt3OU09vwQwhkpOPPYv2Y/edit?usp=sharing"",""งบพรบ!CU28"")"),66500)</f>
        <v>66500</v>
      </c>
      <c r="M191" s="224">
        <f ca="1">IFERROR(__xludf.DUMMYFUNCTION("IMPORTRANGE(""https://docs.google.com/spreadsheets/d/1-uDff_7J0KD5mKrp0Vvzr7lt3OU09vwQwhkpOPPYv2Y/edit?usp=sharing"",""งบพรบ!CZ28"")"),34500)</f>
        <v>34500</v>
      </c>
      <c r="N191" s="224">
        <f ca="1">IFERROR(__xludf.DUMMYFUNCTION("IMPORTRANGE(""https://docs.google.com/spreadsheets/d/1-uDff_7J0KD5mKrp0Vvzr7lt3OU09vwQwhkpOPPYv2Y/edit?usp=sharing"",""งบพรบ!DB28"")"),0)</f>
        <v>0</v>
      </c>
      <c r="O191" s="224">
        <f t="shared" ca="1" si="59"/>
        <v>0</v>
      </c>
      <c r="P191" s="224">
        <f t="shared" ca="1" si="60"/>
        <v>0</v>
      </c>
      <c r="Q191" s="224">
        <f ca="1">IFERROR(__xludf.DUMMYFUNCTION("IMPORTRANGE(""https://docs.google.com/spreadsheets/d/1ItG2mGa2ceCfYo0BwxsXqNm01IGEUdYcSSLTEv9YCik/edit?usp=sharing"",""เบิกจ่ายกองทุน!AV28"")"),56000)</f>
        <v>56000</v>
      </c>
      <c r="R191" s="224">
        <f ca="1">IFERROR(__xludf.DUMMYFUNCTION("IMPORTRANGE(""https://docs.google.com/spreadsheets/d/1ItG2mGa2ceCfYo0BwxsXqNm01IGEUdYcSSLTEv9YCik/edit?usp=sharing"",""เบิกจ่ายกองทุน!AW28"")"),56000)</f>
        <v>56000</v>
      </c>
      <c r="S191" s="224">
        <f ca="1">IFERROR(__xludf.DUMMYFUNCTION("IMPORTRANGE(""https://docs.google.com/spreadsheets/d/1ItG2mGa2ceCfYo0BwxsXqNm01IGEUdYcSSLTEv9YCik/edit?usp=sharing"",""เบิกจ่ายกองทุน!AX28"")"),0)</f>
        <v>0</v>
      </c>
      <c r="T191" s="224">
        <f t="shared" ca="1" si="61"/>
        <v>0</v>
      </c>
      <c r="U191" s="224">
        <f t="shared" ca="1" si="62"/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468">
        <f ca="1">L193+L194</f>
        <v>0</v>
      </c>
      <c r="M192" s="224">
        <f ca="1">M193+M194</f>
        <v>0</v>
      </c>
      <c r="N192" s="224">
        <f ca="1">N193+N194</f>
        <v>0</v>
      </c>
      <c r="O192" s="224">
        <f t="shared" ca="1" si="59"/>
        <v>0</v>
      </c>
      <c r="P192" s="224">
        <f t="shared" ca="1" si="60"/>
        <v>0</v>
      </c>
      <c r="Q192" s="224">
        <f>Q193+Q194</f>
        <v>0</v>
      </c>
      <c r="R192" s="224">
        <f>R193+R194</f>
        <v>0</v>
      </c>
      <c r="S192" s="224">
        <f>S193+S194</f>
        <v>0</v>
      </c>
      <c r="T192" s="224">
        <f t="shared" si="61"/>
        <v>0</v>
      </c>
      <c r="U192" s="224">
        <f t="shared" si="62"/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469">
        <v>0</v>
      </c>
      <c r="M193" s="83">
        <v>0</v>
      </c>
      <c r="N193" s="83">
        <v>0</v>
      </c>
      <c r="O193" s="83">
        <f t="shared" si="59"/>
        <v>0</v>
      </c>
      <c r="P193" s="83">
        <f t="shared" si="60"/>
        <v>0</v>
      </c>
      <c r="Q193" s="83">
        <v>0</v>
      </c>
      <c r="R193" s="83">
        <v>0</v>
      </c>
      <c r="S193" s="83">
        <v>0</v>
      </c>
      <c r="T193" s="83">
        <f t="shared" si="61"/>
        <v>0</v>
      </c>
      <c r="U193" s="83">
        <f t="shared" si="62"/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468">
        <f ca="1">IFERROR(__xludf.DUMMYFUNCTION("IMPORTRANGE(""https://docs.google.com/spreadsheets/d/1-uDff_7J0KD5mKrp0Vvzr7lt3OU09vwQwhkpOPPYv2Y/edit?usp=sharing"",""งบพรบ!CX28"")"),0)</f>
        <v>0</v>
      </c>
      <c r="M194" s="224">
        <f ca="1">IFERROR(__xludf.DUMMYFUNCTION("IMPORTRANGE(""https://docs.google.com/spreadsheets/d/1-uDff_7J0KD5mKrp0Vvzr7lt3OU09vwQwhkpOPPYv2Y/edit?usp=sharing"",""งบพรบ!DA28"")"),0)</f>
        <v>0</v>
      </c>
      <c r="N194" s="224">
        <f ca="1">IFERROR(__xludf.DUMMYFUNCTION("IMPORTRANGE(""https://docs.google.com/spreadsheets/d/1-uDff_7J0KD5mKrp0Vvzr7lt3OU09vwQwhkpOPPYv2Y/edit?usp=sharing"",""งบพรบ!DC28"")"),0)</f>
        <v>0</v>
      </c>
      <c r="O194" s="224">
        <f t="shared" ca="1" si="59"/>
        <v>0</v>
      </c>
      <c r="P194" s="224">
        <f t="shared" ca="1" si="60"/>
        <v>0</v>
      </c>
      <c r="Q194" s="224">
        <v>0</v>
      </c>
      <c r="R194" s="224">
        <v>0</v>
      </c>
      <c r="S194" s="224">
        <v>0</v>
      </c>
      <c r="T194" s="224">
        <f t="shared" si="61"/>
        <v>0</v>
      </c>
      <c r="U194" s="224">
        <f t="shared" si="62"/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ca="1">I198</f>
        <v>4</v>
      </c>
      <c r="J195" s="303">
        <f>J198</f>
        <v>2</v>
      </c>
      <c r="K195" s="304">
        <f ca="1">IF(I195&gt;0,J195*100/I195,0)</f>
        <v>50</v>
      </c>
      <c r="L195" s="557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654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471">
        <f ca="1">IFERROR(__xludf.DUMMYFUNCTION("IMPORTRANGE(""https://docs.google.com/spreadsheets/d/1eHaY18a8A9IcSdp1K8H6x8fbOy06t2VsZHhMHf-1x7Y/edit?usp=sharing"",""แผน!AB28"")"),6000)</f>
        <v>6000</v>
      </c>
      <c r="M196" s="45"/>
      <c r="N196" s="658">
        <v>0</v>
      </c>
      <c r="O196" s="470">
        <f ca="1">IF(L196&gt;0,N196*100/L196,0)</f>
        <v>0</v>
      </c>
      <c r="P196" s="47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498" t="s">
        <v>38</v>
      </c>
      <c r="E197" s="141"/>
      <c r="F197" s="141"/>
      <c r="G197" s="142"/>
      <c r="H197" s="143"/>
      <c r="I197" s="44"/>
      <c r="J197" s="44"/>
      <c r="K197" s="45"/>
      <c r="L197" s="465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IFERROR(__xludf.DUMMYFUNCTION("IMPORTRANGE(""https://docs.google.com/spreadsheets/d/1eHaY18a8A9IcSdp1K8H6x8fbOy06t2VsZHhMHf-1x7Y/edit?usp=sharing"",""แผน!AE28"")"),4)</f>
        <v>4</v>
      </c>
      <c r="J198" s="466">
        <v>2</v>
      </c>
      <c r="K198" s="224">
        <f ca="1">IF(I198&gt;0,J198*100/I198,0)</f>
        <v>50</v>
      </c>
      <c r="L198" s="465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62</v>
      </c>
      <c r="K199" s="45"/>
      <c r="L199" s="465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466">
        <v>62</v>
      </c>
      <c r="K200" s="45"/>
      <c r="L200" s="465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466">
        <v>0</v>
      </c>
      <c r="K201" s="45"/>
      <c r="L201" s="465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ca="1">I209</f>
        <v>4</v>
      </c>
      <c r="J202" s="303">
        <f>J209</f>
        <v>0</v>
      </c>
      <c r="K202" s="304">
        <f ca="1">IF(I202&gt;0,J202*100/I202,0)</f>
        <v>0</v>
      </c>
      <c r="L202" s="557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654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471">
        <f ca="1">L204+L205+L206+L207</f>
        <v>20000</v>
      </c>
      <c r="M203" s="45"/>
      <c r="N203" s="470">
        <f>N204+N205+N206+N207</f>
        <v>0</v>
      </c>
      <c r="O203" s="470">
        <f ca="1">IF(L203&gt;0,N203*100/L203,0)</f>
        <v>0</v>
      </c>
      <c r="P203" s="470">
        <f>IF(M203&gt;0,N203*100/M203,0)</f>
        <v>0</v>
      </c>
      <c r="Q203" s="657">
        <f ca="1">Q204+Q205+Q206+Q207</f>
        <v>56000</v>
      </c>
      <c r="R203" s="656"/>
      <c r="S203" s="655">
        <f>S204+S205+S206+S207</f>
        <v>0</v>
      </c>
      <c r="T203" s="655">
        <f ca="1">IF(Q203&gt;0,S203*100/Q203,0)</f>
        <v>0</v>
      </c>
      <c r="U203" s="655">
        <f>IF(R203&gt;0,S203*100/R203,0)</f>
        <v>0</v>
      </c>
    </row>
    <row r="204" spans="1:21" ht="18.75" x14ac:dyDescent="0.25">
      <c r="A204" s="128"/>
      <c r="B204" s="158"/>
      <c r="C204" s="40"/>
      <c r="D204" s="653" t="s">
        <v>311</v>
      </c>
      <c r="E204" s="40"/>
      <c r="F204" s="40"/>
      <c r="G204" s="42"/>
      <c r="H204" s="134" t="s">
        <v>14</v>
      </c>
      <c r="I204" s="135"/>
      <c r="J204" s="135"/>
      <c r="K204" s="136"/>
      <c r="L204" s="468">
        <f ca="1">IFERROR(__xludf.DUMMYFUNCTION("IMPORTRANGE(""https://docs.google.com/spreadsheets/d/1eHaY18a8A9IcSdp1K8H6x8fbOy06t2VsZHhMHf-1x7Y/edit?usp=sharing"",""แผน!AG28"")"),4000)</f>
        <v>4000</v>
      </c>
      <c r="M204" s="45"/>
      <c r="N204" s="644">
        <v>0</v>
      </c>
      <c r="O204" s="136"/>
      <c r="P204" s="45"/>
      <c r="Q204" s="468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307</v>
      </c>
      <c r="E205" s="40"/>
      <c r="F205" s="40"/>
      <c r="G205" s="42"/>
      <c r="H205" s="43" t="s">
        <v>14</v>
      </c>
      <c r="I205" s="44"/>
      <c r="J205" s="44"/>
      <c r="K205" s="45"/>
      <c r="L205" s="468">
        <f ca="1">IFERROR(__xludf.DUMMYFUNCTION("IMPORTRANGE(""https://docs.google.com/spreadsheets/d/1eHaY18a8A9IcSdp1K8H6x8fbOy06t2VsZHhMHf-1x7Y/edit?usp=sharing"",""แผน!AH28"")"),0)</f>
        <v>0</v>
      </c>
      <c r="M205" s="45"/>
      <c r="N205" s="644">
        <v>0</v>
      </c>
      <c r="O205" s="136"/>
      <c r="P205" s="45"/>
      <c r="Q205" s="468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468">
        <f ca="1">IFERROR(__xludf.DUMMYFUNCTION("IMPORTRANGE(""https://docs.google.com/spreadsheets/d/1eHaY18a8A9IcSdp1K8H6x8fbOy06t2VsZHhMHf-1x7Y/edit?usp=sharing"",""แผน!AI28"")"),0)</f>
        <v>0</v>
      </c>
      <c r="M206" s="45"/>
      <c r="N206" s="644">
        <v>0</v>
      </c>
      <c r="O206" s="136"/>
      <c r="P206" s="45"/>
      <c r="Q206" s="468">
        <f ca="1">IFERROR(__xludf.DUMMYFUNCTION("IMPORTRANGE(""https://docs.google.com/spreadsheets/d/1eHaY18a8A9IcSdp1K8H6x8fbOy06t2VsZHhMHf-1x7Y/edit?usp=sharing"",""แผน!LV28"")"),56000)</f>
        <v>56000</v>
      </c>
      <c r="R206" s="45"/>
      <c r="S206" s="644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468">
        <f ca="1">IFERROR(__xludf.DUMMYFUNCTION("IMPORTRANGE(""https://docs.google.com/spreadsheets/d/1eHaY18a8A9IcSdp1K8H6x8fbOy06t2VsZHhMHf-1x7Y/edit?usp=sharing"",""แผน!AJ28"")"),16000)</f>
        <v>16000</v>
      </c>
      <c r="M207" s="45"/>
      <c r="N207" s="644">
        <v>0</v>
      </c>
      <c r="O207" s="136"/>
      <c r="P207" s="45"/>
      <c r="Q207" s="468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498" t="s">
        <v>38</v>
      </c>
      <c r="E208" s="141"/>
      <c r="F208" s="141"/>
      <c r="G208" s="142"/>
      <c r="H208" s="143"/>
      <c r="I208" s="135"/>
      <c r="J208" s="135"/>
      <c r="K208" s="136"/>
      <c r="L208" s="492"/>
      <c r="M208" s="136"/>
      <c r="N208" s="136"/>
      <c r="O208" s="136"/>
      <c r="P208" s="136"/>
      <c r="Q208" s="4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IFERROR(__xludf.DUMMYFUNCTION("IMPORTRANGE(""https://docs.google.com/spreadsheets/d/1eHaY18a8A9IcSdp1K8H6x8fbOy06t2VsZHhMHf-1x7Y/edit?usp=sharing"",""แผน!AK28"")"),4)</f>
        <v>4</v>
      </c>
      <c r="J209" s="466">
        <v>0</v>
      </c>
      <c r="K209" s="497">
        <f ca="1">IF(I209&gt;0,J209*100/I209,0)</f>
        <v>0</v>
      </c>
      <c r="L209" s="465"/>
      <c r="M209" s="45"/>
      <c r="N209" s="45"/>
      <c r="O209" s="45"/>
      <c r="P209" s="45"/>
      <c r="Q209" s="465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465"/>
      <c r="M210" s="45"/>
      <c r="N210" s="45"/>
      <c r="O210" s="45"/>
      <c r="P210" s="45"/>
      <c r="Q210" s="46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IFERROR(__xludf.DUMMYFUNCTION("IMPORTRANGE(""https://docs.google.com/spreadsheets/d/1eHaY18a8A9IcSdp1K8H6x8fbOy06t2VsZHhMHf-1x7Y/edit?usp=sharing"",""แผน!JX28"")"),4)</f>
        <v>4</v>
      </c>
      <c r="J211" s="466">
        <v>0</v>
      </c>
      <c r="K211" s="497">
        <f ca="1">IF(I211&gt;0,J211*100/I211,0)</f>
        <v>0</v>
      </c>
      <c r="L211" s="465"/>
      <c r="M211" s="45"/>
      <c r="N211" s="45"/>
      <c r="O211" s="45"/>
      <c r="P211" s="45"/>
      <c r="Q211" s="46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IFERROR(__xludf.DUMMYFUNCTION("IMPORTRANGE(""https://docs.google.com/spreadsheets/d/1eHaY18a8A9IcSdp1K8H6x8fbOy06t2VsZHhMHf-1x7Y/edit?usp=sharing"",""แผน!JY28"")"),0)</f>
        <v>0</v>
      </c>
      <c r="J212" s="466">
        <v>0</v>
      </c>
      <c r="K212" s="497">
        <f ca="1">IF(I212&gt;0,J212*100/I212,0)</f>
        <v>0</v>
      </c>
      <c r="L212" s="465"/>
      <c r="M212" s="45"/>
      <c r="N212" s="45"/>
      <c r="O212" s="45"/>
      <c r="P212" s="45"/>
      <c r="Q212" s="465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ca="1">I220</f>
        <v>0</v>
      </c>
      <c r="J213" s="303">
        <f>J220</f>
        <v>0</v>
      </c>
      <c r="K213" s="304">
        <f ca="1">IF(I213&gt;0,J213*100/I213,0)</f>
        <v>0</v>
      </c>
      <c r="L213" s="557"/>
      <c r="M213" s="219"/>
      <c r="N213" s="219"/>
      <c r="O213" s="219"/>
      <c r="P213" s="219"/>
      <c r="Q213" s="557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654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471">
        <f ca="1">L215+L216+L217</f>
        <v>0</v>
      </c>
      <c r="M214" s="45"/>
      <c r="N214" s="470">
        <f>N215+N216+N217</f>
        <v>0</v>
      </c>
      <c r="O214" s="470">
        <f ca="1">IF(L214&gt;0,N214*100/L214,0)</f>
        <v>0</v>
      </c>
      <c r="P214" s="470">
        <f>IF(M214&gt;0,N214*100/M214,0)</f>
        <v>0</v>
      </c>
      <c r="Q214" s="471">
        <f ca="1">Q215+Q216+Q217</f>
        <v>0</v>
      </c>
      <c r="R214" s="45"/>
      <c r="S214" s="470">
        <f>S215+S216+S217</f>
        <v>0</v>
      </c>
      <c r="T214" s="470">
        <f ca="1">IF(Q214&gt;0,S214*100/Q214,0)</f>
        <v>0</v>
      </c>
      <c r="U214" s="470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468">
        <f ca="1">IFERROR(__xludf.DUMMYFUNCTION("IMPORTRANGE(""https://docs.google.com/spreadsheets/d/1eHaY18a8A9IcSdp1K8H6x8fbOy06t2VsZHhMHf-1x7Y/edit?usp=sharing"",""แผน!AM28"")"),0)</f>
        <v>0</v>
      </c>
      <c r="M215" s="45"/>
      <c r="N215" s="644">
        <v>0</v>
      </c>
      <c r="O215" s="136"/>
      <c r="P215" s="45"/>
      <c r="Q215" s="468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468">
        <f ca="1">IFERROR(__xludf.DUMMYFUNCTION("IMPORTRANGE(""https://docs.google.com/spreadsheets/d/1eHaY18a8A9IcSdp1K8H6x8fbOy06t2VsZHhMHf-1x7Y/edit?usp=sharing"",""แผน!AN28"")"),0)</f>
        <v>0</v>
      </c>
      <c r="M216" s="45"/>
      <c r="N216" s="644">
        <v>0</v>
      </c>
      <c r="O216" s="136"/>
      <c r="P216" s="45"/>
      <c r="Q216" s="468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468">
        <f ca="1">IFERROR(__xludf.DUMMYFUNCTION("IMPORTRANGE(""https://docs.google.com/spreadsheets/d/1eHaY18a8A9IcSdp1K8H6x8fbOy06t2VsZHhMHf-1x7Y/edit?usp=sharing"",""แผน!AO28"")"),0)</f>
        <v>0</v>
      </c>
      <c r="M217" s="45"/>
      <c r="N217" s="644">
        <v>0</v>
      </c>
      <c r="O217" s="136"/>
      <c r="P217" s="45"/>
      <c r="Q217" s="468">
        <f ca="1">IFERROR(__xludf.DUMMYFUNCTION("IMPORTRANGE(""https://docs.google.com/spreadsheets/d/1eHaY18a8A9IcSdp1K8H6x8fbOy06t2VsZHhMHf-1x7Y/edit?usp=sharing"",""แผน!LY28"")"),0)</f>
        <v>0</v>
      </c>
      <c r="R217" s="45"/>
      <c r="S217" s="644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498" t="s">
        <v>38</v>
      </c>
      <c r="E218" s="141"/>
      <c r="F218" s="141"/>
      <c r="G218" s="142"/>
      <c r="H218" s="143"/>
      <c r="I218" s="135"/>
      <c r="J218" s="44"/>
      <c r="K218" s="45"/>
      <c r="L218" s="465"/>
      <c r="M218" s="45"/>
      <c r="N218" s="45"/>
      <c r="O218" s="136"/>
      <c r="P218" s="136"/>
      <c r="Q218" s="465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IFERROR(__xludf.DUMMYFUNCTION("IMPORTRANGE(""https://docs.google.com/spreadsheets/d/1eHaY18a8A9IcSdp1K8H6x8fbOy06t2VsZHhMHf-1x7Y/edit?usp=sharing"",""แผน!AP28"")"),0)</f>
        <v>0</v>
      </c>
      <c r="J219" s="466">
        <v>0</v>
      </c>
      <c r="K219" s="224">
        <f ca="1">IF(I219&gt;0,J219*100/I219,0)</f>
        <v>0</v>
      </c>
      <c r="L219" s="465"/>
      <c r="M219" s="45"/>
      <c r="N219" s="45"/>
      <c r="O219" s="45"/>
      <c r="P219" s="45"/>
      <c r="Q219" s="465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IFERROR(__xludf.DUMMYFUNCTION("IMPORTRANGE(""https://docs.google.com/spreadsheets/d/1eHaY18a8A9IcSdp1K8H6x8fbOy06t2VsZHhMHf-1x7Y/edit?usp=sharing"",""แผน!AP28"")"),0)</f>
        <v>0</v>
      </c>
      <c r="J220" s="466">
        <v>0</v>
      </c>
      <c r="K220" s="224">
        <f ca="1">IF(I220&gt;0,J220*100/I220,0)</f>
        <v>0</v>
      </c>
      <c r="L220" s="465"/>
      <c r="M220" s="45"/>
      <c r="N220" s="45"/>
      <c r="O220" s="45"/>
      <c r="P220" s="45"/>
      <c r="Q220" s="465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ca="1">I229</f>
        <v>50000</v>
      </c>
      <c r="J221" s="303">
        <f>J229</f>
        <v>0</v>
      </c>
      <c r="K221" s="304">
        <f ca="1">IF(I221&gt;0,J221*100/I221,0)</f>
        <v>0</v>
      </c>
      <c r="L221" s="557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654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471">
        <f ca="1">L223+L224+L225</f>
        <v>8500</v>
      </c>
      <c r="M222" s="45"/>
      <c r="N222" s="470">
        <f>N223+N224+N225</f>
        <v>0</v>
      </c>
      <c r="O222" s="470">
        <f ca="1">IF(L222&gt;0,N222*100/L222,0)</f>
        <v>0</v>
      </c>
      <c r="P222" s="47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653" t="s">
        <v>308</v>
      </c>
      <c r="E223" s="40"/>
      <c r="F223" s="40"/>
      <c r="G223" s="42"/>
      <c r="H223" s="134" t="s">
        <v>14</v>
      </c>
      <c r="I223" s="135"/>
      <c r="J223" s="135"/>
      <c r="K223" s="136"/>
      <c r="L223" s="468">
        <f ca="1">IFERROR(__xludf.DUMMYFUNCTION("IMPORTRANGE(""https://docs.google.com/spreadsheets/d/1eHaY18a8A9IcSdp1K8H6x8fbOy06t2VsZHhMHf-1x7Y/edit?usp=sharing"",""แผน!AR28"")"),2500)</f>
        <v>2500</v>
      </c>
      <c r="M223" s="45"/>
      <c r="N223" s="644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307</v>
      </c>
      <c r="E224" s="40"/>
      <c r="F224" s="40"/>
      <c r="G224" s="42"/>
      <c r="H224" s="134" t="s">
        <v>14</v>
      </c>
      <c r="I224" s="44"/>
      <c r="J224" s="44"/>
      <c r="K224" s="45"/>
      <c r="L224" s="468">
        <f ca="1">IFERROR(__xludf.DUMMYFUNCTION("IMPORTRANGE(""https://docs.google.com/spreadsheets/d/1eHaY18a8A9IcSdp1K8H6x8fbOy06t2VsZHhMHf-1x7Y/edit?usp=sharing"",""แผน!AS28"")"),6000)</f>
        <v>6000</v>
      </c>
      <c r="M224" s="45"/>
      <c r="N224" s="644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468">
        <f ca="1">IFERROR(__xludf.DUMMYFUNCTION("IMPORTRANGE(""https://docs.google.com/spreadsheets/d/1eHaY18a8A9IcSdp1K8H6x8fbOy06t2VsZHhMHf-1x7Y/edit?usp=sharing"",""แผน!AT28"")"),0)</f>
        <v>0</v>
      </c>
      <c r="M225" s="45"/>
      <c r="N225" s="644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498" t="s">
        <v>38</v>
      </c>
      <c r="E226" s="141"/>
      <c r="F226" s="141"/>
      <c r="G226" s="142"/>
      <c r="H226" s="143"/>
      <c r="I226" s="135"/>
      <c r="J226" s="135"/>
      <c r="K226" s="136"/>
      <c r="L226" s="4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4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IFERROR(__xludf.DUMMYFUNCTION("IMPORTRANGE(""https://docs.google.com/spreadsheets/d/1eHaY18a8A9IcSdp1K8H6x8fbOy06t2VsZHhMHf-1x7Y/edit?usp=sharing"",""แผน!AV28"")"),50000)</f>
        <v>50000</v>
      </c>
      <c r="J228" s="466">
        <v>50000</v>
      </c>
      <c r="K228" s="497">
        <f ca="1">IF(I228&gt;0,J228*100/I228,0)</f>
        <v>100</v>
      </c>
      <c r="L228" s="4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IFERROR(__xludf.DUMMYFUNCTION("IMPORTRANGE(""https://docs.google.com/spreadsheets/d/1eHaY18a8A9IcSdp1K8H6x8fbOy06t2VsZHhMHf-1x7Y/edit?usp=sharing"",""แผน!AV28"")"),50000)</f>
        <v>50000</v>
      </c>
      <c r="J229" s="466">
        <v>0</v>
      </c>
      <c r="K229" s="497">
        <f ca="1">IF(I229&gt;0,J229*100/I229,0)</f>
        <v>0</v>
      </c>
      <c r="L229" s="465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IFERROR(__xludf.DUMMYFUNCTION("IMPORTRANGE(""https://docs.google.com/spreadsheets/d/1eHaY18a8A9IcSdp1K8H6x8fbOy06t2VsZHhMHf-1x7Y/edit?usp=sharing"",""แผน!AU28"")"),0)</f>
        <v>0</v>
      </c>
      <c r="J230" s="466">
        <v>0</v>
      </c>
      <c r="K230" s="497">
        <f ca="1">IF(I230&gt;0,J230*100/I230,0)</f>
        <v>0</v>
      </c>
      <c r="L230" s="465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3">
        <f ca="1">I242+I253</f>
        <v>0</v>
      </c>
      <c r="J231" s="303">
        <f>J242+J253</f>
        <v>0</v>
      </c>
      <c r="K231" s="304">
        <f ca="1">IF(I231&gt;0,J231*100/I231,0)</f>
        <v>0</v>
      </c>
      <c r="L231" s="557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472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652">
        <f ca="1">L243+L254</f>
        <v>0</v>
      </c>
      <c r="M232" s="45"/>
      <c r="N232" s="651">
        <f>N243+N254</f>
        <v>0</v>
      </c>
      <c r="O232" s="45"/>
      <c r="P232" s="45"/>
      <c r="Q232" s="45"/>
      <c r="R232" s="45"/>
      <c r="S232" s="45"/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469">
        <f ca="1">L244+L255</f>
        <v>0</v>
      </c>
      <c r="M233" s="45"/>
      <c r="N233" s="83">
        <f>N244+N255</f>
        <v>0</v>
      </c>
      <c r="O233" s="45"/>
      <c r="P233" s="45"/>
      <c r="Q233" s="46">
        <v>0</v>
      </c>
      <c r="R233" s="46">
        <v>0</v>
      </c>
      <c r="S233" s="46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469">
        <f ca="1">L245+L256</f>
        <v>0</v>
      </c>
      <c r="M234" s="45"/>
      <c r="N234" s="83">
        <f>N245+N256</f>
        <v>0</v>
      </c>
      <c r="O234" s="45"/>
      <c r="P234" s="45"/>
      <c r="Q234" s="46">
        <v>0</v>
      </c>
      <c r="R234" s="46">
        <v>0</v>
      </c>
      <c r="S234" s="46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469">
        <f ca="1">L246+L257</f>
        <v>0</v>
      </c>
      <c r="M235" s="45"/>
      <c r="N235" s="83">
        <f>N246+N257</f>
        <v>0</v>
      </c>
      <c r="O235" s="45"/>
      <c r="P235" s="45"/>
      <c r="Q235" s="46">
        <v>0</v>
      </c>
      <c r="R235" s="46">
        <v>0</v>
      </c>
      <c r="S235" s="46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469">
        <f ca="1">L247+L258</f>
        <v>0</v>
      </c>
      <c r="M236" s="45"/>
      <c r="N236" s="83">
        <f>N247+N258</f>
        <v>0</v>
      </c>
      <c r="O236" s="45"/>
      <c r="P236" s="45"/>
      <c r="Q236" s="46">
        <v>0</v>
      </c>
      <c r="R236" s="46">
        <v>0</v>
      </c>
      <c r="S236" s="46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498" t="s">
        <v>38</v>
      </c>
      <c r="E237" s="141"/>
      <c r="F237" s="141"/>
      <c r="G237" s="142"/>
      <c r="H237" s="143"/>
      <c r="I237" s="135"/>
      <c r="J237" s="44"/>
      <c r="K237" s="45"/>
      <c r="L237" s="465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465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465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465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465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649" t="s">
        <v>111</v>
      </c>
      <c r="D242" s="214"/>
      <c r="E242" s="214"/>
      <c r="F242" s="214"/>
      <c r="G242" s="215"/>
      <c r="H242" s="648" t="s">
        <v>35</v>
      </c>
      <c r="I242" s="647">
        <f ca="1">I249</f>
        <v>0</v>
      </c>
      <c r="J242" s="647">
        <f>J249</f>
        <v>0</v>
      </c>
      <c r="K242" s="646">
        <f ca="1">IF(I242&gt;0,J242*100/I242,0)</f>
        <v>0</v>
      </c>
      <c r="L242" s="557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527" t="s">
        <v>18</v>
      </c>
      <c r="D243" s="494" t="s">
        <v>19</v>
      </c>
      <c r="E243" s="40"/>
      <c r="F243" s="40"/>
      <c r="G243" s="42"/>
      <c r="H243" s="372" t="s">
        <v>14</v>
      </c>
      <c r="I243" s="135"/>
      <c r="J243" s="135"/>
      <c r="K243" s="136"/>
      <c r="L243" s="471">
        <f ca="1">L244+L245+L246+L247</f>
        <v>0</v>
      </c>
      <c r="M243" s="45"/>
      <c r="N243" s="470">
        <f>N244+N245+N246+N247</f>
        <v>0</v>
      </c>
      <c r="O243" s="470">
        <f ca="1">IF(L243&gt;0,N243*100/L243,0)</f>
        <v>0</v>
      </c>
      <c r="P243" s="470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468">
        <f ca="1">IFERROR(__xludf.DUMMYFUNCTION("IMPORTRANGE(""https://docs.google.com/spreadsheets/d/1eHaY18a8A9IcSdp1K8H6x8fbOy06t2VsZHhMHf-1x7Y/edit?usp=sharing"",""แผน!AX28"")"),0)</f>
        <v>0</v>
      </c>
      <c r="M244" s="45"/>
      <c r="N244" s="644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468">
        <f ca="1">IFERROR(__xludf.DUMMYFUNCTION("IMPORTRANGE(""https://docs.google.com/spreadsheets/d/1eHaY18a8A9IcSdp1K8H6x8fbOy06t2VsZHhMHf-1x7Y/edit?usp=sharing"",""แผน!AY28"")"),0)</f>
        <v>0</v>
      </c>
      <c r="M245" s="45"/>
      <c r="N245" s="644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468">
        <f ca="1">IFERROR(__xludf.DUMMYFUNCTION("IMPORTRANGE(""https://docs.google.com/spreadsheets/d/1eHaY18a8A9IcSdp1K8H6x8fbOy06t2VsZHhMHf-1x7Y/edit?usp=sharing"",""แผน!AZ28"")"),0)</f>
        <v>0</v>
      </c>
      <c r="M246" s="45"/>
      <c r="N246" s="644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468">
        <f ca="1">IFERROR(__xludf.DUMMYFUNCTION("IMPORTRANGE(""https://docs.google.com/spreadsheets/d/1eHaY18a8A9IcSdp1K8H6x8fbOy06t2VsZHhMHf-1x7Y/edit?usp=sharing"",""แผน!BA28"")"),0)</f>
        <v>0</v>
      </c>
      <c r="M247" s="45"/>
      <c r="N247" s="644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643" t="s">
        <v>18</v>
      </c>
      <c r="D248" s="509" t="s">
        <v>38</v>
      </c>
      <c r="E248" s="141"/>
      <c r="F248" s="141"/>
      <c r="G248" s="142"/>
      <c r="H248" s="143"/>
      <c r="I248" s="135"/>
      <c r="J248" s="44"/>
      <c r="K248" s="45"/>
      <c r="L248" s="465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640" t="s">
        <v>35</v>
      </c>
      <c r="I249" s="430">
        <f ca="1">IFERROR(__xludf.DUMMYFUNCTION("IMPORTRANGE(""https://docs.google.com/spreadsheets/d/1eHaY18a8A9IcSdp1K8H6x8fbOy06t2VsZHhMHf-1x7Y/edit?usp=sharing"",""แผน!BG28"")"),0)</f>
        <v>0</v>
      </c>
      <c r="J249" s="525">
        <v>0</v>
      </c>
      <c r="K249" s="83">
        <f ca="1">IF(I249&gt;0,J249*100/I249,0)</f>
        <v>0</v>
      </c>
      <c r="L249" s="465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642" t="s">
        <v>43</v>
      </c>
      <c r="E250" s="145"/>
      <c r="F250" s="145"/>
      <c r="G250" s="143"/>
      <c r="H250" s="143"/>
      <c r="I250" s="44"/>
      <c r="J250" s="44"/>
      <c r="K250" s="45"/>
      <c r="L250" s="465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1" t="s">
        <v>109</v>
      </c>
      <c r="F251" s="145"/>
      <c r="G251" s="143"/>
      <c r="H251" s="640" t="s">
        <v>35</v>
      </c>
      <c r="I251" s="430">
        <v>0</v>
      </c>
      <c r="J251" s="525">
        <v>0</v>
      </c>
      <c r="K251" s="83">
        <f>IF(I251&gt;0,J251*100/I251,0)</f>
        <v>0</v>
      </c>
      <c r="L251" s="465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641" t="s">
        <v>110</v>
      </c>
      <c r="F252" s="145"/>
      <c r="G252" s="143"/>
      <c r="H252" s="640" t="s">
        <v>61</v>
      </c>
      <c r="I252" s="430">
        <v>0</v>
      </c>
      <c r="J252" s="525">
        <v>0</v>
      </c>
      <c r="K252" s="83">
        <f>IF(I252&gt;0,J252*100/I252,0)</f>
        <v>0</v>
      </c>
      <c r="L252" s="465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649" t="s">
        <v>112</v>
      </c>
      <c r="D253" s="214"/>
      <c r="E253" s="214"/>
      <c r="F253" s="214"/>
      <c r="G253" s="215"/>
      <c r="H253" s="648" t="s">
        <v>35</v>
      </c>
      <c r="I253" s="647">
        <f ca="1">I260</f>
        <v>0</v>
      </c>
      <c r="J253" s="647">
        <f>J260</f>
        <v>0</v>
      </c>
      <c r="K253" s="646">
        <f ca="1">IF(I253&gt;0,J253*100/I253,0)</f>
        <v>0</v>
      </c>
      <c r="L253" s="557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527" t="s">
        <v>18</v>
      </c>
      <c r="D254" s="645" t="s">
        <v>19</v>
      </c>
      <c r="E254" s="40"/>
      <c r="F254" s="40"/>
      <c r="G254" s="42"/>
      <c r="H254" s="372" t="s">
        <v>14</v>
      </c>
      <c r="I254" s="135"/>
      <c r="J254" s="135"/>
      <c r="K254" s="136"/>
      <c r="L254" s="471">
        <f ca="1">L255+L256+L257+L258</f>
        <v>0</v>
      </c>
      <c r="M254" s="45"/>
      <c r="N254" s="470">
        <f>N255+N256+N257+N258</f>
        <v>0</v>
      </c>
      <c r="O254" s="470">
        <f ca="1">IF(L254&gt;0,N254*100/L254,0)</f>
        <v>0</v>
      </c>
      <c r="P254" s="470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468">
        <f ca="1">IFERROR(__xludf.DUMMYFUNCTION("IMPORTRANGE(""https://docs.google.com/spreadsheets/d/1eHaY18a8A9IcSdp1K8H6x8fbOy06t2VsZHhMHf-1x7Y/edit?usp=sharing"",""แผน!BB28"")"),0)</f>
        <v>0</v>
      </c>
      <c r="M255" s="45"/>
      <c r="N255" s="644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468">
        <f ca="1">IFERROR(__xludf.DUMMYFUNCTION("IMPORTRANGE(""https://docs.google.com/spreadsheets/d/1eHaY18a8A9IcSdp1K8H6x8fbOy06t2VsZHhMHf-1x7Y/edit?usp=sharing"",""แผน!BC28"")"),0)</f>
        <v>0</v>
      </c>
      <c r="M256" s="45"/>
      <c r="N256" s="644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468">
        <f ca="1">IFERROR(__xludf.DUMMYFUNCTION("IMPORTRANGE(""https://docs.google.com/spreadsheets/d/1eHaY18a8A9IcSdp1K8H6x8fbOy06t2VsZHhMHf-1x7Y/edit?usp=sharing"",""แผน!BD28"")"),0)</f>
        <v>0</v>
      </c>
      <c r="M257" s="45"/>
      <c r="N257" s="644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468">
        <f ca="1">IFERROR(__xludf.DUMMYFUNCTION("IMPORTRANGE(""https://docs.google.com/spreadsheets/d/1eHaY18a8A9IcSdp1K8H6x8fbOy06t2VsZHhMHf-1x7Y/edit?usp=sharing"",""แผน!BE28"")"),0)</f>
        <v>0</v>
      </c>
      <c r="M258" s="45"/>
      <c r="N258" s="644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643" t="s">
        <v>18</v>
      </c>
      <c r="D259" s="509" t="s">
        <v>38</v>
      </c>
      <c r="E259" s="141"/>
      <c r="F259" s="141"/>
      <c r="G259" s="142"/>
      <c r="H259" s="143"/>
      <c r="I259" s="135"/>
      <c r="J259" s="44"/>
      <c r="K259" s="45"/>
      <c r="L259" s="465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640" t="s">
        <v>35</v>
      </c>
      <c r="I260" s="430">
        <f ca="1">IFERROR(__xludf.DUMMYFUNCTION("IMPORTRANGE(""https://docs.google.com/spreadsheets/d/1eHaY18a8A9IcSdp1K8H6x8fbOy06t2VsZHhMHf-1x7Y/edit?usp=sharing"",""แผน!BH28"")"),0)</f>
        <v>0</v>
      </c>
      <c r="J260" s="525">
        <v>0</v>
      </c>
      <c r="K260" s="83">
        <f ca="1">IF(I260&gt;0,J260*100/I260,0)</f>
        <v>0</v>
      </c>
      <c r="L260" s="465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642" t="s">
        <v>43</v>
      </c>
      <c r="E261" s="145"/>
      <c r="F261" s="145"/>
      <c r="G261" s="143"/>
      <c r="H261" s="143"/>
      <c r="I261" s="44"/>
      <c r="J261" s="44"/>
      <c r="K261" s="45"/>
      <c r="L261" s="465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1" t="s">
        <v>109</v>
      </c>
      <c r="F262" s="145"/>
      <c r="G262" s="143"/>
      <c r="H262" s="640" t="s">
        <v>35</v>
      </c>
      <c r="I262" s="44"/>
      <c r="J262" s="525">
        <v>0</v>
      </c>
      <c r="K262" s="83">
        <f>IF(I262&gt;0,J262*100/I262,0)</f>
        <v>0</v>
      </c>
      <c r="L262" s="465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641" t="s">
        <v>110</v>
      </c>
      <c r="F263" s="145"/>
      <c r="G263" s="143"/>
      <c r="H263" s="640" t="s">
        <v>61</v>
      </c>
      <c r="I263" s="44"/>
      <c r="J263" s="525">
        <v>0</v>
      </c>
      <c r="K263" s="83">
        <f>IF(I263&gt;0,J263*100/I263,0)</f>
        <v>0</v>
      </c>
      <c r="L263" s="465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639" t="s">
        <v>113</v>
      </c>
      <c r="B264" s="638"/>
      <c r="C264" s="638"/>
      <c r="D264" s="637"/>
      <c r="E264" s="637"/>
      <c r="F264" s="637"/>
      <c r="G264" s="636"/>
      <c r="H264" s="636"/>
      <c r="I264" s="635"/>
      <c r="J264" s="635"/>
      <c r="K264" s="633"/>
      <c r="L264" s="634"/>
      <c r="M264" s="633"/>
      <c r="N264" s="633"/>
      <c r="O264" s="633"/>
      <c r="P264" s="633"/>
      <c r="Q264" s="633"/>
      <c r="R264" s="633"/>
      <c r="S264" s="633"/>
      <c r="T264" s="633"/>
      <c r="U264" s="633"/>
    </row>
    <row r="265" spans="1:21" ht="19.5" x14ac:dyDescent="0.3">
      <c r="A265" s="632"/>
      <c r="B265" s="631" t="s">
        <v>114</v>
      </c>
      <c r="C265" s="630"/>
      <c r="D265" s="603"/>
      <c r="E265" s="603"/>
      <c r="F265" s="603"/>
      <c r="G265" s="602"/>
      <c r="H265" s="629" t="s">
        <v>35</v>
      </c>
      <c r="I265" s="628">
        <f ca="1">I276</f>
        <v>24</v>
      </c>
      <c r="J265" s="628">
        <f>J276</f>
        <v>24</v>
      </c>
      <c r="K265" s="627">
        <f ca="1">IF(I265&gt;0,J265*100/I265,0)</f>
        <v>100</v>
      </c>
      <c r="L265" s="626"/>
      <c r="M265" s="625"/>
      <c r="N265" s="625"/>
      <c r="O265" s="625"/>
      <c r="P265" s="625"/>
      <c r="Q265" s="625"/>
      <c r="R265" s="625"/>
      <c r="S265" s="625"/>
      <c r="T265" s="625"/>
      <c r="U265" s="625"/>
    </row>
    <row r="266" spans="1:21" ht="19.5" x14ac:dyDescent="0.3">
      <c r="A266" s="610"/>
      <c r="B266" s="609"/>
      <c r="C266" s="624" t="s">
        <v>18</v>
      </c>
      <c r="D266" s="623" t="s">
        <v>19</v>
      </c>
      <c r="E266" s="609"/>
      <c r="F266" s="609"/>
      <c r="G266" s="608"/>
      <c r="H266" s="622" t="s">
        <v>14</v>
      </c>
      <c r="I266" s="479"/>
      <c r="J266" s="479"/>
      <c r="K266" s="476"/>
      <c r="L266" s="621">
        <f ca="1">L267+L268</f>
        <v>0</v>
      </c>
      <c r="M266" s="620">
        <f ca="1">M267+M268</f>
        <v>5000</v>
      </c>
      <c r="N266" s="620">
        <f ca="1">N267+N268</f>
        <v>0</v>
      </c>
      <c r="O266" s="620">
        <f t="shared" ref="O266:O274" ca="1" si="65">IF(L266&gt;0,N266*100/L266,0)</f>
        <v>0</v>
      </c>
      <c r="P266" s="620">
        <f t="shared" ref="P266:P274" ca="1" si="66">IF(M266&gt;0,N266*100/M266,0)</f>
        <v>0</v>
      </c>
      <c r="Q266" s="620">
        <f ca="1">Q267+Q268</f>
        <v>53440</v>
      </c>
      <c r="R266" s="620">
        <f ca="1">R267+R268</f>
        <v>53440</v>
      </c>
      <c r="S266" s="620">
        <f ca="1">S267+S268</f>
        <v>20056</v>
      </c>
      <c r="T266" s="620">
        <f t="shared" ref="T266:T274" ca="1" si="67">IF(Q266&gt;0,S266*100/Q266,0)</f>
        <v>37.529940119760482</v>
      </c>
      <c r="U266" s="620">
        <f t="shared" ref="U266:U274" ca="1" si="68">IF(R266&gt;0,S266*100/R266,0)</f>
        <v>37.529940119760482</v>
      </c>
    </row>
    <row r="267" spans="1:21" ht="18.75" hidden="1" x14ac:dyDescent="0.25">
      <c r="A267" s="615"/>
      <c r="B267" s="614"/>
      <c r="C267" s="614"/>
      <c r="D267" s="614"/>
      <c r="E267" s="156" t="s">
        <v>20</v>
      </c>
      <c r="F267" s="614"/>
      <c r="G267" s="613"/>
      <c r="H267" s="157" t="s">
        <v>14</v>
      </c>
      <c r="I267" s="619"/>
      <c r="J267" s="619"/>
      <c r="K267" s="618"/>
      <c r="L267" s="469">
        <f t="shared" ref="L267:N268" si="69">L270+L273</f>
        <v>0</v>
      </c>
      <c r="M267" s="83">
        <f t="shared" si="69"/>
        <v>0</v>
      </c>
      <c r="N267" s="83">
        <f t="shared" si="69"/>
        <v>0</v>
      </c>
      <c r="O267" s="83">
        <f t="shared" si="65"/>
        <v>0</v>
      </c>
      <c r="P267" s="83">
        <f t="shared" si="66"/>
        <v>0</v>
      </c>
      <c r="Q267" s="83">
        <f t="shared" ref="Q267:S268" si="70">Q270+Q273</f>
        <v>0</v>
      </c>
      <c r="R267" s="83">
        <f t="shared" si="70"/>
        <v>0</v>
      </c>
      <c r="S267" s="83">
        <f t="shared" si="70"/>
        <v>0</v>
      </c>
      <c r="T267" s="83">
        <f t="shared" si="67"/>
        <v>0</v>
      </c>
      <c r="U267" s="83">
        <f t="shared" si="68"/>
        <v>0</v>
      </c>
    </row>
    <row r="268" spans="1:21" ht="18.75" hidden="1" x14ac:dyDescent="0.25">
      <c r="A268" s="610"/>
      <c r="B268" s="609"/>
      <c r="C268" s="609"/>
      <c r="D268" s="609"/>
      <c r="E268" s="605" t="s">
        <v>21</v>
      </c>
      <c r="F268" s="609"/>
      <c r="G268" s="608"/>
      <c r="H268" s="480" t="s">
        <v>14</v>
      </c>
      <c r="I268" s="479"/>
      <c r="J268" s="479"/>
      <c r="K268" s="476"/>
      <c r="L268" s="606">
        <f t="shared" ca="1" si="69"/>
        <v>0</v>
      </c>
      <c r="M268" s="486">
        <f t="shared" ca="1" si="69"/>
        <v>5000</v>
      </c>
      <c r="N268" s="486">
        <f t="shared" ca="1" si="69"/>
        <v>0</v>
      </c>
      <c r="O268" s="486">
        <f t="shared" ca="1" si="65"/>
        <v>0</v>
      </c>
      <c r="P268" s="486">
        <f t="shared" ca="1" si="66"/>
        <v>0</v>
      </c>
      <c r="Q268" s="486">
        <f t="shared" ca="1" si="70"/>
        <v>53440</v>
      </c>
      <c r="R268" s="486">
        <f t="shared" ca="1" si="70"/>
        <v>53440</v>
      </c>
      <c r="S268" s="486">
        <f t="shared" ca="1" si="70"/>
        <v>20056</v>
      </c>
      <c r="T268" s="486">
        <f t="shared" ca="1" si="67"/>
        <v>37.529940119760482</v>
      </c>
      <c r="U268" s="486">
        <f t="shared" ca="1" si="68"/>
        <v>37.529940119760482</v>
      </c>
    </row>
    <row r="269" spans="1:21" ht="18.75" x14ac:dyDescent="0.25">
      <c r="A269" s="610"/>
      <c r="B269" s="609"/>
      <c r="C269" s="609"/>
      <c r="D269" s="616" t="s">
        <v>22</v>
      </c>
      <c r="E269" s="609"/>
      <c r="F269" s="609"/>
      <c r="G269" s="608"/>
      <c r="H269" s="617" t="s">
        <v>14</v>
      </c>
      <c r="I269" s="601"/>
      <c r="J269" s="601"/>
      <c r="K269" s="599"/>
      <c r="L269" s="606">
        <f ca="1">L270+L271</f>
        <v>0</v>
      </c>
      <c r="M269" s="486">
        <f ca="1">M270+M271</f>
        <v>5000</v>
      </c>
      <c r="N269" s="486">
        <f ca="1">N270+N271</f>
        <v>0</v>
      </c>
      <c r="O269" s="486">
        <f t="shared" ca="1" si="65"/>
        <v>0</v>
      </c>
      <c r="P269" s="486">
        <f t="shared" ca="1" si="66"/>
        <v>0</v>
      </c>
      <c r="Q269" s="486">
        <f ca="1">Q270+Q271</f>
        <v>53440</v>
      </c>
      <c r="R269" s="486">
        <f ca="1">R270+R271</f>
        <v>53440</v>
      </c>
      <c r="S269" s="486">
        <f ca="1">S270+S271</f>
        <v>20056</v>
      </c>
      <c r="T269" s="486">
        <f t="shared" ca="1" si="67"/>
        <v>37.529940119760482</v>
      </c>
      <c r="U269" s="486">
        <f t="shared" ca="1" si="68"/>
        <v>37.529940119760482</v>
      </c>
    </row>
    <row r="270" spans="1:21" ht="18.75" hidden="1" x14ac:dyDescent="0.25">
      <c r="A270" s="615"/>
      <c r="B270" s="614"/>
      <c r="C270" s="614"/>
      <c r="D270" s="614"/>
      <c r="E270" s="156" t="s">
        <v>36</v>
      </c>
      <c r="F270" s="614"/>
      <c r="G270" s="613"/>
      <c r="H270" s="159" t="s">
        <v>14</v>
      </c>
      <c r="I270" s="612"/>
      <c r="J270" s="612"/>
      <c r="K270" s="611"/>
      <c r="L270" s="469">
        <v>0</v>
      </c>
      <c r="M270" s="83">
        <v>0</v>
      </c>
      <c r="N270" s="83">
        <v>0</v>
      </c>
      <c r="O270" s="83">
        <f t="shared" si="65"/>
        <v>0</v>
      </c>
      <c r="P270" s="83">
        <f t="shared" si="66"/>
        <v>0</v>
      </c>
      <c r="Q270" s="83">
        <v>0</v>
      </c>
      <c r="R270" s="83">
        <v>0</v>
      </c>
      <c r="S270" s="83">
        <v>0</v>
      </c>
      <c r="T270" s="83">
        <f t="shared" si="67"/>
        <v>0</v>
      </c>
      <c r="U270" s="83">
        <f t="shared" si="68"/>
        <v>0</v>
      </c>
    </row>
    <row r="271" spans="1:21" ht="18.75" hidden="1" x14ac:dyDescent="0.25">
      <c r="A271" s="610"/>
      <c r="B271" s="609"/>
      <c r="C271" s="609"/>
      <c r="D271" s="609"/>
      <c r="E271" s="605" t="s">
        <v>37</v>
      </c>
      <c r="F271" s="609"/>
      <c r="G271" s="608"/>
      <c r="H271" s="617" t="s">
        <v>14</v>
      </c>
      <c r="I271" s="601"/>
      <c r="J271" s="601"/>
      <c r="K271" s="599"/>
      <c r="L271" s="606">
        <f ca="1">IFERROR(__xludf.DUMMYFUNCTION("IMPORTRANGE(""https://docs.google.com/spreadsheets/d/1-uDff_7J0KD5mKrp0Vvzr7lt3OU09vwQwhkpOPPYv2Y/edit?usp=sharing"",""งบพรบ!DE28"")"),0)</f>
        <v>0</v>
      </c>
      <c r="M271" s="486">
        <f ca="1">IFERROR(__xludf.DUMMYFUNCTION("IMPORTRANGE(""https://docs.google.com/spreadsheets/d/1-uDff_7J0KD5mKrp0Vvzr7lt3OU09vwQwhkpOPPYv2Y/edit?usp=sharing"",""งบพรบ!DJ28"")"),5000)</f>
        <v>5000</v>
      </c>
      <c r="N271" s="486">
        <f ca="1">IFERROR(__xludf.DUMMYFUNCTION("IMPORTRANGE(""https://docs.google.com/spreadsheets/d/1-uDff_7J0KD5mKrp0Vvzr7lt3OU09vwQwhkpOPPYv2Y/edit?usp=sharing"",""งบพรบ!DL28"")"),0)</f>
        <v>0</v>
      </c>
      <c r="O271" s="486">
        <f t="shared" ca="1" si="65"/>
        <v>0</v>
      </c>
      <c r="P271" s="486">
        <f t="shared" ca="1" si="66"/>
        <v>0</v>
      </c>
      <c r="Q271" s="486">
        <f ca="1">IFERROR(__xludf.DUMMYFUNCTION("IMPORTRANGE(""https://docs.google.com/spreadsheets/d/1ItG2mGa2ceCfYo0BwxsXqNm01IGEUdYcSSLTEv9YCik/edit?usp=sharing"",""เบิกจ่ายกองทุน!AJ28"")"),53440)</f>
        <v>53440</v>
      </c>
      <c r="R271" s="486">
        <f ca="1">IFERROR(__xludf.DUMMYFUNCTION("IMPORTRANGE(""https://docs.google.com/spreadsheets/d/1ItG2mGa2ceCfYo0BwxsXqNm01IGEUdYcSSLTEv9YCik/edit?usp=sharing"",""เบิกจ่ายกองทุน!AK28"")"),53440)</f>
        <v>53440</v>
      </c>
      <c r="S271" s="486">
        <f ca="1">IFERROR(__xludf.DUMMYFUNCTION("IMPORTRANGE(""https://docs.google.com/spreadsheets/d/1ItG2mGa2ceCfYo0BwxsXqNm01IGEUdYcSSLTEv9YCik/edit?usp=sharing"",""เบิกจ่ายกองทุน!AL28"")"),20056)</f>
        <v>20056</v>
      </c>
      <c r="T271" s="486">
        <f t="shared" ca="1" si="67"/>
        <v>37.529940119760482</v>
      </c>
      <c r="U271" s="486">
        <f t="shared" ca="1" si="68"/>
        <v>37.529940119760482</v>
      </c>
    </row>
    <row r="272" spans="1:21" ht="18.75" x14ac:dyDescent="0.25">
      <c r="A272" s="610"/>
      <c r="B272" s="609"/>
      <c r="C272" s="609"/>
      <c r="D272" s="616" t="s">
        <v>23</v>
      </c>
      <c r="E272" s="609"/>
      <c r="F272" s="609"/>
      <c r="G272" s="608"/>
      <c r="H272" s="607" t="s">
        <v>14</v>
      </c>
      <c r="I272" s="601"/>
      <c r="J272" s="601"/>
      <c r="K272" s="599"/>
      <c r="L272" s="606">
        <f ca="1">L273+L274</f>
        <v>0</v>
      </c>
      <c r="M272" s="486">
        <f ca="1">M273+M274</f>
        <v>0</v>
      </c>
      <c r="N272" s="486">
        <f ca="1">N273+N274</f>
        <v>0</v>
      </c>
      <c r="O272" s="486">
        <f t="shared" ca="1" si="65"/>
        <v>0</v>
      </c>
      <c r="P272" s="486">
        <f t="shared" ca="1" si="66"/>
        <v>0</v>
      </c>
      <c r="Q272" s="486">
        <f>Q273+Q274</f>
        <v>0</v>
      </c>
      <c r="R272" s="486">
        <f>R273+R274</f>
        <v>0</v>
      </c>
      <c r="S272" s="486">
        <f>S273+S274</f>
        <v>0</v>
      </c>
      <c r="T272" s="486">
        <f t="shared" si="67"/>
        <v>0</v>
      </c>
      <c r="U272" s="486">
        <f t="shared" si="68"/>
        <v>0</v>
      </c>
    </row>
    <row r="273" spans="1:21" ht="18.75" hidden="1" x14ac:dyDescent="0.25">
      <c r="A273" s="615"/>
      <c r="B273" s="614"/>
      <c r="C273" s="614"/>
      <c r="D273" s="614"/>
      <c r="E273" s="156" t="s">
        <v>20</v>
      </c>
      <c r="F273" s="614"/>
      <c r="G273" s="613"/>
      <c r="H273" s="159" t="s">
        <v>14</v>
      </c>
      <c r="I273" s="612"/>
      <c r="J273" s="612"/>
      <c r="K273" s="611"/>
      <c r="L273" s="469">
        <v>0</v>
      </c>
      <c r="M273" s="83">
        <v>0</v>
      </c>
      <c r="N273" s="83">
        <v>0</v>
      </c>
      <c r="O273" s="83">
        <f t="shared" si="65"/>
        <v>0</v>
      </c>
      <c r="P273" s="83">
        <f t="shared" si="66"/>
        <v>0</v>
      </c>
      <c r="Q273" s="83">
        <v>0</v>
      </c>
      <c r="R273" s="83">
        <v>0</v>
      </c>
      <c r="S273" s="83">
        <v>0</v>
      </c>
      <c r="T273" s="83">
        <f t="shared" si="67"/>
        <v>0</v>
      </c>
      <c r="U273" s="83">
        <f t="shared" si="68"/>
        <v>0</v>
      </c>
    </row>
    <row r="274" spans="1:21" ht="18.75" hidden="1" x14ac:dyDescent="0.25">
      <c r="A274" s="610"/>
      <c r="B274" s="609"/>
      <c r="C274" s="609"/>
      <c r="D274" s="609"/>
      <c r="E274" s="605" t="s">
        <v>21</v>
      </c>
      <c r="F274" s="609"/>
      <c r="G274" s="608"/>
      <c r="H274" s="607" t="s">
        <v>14</v>
      </c>
      <c r="I274" s="601"/>
      <c r="J274" s="601"/>
      <c r="K274" s="599"/>
      <c r="L274" s="606">
        <f ca="1">IFERROR(__xludf.DUMMYFUNCTION("IMPORTRANGE(""https://docs.google.com/spreadsheets/d/1-uDff_7J0KD5mKrp0Vvzr7lt3OU09vwQwhkpOPPYv2Y/edit?usp=sharing"",""งบพรบ!DH28"")"),0)</f>
        <v>0</v>
      </c>
      <c r="M274" s="486">
        <f ca="1">IFERROR(__xludf.DUMMYFUNCTION("IMPORTRANGE(""https://docs.google.com/spreadsheets/d/1-uDff_7J0KD5mKrp0Vvzr7lt3OU09vwQwhkpOPPYv2Y/edit?usp=sharing"",""งบพรบ!DK28"")"),0)</f>
        <v>0</v>
      </c>
      <c r="N274" s="486">
        <f ca="1">IFERROR(__xludf.DUMMYFUNCTION("IMPORTRANGE(""https://docs.google.com/spreadsheets/d/1-uDff_7J0KD5mKrp0Vvzr7lt3OU09vwQwhkpOPPYv2Y/edit?usp=sharing"",""งบพรบ!DM28"")"),0)</f>
        <v>0</v>
      </c>
      <c r="O274" s="486">
        <f t="shared" ca="1" si="65"/>
        <v>0</v>
      </c>
      <c r="P274" s="486">
        <f t="shared" ca="1" si="66"/>
        <v>0</v>
      </c>
      <c r="Q274" s="486">
        <v>0</v>
      </c>
      <c r="R274" s="486">
        <v>0</v>
      </c>
      <c r="S274" s="486">
        <v>0</v>
      </c>
      <c r="T274" s="486">
        <f t="shared" si="67"/>
        <v>0</v>
      </c>
      <c r="U274" s="486">
        <f t="shared" si="68"/>
        <v>0</v>
      </c>
    </row>
    <row r="275" spans="1:21" ht="19.5" x14ac:dyDescent="0.3">
      <c r="A275" s="485"/>
      <c r="B275" s="484"/>
      <c r="C275" s="605" t="s">
        <v>18</v>
      </c>
      <c r="D275" s="604" t="s">
        <v>38</v>
      </c>
      <c r="E275" s="603"/>
      <c r="F275" s="603"/>
      <c r="G275" s="602"/>
      <c r="H275" s="481"/>
      <c r="I275" s="601"/>
      <c r="J275" s="601"/>
      <c r="K275" s="599"/>
      <c r="L275" s="600"/>
      <c r="M275" s="599"/>
      <c r="N275" s="599"/>
      <c r="O275" s="599"/>
      <c r="P275" s="599"/>
      <c r="Q275" s="599"/>
      <c r="R275" s="599"/>
      <c r="S275" s="599"/>
      <c r="T275" s="599"/>
      <c r="U275" s="599"/>
    </row>
    <row r="276" spans="1:21" ht="18.75" x14ac:dyDescent="0.25">
      <c r="A276" s="598"/>
      <c r="B276" s="597"/>
      <c r="C276" s="597"/>
      <c r="D276" s="596" t="s">
        <v>115</v>
      </c>
      <c r="E276" s="595"/>
      <c r="F276" s="595"/>
      <c r="G276" s="594"/>
      <c r="H276" s="593" t="s">
        <v>35</v>
      </c>
      <c r="I276" s="592">
        <f ca="1">IFERROR(__xludf.DUMMYFUNCTION("IMPORTRANGE(""https://docs.google.com/spreadsheets/d/1eHaY18a8A9IcSdp1K8H6x8fbOy06t2VsZHhMHf-1x7Y/edit?usp=sharing"",""แผน!EC28"")"),24)</f>
        <v>24</v>
      </c>
      <c r="J276" s="444">
        <v>24</v>
      </c>
      <c r="K276" s="591">
        <f ca="1">IF(I276&gt;0,J276*100/I276,0)</f>
        <v>100</v>
      </c>
      <c r="L276" s="465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590" t="s">
        <v>116</v>
      </c>
      <c r="E277" s="252"/>
      <c r="F277" s="252"/>
      <c r="G277" s="253"/>
      <c r="H277" s="589" t="s">
        <v>35</v>
      </c>
      <c r="I277" s="433">
        <v>0</v>
      </c>
      <c r="J277" s="433">
        <v>0</v>
      </c>
      <c r="K277" s="588">
        <v>0</v>
      </c>
      <c r="L277" s="587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58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585">
        <f ca="1">I293</f>
        <v>20</v>
      </c>
      <c r="J280" s="585">
        <f>J293</f>
        <v>20</v>
      </c>
      <c r="K280" s="584">
        <f ca="1">IF(I280&gt;0,J280*100/I280,0)</f>
        <v>100</v>
      </c>
      <c r="L280" s="583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585">
        <f ca="1">I292</f>
        <v>200</v>
      </c>
      <c r="J281" s="585">
        <f>J292</f>
        <v>200</v>
      </c>
      <c r="K281" s="584">
        <f ca="1">IF(I281&gt;0,J281*100/I281,0)</f>
        <v>100</v>
      </c>
      <c r="L281" s="583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472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471">
        <f ca="1">L283+L284</f>
        <v>155220</v>
      </c>
      <c r="M282" s="470">
        <f ca="1">M283+M284</f>
        <v>155220</v>
      </c>
      <c r="N282" s="470">
        <f ca="1">N283+N284</f>
        <v>120009</v>
      </c>
      <c r="O282" s="470">
        <f t="shared" ref="O282:O290" ca="1" si="71">IF(L282&gt;0,N282*100/L282,0)</f>
        <v>77.315423270197144</v>
      </c>
      <c r="P282" s="470">
        <f t="shared" ref="P282:P290" ca="1" si="72">IF(M282&gt;0,N282*100/M282,0)</f>
        <v>77.315423270197144</v>
      </c>
      <c r="Q282" s="470">
        <f>Q283+Q284</f>
        <v>0</v>
      </c>
      <c r="R282" s="470">
        <f>R283+R284</f>
        <v>0</v>
      </c>
      <c r="S282" s="470">
        <f>S283+S284</f>
        <v>0</v>
      </c>
      <c r="T282" s="470">
        <f t="shared" ref="T282:T290" si="73">IF(Q282&gt;0,S282*100/Q282,0)</f>
        <v>0</v>
      </c>
      <c r="U282" s="470">
        <f t="shared" ref="U282:U290" si="74"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469">
        <f t="shared" ref="L283:N284" si="75">L286+L289</f>
        <v>0</v>
      </c>
      <c r="M283" s="83">
        <f t="shared" si="75"/>
        <v>0</v>
      </c>
      <c r="N283" s="83">
        <f t="shared" si="75"/>
        <v>0</v>
      </c>
      <c r="O283" s="83">
        <f t="shared" si="71"/>
        <v>0</v>
      </c>
      <c r="P283" s="83">
        <f t="shared" si="72"/>
        <v>0</v>
      </c>
      <c r="Q283" s="83">
        <f t="shared" ref="Q283:S284" si="76">Q286+Q289</f>
        <v>0</v>
      </c>
      <c r="R283" s="83">
        <f t="shared" si="76"/>
        <v>0</v>
      </c>
      <c r="S283" s="83">
        <f t="shared" si="76"/>
        <v>0</v>
      </c>
      <c r="T283" s="83">
        <f t="shared" si="73"/>
        <v>0</v>
      </c>
      <c r="U283" s="83">
        <f t="shared" si="74"/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468">
        <f t="shared" ca="1" si="75"/>
        <v>155220</v>
      </c>
      <c r="M284" s="224">
        <f t="shared" ca="1" si="75"/>
        <v>155220</v>
      </c>
      <c r="N284" s="224">
        <f t="shared" ca="1" si="75"/>
        <v>120009</v>
      </c>
      <c r="O284" s="224">
        <f t="shared" ca="1" si="71"/>
        <v>77.315423270197144</v>
      </c>
      <c r="P284" s="224">
        <f t="shared" ca="1" si="72"/>
        <v>77.315423270197144</v>
      </c>
      <c r="Q284" s="224">
        <f t="shared" si="76"/>
        <v>0</v>
      </c>
      <c r="R284" s="224">
        <f t="shared" si="76"/>
        <v>0</v>
      </c>
      <c r="S284" s="224">
        <f t="shared" si="76"/>
        <v>0</v>
      </c>
      <c r="T284" s="224">
        <f t="shared" si="73"/>
        <v>0</v>
      </c>
      <c r="U284" s="224">
        <f t="shared" si="74"/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468">
        <f ca="1">L286+L287</f>
        <v>155220</v>
      </c>
      <c r="M285" s="224">
        <f ca="1">M286+M287</f>
        <v>155220</v>
      </c>
      <c r="N285" s="224">
        <f ca="1">N286+N287</f>
        <v>120009</v>
      </c>
      <c r="O285" s="224">
        <f t="shared" ca="1" si="71"/>
        <v>77.315423270197144</v>
      </c>
      <c r="P285" s="224">
        <f t="shared" ca="1" si="72"/>
        <v>77.315423270197144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 t="shared" si="73"/>
        <v>0</v>
      </c>
      <c r="U285" s="224">
        <f t="shared" si="74"/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469">
        <v>0</v>
      </c>
      <c r="M286" s="83">
        <v>0</v>
      </c>
      <c r="N286" s="83">
        <v>0</v>
      </c>
      <c r="O286" s="83">
        <f t="shared" si="71"/>
        <v>0</v>
      </c>
      <c r="P286" s="83">
        <f t="shared" si="72"/>
        <v>0</v>
      </c>
      <c r="Q286" s="83">
        <v>0</v>
      </c>
      <c r="R286" s="83">
        <v>0</v>
      </c>
      <c r="S286" s="83">
        <v>0</v>
      </c>
      <c r="T286" s="83">
        <f t="shared" si="73"/>
        <v>0</v>
      </c>
      <c r="U286" s="83">
        <f t="shared" si="74"/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468">
        <f ca="1">IFERROR(__xludf.DUMMYFUNCTION("IMPORTRANGE(""https://docs.google.com/spreadsheets/d/1-uDff_7J0KD5mKrp0Vvzr7lt3OU09vwQwhkpOPPYv2Y/edit?usp=sharing"",""งบพรบ!DO28"")"),155220)</f>
        <v>155220</v>
      </c>
      <c r="M287" s="224">
        <f ca="1">IFERROR(__xludf.DUMMYFUNCTION("IMPORTRANGE(""https://docs.google.com/spreadsheets/d/1-uDff_7J0KD5mKrp0Vvzr7lt3OU09vwQwhkpOPPYv2Y/edit?usp=sharing"",""งบพรบ!DT28"")"),155220)</f>
        <v>155220</v>
      </c>
      <c r="N287" s="224">
        <f ca="1">IFERROR(__xludf.DUMMYFUNCTION("IMPORTRANGE(""https://docs.google.com/spreadsheets/d/1-uDff_7J0KD5mKrp0Vvzr7lt3OU09vwQwhkpOPPYv2Y/edit?usp=sharing"",""งบพรบ!DV28"")"),120009)</f>
        <v>120009</v>
      </c>
      <c r="O287" s="224">
        <f t="shared" ca="1" si="71"/>
        <v>77.315423270197144</v>
      </c>
      <c r="P287" s="224">
        <f t="shared" ca="1" si="72"/>
        <v>77.315423270197144</v>
      </c>
      <c r="Q287" s="224">
        <v>0</v>
      </c>
      <c r="R287" s="224">
        <v>0</v>
      </c>
      <c r="S287" s="224">
        <v>0</v>
      </c>
      <c r="T287" s="83">
        <f t="shared" si="73"/>
        <v>0</v>
      </c>
      <c r="U287" s="83">
        <f t="shared" si="74"/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468">
        <f ca="1">L289+L290</f>
        <v>0</v>
      </c>
      <c r="M288" s="224">
        <f ca="1">M289+M290</f>
        <v>0</v>
      </c>
      <c r="N288" s="224">
        <f ca="1">N289+N290</f>
        <v>0</v>
      </c>
      <c r="O288" s="224">
        <f t="shared" ca="1" si="71"/>
        <v>0</v>
      </c>
      <c r="P288" s="224">
        <f t="shared" ca="1" si="72"/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 t="shared" si="73"/>
        <v>0</v>
      </c>
      <c r="U288" s="224">
        <f t="shared" si="74"/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469">
        <v>0</v>
      </c>
      <c r="M289" s="83">
        <v>0</v>
      </c>
      <c r="N289" s="83">
        <v>0</v>
      </c>
      <c r="O289" s="83">
        <f t="shared" si="71"/>
        <v>0</v>
      </c>
      <c r="P289" s="83">
        <f t="shared" si="72"/>
        <v>0</v>
      </c>
      <c r="Q289" s="83">
        <v>0</v>
      </c>
      <c r="R289" s="83">
        <v>0</v>
      </c>
      <c r="S289" s="83">
        <v>0</v>
      </c>
      <c r="T289" s="83">
        <f t="shared" si="73"/>
        <v>0</v>
      </c>
      <c r="U289" s="83">
        <f t="shared" si="74"/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468">
        <f ca="1">IFERROR(__xludf.DUMMYFUNCTION("IMPORTRANGE(""https://docs.google.com/spreadsheets/d/1-uDff_7J0KD5mKrp0Vvzr7lt3OU09vwQwhkpOPPYv2Y/edit?usp=sharing"",""งบพรบ!DR28"")"),0)</f>
        <v>0</v>
      </c>
      <c r="M290" s="224">
        <f ca="1">IFERROR(__xludf.DUMMYFUNCTION("IMPORTRANGE(""https://docs.google.com/spreadsheets/d/1-uDff_7J0KD5mKrp0Vvzr7lt3OU09vwQwhkpOPPYv2Y/edit?usp=sharing"",""งบพรบ!DU28"")"),0)</f>
        <v>0</v>
      </c>
      <c r="N290" s="224">
        <f ca="1">IFERROR(__xludf.DUMMYFUNCTION("IMPORTRANGE(""https://docs.google.com/spreadsheets/d/1-uDff_7J0KD5mKrp0Vvzr7lt3OU09vwQwhkpOPPYv2Y/edit?usp=sharing"",""งบพรบ!DW28"")"),0)</f>
        <v>0</v>
      </c>
      <c r="O290" s="224">
        <f t="shared" ca="1" si="71"/>
        <v>0</v>
      </c>
      <c r="P290" s="224">
        <f t="shared" ca="1" si="72"/>
        <v>0</v>
      </c>
      <c r="Q290" s="224">
        <v>0</v>
      </c>
      <c r="R290" s="224">
        <v>0</v>
      </c>
      <c r="S290" s="224">
        <v>0</v>
      </c>
      <c r="T290" s="224">
        <f t="shared" si="73"/>
        <v>0</v>
      </c>
      <c r="U290" s="224">
        <f t="shared" si="74"/>
        <v>0</v>
      </c>
    </row>
    <row r="291" spans="1:21" ht="19.5" x14ac:dyDescent="0.3">
      <c r="A291" s="138"/>
      <c r="B291" s="139"/>
      <c r="C291" s="129" t="s">
        <v>18</v>
      </c>
      <c r="D291" s="498" t="s">
        <v>38</v>
      </c>
      <c r="E291" s="141"/>
      <c r="F291" s="141"/>
      <c r="G291" s="142"/>
      <c r="H291" s="143"/>
      <c r="I291" s="135"/>
      <c r="J291" s="135"/>
      <c r="K291" s="136"/>
      <c r="L291" s="4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IFERROR(__xludf.DUMMYFUNCTION("IMPORTRANGE(""https://docs.google.com/spreadsheets/d/1eHaY18a8A9IcSdp1K8H6x8fbOy06t2VsZHhMHf-1x7Y/edit?usp=sharing"",""แผน!EE28"")"),200)</f>
        <v>200</v>
      </c>
      <c r="J292" s="466">
        <v>200</v>
      </c>
      <c r="K292" s="497">
        <f ca="1">IF(I292&gt;0,J292*100/I292,0)</f>
        <v>100</v>
      </c>
      <c r="L292" s="4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IFERROR(__xludf.DUMMYFUNCTION("IMPORTRANGE(""https://docs.google.com/spreadsheets/d/1eHaY18a8A9IcSdp1K8H6x8fbOy06t2VsZHhMHf-1x7Y/edit?usp=sharing"",""แผน!ED28"")"),20)</f>
        <v>20</v>
      </c>
      <c r="J293" s="328">
        <f>J296</f>
        <v>20</v>
      </c>
      <c r="K293" s="582">
        <f ca="1">IF(I293&gt;0,J293*100/I293,0)</f>
        <v>100</v>
      </c>
      <c r="L293" s="4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4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581">
        <f ca="1">IFERROR(__xludf.DUMMYFUNCTION("IMPORTRANGE(""https://docs.google.com/spreadsheets/d/1eHaY18a8A9IcSdp1K8H6x8fbOy06t2VsZHhMHf-1x7Y/edit?usp=sharing"",""แผน!ED28"")"),20)</f>
        <v>20</v>
      </c>
      <c r="J295" s="466">
        <v>20</v>
      </c>
      <c r="K295" s="497">
        <f ca="1">IF(I295&gt;0,J295*100/I295,0)</f>
        <v>100</v>
      </c>
      <c r="L295" s="4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581">
        <f ca="1">IFERROR(__xludf.DUMMYFUNCTION("IMPORTRANGE(""https://docs.google.com/spreadsheets/d/1eHaY18a8A9IcSdp1K8H6x8fbOy06t2VsZHhMHf-1x7Y/edit?usp=sharing"",""แผน!ED28"")"),20)</f>
        <v>20</v>
      </c>
      <c r="J296" s="466">
        <v>20</v>
      </c>
      <c r="K296" s="497">
        <f ca="1">IF(I296&gt;0,J296*100/I296,0)</f>
        <v>100</v>
      </c>
      <c r="L296" s="4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571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hidden="1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571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580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57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541">
        <f ca="1">I314</f>
        <v>50</v>
      </c>
      <c r="J302" s="541">
        <f>J314</f>
        <v>0</v>
      </c>
      <c r="K302" s="540">
        <f ca="1">IF(I302&gt;0,J302*100/I302,0)</f>
        <v>0</v>
      </c>
      <c r="L302" s="539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472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471">
        <f ca="1">L304+L305</f>
        <v>0</v>
      </c>
      <c r="M303" s="470">
        <f ca="1">M304+M305</f>
        <v>0</v>
      </c>
      <c r="N303" s="470">
        <f ca="1">N304+N305</f>
        <v>0</v>
      </c>
      <c r="O303" s="470">
        <f t="shared" ref="O303:O311" ca="1" si="77">IF(L303&gt;0,N303*100/L303,0)</f>
        <v>0</v>
      </c>
      <c r="P303" s="470">
        <f t="shared" ref="P303:P311" ca="1" si="78">IF(M303&gt;0,N303*100/M303,0)</f>
        <v>0</v>
      </c>
      <c r="Q303" s="470">
        <f ca="1">Q304+Q305</f>
        <v>374853.15</v>
      </c>
      <c r="R303" s="470">
        <f ca="1">R304+R305</f>
        <v>374853</v>
      </c>
      <c r="S303" s="470">
        <f ca="1">S304+S305</f>
        <v>0</v>
      </c>
      <c r="T303" s="470">
        <f t="shared" ref="T303:T311" ca="1" si="79">IF(Q303&gt;0,S303*100/Q303,0)</f>
        <v>0</v>
      </c>
      <c r="U303" s="470">
        <f t="shared" ref="U303:U311" ca="1" si="80">IF(R303&gt;0,S303*100/R303,0)</f>
        <v>0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469">
        <f t="shared" ref="L304:N305" si="81">L307+L310</f>
        <v>0</v>
      </c>
      <c r="M304" s="83">
        <f t="shared" si="81"/>
        <v>0</v>
      </c>
      <c r="N304" s="83">
        <f t="shared" si="81"/>
        <v>0</v>
      </c>
      <c r="O304" s="83">
        <f t="shared" si="77"/>
        <v>0</v>
      </c>
      <c r="P304" s="83">
        <f t="shared" si="78"/>
        <v>0</v>
      </c>
      <c r="Q304" s="83">
        <f t="shared" ref="Q304:S305" si="82">Q307+Q310</f>
        <v>0</v>
      </c>
      <c r="R304" s="83">
        <f t="shared" si="82"/>
        <v>0</v>
      </c>
      <c r="S304" s="83">
        <f t="shared" si="82"/>
        <v>0</v>
      </c>
      <c r="T304" s="83">
        <f t="shared" si="79"/>
        <v>0</v>
      </c>
      <c r="U304" s="83">
        <f t="shared" si="80"/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468">
        <f t="shared" ca="1" si="81"/>
        <v>0</v>
      </c>
      <c r="M305" s="224">
        <f t="shared" ca="1" si="81"/>
        <v>0</v>
      </c>
      <c r="N305" s="224">
        <f t="shared" ca="1" si="81"/>
        <v>0</v>
      </c>
      <c r="O305" s="224">
        <f t="shared" ca="1" si="77"/>
        <v>0</v>
      </c>
      <c r="P305" s="224">
        <f t="shared" ca="1" si="78"/>
        <v>0</v>
      </c>
      <c r="Q305" s="224">
        <f t="shared" ca="1" si="82"/>
        <v>374853.15</v>
      </c>
      <c r="R305" s="224">
        <f t="shared" ca="1" si="82"/>
        <v>374853</v>
      </c>
      <c r="S305" s="224">
        <f t="shared" ca="1" si="82"/>
        <v>0</v>
      </c>
      <c r="T305" s="224">
        <f t="shared" ca="1" si="79"/>
        <v>0</v>
      </c>
      <c r="U305" s="224">
        <f t="shared" ca="1" si="80"/>
        <v>0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468">
        <f ca="1">L307+L308</f>
        <v>0</v>
      </c>
      <c r="M306" s="224">
        <f ca="1">M307+M308</f>
        <v>0</v>
      </c>
      <c r="N306" s="224">
        <f ca="1">N307+N308</f>
        <v>0</v>
      </c>
      <c r="O306" s="224">
        <f t="shared" ca="1" si="77"/>
        <v>0</v>
      </c>
      <c r="P306" s="224">
        <f t="shared" ca="1" si="78"/>
        <v>0</v>
      </c>
      <c r="Q306" s="224">
        <f ca="1">Q307+Q308</f>
        <v>374853.15</v>
      </c>
      <c r="R306" s="224">
        <f ca="1">R307+R308</f>
        <v>374853</v>
      </c>
      <c r="S306" s="224">
        <f ca="1">S307+S308</f>
        <v>0</v>
      </c>
      <c r="T306" s="224">
        <f t="shared" ca="1" si="79"/>
        <v>0</v>
      </c>
      <c r="U306" s="224">
        <f t="shared" ca="1" si="80"/>
        <v>0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469">
        <v>0</v>
      </c>
      <c r="M307" s="83">
        <v>0</v>
      </c>
      <c r="N307" s="83">
        <v>0</v>
      </c>
      <c r="O307" s="83">
        <f t="shared" si="77"/>
        <v>0</v>
      </c>
      <c r="P307" s="83">
        <f t="shared" si="78"/>
        <v>0</v>
      </c>
      <c r="Q307" s="83">
        <v>0</v>
      </c>
      <c r="R307" s="83">
        <v>0</v>
      </c>
      <c r="S307" s="83">
        <v>0</v>
      </c>
      <c r="T307" s="83">
        <f t="shared" si="79"/>
        <v>0</v>
      </c>
      <c r="U307" s="83">
        <f t="shared" si="80"/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468">
        <f ca="1">IFERROR(__xludf.DUMMYFUNCTION("IMPORTRANGE(""https://docs.google.com/spreadsheets/d/1-uDff_7J0KD5mKrp0Vvzr7lt3OU09vwQwhkpOPPYv2Y/edit?usp=sharing"",""งบพรบ!DY28"")"),0)</f>
        <v>0</v>
      </c>
      <c r="M308" s="224">
        <f ca="1">IFERROR(__xludf.DUMMYFUNCTION("IMPORTRANGE(""https://docs.google.com/spreadsheets/d/1-uDff_7J0KD5mKrp0Vvzr7lt3OU09vwQwhkpOPPYv2Y/edit?usp=sharing"",""งบพรบ!ED28"")"),0)</f>
        <v>0</v>
      </c>
      <c r="N308" s="224">
        <f ca="1">IFERROR(__xludf.DUMMYFUNCTION("IMPORTRANGE(""https://docs.google.com/spreadsheets/d/1-uDff_7J0KD5mKrp0Vvzr7lt3OU09vwQwhkpOPPYv2Y/edit?usp=sharing"",""งบพรบ!EF28"")"),0)</f>
        <v>0</v>
      </c>
      <c r="O308" s="224">
        <f t="shared" ca="1" si="77"/>
        <v>0</v>
      </c>
      <c r="P308" s="224">
        <f t="shared" ca="1" si="78"/>
        <v>0</v>
      </c>
      <c r="Q308" s="224">
        <f ca="1">IFERROR(__xludf.DUMMYFUNCTION("IMPORTRANGE(""https://docs.google.com/spreadsheets/d/1ItG2mGa2ceCfYo0BwxsXqNm01IGEUdYcSSLTEv9YCik/edit?usp=sharing"",""เบิกจ่ายกองทุน!AP28"")"),374853.15)</f>
        <v>374853.15</v>
      </c>
      <c r="R308" s="224">
        <f ca="1">IFERROR(__xludf.DUMMYFUNCTION("IMPORTRANGE(""https://docs.google.com/spreadsheets/d/1ItG2mGa2ceCfYo0BwxsXqNm01IGEUdYcSSLTEv9YCik/edit?usp=sharing"",""เบิกจ่ายกองทุน!AQ28"")"),374853)</f>
        <v>374853</v>
      </c>
      <c r="S308" s="224">
        <f ca="1">IFERROR(__xludf.DUMMYFUNCTION("IMPORTRANGE(""https://docs.google.com/spreadsheets/d/1ItG2mGa2ceCfYo0BwxsXqNm01IGEUdYcSSLTEv9YCik/edit?usp=sharing"",""เบิกจ่ายกองทุน!AR28"")"),0)</f>
        <v>0</v>
      </c>
      <c r="T308" s="224">
        <f t="shared" ca="1" si="79"/>
        <v>0</v>
      </c>
      <c r="U308" s="224">
        <f t="shared" ca="1" si="80"/>
        <v>0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468">
        <f ca="1">L310+L311</f>
        <v>0</v>
      </c>
      <c r="M309" s="224">
        <f ca="1">M310+M311</f>
        <v>0</v>
      </c>
      <c r="N309" s="224">
        <f ca="1">N310+N311</f>
        <v>0</v>
      </c>
      <c r="O309" s="224">
        <f t="shared" ca="1" si="77"/>
        <v>0</v>
      </c>
      <c r="P309" s="224">
        <f t="shared" ca="1" si="78"/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 t="shared" si="79"/>
        <v>0</v>
      </c>
      <c r="U309" s="224">
        <f t="shared" si="80"/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469">
        <v>0</v>
      </c>
      <c r="M310" s="83">
        <v>0</v>
      </c>
      <c r="N310" s="83">
        <v>0</v>
      </c>
      <c r="O310" s="83">
        <f t="shared" si="77"/>
        <v>0</v>
      </c>
      <c r="P310" s="83">
        <f t="shared" si="78"/>
        <v>0</v>
      </c>
      <c r="Q310" s="83">
        <v>0</v>
      </c>
      <c r="R310" s="83">
        <v>0</v>
      </c>
      <c r="S310" s="83">
        <v>0</v>
      </c>
      <c r="T310" s="83">
        <f t="shared" si="79"/>
        <v>0</v>
      </c>
      <c r="U310" s="83">
        <f t="shared" si="80"/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468">
        <f ca="1">IFERROR(__xludf.DUMMYFUNCTION("IMPORTRANGE(""https://docs.google.com/spreadsheets/d/1-uDff_7J0KD5mKrp0Vvzr7lt3OU09vwQwhkpOPPYv2Y/edit?usp=sharing"",""งบพรบ!EB28"")"),0)</f>
        <v>0</v>
      </c>
      <c r="M311" s="224">
        <f ca="1">IFERROR(__xludf.DUMMYFUNCTION("IMPORTRANGE(""https://docs.google.com/spreadsheets/d/1-uDff_7J0KD5mKrp0Vvzr7lt3OU09vwQwhkpOPPYv2Y/edit?usp=sharing"",""งบพรบ!EE28"")"),0)</f>
        <v>0</v>
      </c>
      <c r="N311" s="224">
        <f ca="1">IFERROR(__xludf.DUMMYFUNCTION("IMPORTRANGE(""https://docs.google.com/spreadsheets/d/1-uDff_7J0KD5mKrp0Vvzr7lt3OU09vwQwhkpOPPYv2Y/edit?usp=sharing"",""งบพรบ!EG28"")"),0)</f>
        <v>0</v>
      </c>
      <c r="O311" s="224">
        <f t="shared" ca="1" si="77"/>
        <v>0</v>
      </c>
      <c r="P311" s="224">
        <f t="shared" ca="1" si="78"/>
        <v>0</v>
      </c>
      <c r="Q311" s="224">
        <v>0</v>
      </c>
      <c r="R311" s="224">
        <v>0</v>
      </c>
      <c r="S311" s="224">
        <v>0</v>
      </c>
      <c r="T311" s="224">
        <f t="shared" si="79"/>
        <v>0</v>
      </c>
      <c r="U311" s="224">
        <f t="shared" si="80"/>
        <v>0</v>
      </c>
    </row>
    <row r="312" spans="1:21" ht="19.5" x14ac:dyDescent="0.3">
      <c r="A312" s="138"/>
      <c r="B312" s="139"/>
      <c r="C312" s="129" t="s">
        <v>18</v>
      </c>
      <c r="D312" s="498" t="s">
        <v>38</v>
      </c>
      <c r="E312" s="141"/>
      <c r="F312" s="141"/>
      <c r="G312" s="142"/>
      <c r="H312" s="143"/>
      <c r="I312" s="44"/>
      <c r="J312" s="44"/>
      <c r="K312" s="45"/>
      <c r="L312" s="465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579"/>
      <c r="E313" s="18"/>
      <c r="F313" s="18"/>
      <c r="G313" s="19"/>
      <c r="H313" s="19"/>
      <c r="I313" s="20"/>
      <c r="J313" s="577"/>
      <c r="K313" s="21"/>
      <c r="L313" s="571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IFERROR(__xludf.DUMMYFUNCTION("IMPORTRANGE(""https://docs.google.com/spreadsheets/d/1eHaY18a8A9IcSdp1K8H6x8fbOy06t2VsZHhMHf-1x7Y/edit?usp=sharing"",""แผน!EF28"")"),50)</f>
        <v>50</v>
      </c>
      <c r="J314" s="466">
        <v>0</v>
      </c>
      <c r="K314" s="224">
        <f ca="1">IF(I314&gt;0,J314*100/I314,0)</f>
        <v>0</v>
      </c>
      <c r="L314" s="465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579"/>
      <c r="E315" s="18"/>
      <c r="F315" s="18"/>
      <c r="G315" s="19"/>
      <c r="H315" s="578"/>
      <c r="I315" s="577"/>
      <c r="J315" s="577"/>
      <c r="K315" s="576"/>
      <c r="L315" s="571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579"/>
      <c r="E316" s="18"/>
      <c r="F316" s="18"/>
      <c r="G316" s="19"/>
      <c r="H316" s="578"/>
      <c r="I316" s="577"/>
      <c r="J316" s="577"/>
      <c r="K316" s="576"/>
      <c r="L316" s="571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575"/>
      <c r="E317" s="18"/>
      <c r="F317" s="18"/>
      <c r="G317" s="19"/>
      <c r="H317" s="574"/>
      <c r="I317" s="573"/>
      <c r="J317" s="573"/>
      <c r="K317" s="572"/>
      <c r="L317" s="571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57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hidden="1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541">
        <f ca="1">I330</f>
        <v>0</v>
      </c>
      <c r="J319" s="541">
        <f>J330</f>
        <v>0</v>
      </c>
      <c r="K319" s="540">
        <f ca="1">IF(I319&gt;0,J319*100/I319,0)</f>
        <v>0</v>
      </c>
      <c r="L319" s="539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hidden="1" x14ac:dyDescent="0.3">
      <c r="A320" s="128"/>
      <c r="B320" s="40"/>
      <c r="C320" s="129" t="s">
        <v>18</v>
      </c>
      <c r="D320" s="472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471">
        <f ca="1">L321+L322</f>
        <v>0</v>
      </c>
      <c r="M320" s="470">
        <f ca="1">M321+M322</f>
        <v>0</v>
      </c>
      <c r="N320" s="470">
        <f ca="1">N321+N322</f>
        <v>0</v>
      </c>
      <c r="O320" s="470">
        <f t="shared" ref="O320:O328" ca="1" si="83">IF(L320&gt;0,N320*100/L320,0)</f>
        <v>0</v>
      </c>
      <c r="P320" s="470">
        <f t="shared" ref="P320:P328" ca="1" si="84">IF(M320&gt;0,N320*100/M320,0)</f>
        <v>0</v>
      </c>
      <c r="Q320" s="470">
        <f>Q321+Q322</f>
        <v>0</v>
      </c>
      <c r="R320" s="470">
        <f>R321+R322</f>
        <v>0</v>
      </c>
      <c r="S320" s="470">
        <f>S321+S322</f>
        <v>0</v>
      </c>
      <c r="T320" s="470">
        <f t="shared" ref="T320:T328" si="85">IF(Q320&gt;0,S320*100/Q320,0)</f>
        <v>0</v>
      </c>
      <c r="U320" s="470">
        <f t="shared" ref="U320:U328" si="86"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469">
        <f t="shared" ref="L321:N322" si="87">L324+L327</f>
        <v>0</v>
      </c>
      <c r="M321" s="83">
        <f t="shared" si="87"/>
        <v>0</v>
      </c>
      <c r="N321" s="83">
        <f t="shared" si="87"/>
        <v>0</v>
      </c>
      <c r="O321" s="83">
        <f t="shared" si="83"/>
        <v>0</v>
      </c>
      <c r="P321" s="83">
        <f t="shared" si="84"/>
        <v>0</v>
      </c>
      <c r="Q321" s="83">
        <f t="shared" ref="Q321:S322" si="88">Q324+Q327</f>
        <v>0</v>
      </c>
      <c r="R321" s="83">
        <f t="shared" si="88"/>
        <v>0</v>
      </c>
      <c r="S321" s="83">
        <f t="shared" si="88"/>
        <v>0</v>
      </c>
      <c r="T321" s="83">
        <f t="shared" si="85"/>
        <v>0</v>
      </c>
      <c r="U321" s="83">
        <f t="shared" si="86"/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468">
        <f t="shared" ca="1" si="87"/>
        <v>0</v>
      </c>
      <c r="M322" s="224">
        <f t="shared" ca="1" si="87"/>
        <v>0</v>
      </c>
      <c r="N322" s="224">
        <f t="shared" ca="1" si="87"/>
        <v>0</v>
      </c>
      <c r="O322" s="224">
        <f t="shared" ca="1" si="83"/>
        <v>0</v>
      </c>
      <c r="P322" s="224">
        <f t="shared" ca="1" si="84"/>
        <v>0</v>
      </c>
      <c r="Q322" s="224">
        <f t="shared" si="88"/>
        <v>0</v>
      </c>
      <c r="R322" s="224">
        <f t="shared" si="88"/>
        <v>0</v>
      </c>
      <c r="S322" s="224">
        <f t="shared" si="88"/>
        <v>0</v>
      </c>
      <c r="T322" s="224">
        <f t="shared" si="85"/>
        <v>0</v>
      </c>
      <c r="U322" s="224">
        <f t="shared" si="86"/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468">
        <f ca="1">L324+L325</f>
        <v>0</v>
      </c>
      <c r="M323" s="224">
        <f ca="1">M324+M325</f>
        <v>0</v>
      </c>
      <c r="N323" s="224">
        <f ca="1">N324+N325</f>
        <v>0</v>
      </c>
      <c r="O323" s="224">
        <f t="shared" ca="1" si="83"/>
        <v>0</v>
      </c>
      <c r="P323" s="224">
        <f t="shared" ca="1" si="84"/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 t="shared" si="85"/>
        <v>0</v>
      </c>
      <c r="U323" s="224">
        <f t="shared" si="86"/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469">
        <v>0</v>
      </c>
      <c r="M324" s="83">
        <v>0</v>
      </c>
      <c r="N324" s="83">
        <v>0</v>
      </c>
      <c r="O324" s="83">
        <f t="shared" si="83"/>
        <v>0</v>
      </c>
      <c r="P324" s="83">
        <f t="shared" si="84"/>
        <v>0</v>
      </c>
      <c r="Q324" s="83">
        <v>0</v>
      </c>
      <c r="R324" s="83">
        <v>0</v>
      </c>
      <c r="S324" s="83">
        <v>0</v>
      </c>
      <c r="T324" s="83">
        <f t="shared" si="85"/>
        <v>0</v>
      </c>
      <c r="U324" s="83">
        <f t="shared" si="86"/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468">
        <f ca="1">IFERROR(__xludf.DUMMYFUNCTION("IMPORTRANGE(""https://docs.google.com/spreadsheets/d/1-uDff_7J0KD5mKrp0Vvzr7lt3OU09vwQwhkpOPPYv2Y/edit?usp=sharing"",""งบพรบ!EI28"")"),0)</f>
        <v>0</v>
      </c>
      <c r="M325" s="224">
        <f ca="1">IFERROR(__xludf.DUMMYFUNCTION("IMPORTRANGE(""https://docs.google.com/spreadsheets/d/1-uDff_7J0KD5mKrp0Vvzr7lt3OU09vwQwhkpOPPYv2Y/edit?usp=sharing"",""งบพรบ!EN28"")"),0)</f>
        <v>0</v>
      </c>
      <c r="N325" s="224">
        <f ca="1">IFERROR(__xludf.DUMMYFUNCTION("IMPORTRANGE(""https://docs.google.com/spreadsheets/d/1-uDff_7J0KD5mKrp0Vvzr7lt3OU09vwQwhkpOPPYv2Y/edit?usp=sharing"",""งบพรบ!EP28"")"),0)</f>
        <v>0</v>
      </c>
      <c r="O325" s="224">
        <f t="shared" ca="1" si="83"/>
        <v>0</v>
      </c>
      <c r="P325" s="224">
        <f t="shared" ca="1" si="84"/>
        <v>0</v>
      </c>
      <c r="Q325" s="224">
        <v>0</v>
      </c>
      <c r="R325" s="224">
        <v>0</v>
      </c>
      <c r="S325" s="224">
        <v>0</v>
      </c>
      <c r="T325" s="224">
        <f t="shared" si="85"/>
        <v>0</v>
      </c>
      <c r="U325" s="224">
        <f t="shared" si="86"/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468">
        <f ca="1">L327+L328</f>
        <v>0</v>
      </c>
      <c r="M326" s="224">
        <f ca="1">M327+M328</f>
        <v>0</v>
      </c>
      <c r="N326" s="224">
        <f ca="1">N327+N328</f>
        <v>0</v>
      </c>
      <c r="O326" s="224">
        <f t="shared" ca="1" si="83"/>
        <v>0</v>
      </c>
      <c r="P326" s="224">
        <f t="shared" ca="1" si="84"/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 t="shared" si="85"/>
        <v>0</v>
      </c>
      <c r="U326" s="224">
        <f t="shared" si="86"/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469">
        <v>0</v>
      </c>
      <c r="M327" s="83">
        <v>0</v>
      </c>
      <c r="N327" s="83">
        <v>0</v>
      </c>
      <c r="O327" s="83">
        <f t="shared" si="83"/>
        <v>0</v>
      </c>
      <c r="P327" s="83">
        <f t="shared" si="84"/>
        <v>0</v>
      </c>
      <c r="Q327" s="83">
        <v>0</v>
      </c>
      <c r="R327" s="83">
        <v>0</v>
      </c>
      <c r="S327" s="83">
        <v>0</v>
      </c>
      <c r="T327" s="83">
        <f t="shared" si="85"/>
        <v>0</v>
      </c>
      <c r="U327" s="83">
        <f t="shared" si="86"/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468">
        <f ca="1">IFERROR(__xludf.DUMMYFUNCTION("IMPORTRANGE(""https://docs.google.com/spreadsheets/d/1-uDff_7J0KD5mKrp0Vvzr7lt3OU09vwQwhkpOPPYv2Y/edit?usp=sharing"",""งบพรบ!EL28"")"),0)</f>
        <v>0</v>
      </c>
      <c r="M328" s="224">
        <f ca="1">IFERROR(__xludf.DUMMYFUNCTION("IMPORTRANGE(""https://docs.google.com/spreadsheets/d/1-uDff_7J0KD5mKrp0Vvzr7lt3OU09vwQwhkpOPPYv2Y/edit?usp=sharing"",""งบพรบ!EO28"")"),0)</f>
        <v>0</v>
      </c>
      <c r="N328" s="224">
        <f ca="1">IFERROR(__xludf.DUMMYFUNCTION("IMPORTRANGE(""https://docs.google.com/spreadsheets/d/1-uDff_7J0KD5mKrp0Vvzr7lt3OU09vwQwhkpOPPYv2Y/edit?usp=sharing"",""งบพรบ!EQ28"")"),0)</f>
        <v>0</v>
      </c>
      <c r="O328" s="224">
        <f t="shared" ca="1" si="83"/>
        <v>0</v>
      </c>
      <c r="P328" s="224">
        <f t="shared" ca="1" si="84"/>
        <v>0</v>
      </c>
      <c r="Q328" s="224">
        <v>0</v>
      </c>
      <c r="R328" s="224">
        <v>0</v>
      </c>
      <c r="S328" s="224">
        <v>0</v>
      </c>
      <c r="T328" s="224">
        <f t="shared" si="85"/>
        <v>0</v>
      </c>
      <c r="U328" s="224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8" t="s">
        <v>38</v>
      </c>
      <c r="E329" s="141"/>
      <c r="F329" s="141"/>
      <c r="G329" s="142"/>
      <c r="H329" s="143"/>
      <c r="I329" s="135"/>
      <c r="J329" s="44"/>
      <c r="K329" s="45"/>
      <c r="L329" s="465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IFERROR(__xludf.DUMMYFUNCTION("IMPORTRANGE(""https://docs.google.com/spreadsheets/d/1eHaY18a8A9IcSdp1K8H6x8fbOy06t2VsZHhMHf-1x7Y/edit?usp=sharing"",""แผน!EJ28"")"),0)</f>
        <v>0</v>
      </c>
      <c r="J330" s="466">
        <v>0</v>
      </c>
      <c r="K330" s="224">
        <f ca="1">IF(I330&gt;0,J330*100/I330,0)</f>
        <v>0</v>
      </c>
      <c r="L330" s="465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57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569">
        <f ca="1">I344</f>
        <v>3740</v>
      </c>
      <c r="J332" s="568">
        <f ca="1">J344+J347+J348+J349+J353</f>
        <v>6608</v>
      </c>
      <c r="K332" s="567">
        <f ca="1">IF(I332&gt;0,J332*100/I332,0)</f>
        <v>176.68449197860963</v>
      </c>
      <c r="L332" s="539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472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471">
        <f ca="1">L334+L335</f>
        <v>116000</v>
      </c>
      <c r="M333" s="470">
        <f ca="1">M334+M335</f>
        <v>121000</v>
      </c>
      <c r="N333" s="470">
        <f ca="1">N334+N335</f>
        <v>71050.649999999994</v>
      </c>
      <c r="O333" s="470">
        <f t="shared" ref="O333:O341" ca="1" si="89">IF(L333&gt;0,N333*100/L333,0)</f>
        <v>61.250560344827576</v>
      </c>
      <c r="P333" s="470">
        <f t="shared" ref="P333:P341" ca="1" si="90">IF(M333&gt;0,N333*100/M333,0)</f>
        <v>58.719545454545447</v>
      </c>
      <c r="Q333" s="470">
        <f>Q334+Q335</f>
        <v>0</v>
      </c>
      <c r="R333" s="470">
        <f>R334+R335</f>
        <v>0</v>
      </c>
      <c r="S333" s="470">
        <f>S334+S335</f>
        <v>0</v>
      </c>
      <c r="T333" s="470">
        <f t="shared" ref="T333:T341" si="91">IF(Q333&gt;0,S333*100/Q333,0)</f>
        <v>0</v>
      </c>
      <c r="U333" s="470">
        <f t="shared" ref="U333:U341" si="92"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469">
        <f t="shared" ref="L334:N335" si="93">L337+L340</f>
        <v>0</v>
      </c>
      <c r="M334" s="83">
        <f t="shared" si="93"/>
        <v>0</v>
      </c>
      <c r="N334" s="83">
        <f t="shared" si="93"/>
        <v>0</v>
      </c>
      <c r="O334" s="83">
        <f t="shared" si="89"/>
        <v>0</v>
      </c>
      <c r="P334" s="83">
        <f t="shared" si="90"/>
        <v>0</v>
      </c>
      <c r="Q334" s="83">
        <f t="shared" ref="Q334:S335" si="94">Q337+Q340</f>
        <v>0</v>
      </c>
      <c r="R334" s="83">
        <f t="shared" si="94"/>
        <v>0</v>
      </c>
      <c r="S334" s="83">
        <f t="shared" si="94"/>
        <v>0</v>
      </c>
      <c r="T334" s="83">
        <f t="shared" si="91"/>
        <v>0</v>
      </c>
      <c r="U334" s="83">
        <f t="shared" si="92"/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468">
        <f t="shared" ca="1" si="93"/>
        <v>116000</v>
      </c>
      <c r="M335" s="224">
        <f t="shared" ca="1" si="93"/>
        <v>121000</v>
      </c>
      <c r="N335" s="224">
        <f t="shared" ca="1" si="93"/>
        <v>71050.649999999994</v>
      </c>
      <c r="O335" s="224">
        <f t="shared" ca="1" si="89"/>
        <v>61.250560344827576</v>
      </c>
      <c r="P335" s="224">
        <f t="shared" ca="1" si="90"/>
        <v>58.719545454545447</v>
      </c>
      <c r="Q335" s="224">
        <f t="shared" si="94"/>
        <v>0</v>
      </c>
      <c r="R335" s="224">
        <f t="shared" si="94"/>
        <v>0</v>
      </c>
      <c r="S335" s="224">
        <f t="shared" si="94"/>
        <v>0</v>
      </c>
      <c r="T335" s="224">
        <f t="shared" si="91"/>
        <v>0</v>
      </c>
      <c r="U335" s="224">
        <f t="shared" si="92"/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468">
        <f ca="1">L337+L338</f>
        <v>116000</v>
      </c>
      <c r="M336" s="224">
        <f ca="1">M337+M338</f>
        <v>121000</v>
      </c>
      <c r="N336" s="224">
        <f ca="1">N337+N338</f>
        <v>71050.649999999994</v>
      </c>
      <c r="O336" s="224">
        <f t="shared" ca="1" si="89"/>
        <v>61.250560344827576</v>
      </c>
      <c r="P336" s="224">
        <f t="shared" ca="1" si="90"/>
        <v>58.719545454545447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 t="shared" si="91"/>
        <v>0</v>
      </c>
      <c r="U336" s="224">
        <f t="shared" si="92"/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469">
        <v>0</v>
      </c>
      <c r="M337" s="83">
        <v>0</v>
      </c>
      <c r="N337" s="83">
        <v>0</v>
      </c>
      <c r="O337" s="83">
        <f t="shared" si="89"/>
        <v>0</v>
      </c>
      <c r="P337" s="83">
        <f t="shared" si="90"/>
        <v>0</v>
      </c>
      <c r="Q337" s="83">
        <v>0</v>
      </c>
      <c r="R337" s="83">
        <v>0</v>
      </c>
      <c r="S337" s="83">
        <v>0</v>
      </c>
      <c r="T337" s="83">
        <f t="shared" si="91"/>
        <v>0</v>
      </c>
      <c r="U337" s="83">
        <f t="shared" si="92"/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468">
        <f ca="1">IFERROR(__xludf.DUMMYFUNCTION("IMPORTRANGE(""https://docs.google.com/spreadsheets/d/1-uDff_7J0KD5mKrp0Vvzr7lt3OU09vwQwhkpOPPYv2Y/edit?usp=sharing"",""งบพรบ!ES28"")"),116000)</f>
        <v>116000</v>
      </c>
      <c r="M338" s="224">
        <f ca="1">IFERROR(__xludf.DUMMYFUNCTION("IMPORTRANGE(""https://docs.google.com/spreadsheets/d/1-uDff_7J0KD5mKrp0Vvzr7lt3OU09vwQwhkpOPPYv2Y/edit?usp=sharing"",""งบพรบ!EX28"")"),121000)</f>
        <v>121000</v>
      </c>
      <c r="N338" s="224">
        <f ca="1">IFERROR(__xludf.DUMMYFUNCTION("IMPORTRANGE(""https://docs.google.com/spreadsheets/d/1-uDff_7J0KD5mKrp0Vvzr7lt3OU09vwQwhkpOPPYv2Y/edit?usp=sharing"",""งบพรบ!EZ28"")"),71050.65)</f>
        <v>71050.649999999994</v>
      </c>
      <c r="O338" s="224">
        <f t="shared" ca="1" si="89"/>
        <v>61.250560344827576</v>
      </c>
      <c r="P338" s="224">
        <f t="shared" ca="1" si="90"/>
        <v>58.719545454545447</v>
      </c>
      <c r="Q338" s="224">
        <v>0</v>
      </c>
      <c r="R338" s="224">
        <v>0</v>
      </c>
      <c r="S338" s="224">
        <v>0</v>
      </c>
      <c r="T338" s="224">
        <f t="shared" si="91"/>
        <v>0</v>
      </c>
      <c r="U338" s="224">
        <f t="shared" si="92"/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468">
        <f ca="1">L340+L341</f>
        <v>0</v>
      </c>
      <c r="M339" s="224">
        <f ca="1">M340+M341</f>
        <v>0</v>
      </c>
      <c r="N339" s="224">
        <f ca="1">N340+N341</f>
        <v>0</v>
      </c>
      <c r="O339" s="224">
        <f t="shared" ca="1" si="89"/>
        <v>0</v>
      </c>
      <c r="P339" s="224">
        <f t="shared" ca="1" si="90"/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 t="shared" si="91"/>
        <v>0</v>
      </c>
      <c r="U339" s="224">
        <f t="shared" si="92"/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469">
        <v>0</v>
      </c>
      <c r="M340" s="83">
        <v>0</v>
      </c>
      <c r="N340" s="83">
        <v>0</v>
      </c>
      <c r="O340" s="83">
        <f t="shared" si="89"/>
        <v>0</v>
      </c>
      <c r="P340" s="83">
        <f t="shared" si="90"/>
        <v>0</v>
      </c>
      <c r="Q340" s="83">
        <v>0</v>
      </c>
      <c r="R340" s="83">
        <v>0</v>
      </c>
      <c r="S340" s="83">
        <v>0</v>
      </c>
      <c r="T340" s="83">
        <f t="shared" si="91"/>
        <v>0</v>
      </c>
      <c r="U340" s="83">
        <f t="shared" si="92"/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468">
        <f ca="1">IFERROR(__xludf.DUMMYFUNCTION("IMPORTRANGE(""https://docs.google.com/spreadsheets/d/1-uDff_7J0KD5mKrp0Vvzr7lt3OU09vwQwhkpOPPYv2Y/edit?usp=sharing"",""งบพรบ!EV28"")"),0)</f>
        <v>0</v>
      </c>
      <c r="M341" s="224">
        <f ca="1">IFERROR(__xludf.DUMMYFUNCTION("IMPORTRANGE(""https://docs.google.com/spreadsheets/d/1-uDff_7J0KD5mKrp0Vvzr7lt3OU09vwQwhkpOPPYv2Y/edit?usp=sharing"",""งบพรบ!EY28"")"),0)</f>
        <v>0</v>
      </c>
      <c r="N341" s="224">
        <f ca="1">IFERROR(__xludf.DUMMYFUNCTION("IMPORTRANGE(""https://docs.google.com/spreadsheets/d/1-uDff_7J0KD5mKrp0Vvzr7lt3OU09vwQwhkpOPPYv2Y/edit?usp=sharing"",""งบพรบ!FA28"")"),0)</f>
        <v>0</v>
      </c>
      <c r="O341" s="224">
        <f t="shared" ca="1" si="89"/>
        <v>0</v>
      </c>
      <c r="P341" s="224">
        <f t="shared" ca="1" si="90"/>
        <v>0</v>
      </c>
      <c r="Q341" s="224">
        <v>0</v>
      </c>
      <c r="R341" s="224">
        <v>0</v>
      </c>
      <c r="S341" s="224">
        <v>0</v>
      </c>
      <c r="T341" s="224">
        <f t="shared" si="91"/>
        <v>0</v>
      </c>
      <c r="U341" s="224">
        <f t="shared" si="92"/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465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566"/>
      <c r="B343" s="563"/>
      <c r="C343" s="565"/>
      <c r="D343" s="563"/>
      <c r="E343" s="564" t="s">
        <v>137</v>
      </c>
      <c r="F343" s="563"/>
      <c r="G343" s="562"/>
      <c r="H343" s="561" t="s">
        <v>35</v>
      </c>
      <c r="I343" s="560">
        <v>0</v>
      </c>
      <c r="J343" s="560">
        <f ca="1">J344+J347+J348+J349</f>
        <v>1332</v>
      </c>
      <c r="K343" s="559">
        <v>0</v>
      </c>
      <c r="L343" s="557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IFERROR(__xludf.DUMMYFUNCTION("IMPORTRANGE(""https://docs.google.com/spreadsheets/d/1eHaY18a8A9IcSdp1K8H6x8fbOy06t2VsZHhMHf-1x7Y/edit?usp=sharing"",""แผน!EK28"")"),3740)</f>
        <v>3740</v>
      </c>
      <c r="J344" s="184">
        <f ca="1">IFERROR(__xludf.DUMMYFUNCTION("IMPORTRANGE(""https://docs.google.com/spreadsheets/d/1awYsYK3VOup2i3Pq_Yjnu8DRu_mYwSBnCR2QPthd0rU/edit?usp=sharing"",""ศูนย์ยกเว้นโฉนด!D28"")"),1159)</f>
        <v>1159</v>
      </c>
      <c r="K344" s="224">
        <f ca="1">IF(I344&gt;0,J344*100/I344,0)</f>
        <v>30.989304812834224</v>
      </c>
      <c r="L344" s="465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465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IFERROR(__xludf.DUMMYFUNCTION("IMPORTRANGE(""https://docs.google.com/spreadsheets/d/1eHaY18a8A9IcSdp1K8H6x8fbOy06t2VsZHhMHf-1x7Y/edit?usp=sharing"",""แผน!EL28"")"),5)</f>
        <v>5</v>
      </c>
      <c r="J346" s="184">
        <f ca="1">IFERROR(__xludf.DUMMYFUNCTION("IMPORTRANGE(""https://docs.google.com/spreadsheets/d/1awYsYK3VOup2i3Pq_Yjnu8DRu_mYwSBnCR2QPthd0rU/edit?usp=sharing"",""ศูนย์รวม!E28"")"),5)</f>
        <v>5</v>
      </c>
      <c r="K346" s="224">
        <f ca="1">IF(I346&gt;0,J346*100/I346,0)</f>
        <v>100</v>
      </c>
      <c r="L346" s="465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IFERROR(__xludf.DUMMYFUNCTION("IMPORTRANGE(""https://docs.google.com/spreadsheets/d/1awYsYK3VOup2i3Pq_Yjnu8DRu_mYwSBnCR2QPthd0rU/edit?usp=sharing"",""ศูนย์ยกเว้นโฉนด!F28"")"),169)</f>
        <v>169</v>
      </c>
      <c r="K347" s="45"/>
      <c r="L347" s="465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IFERROR(__xludf.DUMMYFUNCTION("IMPORTRANGE(""https://docs.google.com/spreadsheets/d/1awYsYK3VOup2i3Pq_Yjnu8DRu_mYwSBnCR2QPthd0rU/edit?usp=sharing"",""ศูนย์ยกเว้นโฉนด!G28"")"),4)</f>
        <v>4</v>
      </c>
      <c r="K348" s="45"/>
      <c r="L348" s="465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IFERROR(__xludf.DUMMYFUNCTION("IMPORTRANGE(""https://docs.google.com/spreadsheets/d/1awYsYK3VOup2i3Pq_Yjnu8DRu_mYwSBnCR2QPthd0rU/edit?usp=sharing"",""ศูนย์ยกเว้นโฉนด!H28"")"),0)</f>
        <v>0</v>
      </c>
      <c r="K349" s="45"/>
      <c r="L349" s="465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0"/>
      <c r="F350" s="40"/>
      <c r="G350" s="42"/>
      <c r="H350" s="180"/>
      <c r="I350" s="44"/>
      <c r="J350" s="44"/>
      <c r="K350" s="45"/>
      <c r="L350" s="465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558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6747</v>
      </c>
      <c r="K351" s="304">
        <v>0</v>
      </c>
      <c r="L351" s="557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IFERROR(__xludf.DUMMYFUNCTION("IMPORTRANGE(""https://docs.google.com/spreadsheets/d/1awYsYK3VOup2i3Pq_Yjnu8DRu_mYwSBnCR2QPthd0rU/edit?usp=sharing"",""โฉนดM3!G28"")"),1471)</f>
        <v>1471</v>
      </c>
      <c r="K352" s="45"/>
      <c r="L352" s="465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IFERROR(__xludf.DUMMYFUNCTION("IMPORTRANGE(""https://docs.google.com/spreadsheets/d/1awYsYK3VOup2i3Pq_Yjnu8DRu_mYwSBnCR2QPthd0rU/edit?usp=sharing"",""โฉนดM3!H28"")"),5276)</f>
        <v>5276</v>
      </c>
      <c r="K353" s="45"/>
      <c r="L353" s="465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0"/>
      <c r="F354" s="40"/>
      <c r="G354" s="42"/>
      <c r="H354" s="180"/>
      <c r="I354" s="44"/>
      <c r="J354" s="44"/>
      <c r="K354" s="45"/>
      <c r="L354" s="465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539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472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471">
        <f ca="1">L357+L358</f>
        <v>700725</v>
      </c>
      <c r="M356" s="470">
        <f ca="1">M357+M358</f>
        <v>700725</v>
      </c>
      <c r="N356" s="470">
        <f ca="1">N357+N358</f>
        <v>483031.02</v>
      </c>
      <c r="O356" s="470">
        <f t="shared" ref="O356:O364" ca="1" si="95">IF(L356&gt;0,N356*100/L356,0)</f>
        <v>68.93303649791288</v>
      </c>
      <c r="P356" s="470">
        <f t="shared" ref="P356:P364" ca="1" si="96">IF(M356&gt;0,N356*100/M356,0)</f>
        <v>68.93303649791288</v>
      </c>
      <c r="Q356" s="470">
        <f>Q357+Q358</f>
        <v>0</v>
      </c>
      <c r="R356" s="470">
        <f>R357+R358</f>
        <v>0</v>
      </c>
      <c r="S356" s="470">
        <f>S357+S358</f>
        <v>0</v>
      </c>
      <c r="T356" s="470">
        <f t="shared" ref="T356:T364" si="97">IF(Q356&gt;0,S356*100/Q356,0)</f>
        <v>0</v>
      </c>
      <c r="U356" s="470">
        <f t="shared" ref="U356:U364" si="98"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469">
        <f t="shared" ref="L357:N358" si="99">L360+L363</f>
        <v>0</v>
      </c>
      <c r="M357" s="83">
        <f t="shared" si="99"/>
        <v>0</v>
      </c>
      <c r="N357" s="83">
        <f t="shared" si="99"/>
        <v>0</v>
      </c>
      <c r="O357" s="83">
        <f t="shared" si="95"/>
        <v>0</v>
      </c>
      <c r="P357" s="83">
        <f t="shared" si="96"/>
        <v>0</v>
      </c>
      <c r="Q357" s="83">
        <f t="shared" ref="Q357:S358" si="100">Q360+Q363</f>
        <v>0</v>
      </c>
      <c r="R357" s="83">
        <f t="shared" si="100"/>
        <v>0</v>
      </c>
      <c r="S357" s="83">
        <f t="shared" si="100"/>
        <v>0</v>
      </c>
      <c r="T357" s="83">
        <f t="shared" si="97"/>
        <v>0</v>
      </c>
      <c r="U357" s="83">
        <f t="shared" si="98"/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468">
        <f t="shared" ca="1" si="99"/>
        <v>700725</v>
      </c>
      <c r="M358" s="224">
        <f t="shared" ca="1" si="99"/>
        <v>700725</v>
      </c>
      <c r="N358" s="224">
        <f t="shared" ca="1" si="99"/>
        <v>483031.02</v>
      </c>
      <c r="O358" s="224">
        <f t="shared" ca="1" si="95"/>
        <v>68.93303649791288</v>
      </c>
      <c r="P358" s="224">
        <f t="shared" ca="1" si="96"/>
        <v>68.93303649791288</v>
      </c>
      <c r="Q358" s="224">
        <f t="shared" si="100"/>
        <v>0</v>
      </c>
      <c r="R358" s="224">
        <f t="shared" si="100"/>
        <v>0</v>
      </c>
      <c r="S358" s="224">
        <f t="shared" si="100"/>
        <v>0</v>
      </c>
      <c r="T358" s="224">
        <f t="shared" si="97"/>
        <v>0</v>
      </c>
      <c r="U358" s="224">
        <f t="shared" si="98"/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468">
        <f ca="1">L360+L361</f>
        <v>700725</v>
      </c>
      <c r="M359" s="224">
        <f ca="1">M360+M361</f>
        <v>700725</v>
      </c>
      <c r="N359" s="224">
        <f ca="1">N360+N361</f>
        <v>483031.02</v>
      </c>
      <c r="O359" s="224">
        <f t="shared" ca="1" si="95"/>
        <v>68.93303649791288</v>
      </c>
      <c r="P359" s="224">
        <f t="shared" ca="1" si="96"/>
        <v>68.93303649791288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 t="shared" si="97"/>
        <v>0</v>
      </c>
      <c r="U359" s="224">
        <f t="shared" si="98"/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469">
        <v>0</v>
      </c>
      <c r="M360" s="83">
        <v>0</v>
      </c>
      <c r="N360" s="83">
        <v>0</v>
      </c>
      <c r="O360" s="83">
        <f t="shared" si="95"/>
        <v>0</v>
      </c>
      <c r="P360" s="83">
        <f t="shared" si="96"/>
        <v>0</v>
      </c>
      <c r="Q360" s="83">
        <v>0</v>
      </c>
      <c r="R360" s="83">
        <v>0</v>
      </c>
      <c r="S360" s="83">
        <v>0</v>
      </c>
      <c r="T360" s="83">
        <f t="shared" si="97"/>
        <v>0</v>
      </c>
      <c r="U360" s="83">
        <f t="shared" si="98"/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468">
        <f ca="1">IFERROR(__xludf.DUMMYFUNCTION("IMPORTRANGE(""https://docs.google.com/spreadsheets/d/1-uDff_7J0KD5mKrp0Vvzr7lt3OU09vwQwhkpOPPYv2Y/edit?usp=sharing"",""งบพรบ!FC28"")"),700725)</f>
        <v>700725</v>
      </c>
      <c r="M361" s="224">
        <f ca="1">IFERROR(__xludf.DUMMYFUNCTION("IMPORTRANGE(""https://docs.google.com/spreadsheets/d/1-uDff_7J0KD5mKrp0Vvzr7lt3OU09vwQwhkpOPPYv2Y/edit?usp=sharing"",""งบพรบ!FH28"")"),700725)</f>
        <v>700725</v>
      </c>
      <c r="N361" s="224">
        <f ca="1">IFERROR(__xludf.DUMMYFUNCTION("IMPORTRANGE(""https://docs.google.com/spreadsheets/d/1-uDff_7J0KD5mKrp0Vvzr7lt3OU09vwQwhkpOPPYv2Y/edit?usp=sharing"",""งบพรบ!FJ28"")"),483031.02)</f>
        <v>483031.02</v>
      </c>
      <c r="O361" s="224">
        <f t="shared" ca="1" si="95"/>
        <v>68.93303649791288</v>
      </c>
      <c r="P361" s="224">
        <f t="shared" ca="1" si="96"/>
        <v>68.93303649791288</v>
      </c>
      <c r="Q361" s="224">
        <v>0</v>
      </c>
      <c r="R361" s="224">
        <v>0</v>
      </c>
      <c r="S361" s="224">
        <v>0</v>
      </c>
      <c r="T361" s="224">
        <f t="shared" si="97"/>
        <v>0</v>
      </c>
      <c r="U361" s="224">
        <f t="shared" si="98"/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468">
        <f ca="1">L363+L364</f>
        <v>0</v>
      </c>
      <c r="M362" s="224">
        <f ca="1">M363+M364</f>
        <v>0</v>
      </c>
      <c r="N362" s="224">
        <f ca="1">N363+N364</f>
        <v>0</v>
      </c>
      <c r="O362" s="224">
        <f t="shared" ca="1" si="95"/>
        <v>0</v>
      </c>
      <c r="P362" s="224">
        <f t="shared" ca="1" si="96"/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 t="shared" si="97"/>
        <v>0</v>
      </c>
      <c r="U362" s="224">
        <f t="shared" si="98"/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469">
        <v>0</v>
      </c>
      <c r="M363" s="83">
        <v>0</v>
      </c>
      <c r="N363" s="83">
        <v>0</v>
      </c>
      <c r="O363" s="83">
        <f t="shared" si="95"/>
        <v>0</v>
      </c>
      <c r="P363" s="83">
        <f t="shared" si="96"/>
        <v>0</v>
      </c>
      <c r="Q363" s="83">
        <v>0</v>
      </c>
      <c r="R363" s="83">
        <v>0</v>
      </c>
      <c r="S363" s="83">
        <v>0</v>
      </c>
      <c r="T363" s="83">
        <f t="shared" si="97"/>
        <v>0</v>
      </c>
      <c r="U363" s="83">
        <f t="shared" si="98"/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468">
        <f ca="1">IFERROR(__xludf.DUMMYFUNCTION("IMPORTRANGE(""https://docs.google.com/spreadsheets/d/1-uDff_7J0KD5mKrp0Vvzr7lt3OU09vwQwhkpOPPYv2Y/edit?usp=sharing"",""งบพรบ!FF28"")"),0)</f>
        <v>0</v>
      </c>
      <c r="M364" s="224">
        <f ca="1">IFERROR(__xludf.DUMMYFUNCTION("IMPORTRANGE(""https://docs.google.com/spreadsheets/d/1-uDff_7J0KD5mKrp0Vvzr7lt3OU09vwQwhkpOPPYv2Y/edit?usp=sharing"",""งบพรบ!FI28"")"),0)</f>
        <v>0</v>
      </c>
      <c r="N364" s="224">
        <f ca="1">IFERROR(__xludf.DUMMYFUNCTION("IMPORTRANGE(""https://docs.google.com/spreadsheets/d/1-uDff_7J0KD5mKrp0Vvzr7lt3OU09vwQwhkpOPPYv2Y/edit?usp=sharing"",""งบพรบ!FK28"")"),0)</f>
        <v>0</v>
      </c>
      <c r="O364" s="224">
        <f t="shared" ca="1" si="95"/>
        <v>0</v>
      </c>
      <c r="P364" s="224">
        <f t="shared" ca="1" si="96"/>
        <v>0</v>
      </c>
      <c r="Q364" s="224">
        <v>0</v>
      </c>
      <c r="R364" s="224">
        <v>0</v>
      </c>
      <c r="S364" s="224">
        <v>0</v>
      </c>
      <c r="T364" s="224">
        <f t="shared" si="97"/>
        <v>0</v>
      </c>
      <c r="U364" s="224">
        <f t="shared" si="98"/>
        <v>0</v>
      </c>
    </row>
    <row r="365" spans="1:21" ht="19.5" x14ac:dyDescent="0.3">
      <c r="A365" s="211"/>
      <c r="B365" s="212"/>
      <c r="C365" s="214"/>
      <c r="D365" s="558" t="s">
        <v>149</v>
      </c>
      <c r="E365" s="214"/>
      <c r="F365" s="214"/>
      <c r="G365" s="215"/>
      <c r="H365" s="223" t="s">
        <v>35</v>
      </c>
      <c r="I365" s="303">
        <f ca="1">I371</f>
        <v>288</v>
      </c>
      <c r="J365" s="303">
        <f ca="1">J371</f>
        <v>270</v>
      </c>
      <c r="K365" s="304">
        <f ca="1">IF(I365&gt;0,J365*100/I365,0)</f>
        <v>93.75</v>
      </c>
      <c r="L365" s="557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498" t="s">
        <v>38</v>
      </c>
      <c r="E366" s="141"/>
      <c r="F366" s="141"/>
      <c r="G366" s="142"/>
      <c r="H366" s="143"/>
      <c r="I366" s="44"/>
      <c r="J366" s="44"/>
      <c r="K366" s="45"/>
      <c r="L366" s="4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IFERROR(__xludf.DUMMYFUNCTION("IMPORTRANGE(""https://docs.google.com/spreadsheets/d/1tdoBKaGub7dwA3U6UFTqxio9LNnvDCQjHKmttSEBsFQ/edit?usp=sharing"",""จัดที่ดิน!AB28"")"),130)</f>
        <v>130</v>
      </c>
      <c r="K367" s="224">
        <f t="shared" ref="K367:K372" si="101">IF(I367&gt;0,J367*100/I367,0)</f>
        <v>0</v>
      </c>
      <c r="L367" s="4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IFERROR(__xludf.DUMMYFUNCTION("IMPORTRANGE(""https://docs.google.com/spreadsheets/d/1eHaY18a8A9IcSdp1K8H6x8fbOy06t2VsZHhMHf-1x7Y/edit?usp=sharing"",""แผน!EW28"")"),750)</f>
        <v>750</v>
      </c>
      <c r="J368" s="556">
        <f ca="1">IFERROR(__xludf.DUMMYFUNCTION("IMPORTRANGE(""https://docs.google.com/spreadsheets/d/1tdoBKaGub7dwA3U6UFTqxio9LNnvDCQjHKmttSEBsFQ/edit?usp=sharing"",""จัดที่ดิน!AC28"")"),1092.57)</f>
        <v>1092.57</v>
      </c>
      <c r="K368" s="224">
        <f t="shared" ca="1" si="101"/>
        <v>145.67599999999999</v>
      </c>
      <c r="L368" s="4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IFERROR(__xludf.DUMMYFUNCTION("IMPORTRANGE(""https://docs.google.com/spreadsheets/d/1eHaY18a8A9IcSdp1K8H6x8fbOy06t2VsZHhMHf-1x7Y/edit?usp=sharing"",""แผน!EX28"")"),288)</f>
        <v>288</v>
      </c>
      <c r="J369" s="184">
        <f ca="1">IFERROR(__xludf.DUMMYFUNCTION("IMPORTRANGE(""https://docs.google.com/spreadsheets/d/1tdoBKaGub7dwA3U6UFTqxio9LNnvDCQjHKmttSEBsFQ/edit?usp=sharing"",""จัดที่ดิน!AD28"")"),350)</f>
        <v>350</v>
      </c>
      <c r="K369" s="224">
        <f t="shared" ca="1" si="101"/>
        <v>121.52777777777777</v>
      </c>
      <c r="L369" s="4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556">
        <f ca="1">IFERROR(__xludf.DUMMYFUNCTION("IMPORTRANGE(""https://docs.google.com/spreadsheets/d/1tdoBKaGub7dwA3U6UFTqxio9LNnvDCQjHKmttSEBsFQ/edit?usp=sharing"",""จัดที่ดิน!AE28"")"),3949.42)</f>
        <v>3949.42</v>
      </c>
      <c r="K370" s="224">
        <f t="shared" si="101"/>
        <v>0</v>
      </c>
      <c r="L370" s="4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IFERROR(__xludf.DUMMYFUNCTION("IMPORTRANGE(""https://docs.google.com/spreadsheets/d/1eHaY18a8A9IcSdp1K8H6x8fbOy06t2VsZHhMHf-1x7Y/edit?usp=sharing"",""แผน!EY28"")"),288)</f>
        <v>288</v>
      </c>
      <c r="J371" s="184">
        <f ca="1">IFERROR(__xludf.DUMMYFUNCTION("IMPORTRANGE(""https://docs.google.com/spreadsheets/d/1tdoBKaGub7dwA3U6UFTqxio9LNnvDCQjHKmttSEBsFQ/edit?usp=sharing"",""จัดที่ดิน!AF28"")"),270)</f>
        <v>270</v>
      </c>
      <c r="K371" s="224">
        <f t="shared" ca="1" si="101"/>
        <v>93.75</v>
      </c>
      <c r="L371" s="4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556">
        <f ca="1">IFERROR(__xludf.DUMMYFUNCTION("IMPORTRANGE(""https://docs.google.com/spreadsheets/d/1tdoBKaGub7dwA3U6UFTqxio9LNnvDCQjHKmttSEBsFQ/edit?usp=sharing"",""จัดที่ดิน!AG28"")"),3389.50999999999)</f>
        <v>3389.5099999999902</v>
      </c>
      <c r="K372" s="224">
        <f t="shared" si="101"/>
        <v>0</v>
      </c>
      <c r="L372" s="4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2"/>
      <c r="H373" s="52"/>
      <c r="I373" s="54"/>
      <c r="J373" s="54"/>
      <c r="K373" s="3"/>
      <c r="L373" s="46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555"/>
      <c r="B374" s="554" t="s">
        <v>153</v>
      </c>
      <c r="C374" s="553"/>
      <c r="D374" s="552"/>
      <c r="E374" s="551"/>
      <c r="F374" s="551"/>
      <c r="G374" s="550"/>
      <c r="H374" s="549" t="s">
        <v>46</v>
      </c>
      <c r="I374" s="548">
        <f ca="1">I386+I388</f>
        <v>2000</v>
      </c>
      <c r="J374" s="548">
        <f ca="1">J386+J388</f>
        <v>0</v>
      </c>
      <c r="K374" s="547">
        <f ca="1">IF(I374&gt;0,J374*100/I374,0)</f>
        <v>0</v>
      </c>
      <c r="L374" s="539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128"/>
      <c r="B375" s="158"/>
      <c r="C375" s="161" t="s">
        <v>18</v>
      </c>
      <c r="D375" s="544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471">
        <f>L376+L377</f>
        <v>0</v>
      </c>
      <c r="M375" s="470">
        <f>M376+M377</f>
        <v>0</v>
      </c>
      <c r="N375" s="470">
        <f>N376+N377</f>
        <v>0</v>
      </c>
      <c r="O375" s="470">
        <f t="shared" ref="O375:O383" si="102">IF(L375&gt;0,N375*100/L375,0)</f>
        <v>0</v>
      </c>
      <c r="P375" s="470">
        <f t="shared" ref="P375:P383" si="103">IF(M375&gt;0,N375*100/M375,0)</f>
        <v>0</v>
      </c>
      <c r="Q375" s="470">
        <f ca="1">Q376+Q377</f>
        <v>125000</v>
      </c>
      <c r="R375" s="470">
        <f ca="1">R376+R377</f>
        <v>0</v>
      </c>
      <c r="S375" s="470">
        <f ca="1">S376+S377</f>
        <v>0</v>
      </c>
      <c r="T375" s="470">
        <f t="shared" ref="T375:T383" ca="1" si="104">IF(Q375&gt;0,S375*100/Q375,0)</f>
        <v>0</v>
      </c>
      <c r="U375" s="470">
        <f t="shared" ref="U375:U383" ca="1" si="105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469">
        <f t="shared" ref="L376:N377" si="106">L379+L382</f>
        <v>0</v>
      </c>
      <c r="M376" s="83">
        <f t="shared" si="106"/>
        <v>0</v>
      </c>
      <c r="N376" s="83">
        <f t="shared" si="106"/>
        <v>0</v>
      </c>
      <c r="O376" s="83">
        <f t="shared" si="102"/>
        <v>0</v>
      </c>
      <c r="P376" s="83">
        <f t="shared" si="103"/>
        <v>0</v>
      </c>
      <c r="Q376" s="83">
        <f t="shared" ref="Q376:S377" si="107">Q379+Q382</f>
        <v>0</v>
      </c>
      <c r="R376" s="83">
        <f t="shared" si="107"/>
        <v>0</v>
      </c>
      <c r="S376" s="83">
        <f t="shared" si="107"/>
        <v>0</v>
      </c>
      <c r="T376" s="83">
        <f t="shared" si="104"/>
        <v>0</v>
      </c>
      <c r="U376" s="83">
        <f t="shared" si="105"/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468">
        <f t="shared" si="106"/>
        <v>0</v>
      </c>
      <c r="M377" s="224">
        <f t="shared" si="106"/>
        <v>0</v>
      </c>
      <c r="N377" s="224">
        <f t="shared" si="106"/>
        <v>0</v>
      </c>
      <c r="O377" s="224">
        <f t="shared" si="102"/>
        <v>0</v>
      </c>
      <c r="P377" s="224">
        <f t="shared" si="103"/>
        <v>0</v>
      </c>
      <c r="Q377" s="224">
        <f t="shared" ca="1" si="107"/>
        <v>125000</v>
      </c>
      <c r="R377" s="224">
        <f t="shared" ca="1" si="107"/>
        <v>0</v>
      </c>
      <c r="S377" s="224">
        <f t="shared" ca="1" si="107"/>
        <v>0</v>
      </c>
      <c r="T377" s="224">
        <f t="shared" ca="1" si="104"/>
        <v>0</v>
      </c>
      <c r="U377" s="224">
        <f t="shared" ca="1" si="105"/>
        <v>0</v>
      </c>
    </row>
    <row r="378" spans="1:21" ht="18.75" x14ac:dyDescent="0.25">
      <c r="A378" s="128"/>
      <c r="B378" s="158"/>
      <c r="C378" s="158"/>
      <c r="D378" s="53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468">
        <f>L379+L380</f>
        <v>0</v>
      </c>
      <c r="M378" s="224">
        <f>M379+M380</f>
        <v>0</v>
      </c>
      <c r="N378" s="224">
        <f>N379+N380</f>
        <v>0</v>
      </c>
      <c r="O378" s="224">
        <f t="shared" si="102"/>
        <v>0</v>
      </c>
      <c r="P378" s="224">
        <f t="shared" si="103"/>
        <v>0</v>
      </c>
      <c r="Q378" s="224">
        <f ca="1">Q379+Q380</f>
        <v>125000</v>
      </c>
      <c r="R378" s="224">
        <f ca="1">R379+R380</f>
        <v>0</v>
      </c>
      <c r="S378" s="224">
        <f ca="1">S379+S380</f>
        <v>0</v>
      </c>
      <c r="T378" s="224">
        <f t="shared" ca="1" si="104"/>
        <v>0</v>
      </c>
      <c r="U378" s="224">
        <f t="shared" ca="1" si="105"/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469">
        <v>0</v>
      </c>
      <c r="M379" s="83">
        <v>0</v>
      </c>
      <c r="N379" s="83">
        <v>0</v>
      </c>
      <c r="O379" s="83">
        <f t="shared" si="102"/>
        <v>0</v>
      </c>
      <c r="P379" s="83">
        <f t="shared" si="103"/>
        <v>0</v>
      </c>
      <c r="Q379" s="83">
        <v>0</v>
      </c>
      <c r="R379" s="83">
        <v>0</v>
      </c>
      <c r="S379" s="83">
        <v>0</v>
      </c>
      <c r="T379" s="83">
        <f t="shared" si="104"/>
        <v>0</v>
      </c>
      <c r="U379" s="83">
        <f t="shared" si="105"/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468">
        <v>0</v>
      </c>
      <c r="M380" s="224">
        <v>0</v>
      </c>
      <c r="N380" s="224">
        <v>0</v>
      </c>
      <c r="O380" s="224">
        <f t="shared" si="102"/>
        <v>0</v>
      </c>
      <c r="P380" s="224">
        <f t="shared" si="103"/>
        <v>0</v>
      </c>
      <c r="Q380" s="224">
        <f ca="1">IFERROR(__xludf.DUMMYFUNCTION("IMPORTRANGE(""https://docs.google.com/spreadsheets/d/1ItG2mGa2ceCfYo0BwxsXqNm01IGEUdYcSSLTEv9YCik/edit?usp=sharing"",""เบิกจ่ายกองทุน!AY28"")"),125000)</f>
        <v>125000</v>
      </c>
      <c r="R380" s="224">
        <f ca="1">IFERROR(__xludf.DUMMYFUNCTION("IMPORTRANGE(""https://docs.google.com/spreadsheets/d/1ItG2mGa2ceCfYo0BwxsXqNm01IGEUdYcSSLTEv9YCik/edit?usp=sharing"",""เบิกจ่ายกองทุน!AZ28"")"),0)</f>
        <v>0</v>
      </c>
      <c r="S380" s="224">
        <f ca="1">IFERROR(__xludf.DUMMYFUNCTION("IMPORTRANGE(""https://docs.google.com/spreadsheets/d/1ItG2mGa2ceCfYo0BwxsXqNm01IGEUdYcSSLTEv9YCik/edit?usp=sharing"",""เบิกจ่ายกองทุน!BA28"")"),0)</f>
        <v>0</v>
      </c>
      <c r="T380" s="224">
        <f t="shared" ca="1" si="104"/>
        <v>0</v>
      </c>
      <c r="U380" s="224">
        <f t="shared" ca="1" si="105"/>
        <v>0</v>
      </c>
    </row>
    <row r="381" spans="1:21" ht="18.75" x14ac:dyDescent="0.25">
      <c r="A381" s="128"/>
      <c r="B381" s="158"/>
      <c r="C381" s="158"/>
      <c r="D381" s="53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468">
        <f>L382+L383</f>
        <v>0</v>
      </c>
      <c r="M381" s="224">
        <f>M382+M383</f>
        <v>0</v>
      </c>
      <c r="N381" s="224">
        <f>N382+N383</f>
        <v>0</v>
      </c>
      <c r="O381" s="224">
        <f t="shared" si="102"/>
        <v>0</v>
      </c>
      <c r="P381" s="224">
        <f t="shared" si="103"/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 t="shared" si="104"/>
        <v>0</v>
      </c>
      <c r="U381" s="224">
        <f t="shared" si="105"/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469">
        <v>0</v>
      </c>
      <c r="M382" s="83">
        <v>0</v>
      </c>
      <c r="N382" s="83">
        <v>0</v>
      </c>
      <c r="O382" s="83">
        <f t="shared" si="102"/>
        <v>0</v>
      </c>
      <c r="P382" s="83">
        <f t="shared" si="103"/>
        <v>0</v>
      </c>
      <c r="Q382" s="83">
        <v>0</v>
      </c>
      <c r="R382" s="83">
        <v>0</v>
      </c>
      <c r="S382" s="83">
        <v>0</v>
      </c>
      <c r="T382" s="83">
        <f t="shared" si="104"/>
        <v>0</v>
      </c>
      <c r="U382" s="83">
        <f t="shared" si="105"/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468">
        <v>0</v>
      </c>
      <c r="M383" s="224">
        <v>0</v>
      </c>
      <c r="N383" s="224">
        <v>0</v>
      </c>
      <c r="O383" s="224">
        <f t="shared" si="102"/>
        <v>0</v>
      </c>
      <c r="P383" s="224">
        <f t="shared" si="103"/>
        <v>0</v>
      </c>
      <c r="Q383" s="224">
        <v>0</v>
      </c>
      <c r="R383" s="224">
        <v>0</v>
      </c>
      <c r="S383" s="224">
        <v>0</v>
      </c>
      <c r="T383" s="224">
        <f t="shared" si="104"/>
        <v>0</v>
      </c>
      <c r="U383" s="224">
        <f t="shared" si="105"/>
        <v>0</v>
      </c>
    </row>
    <row r="384" spans="1:21" ht="19.5" x14ac:dyDescent="0.3">
      <c r="A384" s="138"/>
      <c r="B384" s="139"/>
      <c r="C384" s="161" t="s">
        <v>18</v>
      </c>
      <c r="D384" s="491" t="s">
        <v>38</v>
      </c>
      <c r="E384" s="141"/>
      <c r="F384" s="141"/>
      <c r="G384" s="142"/>
      <c r="H384" s="178"/>
      <c r="I384" s="135"/>
      <c r="J384" s="44"/>
      <c r="K384" s="45"/>
      <c r="L384" s="465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IFERROR(__xludf.DUMMYFUNCTION("IMPORTRANGE(""https://docs.google.com/spreadsheets/d/1w5rwWK1o49a35cNtocGL0gxDwhFSTZUQu90BiH9_zqM/edit?usp=sharing"",""RTK!H28"")"),0)</f>
        <v>0</v>
      </c>
      <c r="K385" s="224">
        <f>IF(I385&gt;0,J385*100/I385,0)</f>
        <v>0</v>
      </c>
      <c r="L385" s="465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IFERROR(__xludf.DUMMYFUNCTION("IMPORTRANGE(""https://docs.google.com/spreadsheets/d/1w5rwWK1o49a35cNtocGL0gxDwhFSTZUQu90BiH9_zqM/edit?usp=sharing"",""RTK!G28"")"),2000)</f>
        <v>2000</v>
      </c>
      <c r="J386" s="184">
        <f ca="1">IFERROR(__xludf.DUMMYFUNCTION("IMPORTRANGE(""https://docs.google.com/spreadsheets/d/1w5rwWK1o49a35cNtocGL0gxDwhFSTZUQu90BiH9_zqM/edit?usp=sharing"",""RTK!I28"")"),0)</f>
        <v>0</v>
      </c>
      <c r="K386" s="224">
        <f ca="1">IF(I386&gt;0,J386*100/I386,0)</f>
        <v>0</v>
      </c>
      <c r="L386" s="465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545"/>
      <c r="B387" s="545"/>
      <c r="C387" s="545"/>
      <c r="D387" s="545"/>
      <c r="E387" s="546" t="s">
        <v>155</v>
      </c>
      <c r="F387" s="545"/>
      <c r="G387" s="488"/>
      <c r="H387" s="480" t="s">
        <v>34</v>
      </c>
      <c r="I387" s="487">
        <v>0</v>
      </c>
      <c r="J387" s="487">
        <f ca="1">IFERROR(__xludf.DUMMYFUNCTION("IMPORTRANGE(""https://docs.google.com/spreadsheets/d/1w5rwWK1o49a35cNtocGL0gxDwhFSTZUQu90BiH9_zqM/edit?usp=sharing"",""RTK!L28"")"),0)</f>
        <v>0</v>
      </c>
      <c r="K387" s="486">
        <f>IF(I387&gt;0,J387*100/I387,0)</f>
        <v>0</v>
      </c>
      <c r="L387" s="477"/>
      <c r="M387" s="476"/>
      <c r="N387" s="476"/>
      <c r="O387" s="476"/>
      <c r="P387" s="476"/>
      <c r="Q387" s="476"/>
      <c r="R387" s="476"/>
      <c r="S387" s="476"/>
      <c r="T387" s="476"/>
      <c r="U387" s="476"/>
    </row>
    <row r="388" spans="1:21" ht="18.75" x14ac:dyDescent="0.25">
      <c r="A388" s="545"/>
      <c r="B388" s="545"/>
      <c r="C388" s="545"/>
      <c r="D388" s="545"/>
      <c r="E388" s="545"/>
      <c r="F388" s="545"/>
      <c r="G388" s="488"/>
      <c r="H388" s="480" t="s">
        <v>46</v>
      </c>
      <c r="I388" s="487">
        <f ca="1">IFERROR(__xludf.DUMMYFUNCTION("IMPORTRANGE(""https://docs.google.com/spreadsheets/d/1w5rwWK1o49a35cNtocGL0gxDwhFSTZUQu90BiH9_zqM/edit?usp=sharing"",""RTK!K28"")"),0)</f>
        <v>0</v>
      </c>
      <c r="J388" s="487">
        <f ca="1">IFERROR(__xludf.DUMMYFUNCTION("IMPORTRANGE(""https://docs.google.com/spreadsheets/d/1w5rwWK1o49a35cNtocGL0gxDwhFSTZUQu90BiH9_zqM/edit?usp=sharing"",""RTK!M28"")"),0)</f>
        <v>0</v>
      </c>
      <c r="K388" s="486">
        <f ca="1">IF(I388&gt;0,J388*100/I388,0)</f>
        <v>0</v>
      </c>
      <c r="L388" s="477"/>
      <c r="M388" s="476"/>
      <c r="N388" s="476"/>
      <c r="O388" s="476"/>
      <c r="P388" s="476"/>
      <c r="Q388" s="476"/>
      <c r="R388" s="476"/>
      <c r="S388" s="476"/>
      <c r="T388" s="476"/>
      <c r="U388" s="476"/>
    </row>
    <row r="389" spans="1:21" ht="12.75" hidden="1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11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16"/>
      <c r="B390" s="316"/>
      <c r="C390" s="316"/>
      <c r="D390" s="316"/>
      <c r="E390" s="316"/>
      <c r="F390" s="316"/>
      <c r="G390" s="317"/>
      <c r="H390" s="317"/>
      <c r="I390" s="318"/>
      <c r="J390" s="318"/>
      <c r="K390" s="319"/>
      <c r="L390" s="496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hidden="1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>I402</f>
        <v>0</v>
      </c>
      <c r="J391" s="307">
        <f>J402</f>
        <v>0</v>
      </c>
      <c r="K391" s="540">
        <f>IF(I391&gt;0,J391*100/I391,0)</f>
        <v>0</v>
      </c>
      <c r="L391" s="539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hidden="1" x14ac:dyDescent="0.3">
      <c r="A392" s="128"/>
      <c r="B392" s="158"/>
      <c r="C392" s="161" t="s">
        <v>18</v>
      </c>
      <c r="D392" s="54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471">
        <f>L393+L394</f>
        <v>0</v>
      </c>
      <c r="M392" s="470">
        <f>M393+M394</f>
        <v>0</v>
      </c>
      <c r="N392" s="470">
        <f>N393+N394</f>
        <v>0</v>
      </c>
      <c r="O392" s="470">
        <f t="shared" ref="O392:O400" si="108">IF(L392&gt;0,N392*100/L392,0)</f>
        <v>0</v>
      </c>
      <c r="P392" s="470">
        <f t="shared" ref="P392:P400" si="109">IF(M392&gt;0,N392*100/M392,0)</f>
        <v>0</v>
      </c>
      <c r="Q392" s="470">
        <f>Q393+Q394</f>
        <v>0</v>
      </c>
      <c r="R392" s="470">
        <f>R393+R394</f>
        <v>0</v>
      </c>
      <c r="S392" s="470">
        <f>S393+S394</f>
        <v>0</v>
      </c>
      <c r="T392" s="470">
        <f t="shared" ref="T392:T400" si="110">IF(Q392&gt;0,S392*100/Q392,0)</f>
        <v>0</v>
      </c>
      <c r="U392" s="470">
        <f t="shared" ref="U392:U400" si="11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469">
        <f t="shared" ref="L393:N394" si="112">L396+L399</f>
        <v>0</v>
      </c>
      <c r="M393" s="83">
        <f t="shared" si="112"/>
        <v>0</v>
      </c>
      <c r="N393" s="83">
        <f t="shared" si="112"/>
        <v>0</v>
      </c>
      <c r="O393" s="83">
        <f t="shared" si="108"/>
        <v>0</v>
      </c>
      <c r="P393" s="83">
        <f t="shared" si="109"/>
        <v>0</v>
      </c>
      <c r="Q393" s="83">
        <f t="shared" ref="Q393:S394" si="113">Q396+Q399</f>
        <v>0</v>
      </c>
      <c r="R393" s="83">
        <f t="shared" si="113"/>
        <v>0</v>
      </c>
      <c r="S393" s="83">
        <f t="shared" si="113"/>
        <v>0</v>
      </c>
      <c r="T393" s="83">
        <f t="shared" si="110"/>
        <v>0</v>
      </c>
      <c r="U393" s="83">
        <f t="shared" si="111"/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468">
        <f t="shared" si="112"/>
        <v>0</v>
      </c>
      <c r="M394" s="224">
        <f t="shared" si="112"/>
        <v>0</v>
      </c>
      <c r="N394" s="224">
        <f t="shared" si="112"/>
        <v>0</v>
      </c>
      <c r="O394" s="224">
        <f t="shared" si="108"/>
        <v>0</v>
      </c>
      <c r="P394" s="224">
        <f t="shared" si="109"/>
        <v>0</v>
      </c>
      <c r="Q394" s="224">
        <f t="shared" si="113"/>
        <v>0</v>
      </c>
      <c r="R394" s="224">
        <f t="shared" si="113"/>
        <v>0</v>
      </c>
      <c r="S394" s="224">
        <f t="shared" si="113"/>
        <v>0</v>
      </c>
      <c r="T394" s="224">
        <f t="shared" si="110"/>
        <v>0</v>
      </c>
      <c r="U394" s="224">
        <f t="shared" si="111"/>
        <v>0</v>
      </c>
    </row>
    <row r="395" spans="1:21" ht="18.75" hidden="1" x14ac:dyDescent="0.25">
      <c r="A395" s="128"/>
      <c r="B395" s="158"/>
      <c r="C395" s="158"/>
      <c r="D395" s="53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468">
        <f>L396+L397</f>
        <v>0</v>
      </c>
      <c r="M395" s="224">
        <f>M396+M397</f>
        <v>0</v>
      </c>
      <c r="N395" s="224">
        <f>N396+N397</f>
        <v>0</v>
      </c>
      <c r="O395" s="224">
        <f t="shared" si="108"/>
        <v>0</v>
      </c>
      <c r="P395" s="224">
        <f t="shared" si="109"/>
        <v>0</v>
      </c>
      <c r="Q395" s="224">
        <f>Q396+Q397</f>
        <v>0</v>
      </c>
      <c r="R395" s="224">
        <f>R396+R397</f>
        <v>0</v>
      </c>
      <c r="S395" s="224">
        <f>S396+S397</f>
        <v>0</v>
      </c>
      <c r="T395" s="224">
        <f t="shared" si="110"/>
        <v>0</v>
      </c>
      <c r="U395" s="224">
        <f t="shared" si="111"/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469">
        <v>0</v>
      </c>
      <c r="M396" s="83">
        <v>0</v>
      </c>
      <c r="N396" s="83">
        <v>0</v>
      </c>
      <c r="O396" s="83">
        <f t="shared" si="108"/>
        <v>0</v>
      </c>
      <c r="P396" s="83">
        <f t="shared" si="109"/>
        <v>0</v>
      </c>
      <c r="Q396" s="83">
        <v>0</v>
      </c>
      <c r="R396" s="83">
        <v>0</v>
      </c>
      <c r="S396" s="83">
        <v>0</v>
      </c>
      <c r="T396" s="83">
        <f t="shared" si="110"/>
        <v>0</v>
      </c>
      <c r="U396" s="83">
        <f t="shared" si="111"/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468">
        <v>0</v>
      </c>
      <c r="M397" s="224">
        <v>0</v>
      </c>
      <c r="N397" s="224">
        <v>0</v>
      </c>
      <c r="O397" s="224">
        <f t="shared" si="108"/>
        <v>0</v>
      </c>
      <c r="P397" s="224">
        <f t="shared" si="109"/>
        <v>0</v>
      </c>
      <c r="Q397" s="224">
        <v>0</v>
      </c>
      <c r="R397" s="224">
        <v>0</v>
      </c>
      <c r="S397" s="224">
        <v>0</v>
      </c>
      <c r="T397" s="224">
        <f t="shared" si="110"/>
        <v>0</v>
      </c>
      <c r="U397" s="224">
        <f t="shared" si="111"/>
        <v>0</v>
      </c>
    </row>
    <row r="398" spans="1:21" ht="18.75" hidden="1" x14ac:dyDescent="0.25">
      <c r="A398" s="128"/>
      <c r="B398" s="158"/>
      <c r="C398" s="158"/>
      <c r="D398" s="53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468">
        <f>L399+L400</f>
        <v>0</v>
      </c>
      <c r="M398" s="224">
        <f>M399+M400</f>
        <v>0</v>
      </c>
      <c r="N398" s="224">
        <f>N399+N400</f>
        <v>0</v>
      </c>
      <c r="O398" s="224">
        <f t="shared" si="108"/>
        <v>0</v>
      </c>
      <c r="P398" s="224">
        <f t="shared" si="109"/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 t="shared" si="110"/>
        <v>0</v>
      </c>
      <c r="U398" s="224">
        <f t="shared" si="111"/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469">
        <v>0</v>
      </c>
      <c r="M399" s="83">
        <v>0</v>
      </c>
      <c r="N399" s="83">
        <v>0</v>
      </c>
      <c r="O399" s="83">
        <f t="shared" si="108"/>
        <v>0</v>
      </c>
      <c r="P399" s="83">
        <f t="shared" si="109"/>
        <v>0</v>
      </c>
      <c r="Q399" s="83">
        <v>0</v>
      </c>
      <c r="R399" s="83">
        <v>0</v>
      </c>
      <c r="S399" s="83">
        <v>0</v>
      </c>
      <c r="T399" s="83">
        <f t="shared" si="110"/>
        <v>0</v>
      </c>
      <c r="U399" s="83">
        <f t="shared" si="111"/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468">
        <v>0</v>
      </c>
      <c r="M400" s="224">
        <v>0</v>
      </c>
      <c r="N400" s="224">
        <v>0</v>
      </c>
      <c r="O400" s="224">
        <f t="shared" si="108"/>
        <v>0</v>
      </c>
      <c r="P400" s="224">
        <f t="shared" si="109"/>
        <v>0</v>
      </c>
      <c r="Q400" s="224">
        <v>0</v>
      </c>
      <c r="R400" s="224">
        <v>0</v>
      </c>
      <c r="S400" s="224">
        <v>0</v>
      </c>
      <c r="T400" s="224">
        <f t="shared" si="110"/>
        <v>0</v>
      </c>
      <c r="U400" s="224">
        <f t="shared" si="111"/>
        <v>0</v>
      </c>
    </row>
    <row r="401" spans="1:21" ht="19.5" hidden="1" x14ac:dyDescent="0.3">
      <c r="A401" s="138"/>
      <c r="B401" s="139"/>
      <c r="C401" s="161" t="s">
        <v>18</v>
      </c>
      <c r="D401" s="491" t="s">
        <v>38</v>
      </c>
      <c r="E401" s="141"/>
      <c r="F401" s="141"/>
      <c r="G401" s="142"/>
      <c r="H401" s="178"/>
      <c r="I401" s="135"/>
      <c r="J401" s="44"/>
      <c r="K401" s="45"/>
      <c r="L401" s="465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11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11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11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11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11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11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11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11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11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496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hidden="1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541">
        <f ca="1">I423</f>
        <v>0</v>
      </c>
      <c r="J412" s="541">
        <f>J423</f>
        <v>0</v>
      </c>
      <c r="K412" s="540">
        <f ca="1">IF(I412&gt;0,J412*100/I412,0)</f>
        <v>0</v>
      </c>
      <c r="L412" s="539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hidden="1" x14ac:dyDescent="0.3">
      <c r="A413" s="128"/>
      <c r="B413" s="158"/>
      <c r="C413" s="322" t="s">
        <v>18</v>
      </c>
      <c r="D413" s="819" t="s">
        <v>19</v>
      </c>
      <c r="E413" s="800"/>
      <c r="F413" s="800"/>
      <c r="G413" s="801"/>
      <c r="H413" s="323" t="s">
        <v>14</v>
      </c>
      <c r="I413" s="44"/>
      <c r="J413" s="44"/>
      <c r="K413" s="45"/>
      <c r="L413" s="471">
        <f>L414+L415</f>
        <v>0</v>
      </c>
      <c r="M413" s="470">
        <f>M414+M415</f>
        <v>0</v>
      </c>
      <c r="N413" s="470">
        <f>N414+N415</f>
        <v>0</v>
      </c>
      <c r="O413" s="470">
        <f t="shared" ref="O413:O421" si="114">IF(L413&gt;0,N413*100/L413,0)</f>
        <v>0</v>
      </c>
      <c r="P413" s="470">
        <f t="shared" ref="P413:P421" si="115">IF(M413&gt;0,N413*100/M413,0)</f>
        <v>0</v>
      </c>
      <c r="Q413" s="470">
        <f ca="1">Q414+Q415</f>
        <v>0</v>
      </c>
      <c r="R413" s="470">
        <f ca="1">R414+R415</f>
        <v>0</v>
      </c>
      <c r="S413" s="470">
        <f ca="1">S414+S415</f>
        <v>0</v>
      </c>
      <c r="T413" s="470">
        <f t="shared" ref="T413:T421" ca="1" si="116">IF(Q413&gt;0,S413*100/Q413,0)</f>
        <v>0</v>
      </c>
      <c r="U413" s="470">
        <f t="shared" ref="U413:U421" ca="1" si="117">IF(R413&gt;0,S413*100/R413,0)</f>
        <v>0</v>
      </c>
    </row>
    <row r="414" spans="1:21" ht="18.75" hidden="1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469">
        <f t="shared" ref="L414:N415" si="118">L417+L420</f>
        <v>0</v>
      </c>
      <c r="M414" s="83">
        <f t="shared" si="118"/>
        <v>0</v>
      </c>
      <c r="N414" s="83">
        <f t="shared" si="118"/>
        <v>0</v>
      </c>
      <c r="O414" s="83">
        <f t="shared" si="114"/>
        <v>0</v>
      </c>
      <c r="P414" s="83">
        <f t="shared" si="115"/>
        <v>0</v>
      </c>
      <c r="Q414" s="83">
        <f t="shared" ref="Q414:S415" si="119">Q417+Q420</f>
        <v>0</v>
      </c>
      <c r="R414" s="83">
        <f t="shared" si="119"/>
        <v>0</v>
      </c>
      <c r="S414" s="83">
        <f t="shared" si="119"/>
        <v>0</v>
      </c>
      <c r="T414" s="83">
        <f t="shared" si="116"/>
        <v>0</v>
      </c>
      <c r="U414" s="83">
        <f t="shared" si="117"/>
        <v>0</v>
      </c>
    </row>
    <row r="415" spans="1:21" ht="18.75" hidden="1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468">
        <f t="shared" si="118"/>
        <v>0</v>
      </c>
      <c r="M415" s="224">
        <f t="shared" si="118"/>
        <v>0</v>
      </c>
      <c r="N415" s="224">
        <f t="shared" si="118"/>
        <v>0</v>
      </c>
      <c r="O415" s="224">
        <f t="shared" si="114"/>
        <v>0</v>
      </c>
      <c r="P415" s="224">
        <f t="shared" si="115"/>
        <v>0</v>
      </c>
      <c r="Q415" s="224">
        <f t="shared" ca="1" si="119"/>
        <v>0</v>
      </c>
      <c r="R415" s="224">
        <f t="shared" ca="1" si="119"/>
        <v>0</v>
      </c>
      <c r="S415" s="224">
        <f t="shared" ca="1" si="119"/>
        <v>0</v>
      </c>
      <c r="T415" s="224">
        <f t="shared" ca="1" si="116"/>
        <v>0</v>
      </c>
      <c r="U415" s="224">
        <f t="shared" ca="1" si="117"/>
        <v>0</v>
      </c>
    </row>
    <row r="416" spans="1:21" ht="19.5" hidden="1" x14ac:dyDescent="0.3">
      <c r="A416" s="128"/>
      <c r="B416" s="158"/>
      <c r="C416" s="158"/>
      <c r="D416" s="54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468">
        <f>L417+L418</f>
        <v>0</v>
      </c>
      <c r="M416" s="224">
        <f>M417+M418</f>
        <v>0</v>
      </c>
      <c r="N416" s="224">
        <f>N417+N418</f>
        <v>0</v>
      </c>
      <c r="O416" s="224">
        <f t="shared" si="114"/>
        <v>0</v>
      </c>
      <c r="P416" s="224">
        <f t="shared" si="115"/>
        <v>0</v>
      </c>
      <c r="Q416" s="224">
        <f ca="1">Q417+Q418</f>
        <v>0</v>
      </c>
      <c r="R416" s="224">
        <f ca="1">R417+R418</f>
        <v>0</v>
      </c>
      <c r="S416" s="224">
        <f ca="1">S417+S418</f>
        <v>0</v>
      </c>
      <c r="T416" s="224">
        <f t="shared" ca="1" si="116"/>
        <v>0</v>
      </c>
      <c r="U416" s="224">
        <f t="shared" ca="1" si="117"/>
        <v>0</v>
      </c>
    </row>
    <row r="417" spans="1:21" ht="18.75" hidden="1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469">
        <v>0</v>
      </c>
      <c r="M417" s="83">
        <v>0</v>
      </c>
      <c r="N417" s="83">
        <v>0</v>
      </c>
      <c r="O417" s="83">
        <f t="shared" si="114"/>
        <v>0</v>
      </c>
      <c r="P417" s="83">
        <f t="shared" si="115"/>
        <v>0</v>
      </c>
      <c r="Q417" s="83">
        <v>0</v>
      </c>
      <c r="R417" s="83">
        <v>0</v>
      </c>
      <c r="S417" s="83">
        <v>0</v>
      </c>
      <c r="T417" s="83">
        <f t="shared" si="116"/>
        <v>0</v>
      </c>
      <c r="U417" s="83">
        <f t="shared" si="117"/>
        <v>0</v>
      </c>
    </row>
    <row r="418" spans="1:21" ht="18.75" hidden="1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468">
        <v>0</v>
      </c>
      <c r="M418" s="224">
        <v>0</v>
      </c>
      <c r="N418" s="224">
        <v>0</v>
      </c>
      <c r="O418" s="224">
        <f t="shared" si="114"/>
        <v>0</v>
      </c>
      <c r="P418" s="224">
        <f t="shared" si="115"/>
        <v>0</v>
      </c>
      <c r="Q418" s="224">
        <f ca="1">IFERROR(__xludf.DUMMYFUNCTION("IMPORTRANGE(""https://docs.google.com/spreadsheets/d/1ItG2mGa2ceCfYo0BwxsXqNm01IGEUdYcSSLTEv9YCik/edit?usp=sharing"",""เบิกจ่ายกองทุน!BH28"")"),0)</f>
        <v>0</v>
      </c>
      <c r="R418" s="224">
        <f ca="1">IFERROR(__xludf.DUMMYFUNCTION("IMPORTRANGE(""https://docs.google.com/spreadsheets/d/1ItG2mGa2ceCfYo0BwxsXqNm01IGEUdYcSSLTEv9YCik/edit?usp=sharing"",""เบิกจ่ายกองทุน!BI28"")"),0)</f>
        <v>0</v>
      </c>
      <c r="S418" s="224">
        <f ca="1">IFERROR(__xludf.DUMMYFUNCTION("IMPORTRANGE(""https://docs.google.com/spreadsheets/d/1ItG2mGa2ceCfYo0BwxsXqNm01IGEUdYcSSLTEv9YCik/edit?usp=sharing"",""เบิกจ่ายกองทุน!BJ28"")"),0)</f>
        <v>0</v>
      </c>
      <c r="T418" s="224">
        <f t="shared" ca="1" si="116"/>
        <v>0</v>
      </c>
      <c r="U418" s="224">
        <f t="shared" ca="1" si="117"/>
        <v>0</v>
      </c>
    </row>
    <row r="419" spans="1:21" ht="19.5" hidden="1" x14ac:dyDescent="0.3">
      <c r="A419" s="128"/>
      <c r="B419" s="158"/>
      <c r="C419" s="158"/>
      <c r="D419" s="54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468">
        <f>L420+L421</f>
        <v>0</v>
      </c>
      <c r="M419" s="224">
        <f>M420+M421</f>
        <v>0</v>
      </c>
      <c r="N419" s="224">
        <f>N420+N421</f>
        <v>0</v>
      </c>
      <c r="O419" s="224">
        <f t="shared" si="114"/>
        <v>0</v>
      </c>
      <c r="P419" s="224">
        <f t="shared" si="115"/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 t="shared" si="116"/>
        <v>0</v>
      </c>
      <c r="U419" s="224">
        <f t="shared" si="117"/>
        <v>0</v>
      </c>
    </row>
    <row r="420" spans="1:21" ht="18.75" hidden="1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469">
        <v>0</v>
      </c>
      <c r="M420" s="83">
        <v>0</v>
      </c>
      <c r="N420" s="83">
        <v>0</v>
      </c>
      <c r="O420" s="83">
        <f t="shared" si="114"/>
        <v>0</v>
      </c>
      <c r="P420" s="83">
        <f t="shared" si="115"/>
        <v>0</v>
      </c>
      <c r="Q420" s="83">
        <v>0</v>
      </c>
      <c r="R420" s="83">
        <v>0</v>
      </c>
      <c r="S420" s="83">
        <v>0</v>
      </c>
      <c r="T420" s="83">
        <f t="shared" si="116"/>
        <v>0</v>
      </c>
      <c r="U420" s="83">
        <f t="shared" si="117"/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468">
        <v>0</v>
      </c>
      <c r="M421" s="224">
        <v>0</v>
      </c>
      <c r="N421" s="224">
        <v>0</v>
      </c>
      <c r="O421" s="224">
        <f t="shared" si="114"/>
        <v>0</v>
      </c>
      <c r="P421" s="224">
        <f t="shared" si="115"/>
        <v>0</v>
      </c>
      <c r="Q421" s="224">
        <v>0</v>
      </c>
      <c r="R421" s="224">
        <v>0</v>
      </c>
      <c r="S421" s="224">
        <v>0</v>
      </c>
      <c r="T421" s="224">
        <f t="shared" si="116"/>
        <v>0</v>
      </c>
      <c r="U421" s="224">
        <f t="shared" si="117"/>
        <v>0</v>
      </c>
    </row>
    <row r="422" spans="1:21" ht="19.5" hidden="1" x14ac:dyDescent="0.3">
      <c r="A422" s="208"/>
      <c r="B422" s="158"/>
      <c r="C422" s="322" t="s">
        <v>18</v>
      </c>
      <c r="D422" s="543" t="s">
        <v>38</v>
      </c>
      <c r="E422" s="158"/>
      <c r="F422" s="158"/>
      <c r="G422" s="180"/>
      <c r="H422" s="180"/>
      <c r="I422" s="44"/>
      <c r="J422" s="44"/>
      <c r="K422" s="45"/>
      <c r="L422" s="465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ca="1">I440</f>
        <v>0</v>
      </c>
      <c r="J423" s="328">
        <f>J440</f>
        <v>0</v>
      </c>
      <c r="K423" s="470">
        <f ca="1">IF(I423&gt;0,J423*100/I423,0)</f>
        <v>0</v>
      </c>
      <c r="L423" s="465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IFERROR(__xludf.DUMMYFUNCTION("IMPORTRANGE(""https://docs.google.com/spreadsheets/d/1eHaY18a8A9IcSdp1K8H6x8fbOy06t2VsZHhMHf-1x7Y/edit?usp=sharing"",""แผน!HJ28"")"),0)</f>
        <v>0</v>
      </c>
      <c r="J424" s="328">
        <f>J426+J428+J430</f>
        <v>0</v>
      </c>
      <c r="K424" s="470">
        <f ca="1">IF(I424&gt;0,J424*100/I424,0)</f>
        <v>0</v>
      </c>
      <c r="L424" s="465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IFERROR(__xludf.DUMMYFUNCTION("IMPORTRANGE(""https://docs.google.com/spreadsheets/d/1eHaY18a8A9IcSdp1K8H6x8fbOy06t2VsZHhMHf-1x7Y/edit?usp=sharing"",""แผน!HK28"")"),0)</f>
        <v>0</v>
      </c>
      <c r="J425" s="328">
        <f>J427+J429+J431</f>
        <v>0</v>
      </c>
      <c r="K425" s="470">
        <f ca="1">IF(I425&gt;0,J425*100/I425,0)</f>
        <v>0</v>
      </c>
      <c r="L425" s="465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465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465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465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465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465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465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IFERROR(__xludf.DUMMYFUNCTION("IMPORTRANGE(""https://docs.google.com/spreadsheets/d/1eHaY18a8A9IcSdp1K8H6x8fbOy06t2VsZHhMHf-1x7Y/edit?usp=sharing"",""แผน!HJ28"")"),0)</f>
        <v>0</v>
      </c>
      <c r="J432" s="328">
        <f>J434+J436+J438</f>
        <v>0</v>
      </c>
      <c r="K432" s="470">
        <f ca="1">IF(I432&gt;0,J432*100/I432,0)</f>
        <v>0</v>
      </c>
      <c r="L432" s="465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IFERROR(__xludf.DUMMYFUNCTION("IMPORTRANGE(""https://docs.google.com/spreadsheets/d/1eHaY18a8A9IcSdp1K8H6x8fbOy06t2VsZHhMHf-1x7Y/edit?usp=sharing"",""แผน!HK28"")"),0)</f>
        <v>0</v>
      </c>
      <c r="J433" s="328">
        <f>J435+J437+J439</f>
        <v>0</v>
      </c>
      <c r="K433" s="470">
        <f ca="1">IF(I433&gt;0,J433*100/I433,0)</f>
        <v>0</v>
      </c>
      <c r="L433" s="465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465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465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465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465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465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465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IFERROR(__xludf.DUMMYFUNCTION("IMPORTRANGE(""https://docs.google.com/spreadsheets/d/1eHaY18a8A9IcSdp1K8H6x8fbOy06t2VsZHhMHf-1x7Y/edit?usp=sharing"",""แผน!HJ28"")"),0)</f>
        <v>0</v>
      </c>
      <c r="J440" s="328">
        <f>J442+J444+J446+J452+J454</f>
        <v>0</v>
      </c>
      <c r="K440" s="470">
        <f ca="1">IF(I440&gt;0,J440*100/I440,0)</f>
        <v>0</v>
      </c>
      <c r="L440" s="465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IFERROR(__xludf.DUMMYFUNCTION("IMPORTRANGE(""https://docs.google.com/spreadsheets/d/1eHaY18a8A9IcSdp1K8H6x8fbOy06t2VsZHhMHf-1x7Y/edit?usp=sharing"",""แผน!HK28"")"),0)</f>
        <v>0</v>
      </c>
      <c r="J441" s="328">
        <f>J443+J445+J447+J453+J455</f>
        <v>0</v>
      </c>
      <c r="K441" s="470">
        <f ca="1">IF(I441&gt;0,J441*100/I441,0)</f>
        <v>0</v>
      </c>
      <c r="L441" s="465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465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465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465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465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>J448+J450</f>
        <v>0</v>
      </c>
      <c r="K446" s="45"/>
      <c r="L446" s="465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>J449+J451</f>
        <v>0</v>
      </c>
      <c r="K447" s="45"/>
      <c r="L447" s="465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465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465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465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465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465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465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542"/>
      <c r="K454" s="45"/>
      <c r="L454" s="465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465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hidden="1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ca="1">I457</f>
        <v>0</v>
      </c>
      <c r="J456" s="328">
        <f>J457</f>
        <v>0</v>
      </c>
      <c r="K456" s="470">
        <f ca="1">IF(I456&gt;0,J456*100/I456,0)</f>
        <v>0</v>
      </c>
      <c r="L456" s="465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IFERROR(__xludf.DUMMYFUNCTION("IMPORTRANGE(""https://docs.google.com/spreadsheets/d/1eHaY18a8A9IcSdp1K8H6x8fbOy06t2VsZHhMHf-1x7Y/edit?usp=sharing"",""แผน!HL28"")"),0)</f>
        <v>0</v>
      </c>
      <c r="J457" s="328">
        <f>J459+J467+J473</f>
        <v>0</v>
      </c>
      <c r="K457" s="470">
        <f ca="1">IF(I457&gt;0,J457*100/I457,0)</f>
        <v>0</v>
      </c>
      <c r="L457" s="465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IFERROR(__xludf.DUMMYFUNCTION("IMPORTRANGE(""https://docs.google.com/spreadsheets/d/1eHaY18a8A9IcSdp1K8H6x8fbOy06t2VsZHhMHf-1x7Y/edit?usp=sharing"",""แผน!HM28"")"),0)</f>
        <v>0</v>
      </c>
      <c r="J458" s="328">
        <f>J460+J468+J474</f>
        <v>0</v>
      </c>
      <c r="K458" s="470">
        <f ca="1">IF(I458&gt;0,J458*100/I458,0)</f>
        <v>0</v>
      </c>
      <c r="L458" s="465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hidden="1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>J461+J463</f>
        <v>0</v>
      </c>
      <c r="K459" s="45"/>
      <c r="L459" s="465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>J462+J464</f>
        <v>0</v>
      </c>
      <c r="K460" s="45"/>
      <c r="L460" s="465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465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465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465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465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465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465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>J469+J471</f>
        <v>0</v>
      </c>
      <c r="K467" s="45"/>
      <c r="L467" s="465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>J470+J472</f>
        <v>0</v>
      </c>
      <c r="K468" s="45"/>
      <c r="L468" s="465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465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465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465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465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465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465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470">
        <f>IF(I475&gt;0,J475*100/I475,0)</f>
        <v>0</v>
      </c>
      <c r="L475" s="465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>J478+J480</f>
        <v>0</v>
      </c>
      <c r="K476" s="470">
        <f>IF(I476&gt;0,J476*100/I476,0)</f>
        <v>0</v>
      </c>
      <c r="L476" s="465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>J479+J481</f>
        <v>0</v>
      </c>
      <c r="K477" s="470">
        <f>IF(I477&gt;0,J477*100/I477,0)</f>
        <v>0</v>
      </c>
      <c r="L477" s="465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hidden="1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465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465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465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465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IFERROR(__xludf.DUMMYFUNCTION("IMPORTRANGE(""https://docs.google.com/spreadsheets/d/1eHaY18a8A9IcSdp1K8H6x8fbOy06t2VsZHhMHf-1x7Y/edit?usp=sharing"",""แผน!HN28"")"),0)</f>
        <v>0</v>
      </c>
      <c r="K482" s="45"/>
      <c r="L482" s="465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IFERROR(__xludf.DUMMYFUNCTION("IMPORTRANGE(""https://docs.google.com/spreadsheets/d/1eHaY18a8A9IcSdp1K8H6x8fbOy06t2VsZHhMHf-1x7Y/edit?usp=sharing"",""แผน!HO28"")"),0)</f>
        <v>0</v>
      </c>
      <c r="K483" s="45"/>
      <c r="L483" s="465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>J480</f>
        <v>0</v>
      </c>
      <c r="J484" s="328">
        <f>J486+J488+J490</f>
        <v>0</v>
      </c>
      <c r="K484" s="470">
        <f>IF(I484&gt;0,J484*100/I484,0)</f>
        <v>0</v>
      </c>
      <c r="L484" s="465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>J481</f>
        <v>0</v>
      </c>
      <c r="J485" s="328">
        <f>J487+J489+J491</f>
        <v>0</v>
      </c>
      <c r="K485" s="470">
        <f>IF(I485&gt;0,J485*100/I485,0)</f>
        <v>0</v>
      </c>
      <c r="L485" s="465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hidden="1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465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465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465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465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465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46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541">
        <f ca="1">I503</f>
        <v>0</v>
      </c>
      <c r="J492" s="541">
        <f ca="1">J503</f>
        <v>0</v>
      </c>
      <c r="K492" s="540">
        <f ca="1">IF(I492&gt;0,J492*100/I492,0)</f>
        <v>0</v>
      </c>
      <c r="L492" s="539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hidden="1" x14ac:dyDescent="0.3">
      <c r="A493" s="128"/>
      <c r="B493" s="158"/>
      <c r="C493" s="177" t="s">
        <v>18</v>
      </c>
      <c r="D493" s="819" t="s">
        <v>19</v>
      </c>
      <c r="E493" s="800"/>
      <c r="F493" s="800"/>
      <c r="G493" s="42"/>
      <c r="H493" s="221" t="s">
        <v>14</v>
      </c>
      <c r="I493" s="44"/>
      <c r="J493" s="44"/>
      <c r="K493" s="45"/>
      <c r="L493" s="471">
        <f>L494+L495</f>
        <v>0</v>
      </c>
      <c r="M493" s="470">
        <f>M494+M495</f>
        <v>0</v>
      </c>
      <c r="N493" s="470">
        <f>N494+N495</f>
        <v>0</v>
      </c>
      <c r="O493" s="470">
        <f t="shared" ref="O493:O501" si="120">IF(L493&gt;0,N493*100/L493,0)</f>
        <v>0</v>
      </c>
      <c r="P493" s="470">
        <f t="shared" ref="P493:P501" si="121">IF(M493&gt;0,N493*100/M493,0)</f>
        <v>0</v>
      </c>
      <c r="Q493" s="470">
        <f ca="1">Q494+Q495</f>
        <v>0</v>
      </c>
      <c r="R493" s="470">
        <f ca="1">R494+R495</f>
        <v>0</v>
      </c>
      <c r="S493" s="470">
        <f ca="1">S494+S495</f>
        <v>0</v>
      </c>
      <c r="T493" s="470">
        <f t="shared" ref="T493:T501" ca="1" si="122">IF(Q493&gt;0,S493*100/Q493,0)</f>
        <v>0</v>
      </c>
      <c r="U493" s="470">
        <f t="shared" ref="U493:U501" ca="1" si="123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469">
        <f t="shared" ref="L494:N495" si="124">L497+L500</f>
        <v>0</v>
      </c>
      <c r="M494" s="83">
        <f t="shared" si="124"/>
        <v>0</v>
      </c>
      <c r="N494" s="83">
        <f t="shared" si="124"/>
        <v>0</v>
      </c>
      <c r="O494" s="83">
        <f t="shared" si="120"/>
        <v>0</v>
      </c>
      <c r="P494" s="83">
        <f t="shared" si="121"/>
        <v>0</v>
      </c>
      <c r="Q494" s="83">
        <f t="shared" ref="Q494:S495" si="125">Q497+Q500</f>
        <v>0</v>
      </c>
      <c r="R494" s="83">
        <f t="shared" si="125"/>
        <v>0</v>
      </c>
      <c r="S494" s="83">
        <f t="shared" si="125"/>
        <v>0</v>
      </c>
      <c r="T494" s="83">
        <f t="shared" si="122"/>
        <v>0</v>
      </c>
      <c r="U494" s="83">
        <f t="shared" si="123"/>
        <v>0</v>
      </c>
    </row>
    <row r="495" spans="1:21" ht="18.75" hidden="1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468">
        <f t="shared" si="124"/>
        <v>0</v>
      </c>
      <c r="M495" s="224">
        <f t="shared" si="124"/>
        <v>0</v>
      </c>
      <c r="N495" s="224">
        <f t="shared" si="124"/>
        <v>0</v>
      </c>
      <c r="O495" s="224">
        <f t="shared" si="120"/>
        <v>0</v>
      </c>
      <c r="P495" s="224">
        <f t="shared" si="121"/>
        <v>0</v>
      </c>
      <c r="Q495" s="224">
        <f t="shared" ca="1" si="125"/>
        <v>0</v>
      </c>
      <c r="R495" s="224">
        <f t="shared" ca="1" si="125"/>
        <v>0</v>
      </c>
      <c r="S495" s="224">
        <f t="shared" ca="1" si="125"/>
        <v>0</v>
      </c>
      <c r="T495" s="224">
        <f t="shared" ca="1" si="122"/>
        <v>0</v>
      </c>
      <c r="U495" s="224">
        <f t="shared" ca="1" si="123"/>
        <v>0</v>
      </c>
    </row>
    <row r="496" spans="1:21" ht="18.75" hidden="1" x14ac:dyDescent="0.25">
      <c r="A496" s="128"/>
      <c r="B496" s="158"/>
      <c r="C496" s="158"/>
      <c r="D496" s="53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468">
        <f>L497+L498</f>
        <v>0</v>
      </c>
      <c r="M496" s="224">
        <f>M497+M498</f>
        <v>0</v>
      </c>
      <c r="N496" s="224">
        <f>N497+N498</f>
        <v>0</v>
      </c>
      <c r="O496" s="224">
        <f t="shared" si="120"/>
        <v>0</v>
      </c>
      <c r="P496" s="224">
        <f t="shared" si="121"/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t="shared" ca="1" si="122"/>
        <v>0</v>
      </c>
      <c r="U496" s="224">
        <f t="shared" ca="1" si="123"/>
        <v>0</v>
      </c>
    </row>
    <row r="497" spans="1:21" ht="18.75" hidden="1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469">
        <v>0</v>
      </c>
      <c r="M497" s="83">
        <v>0</v>
      </c>
      <c r="N497" s="83">
        <v>0</v>
      </c>
      <c r="O497" s="83">
        <f t="shared" si="120"/>
        <v>0</v>
      </c>
      <c r="P497" s="83">
        <f t="shared" si="121"/>
        <v>0</v>
      </c>
      <c r="Q497" s="83">
        <v>0</v>
      </c>
      <c r="R497" s="83">
        <v>0</v>
      </c>
      <c r="S497" s="83">
        <v>0</v>
      </c>
      <c r="T497" s="83">
        <f t="shared" si="122"/>
        <v>0</v>
      </c>
      <c r="U497" s="83">
        <f t="shared" si="123"/>
        <v>0</v>
      </c>
    </row>
    <row r="498" spans="1:21" ht="18.75" hidden="1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468">
        <v>0</v>
      </c>
      <c r="M498" s="224">
        <v>0</v>
      </c>
      <c r="N498" s="224">
        <v>0</v>
      </c>
      <c r="O498" s="224">
        <f t="shared" si="120"/>
        <v>0</v>
      </c>
      <c r="P498" s="224">
        <f t="shared" si="121"/>
        <v>0</v>
      </c>
      <c r="Q498" s="224">
        <f ca="1">IFERROR(__xludf.DUMMYFUNCTION("IMPORTRANGE(""https://docs.google.com/spreadsheets/d/1ItG2mGa2ceCfYo0BwxsXqNm01IGEUdYcSSLTEv9YCik/edit?usp=sharing"",""เบิกจ่ายกองทุน!X28"")"),0)</f>
        <v>0</v>
      </c>
      <c r="R498" s="224">
        <f ca="1">IFERROR(__xludf.DUMMYFUNCTION("IMPORTRANGE(""https://docs.google.com/spreadsheets/d/1ItG2mGa2ceCfYo0BwxsXqNm01IGEUdYcSSLTEv9YCik/edit?usp=sharing"",""เบิกจ่ายกองทุน!Y28"")"),0)</f>
        <v>0</v>
      </c>
      <c r="S498" s="224">
        <f ca="1">IFERROR(__xludf.DUMMYFUNCTION("IMPORTRANGE(""https://docs.google.com/spreadsheets/d/1ItG2mGa2ceCfYo0BwxsXqNm01IGEUdYcSSLTEv9YCik/edit?usp=sharing"",""เบิกจ่ายกองทุน!Z28"")"),0)</f>
        <v>0</v>
      </c>
      <c r="T498" s="224">
        <f t="shared" ca="1" si="122"/>
        <v>0</v>
      </c>
      <c r="U498" s="224">
        <f t="shared" ca="1" si="123"/>
        <v>0</v>
      </c>
    </row>
    <row r="499" spans="1:21" ht="18.75" hidden="1" x14ac:dyDescent="0.25">
      <c r="A499" s="128"/>
      <c r="B499" s="158"/>
      <c r="C499" s="158"/>
      <c r="D499" s="53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468">
        <f>L500+L501</f>
        <v>0</v>
      </c>
      <c r="M499" s="224">
        <f>M500+M501</f>
        <v>0</v>
      </c>
      <c r="N499" s="224">
        <f>N500+N501</f>
        <v>0</v>
      </c>
      <c r="O499" s="224">
        <f t="shared" si="120"/>
        <v>0</v>
      </c>
      <c r="P499" s="224">
        <f t="shared" si="121"/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 t="shared" si="122"/>
        <v>0</v>
      </c>
      <c r="U499" s="224">
        <f t="shared" si="123"/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469">
        <v>0</v>
      </c>
      <c r="M500" s="83">
        <v>0</v>
      </c>
      <c r="N500" s="83">
        <v>0</v>
      </c>
      <c r="O500" s="83">
        <f t="shared" si="120"/>
        <v>0</v>
      </c>
      <c r="P500" s="83">
        <f t="shared" si="121"/>
        <v>0</v>
      </c>
      <c r="Q500" s="83">
        <v>0</v>
      </c>
      <c r="R500" s="83">
        <v>0</v>
      </c>
      <c r="S500" s="83">
        <v>0</v>
      </c>
      <c r="T500" s="83">
        <f t="shared" si="122"/>
        <v>0</v>
      </c>
      <c r="U500" s="83">
        <f t="shared" si="123"/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468">
        <v>0</v>
      </c>
      <c r="M501" s="224">
        <v>0</v>
      </c>
      <c r="N501" s="224">
        <v>0</v>
      </c>
      <c r="O501" s="224">
        <f t="shared" si="120"/>
        <v>0</v>
      </c>
      <c r="P501" s="224">
        <f t="shared" si="121"/>
        <v>0</v>
      </c>
      <c r="Q501" s="224">
        <v>0</v>
      </c>
      <c r="R501" s="224">
        <v>0</v>
      </c>
      <c r="S501" s="224">
        <v>0</v>
      </c>
      <c r="T501" s="224">
        <f t="shared" si="122"/>
        <v>0</v>
      </c>
      <c r="U501" s="224">
        <f t="shared" si="123"/>
        <v>0</v>
      </c>
    </row>
    <row r="502" spans="1:21" ht="19.5" hidden="1" x14ac:dyDescent="0.3">
      <c r="A502" s="138"/>
      <c r="B502" s="139"/>
      <c r="C502" s="177" t="s">
        <v>18</v>
      </c>
      <c r="D502" s="491" t="s">
        <v>38</v>
      </c>
      <c r="E502" s="141"/>
      <c r="F502" s="141"/>
      <c r="G502" s="142"/>
      <c r="H502" s="178"/>
      <c r="I502" s="135"/>
      <c r="J502" s="135"/>
      <c r="K502" s="136"/>
      <c r="L502" s="4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IFERROR(__xludf.DUMMYFUNCTION("IMPORTRANGE(""https://docs.google.com/spreadsheets/d/1eHaY18a8A9IcSdp1K8H6x8fbOy06t2VsZHhMHf-1x7Y/edit?usp=sharing"",""แผน!GX28"")"),0)</f>
        <v>0</v>
      </c>
      <c r="J503" s="328">
        <f ca="1">IF(AND(J504=I504,J505=I505,J506=I506,J507=I507),I503,0)</f>
        <v>0</v>
      </c>
      <c r="K503" s="470">
        <f t="shared" ref="K503:K509" ca="1" si="126">IF(I503&gt;0,J503*100/I503,0)</f>
        <v>0</v>
      </c>
      <c r="L503" s="465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IFERROR(__xludf.DUMMYFUNCTION("IMPORTRANGE(""https://docs.google.com/spreadsheets/d/1eHaY18a8A9IcSdp1K8H6x8fbOy06t2VsZHhMHf-1x7Y/edit?usp=sharing"",""แผน!GY28"")"),0)</f>
        <v>0</v>
      </c>
      <c r="J504" s="466">
        <v>0</v>
      </c>
      <c r="K504" s="224">
        <f t="shared" ca="1" si="126"/>
        <v>0</v>
      </c>
      <c r="L504" s="465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IFERROR(__xludf.DUMMYFUNCTION("IMPORTRANGE(""https://docs.google.com/spreadsheets/d/1eHaY18a8A9IcSdp1K8H6x8fbOy06t2VsZHhMHf-1x7Y/edit?usp=sharing"",""แผน!GZ28"")"),0)</f>
        <v>0</v>
      </c>
      <c r="J505" s="466">
        <v>0</v>
      </c>
      <c r="K505" s="224">
        <f t="shared" ca="1" si="126"/>
        <v>0</v>
      </c>
      <c r="L505" s="465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IFERROR(__xludf.DUMMYFUNCTION("IMPORTRANGE(""https://docs.google.com/spreadsheets/d/1eHaY18a8A9IcSdp1K8H6x8fbOy06t2VsZHhMHf-1x7Y/edit?usp=sharing"",""แผน!HA28"")"),0)</f>
        <v>0</v>
      </c>
      <c r="J506" s="466">
        <v>0</v>
      </c>
      <c r="K506" s="224">
        <f t="shared" ca="1" si="126"/>
        <v>0</v>
      </c>
      <c r="L506" s="465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IFERROR(__xludf.DUMMYFUNCTION("IMPORTRANGE(""https://docs.google.com/spreadsheets/d/1eHaY18a8A9IcSdp1K8H6x8fbOy06t2VsZHhMHf-1x7Y/edit?usp=sharing"",""แผน!HB28"")"),0)</f>
        <v>0</v>
      </c>
      <c r="J507" s="466">
        <v>0</v>
      </c>
      <c r="K507" s="224">
        <f t="shared" ca="1" si="126"/>
        <v>0</v>
      </c>
      <c r="L507" s="465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 t="shared" si="126"/>
        <v>0</v>
      </c>
      <c r="L508" s="465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IFERROR(__xludf.DUMMYFUNCTION("IMPORTRANGE(""https://docs.google.com/spreadsheets/d/1eHaY18a8A9IcSdp1K8H6x8fbOy06t2VsZHhMHf-1x7Y/edit?usp=sharing"",""แผน!HC28"")"),0)</f>
        <v>0</v>
      </c>
      <c r="J509" s="464">
        <v>0</v>
      </c>
      <c r="K509" s="455">
        <f t="shared" ca="1" si="126"/>
        <v>0</v>
      </c>
      <c r="L509" s="46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537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536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hidden="1" x14ac:dyDescent="0.3">
      <c r="A511" s="535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534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hidden="1" x14ac:dyDescent="0.3">
      <c r="A512" s="349"/>
      <c r="B512" s="533" t="s">
        <v>207</v>
      </c>
      <c r="C512" s="351"/>
      <c r="D512" s="352"/>
      <c r="E512" s="352"/>
      <c r="F512" s="352"/>
      <c r="G512" s="353"/>
      <c r="H512" s="532" t="s">
        <v>61</v>
      </c>
      <c r="I512" s="531">
        <f>I524</f>
        <v>0</v>
      </c>
      <c r="J512" s="531">
        <f>J524</f>
        <v>0</v>
      </c>
      <c r="K512" s="530">
        <f>IF(I512&gt;0,J512*100/I512,0)</f>
        <v>0</v>
      </c>
      <c r="L512" s="512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hidden="1" x14ac:dyDescent="0.3">
      <c r="A513" s="128"/>
      <c r="B513" s="40"/>
      <c r="C513" s="527" t="s">
        <v>18</v>
      </c>
      <c r="D513" s="494" t="s">
        <v>19</v>
      </c>
      <c r="E513" s="40"/>
      <c r="F513" s="40"/>
      <c r="G513" s="42"/>
      <c r="H513" s="529" t="s">
        <v>14</v>
      </c>
      <c r="I513" s="44"/>
      <c r="J513" s="44"/>
      <c r="K513" s="45"/>
      <c r="L513" s="471">
        <f ca="1">L514+L515</f>
        <v>0</v>
      </c>
      <c r="M513" s="470">
        <f ca="1">M514+M515</f>
        <v>0</v>
      </c>
      <c r="N513" s="470">
        <f ca="1">N514+N515</f>
        <v>0</v>
      </c>
      <c r="O513" s="470">
        <f t="shared" ref="O513:O521" ca="1" si="127">IF(L513&gt;0,N513*100/L513,0)</f>
        <v>0</v>
      </c>
      <c r="P513" s="470">
        <f t="shared" ref="P513:P521" ca="1" si="128">IF(M513&gt;0,N513*100/M513,0)</f>
        <v>0</v>
      </c>
      <c r="Q513" s="470">
        <f>Q514+Q515</f>
        <v>0</v>
      </c>
      <c r="R513" s="470">
        <f>R514+R515</f>
        <v>0</v>
      </c>
      <c r="S513" s="470">
        <f>S514+S515</f>
        <v>0</v>
      </c>
      <c r="T513" s="470">
        <f t="shared" ref="T513:T521" si="129">IF(Q513&gt;0,S513*100/Q513,0)</f>
        <v>0</v>
      </c>
      <c r="U513" s="470">
        <f t="shared" ref="U513:U521" si="130"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469">
        <f t="shared" ref="L514:N515" si="131">L517+L520</f>
        <v>0</v>
      </c>
      <c r="M514" s="83">
        <f t="shared" si="131"/>
        <v>0</v>
      </c>
      <c r="N514" s="83">
        <f t="shared" si="131"/>
        <v>0</v>
      </c>
      <c r="O514" s="83">
        <f t="shared" si="127"/>
        <v>0</v>
      </c>
      <c r="P514" s="83">
        <f t="shared" si="128"/>
        <v>0</v>
      </c>
      <c r="Q514" s="83">
        <f t="shared" ref="Q514:S515" si="132">Q517+Q520</f>
        <v>0</v>
      </c>
      <c r="R514" s="83">
        <f t="shared" si="132"/>
        <v>0</v>
      </c>
      <c r="S514" s="83">
        <f t="shared" si="132"/>
        <v>0</v>
      </c>
      <c r="T514" s="83">
        <f t="shared" si="129"/>
        <v>0</v>
      </c>
      <c r="U514" s="83">
        <f t="shared" si="130"/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468">
        <f t="shared" ca="1" si="131"/>
        <v>0</v>
      </c>
      <c r="M515" s="224">
        <f t="shared" ca="1" si="131"/>
        <v>0</v>
      </c>
      <c r="N515" s="224">
        <f t="shared" ca="1" si="131"/>
        <v>0</v>
      </c>
      <c r="O515" s="224">
        <f t="shared" ca="1" si="127"/>
        <v>0</v>
      </c>
      <c r="P515" s="224">
        <f t="shared" ca="1" si="128"/>
        <v>0</v>
      </c>
      <c r="Q515" s="224">
        <f t="shared" si="132"/>
        <v>0</v>
      </c>
      <c r="R515" s="224">
        <f t="shared" si="132"/>
        <v>0</v>
      </c>
      <c r="S515" s="224">
        <f t="shared" si="132"/>
        <v>0</v>
      </c>
      <c r="T515" s="224">
        <f t="shared" si="129"/>
        <v>0</v>
      </c>
      <c r="U515" s="224">
        <f t="shared" si="130"/>
        <v>0</v>
      </c>
    </row>
    <row r="516" spans="1:21" ht="18.75" hidden="1" x14ac:dyDescent="0.25">
      <c r="A516" s="128"/>
      <c r="B516" s="40"/>
      <c r="C516" s="40"/>
      <c r="D516" s="52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468">
        <f ca="1">L517+L518</f>
        <v>0</v>
      </c>
      <c r="M516" s="224">
        <f ca="1">M517+M518</f>
        <v>0</v>
      </c>
      <c r="N516" s="224">
        <f ca="1">N517+N518</f>
        <v>0</v>
      </c>
      <c r="O516" s="224">
        <f t="shared" ca="1" si="127"/>
        <v>0</v>
      </c>
      <c r="P516" s="224">
        <f t="shared" ca="1" si="128"/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 t="shared" si="129"/>
        <v>0</v>
      </c>
      <c r="U516" s="224">
        <f t="shared" si="130"/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469">
        <v>0</v>
      </c>
      <c r="M517" s="83">
        <v>0</v>
      </c>
      <c r="N517" s="83">
        <v>0</v>
      </c>
      <c r="O517" s="83">
        <f t="shared" si="127"/>
        <v>0</v>
      </c>
      <c r="P517" s="83">
        <f t="shared" si="128"/>
        <v>0</v>
      </c>
      <c r="Q517" s="83">
        <v>0</v>
      </c>
      <c r="R517" s="83">
        <v>0</v>
      </c>
      <c r="S517" s="83">
        <v>0</v>
      </c>
      <c r="T517" s="83">
        <f t="shared" si="129"/>
        <v>0</v>
      </c>
      <c r="U517" s="83">
        <f t="shared" si="130"/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468">
        <f ca="1">IFERROR(__xludf.DUMMYFUNCTION("IMPORTRANGE(""https://docs.google.com/spreadsheets/d/1-uDff_7J0KD5mKrp0Vvzr7lt3OU09vwQwhkpOPPYv2Y/edit?usp=sharing"",""งบพรบ!FM28"")"),0)</f>
        <v>0</v>
      </c>
      <c r="M518" s="224">
        <f ca="1">IFERROR(__xludf.DUMMYFUNCTION("IMPORTRANGE(""https://docs.google.com/spreadsheets/d/1-uDff_7J0KD5mKrp0Vvzr7lt3OU09vwQwhkpOPPYv2Y/edit?usp=sharing"",""งบพรบ!FR28"")"),0)</f>
        <v>0</v>
      </c>
      <c r="N518" s="224">
        <f ca="1">IFERROR(__xludf.DUMMYFUNCTION("IMPORTRANGE(""https://docs.google.com/spreadsheets/d/1-uDff_7J0KD5mKrp0Vvzr7lt3OU09vwQwhkpOPPYv2Y/edit?usp=sharing"",""งบพรบ!FT28"")"),0)</f>
        <v>0</v>
      </c>
      <c r="O518" s="224">
        <f t="shared" ca="1" si="127"/>
        <v>0</v>
      </c>
      <c r="P518" s="224">
        <f t="shared" ca="1" si="128"/>
        <v>0</v>
      </c>
      <c r="Q518" s="224">
        <v>0</v>
      </c>
      <c r="R518" s="224">
        <v>0</v>
      </c>
      <c r="S518" s="224">
        <v>0</v>
      </c>
      <c r="T518" s="224">
        <f t="shared" si="129"/>
        <v>0</v>
      </c>
      <c r="U518" s="224">
        <f t="shared" si="130"/>
        <v>0</v>
      </c>
    </row>
    <row r="519" spans="1:21" ht="18.75" hidden="1" x14ac:dyDescent="0.25">
      <c r="A519" s="128"/>
      <c r="B519" s="40"/>
      <c r="C519" s="40"/>
      <c r="D519" s="528" t="s">
        <v>23</v>
      </c>
      <c r="E519" s="40"/>
      <c r="F519" s="40"/>
      <c r="G519" s="42"/>
      <c r="H519" s="375" t="s">
        <v>14</v>
      </c>
      <c r="I519" s="135"/>
      <c r="J519" s="135"/>
      <c r="K519" s="136"/>
      <c r="L519" s="468">
        <f ca="1">L520+L521</f>
        <v>0</v>
      </c>
      <c r="M519" s="224">
        <f ca="1">M520+M521</f>
        <v>0</v>
      </c>
      <c r="N519" s="224">
        <f ca="1">N520+N521</f>
        <v>0</v>
      </c>
      <c r="O519" s="224">
        <f t="shared" ca="1" si="127"/>
        <v>0</v>
      </c>
      <c r="P519" s="224">
        <f t="shared" ca="1" si="128"/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 t="shared" si="129"/>
        <v>0</v>
      </c>
      <c r="U519" s="224">
        <f t="shared" si="130"/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469">
        <v>0</v>
      </c>
      <c r="M520" s="83">
        <v>0</v>
      </c>
      <c r="N520" s="83">
        <v>0</v>
      </c>
      <c r="O520" s="83">
        <f t="shared" si="127"/>
        <v>0</v>
      </c>
      <c r="P520" s="83">
        <f t="shared" si="128"/>
        <v>0</v>
      </c>
      <c r="Q520" s="83">
        <v>0</v>
      </c>
      <c r="R520" s="83">
        <v>0</v>
      </c>
      <c r="S520" s="83">
        <v>0</v>
      </c>
      <c r="T520" s="83">
        <f t="shared" si="129"/>
        <v>0</v>
      </c>
      <c r="U520" s="83">
        <f t="shared" si="130"/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375" t="s">
        <v>14</v>
      </c>
      <c r="I521" s="135"/>
      <c r="J521" s="135"/>
      <c r="K521" s="136"/>
      <c r="L521" s="468">
        <f ca="1">IFERROR(__xludf.DUMMYFUNCTION("IMPORTRANGE(""https://docs.google.com/spreadsheets/d/1-uDff_7J0KD5mKrp0Vvzr7lt3OU09vwQwhkpOPPYv2Y/edit?usp=sharing"",""งบพรบ!FP28"")"),0)</f>
        <v>0</v>
      </c>
      <c r="M521" s="224">
        <f ca="1">IFERROR(__xludf.DUMMYFUNCTION("IMPORTRANGE(""https://docs.google.com/spreadsheets/d/1-uDff_7J0KD5mKrp0Vvzr7lt3OU09vwQwhkpOPPYv2Y/edit?usp=sharing"",""งบพรบ!FS28"")"),0)</f>
        <v>0</v>
      </c>
      <c r="N521" s="224">
        <f ca="1">IFERROR(__xludf.DUMMYFUNCTION("IMPORTRANGE(""https://docs.google.com/spreadsheets/d/1-uDff_7J0KD5mKrp0Vvzr7lt3OU09vwQwhkpOPPYv2Y/edit?usp=sharing"",""งบพรบ!FU28"")"),0)</f>
        <v>0</v>
      </c>
      <c r="O521" s="224">
        <f t="shared" ca="1" si="127"/>
        <v>0</v>
      </c>
      <c r="P521" s="224">
        <f t="shared" ca="1" si="128"/>
        <v>0</v>
      </c>
      <c r="Q521" s="224">
        <v>0</v>
      </c>
      <c r="R521" s="224">
        <v>0</v>
      </c>
      <c r="S521" s="224">
        <v>0</v>
      </c>
      <c r="T521" s="224">
        <f t="shared" si="129"/>
        <v>0</v>
      </c>
      <c r="U521" s="224">
        <f t="shared" si="130"/>
        <v>0</v>
      </c>
    </row>
    <row r="522" spans="1:21" ht="19.5" hidden="1" x14ac:dyDescent="0.3">
      <c r="A522" s="138"/>
      <c r="B522" s="139"/>
      <c r="C522" s="527" t="s">
        <v>18</v>
      </c>
      <c r="D522" s="509" t="s">
        <v>38</v>
      </c>
      <c r="E522" s="141"/>
      <c r="F522" s="141"/>
      <c r="G522" s="142"/>
      <c r="H522" s="143"/>
      <c r="I522" s="135"/>
      <c r="J522" s="44"/>
      <c r="K522" s="45"/>
      <c r="L522" s="465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208</v>
      </c>
      <c r="E523" s="139"/>
      <c r="F523" s="40"/>
      <c r="G523" s="42"/>
      <c r="H523" s="526" t="s">
        <v>11</v>
      </c>
      <c r="I523" s="430">
        <v>0</v>
      </c>
      <c r="J523" s="525">
        <v>0</v>
      </c>
      <c r="K523" s="83">
        <f>IF(I523&gt;0,J523*100/I523,0)</f>
        <v>0</v>
      </c>
      <c r="L523" s="465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29"/>
      <c r="B524" s="1"/>
      <c r="C524" s="2"/>
      <c r="D524" s="524" t="s">
        <v>209</v>
      </c>
      <c r="E524" s="250"/>
      <c r="F524" s="1"/>
      <c r="G524" s="52"/>
      <c r="H524" s="523" t="s">
        <v>61</v>
      </c>
      <c r="I524" s="433">
        <v>0</v>
      </c>
      <c r="J524" s="522">
        <v>0</v>
      </c>
      <c r="K524" s="521">
        <f>IF(I524&gt;0,J524*100/I524,0)</f>
        <v>0</v>
      </c>
      <c r="L524" s="465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520"/>
      <c r="B525" s="519"/>
      <c r="C525" s="519"/>
      <c r="D525" s="518"/>
      <c r="E525" s="518"/>
      <c r="F525" s="518"/>
      <c r="G525" s="517"/>
      <c r="H525" s="516"/>
      <c r="I525" s="515"/>
      <c r="J525" s="515"/>
      <c r="K525" s="514"/>
      <c r="L525" s="511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11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11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11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11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11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11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496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hidden="1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64">
        <f>I545</f>
        <v>0</v>
      </c>
      <c r="J533" s="364">
        <f>J545</f>
        <v>0</v>
      </c>
      <c r="K533" s="513">
        <f>IF(I533&gt;0,J533*100/I533,0)</f>
        <v>0</v>
      </c>
      <c r="L533" s="512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hidden="1" x14ac:dyDescent="0.3">
      <c r="A534" s="128"/>
      <c r="B534" s="40"/>
      <c r="C534" s="129" t="s">
        <v>18</v>
      </c>
      <c r="D534" s="472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471">
        <f>L535+L536</f>
        <v>0</v>
      </c>
      <c r="M534" s="470">
        <f>M535+M536</f>
        <v>0</v>
      </c>
      <c r="N534" s="470">
        <f>N535+N536</f>
        <v>0</v>
      </c>
      <c r="O534" s="470">
        <f t="shared" ref="O534:O542" si="133">IF(L534&gt;0,N534*100/L534,0)</f>
        <v>0</v>
      </c>
      <c r="P534" s="470">
        <f t="shared" ref="P534:P542" si="134">IF(M534&gt;0,N534*100/M534,0)</f>
        <v>0</v>
      </c>
      <c r="Q534" s="470">
        <f>Q535+Q536</f>
        <v>0</v>
      </c>
      <c r="R534" s="470">
        <f>R535+R536</f>
        <v>0</v>
      </c>
      <c r="S534" s="470">
        <f>S535+S536</f>
        <v>0</v>
      </c>
      <c r="T534" s="470">
        <f t="shared" ref="T534:T542" si="135">IF(Q534&gt;0,S534*100/Q534,0)</f>
        <v>0</v>
      </c>
      <c r="U534" s="470">
        <f t="shared" ref="U534:U542" si="136"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469">
        <f t="shared" ref="L535:N536" si="137">L538+L541</f>
        <v>0</v>
      </c>
      <c r="M535" s="83">
        <f t="shared" si="137"/>
        <v>0</v>
      </c>
      <c r="N535" s="83">
        <f t="shared" si="137"/>
        <v>0</v>
      </c>
      <c r="O535" s="83">
        <f t="shared" si="133"/>
        <v>0</v>
      </c>
      <c r="P535" s="83">
        <f t="shared" si="134"/>
        <v>0</v>
      </c>
      <c r="Q535" s="83">
        <f t="shared" ref="Q535:S536" si="138">Q538+Q541</f>
        <v>0</v>
      </c>
      <c r="R535" s="83">
        <f t="shared" si="138"/>
        <v>0</v>
      </c>
      <c r="S535" s="83">
        <f t="shared" si="138"/>
        <v>0</v>
      </c>
      <c r="T535" s="83">
        <f t="shared" si="135"/>
        <v>0</v>
      </c>
      <c r="U535" s="83">
        <f t="shared" si="136"/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468">
        <f t="shared" si="137"/>
        <v>0</v>
      </c>
      <c r="M536" s="224">
        <f t="shared" si="137"/>
        <v>0</v>
      </c>
      <c r="N536" s="224">
        <f t="shared" si="137"/>
        <v>0</v>
      </c>
      <c r="O536" s="224">
        <f t="shared" si="133"/>
        <v>0</v>
      </c>
      <c r="P536" s="224">
        <f t="shared" si="134"/>
        <v>0</v>
      </c>
      <c r="Q536" s="224">
        <f t="shared" si="138"/>
        <v>0</v>
      </c>
      <c r="R536" s="224">
        <f t="shared" si="138"/>
        <v>0</v>
      </c>
      <c r="S536" s="224">
        <f t="shared" si="138"/>
        <v>0</v>
      </c>
      <c r="T536" s="224">
        <f t="shared" si="135"/>
        <v>0</v>
      </c>
      <c r="U536" s="224">
        <f t="shared" si="136"/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468">
        <f>L538+L539</f>
        <v>0</v>
      </c>
      <c r="M537" s="224">
        <f>M538+M539</f>
        <v>0</v>
      </c>
      <c r="N537" s="224">
        <f>N538+N539</f>
        <v>0</v>
      </c>
      <c r="O537" s="224">
        <f t="shared" si="133"/>
        <v>0</v>
      </c>
      <c r="P537" s="224">
        <f t="shared" si="134"/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 t="shared" si="135"/>
        <v>0</v>
      </c>
      <c r="U537" s="224">
        <f t="shared" si="136"/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469">
        <v>0</v>
      </c>
      <c r="M538" s="83">
        <v>0</v>
      </c>
      <c r="N538" s="83">
        <v>0</v>
      </c>
      <c r="O538" s="83">
        <f t="shared" si="133"/>
        <v>0</v>
      </c>
      <c r="P538" s="83">
        <f t="shared" si="134"/>
        <v>0</v>
      </c>
      <c r="Q538" s="83">
        <v>0</v>
      </c>
      <c r="R538" s="83">
        <v>0</v>
      </c>
      <c r="S538" s="83">
        <v>0</v>
      </c>
      <c r="T538" s="83">
        <f t="shared" si="135"/>
        <v>0</v>
      </c>
      <c r="U538" s="83">
        <f t="shared" si="136"/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468">
        <v>0</v>
      </c>
      <c r="M539" s="224">
        <v>0</v>
      </c>
      <c r="N539" s="224">
        <v>0</v>
      </c>
      <c r="O539" s="224">
        <f t="shared" si="133"/>
        <v>0</v>
      </c>
      <c r="P539" s="224">
        <f t="shared" si="134"/>
        <v>0</v>
      </c>
      <c r="Q539" s="224">
        <v>0</v>
      </c>
      <c r="R539" s="224">
        <v>0</v>
      </c>
      <c r="S539" s="224">
        <v>0</v>
      </c>
      <c r="T539" s="224">
        <f t="shared" si="135"/>
        <v>0</v>
      </c>
      <c r="U539" s="224">
        <f t="shared" si="136"/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468">
        <f>L541+L542</f>
        <v>0</v>
      </c>
      <c r="M540" s="224">
        <f>M541+M542</f>
        <v>0</v>
      </c>
      <c r="N540" s="224">
        <f>N541+N542</f>
        <v>0</v>
      </c>
      <c r="O540" s="224">
        <f t="shared" si="133"/>
        <v>0</v>
      </c>
      <c r="P540" s="224">
        <f t="shared" si="134"/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 t="shared" si="135"/>
        <v>0</v>
      </c>
      <c r="U540" s="224">
        <f t="shared" si="136"/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469">
        <v>0</v>
      </c>
      <c r="M541" s="83">
        <v>0</v>
      </c>
      <c r="N541" s="83">
        <v>0</v>
      </c>
      <c r="O541" s="83">
        <f t="shared" si="133"/>
        <v>0</v>
      </c>
      <c r="P541" s="83">
        <f t="shared" si="134"/>
        <v>0</v>
      </c>
      <c r="Q541" s="83">
        <v>0</v>
      </c>
      <c r="R541" s="83">
        <v>0</v>
      </c>
      <c r="S541" s="83">
        <v>0</v>
      </c>
      <c r="T541" s="83">
        <f t="shared" si="135"/>
        <v>0</v>
      </c>
      <c r="U541" s="83">
        <f t="shared" si="136"/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468">
        <v>0</v>
      </c>
      <c r="M542" s="224">
        <v>0</v>
      </c>
      <c r="N542" s="224">
        <v>0</v>
      </c>
      <c r="O542" s="224">
        <f t="shared" si="133"/>
        <v>0</v>
      </c>
      <c r="P542" s="224">
        <f t="shared" si="134"/>
        <v>0</v>
      </c>
      <c r="Q542" s="224">
        <v>0</v>
      </c>
      <c r="R542" s="224">
        <v>0</v>
      </c>
      <c r="S542" s="224">
        <v>0</v>
      </c>
      <c r="T542" s="224">
        <f t="shared" si="135"/>
        <v>0</v>
      </c>
      <c r="U542" s="224">
        <f t="shared" si="136"/>
        <v>0</v>
      </c>
    </row>
    <row r="543" spans="1:21" ht="19.5" hidden="1" x14ac:dyDescent="0.3">
      <c r="A543" s="138"/>
      <c r="B543" s="139"/>
      <c r="C543" s="365" t="s">
        <v>18</v>
      </c>
      <c r="D543" s="498" t="s">
        <v>38</v>
      </c>
      <c r="E543" s="141"/>
      <c r="F543" s="141"/>
      <c r="G543" s="142"/>
      <c r="H543" s="143"/>
      <c r="I543" s="135"/>
      <c r="J543" s="44"/>
      <c r="K543" s="45"/>
      <c r="L543" s="465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11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11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11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11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11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11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11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11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11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496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hidden="1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64">
        <f>I566</f>
        <v>0</v>
      </c>
      <c r="J554" s="364">
        <f>J566</f>
        <v>0</v>
      </c>
      <c r="K554" s="513">
        <f>IF(I554&gt;0,J554*100/I554,0)</f>
        <v>0</v>
      </c>
      <c r="L554" s="512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hidden="1" x14ac:dyDescent="0.3">
      <c r="A555" s="128"/>
      <c r="B555" s="40"/>
      <c r="C555" s="129" t="s">
        <v>18</v>
      </c>
      <c r="D555" s="472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471">
        <f>L556+L557</f>
        <v>0</v>
      </c>
      <c r="M555" s="470">
        <f>M556+M557</f>
        <v>0</v>
      </c>
      <c r="N555" s="470">
        <f>N556+N557</f>
        <v>0</v>
      </c>
      <c r="O555" s="470">
        <f t="shared" ref="O555:O563" si="139">IF(L555&gt;0,N555*100/L555,0)</f>
        <v>0</v>
      </c>
      <c r="P555" s="470">
        <f t="shared" ref="P555:P563" si="140">IF(M555&gt;0,N555*100/M555,0)</f>
        <v>0</v>
      </c>
      <c r="Q555" s="470">
        <f>Q556+Q557</f>
        <v>0</v>
      </c>
      <c r="R555" s="470">
        <f>R556+R557</f>
        <v>0</v>
      </c>
      <c r="S555" s="470">
        <f>S556+S557</f>
        <v>0</v>
      </c>
      <c r="T555" s="470">
        <f t="shared" ref="T555:T563" si="141">IF(Q555&gt;0,S555*100/Q555,0)</f>
        <v>0</v>
      </c>
      <c r="U555" s="470">
        <f t="shared" ref="U555:U563" si="142"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469">
        <f t="shared" ref="L556:N557" si="143">L559+L562</f>
        <v>0</v>
      </c>
      <c r="M556" s="83">
        <f t="shared" si="143"/>
        <v>0</v>
      </c>
      <c r="N556" s="83">
        <f t="shared" si="143"/>
        <v>0</v>
      </c>
      <c r="O556" s="83">
        <f t="shared" si="139"/>
        <v>0</v>
      </c>
      <c r="P556" s="83">
        <f t="shared" si="140"/>
        <v>0</v>
      </c>
      <c r="Q556" s="83">
        <f t="shared" ref="Q556:S557" si="144">Q559+Q562</f>
        <v>0</v>
      </c>
      <c r="R556" s="83">
        <f t="shared" si="144"/>
        <v>0</v>
      </c>
      <c r="S556" s="83">
        <f t="shared" si="144"/>
        <v>0</v>
      </c>
      <c r="T556" s="83">
        <f t="shared" si="141"/>
        <v>0</v>
      </c>
      <c r="U556" s="83">
        <f t="shared" si="142"/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468">
        <f t="shared" si="143"/>
        <v>0</v>
      </c>
      <c r="M557" s="224">
        <f t="shared" si="143"/>
        <v>0</v>
      </c>
      <c r="N557" s="224">
        <f t="shared" si="143"/>
        <v>0</v>
      </c>
      <c r="O557" s="224">
        <f t="shared" si="139"/>
        <v>0</v>
      </c>
      <c r="P557" s="224">
        <f t="shared" si="140"/>
        <v>0</v>
      </c>
      <c r="Q557" s="224">
        <f t="shared" si="144"/>
        <v>0</v>
      </c>
      <c r="R557" s="224">
        <f t="shared" si="144"/>
        <v>0</v>
      </c>
      <c r="S557" s="224">
        <f t="shared" si="144"/>
        <v>0</v>
      </c>
      <c r="T557" s="224">
        <f t="shared" si="141"/>
        <v>0</v>
      </c>
      <c r="U557" s="224">
        <f t="shared" si="142"/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468">
        <f>L559+L560</f>
        <v>0</v>
      </c>
      <c r="M558" s="224">
        <f>M559+M560</f>
        <v>0</v>
      </c>
      <c r="N558" s="224">
        <f>N559+N560</f>
        <v>0</v>
      </c>
      <c r="O558" s="224">
        <f t="shared" si="139"/>
        <v>0</v>
      </c>
      <c r="P558" s="224">
        <f t="shared" si="140"/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 t="shared" si="141"/>
        <v>0</v>
      </c>
      <c r="U558" s="224">
        <f t="shared" si="142"/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469">
        <v>0</v>
      </c>
      <c r="M559" s="83">
        <v>0</v>
      </c>
      <c r="N559" s="83">
        <v>0</v>
      </c>
      <c r="O559" s="83">
        <f t="shared" si="139"/>
        <v>0</v>
      </c>
      <c r="P559" s="83">
        <f t="shared" si="140"/>
        <v>0</v>
      </c>
      <c r="Q559" s="83">
        <v>0</v>
      </c>
      <c r="R559" s="83">
        <v>0</v>
      </c>
      <c r="S559" s="83">
        <v>0</v>
      </c>
      <c r="T559" s="83">
        <f t="shared" si="141"/>
        <v>0</v>
      </c>
      <c r="U559" s="83">
        <f t="shared" si="142"/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468">
        <v>0</v>
      </c>
      <c r="M560" s="224">
        <v>0</v>
      </c>
      <c r="N560" s="224">
        <v>0</v>
      </c>
      <c r="O560" s="224">
        <f t="shared" si="139"/>
        <v>0</v>
      </c>
      <c r="P560" s="224">
        <f t="shared" si="140"/>
        <v>0</v>
      </c>
      <c r="Q560" s="224">
        <v>0</v>
      </c>
      <c r="R560" s="224">
        <v>0</v>
      </c>
      <c r="S560" s="224">
        <v>0</v>
      </c>
      <c r="T560" s="224">
        <f t="shared" si="141"/>
        <v>0</v>
      </c>
      <c r="U560" s="224">
        <f t="shared" si="142"/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468">
        <f>L562+L563</f>
        <v>0</v>
      </c>
      <c r="M561" s="224">
        <f>M562+M563</f>
        <v>0</v>
      </c>
      <c r="N561" s="224">
        <f>N562+N563</f>
        <v>0</v>
      </c>
      <c r="O561" s="224">
        <f t="shared" si="139"/>
        <v>0</v>
      </c>
      <c r="P561" s="224">
        <f t="shared" si="140"/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 t="shared" si="141"/>
        <v>0</v>
      </c>
      <c r="U561" s="224">
        <f t="shared" si="142"/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469">
        <v>0</v>
      </c>
      <c r="M562" s="83">
        <v>0</v>
      </c>
      <c r="N562" s="83">
        <v>0</v>
      </c>
      <c r="O562" s="83">
        <f t="shared" si="139"/>
        <v>0</v>
      </c>
      <c r="P562" s="83">
        <f t="shared" si="140"/>
        <v>0</v>
      </c>
      <c r="Q562" s="83">
        <v>0</v>
      </c>
      <c r="R562" s="83">
        <v>0</v>
      </c>
      <c r="S562" s="83">
        <v>0</v>
      </c>
      <c r="T562" s="83">
        <f t="shared" si="141"/>
        <v>0</v>
      </c>
      <c r="U562" s="83">
        <f t="shared" si="142"/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468">
        <v>0</v>
      </c>
      <c r="M563" s="224">
        <v>0</v>
      </c>
      <c r="N563" s="224">
        <v>0</v>
      </c>
      <c r="O563" s="224">
        <f t="shared" si="139"/>
        <v>0</v>
      </c>
      <c r="P563" s="224">
        <f t="shared" si="140"/>
        <v>0</v>
      </c>
      <c r="Q563" s="224">
        <v>0</v>
      </c>
      <c r="R563" s="224">
        <v>0</v>
      </c>
      <c r="S563" s="224">
        <v>0</v>
      </c>
      <c r="T563" s="224">
        <f t="shared" si="141"/>
        <v>0</v>
      </c>
      <c r="U563" s="224">
        <f t="shared" si="142"/>
        <v>0</v>
      </c>
    </row>
    <row r="564" spans="1:21" ht="19.5" hidden="1" x14ac:dyDescent="0.3">
      <c r="A564" s="138"/>
      <c r="B564" s="139"/>
      <c r="C564" s="365" t="s">
        <v>18</v>
      </c>
      <c r="D564" s="498" t="s">
        <v>38</v>
      </c>
      <c r="E564" s="141"/>
      <c r="F564" s="141"/>
      <c r="G564" s="142"/>
      <c r="H564" s="143"/>
      <c r="I564" s="135"/>
      <c r="J564" s="44"/>
      <c r="K564" s="45"/>
      <c r="L564" s="465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11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11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11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11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11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11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11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11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11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496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hidden="1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64">
        <f>I587</f>
        <v>0</v>
      </c>
      <c r="J575" s="364">
        <f>J587</f>
        <v>0</v>
      </c>
      <c r="K575" s="513">
        <f>IF(I575&gt;0,J575*100/I575,0)</f>
        <v>0</v>
      </c>
      <c r="L575" s="512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hidden="1" x14ac:dyDescent="0.3">
      <c r="A576" s="128"/>
      <c r="B576" s="40"/>
      <c r="C576" s="129" t="s">
        <v>18</v>
      </c>
      <c r="D576" s="472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471">
        <f>L577+L578</f>
        <v>0</v>
      </c>
      <c r="M576" s="470">
        <f>M577+M578</f>
        <v>0</v>
      </c>
      <c r="N576" s="470">
        <f>N577+N578</f>
        <v>0</v>
      </c>
      <c r="O576" s="470">
        <f t="shared" ref="O576:O584" si="145">IF(L576&gt;0,N576*100/L576,0)</f>
        <v>0</v>
      </c>
      <c r="P576" s="470">
        <f t="shared" ref="P576:P584" si="146">IF(M576&gt;0,N576*100/M576,0)</f>
        <v>0</v>
      </c>
      <c r="Q576" s="470">
        <f>Q577+Q578</f>
        <v>0</v>
      </c>
      <c r="R576" s="470">
        <f>R577+R578</f>
        <v>0</v>
      </c>
      <c r="S576" s="470">
        <f>S577+S578</f>
        <v>0</v>
      </c>
      <c r="T576" s="470">
        <f t="shared" ref="T576:T584" si="147">IF(Q576&gt;0,S576*100/Q576,0)</f>
        <v>0</v>
      </c>
      <c r="U576" s="470">
        <f t="shared" ref="U576:U584" si="148"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469">
        <f t="shared" ref="L577:N578" si="149">L580+L583</f>
        <v>0</v>
      </c>
      <c r="M577" s="83">
        <f t="shared" si="149"/>
        <v>0</v>
      </c>
      <c r="N577" s="83">
        <f t="shared" si="149"/>
        <v>0</v>
      </c>
      <c r="O577" s="83">
        <f t="shared" si="145"/>
        <v>0</v>
      </c>
      <c r="P577" s="83">
        <f t="shared" si="146"/>
        <v>0</v>
      </c>
      <c r="Q577" s="83">
        <f t="shared" ref="Q577:S578" si="150">Q580+Q583</f>
        <v>0</v>
      </c>
      <c r="R577" s="83">
        <f t="shared" si="150"/>
        <v>0</v>
      </c>
      <c r="S577" s="83">
        <f t="shared" si="150"/>
        <v>0</v>
      </c>
      <c r="T577" s="83">
        <f t="shared" si="147"/>
        <v>0</v>
      </c>
      <c r="U577" s="83">
        <f t="shared" si="148"/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468">
        <f t="shared" si="149"/>
        <v>0</v>
      </c>
      <c r="M578" s="224">
        <f t="shared" si="149"/>
        <v>0</v>
      </c>
      <c r="N578" s="224">
        <f t="shared" si="149"/>
        <v>0</v>
      </c>
      <c r="O578" s="224">
        <f t="shared" si="145"/>
        <v>0</v>
      </c>
      <c r="P578" s="224">
        <f t="shared" si="146"/>
        <v>0</v>
      </c>
      <c r="Q578" s="224">
        <f t="shared" si="150"/>
        <v>0</v>
      </c>
      <c r="R578" s="224">
        <f t="shared" si="150"/>
        <v>0</v>
      </c>
      <c r="S578" s="224">
        <f t="shared" si="150"/>
        <v>0</v>
      </c>
      <c r="T578" s="224">
        <f t="shared" si="147"/>
        <v>0</v>
      </c>
      <c r="U578" s="224">
        <f t="shared" si="148"/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468">
        <f>L580+L581</f>
        <v>0</v>
      </c>
      <c r="M579" s="224">
        <f>M580+M581</f>
        <v>0</v>
      </c>
      <c r="N579" s="224">
        <f>N580+N581</f>
        <v>0</v>
      </c>
      <c r="O579" s="224">
        <f t="shared" si="145"/>
        <v>0</v>
      </c>
      <c r="P579" s="224">
        <f t="shared" si="146"/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 t="shared" si="147"/>
        <v>0</v>
      </c>
      <c r="U579" s="224">
        <f t="shared" si="148"/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469">
        <v>0</v>
      </c>
      <c r="M580" s="83">
        <v>0</v>
      </c>
      <c r="N580" s="83">
        <v>0</v>
      </c>
      <c r="O580" s="83">
        <f t="shared" si="145"/>
        <v>0</v>
      </c>
      <c r="P580" s="83">
        <f t="shared" si="146"/>
        <v>0</v>
      </c>
      <c r="Q580" s="83">
        <v>0</v>
      </c>
      <c r="R580" s="83">
        <v>0</v>
      </c>
      <c r="S580" s="83">
        <v>0</v>
      </c>
      <c r="T580" s="83">
        <f t="shared" si="147"/>
        <v>0</v>
      </c>
      <c r="U580" s="83">
        <f t="shared" si="148"/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468">
        <v>0</v>
      </c>
      <c r="M581" s="224">
        <v>0</v>
      </c>
      <c r="N581" s="224">
        <v>0</v>
      </c>
      <c r="O581" s="224">
        <f t="shared" si="145"/>
        <v>0</v>
      </c>
      <c r="P581" s="224">
        <f t="shared" si="146"/>
        <v>0</v>
      </c>
      <c r="Q581" s="224">
        <v>0</v>
      </c>
      <c r="R581" s="224">
        <v>0</v>
      </c>
      <c r="S581" s="224">
        <v>0</v>
      </c>
      <c r="T581" s="224">
        <f t="shared" si="147"/>
        <v>0</v>
      </c>
      <c r="U581" s="224">
        <f t="shared" si="148"/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468">
        <f>L583+L584</f>
        <v>0</v>
      </c>
      <c r="M582" s="224">
        <f>M583+M584</f>
        <v>0</v>
      </c>
      <c r="N582" s="224">
        <f>N583+N584</f>
        <v>0</v>
      </c>
      <c r="O582" s="224">
        <f t="shared" si="145"/>
        <v>0</v>
      </c>
      <c r="P582" s="224">
        <f t="shared" si="146"/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 t="shared" si="147"/>
        <v>0</v>
      </c>
      <c r="U582" s="224">
        <f t="shared" si="148"/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469">
        <v>0</v>
      </c>
      <c r="M583" s="83">
        <v>0</v>
      </c>
      <c r="N583" s="83">
        <v>0</v>
      </c>
      <c r="O583" s="83">
        <f t="shared" si="145"/>
        <v>0</v>
      </c>
      <c r="P583" s="83">
        <f t="shared" si="146"/>
        <v>0</v>
      </c>
      <c r="Q583" s="83">
        <v>0</v>
      </c>
      <c r="R583" s="83">
        <v>0</v>
      </c>
      <c r="S583" s="83">
        <v>0</v>
      </c>
      <c r="T583" s="83">
        <f t="shared" si="147"/>
        <v>0</v>
      </c>
      <c r="U583" s="83">
        <f t="shared" si="148"/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468">
        <v>0</v>
      </c>
      <c r="M584" s="224">
        <v>0</v>
      </c>
      <c r="N584" s="224">
        <v>0</v>
      </c>
      <c r="O584" s="224">
        <f t="shared" si="145"/>
        <v>0</v>
      </c>
      <c r="P584" s="224">
        <f t="shared" si="146"/>
        <v>0</v>
      </c>
      <c r="Q584" s="224">
        <v>0</v>
      </c>
      <c r="R584" s="224">
        <v>0</v>
      </c>
      <c r="S584" s="224">
        <v>0</v>
      </c>
      <c r="T584" s="224">
        <f t="shared" si="147"/>
        <v>0</v>
      </c>
      <c r="U584" s="224">
        <f t="shared" si="148"/>
        <v>0</v>
      </c>
    </row>
    <row r="585" spans="1:21" ht="19.5" hidden="1" x14ac:dyDescent="0.3">
      <c r="A585" s="138"/>
      <c r="B585" s="139"/>
      <c r="C585" s="365" t="s">
        <v>18</v>
      </c>
      <c r="D585" s="498" t="s">
        <v>38</v>
      </c>
      <c r="E585" s="141"/>
      <c r="F585" s="141"/>
      <c r="G585" s="142"/>
      <c r="H585" s="143"/>
      <c r="I585" s="135"/>
      <c r="J585" s="44"/>
      <c r="K585" s="45"/>
      <c r="L585" s="465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11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11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11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11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11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11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11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11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11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496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hidden="1" x14ac:dyDescent="0.3">
      <c r="A596" s="366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67" t="s">
        <v>214</v>
      </c>
      <c r="C597" s="172"/>
      <c r="D597" s="125"/>
      <c r="E597" s="27"/>
      <c r="F597" s="27"/>
      <c r="G597" s="27"/>
      <c r="H597" s="368" t="s">
        <v>99</v>
      </c>
      <c r="I597" s="182"/>
      <c r="J597" s="32"/>
      <c r="K597" s="33"/>
      <c r="L597" s="510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369"/>
      <c r="B598" s="370" t="s">
        <v>215</v>
      </c>
      <c r="C598" s="125"/>
      <c r="D598" s="27"/>
      <c r="E598" s="27"/>
      <c r="F598" s="27"/>
      <c r="G598" s="30"/>
      <c r="H598" s="371" t="s">
        <v>35</v>
      </c>
      <c r="I598" s="32"/>
      <c r="J598" s="32"/>
      <c r="K598" s="33"/>
      <c r="L598" s="510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820" t="s">
        <v>19</v>
      </c>
      <c r="E599" s="793"/>
      <c r="F599" s="793"/>
      <c r="G599" s="794"/>
      <c r="H599" s="372" t="s">
        <v>14</v>
      </c>
      <c r="I599" s="44"/>
      <c r="J599" s="44"/>
      <c r="K599" s="45"/>
      <c r="L599" s="471">
        <f>L600+L601</f>
        <v>0</v>
      </c>
      <c r="M599" s="470">
        <f>M600+M601</f>
        <v>0</v>
      </c>
      <c r="N599" s="470">
        <f>N600+N601</f>
        <v>0</v>
      </c>
      <c r="O599" s="470">
        <f t="shared" ref="O599:O607" si="151">IF(L599&gt;0,N599*100/L599,0)</f>
        <v>0</v>
      </c>
      <c r="P599" s="470">
        <f t="shared" ref="P599:P607" si="152">IF(M599&gt;0,N599*100/M599,0)</f>
        <v>0</v>
      </c>
      <c r="Q599" s="470">
        <f>Q600+Q601</f>
        <v>0</v>
      </c>
      <c r="R599" s="470">
        <f>R600+R601</f>
        <v>0</v>
      </c>
      <c r="S599" s="470">
        <f>S600+S601</f>
        <v>0</v>
      </c>
      <c r="T599" s="470">
        <f t="shared" ref="T599:T607" si="153">IF(Q599&gt;0,S599*100/Q599,0)</f>
        <v>0</v>
      </c>
      <c r="U599" s="470">
        <f t="shared" ref="U599:U607" si="154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469">
        <f t="shared" ref="L600:N601" si="155">L603+L606</f>
        <v>0</v>
      </c>
      <c r="M600" s="83">
        <f t="shared" si="155"/>
        <v>0</v>
      </c>
      <c r="N600" s="83">
        <f t="shared" si="155"/>
        <v>0</v>
      </c>
      <c r="O600" s="83">
        <f t="shared" si="151"/>
        <v>0</v>
      </c>
      <c r="P600" s="83">
        <f t="shared" si="152"/>
        <v>0</v>
      </c>
      <c r="Q600" s="83">
        <f t="shared" ref="Q600:S601" si="156">Q603+Q606</f>
        <v>0</v>
      </c>
      <c r="R600" s="83">
        <f t="shared" si="156"/>
        <v>0</v>
      </c>
      <c r="S600" s="83">
        <f t="shared" si="156"/>
        <v>0</v>
      </c>
      <c r="T600" s="83">
        <f t="shared" si="153"/>
        <v>0</v>
      </c>
      <c r="U600" s="83">
        <f t="shared" si="154"/>
        <v>0</v>
      </c>
    </row>
    <row r="601" spans="1:21" ht="18.75" hidden="1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468">
        <f t="shared" si="155"/>
        <v>0</v>
      </c>
      <c r="M601" s="224">
        <f t="shared" si="155"/>
        <v>0</v>
      </c>
      <c r="N601" s="224">
        <f t="shared" si="155"/>
        <v>0</v>
      </c>
      <c r="O601" s="224">
        <f t="shared" si="151"/>
        <v>0</v>
      </c>
      <c r="P601" s="224">
        <f t="shared" si="152"/>
        <v>0</v>
      </c>
      <c r="Q601" s="224">
        <f t="shared" si="156"/>
        <v>0</v>
      </c>
      <c r="R601" s="224">
        <f t="shared" si="156"/>
        <v>0</v>
      </c>
      <c r="S601" s="224">
        <f t="shared" si="156"/>
        <v>0</v>
      </c>
      <c r="T601" s="224">
        <f t="shared" si="153"/>
        <v>0</v>
      </c>
      <c r="U601" s="224">
        <f t="shared" si="154"/>
        <v>0</v>
      </c>
    </row>
    <row r="602" spans="1:21" ht="19.5" hidden="1" x14ac:dyDescent="0.3">
      <c r="A602" s="128"/>
      <c r="B602" s="158"/>
      <c r="C602" s="158"/>
      <c r="D602" s="494" t="s">
        <v>22</v>
      </c>
      <c r="E602" s="40"/>
      <c r="F602" s="40"/>
      <c r="G602" s="42"/>
      <c r="H602" s="372" t="s">
        <v>14</v>
      </c>
      <c r="I602" s="135"/>
      <c r="J602" s="135"/>
      <c r="K602" s="136"/>
      <c r="L602" s="468">
        <f>L603+L604</f>
        <v>0</v>
      </c>
      <c r="M602" s="224">
        <f>M603+M604</f>
        <v>0</v>
      </c>
      <c r="N602" s="224">
        <f>N603+N604</f>
        <v>0</v>
      </c>
      <c r="O602" s="224">
        <f t="shared" si="151"/>
        <v>0</v>
      </c>
      <c r="P602" s="224">
        <f t="shared" si="152"/>
        <v>0</v>
      </c>
      <c r="Q602" s="224">
        <f>Q603+Q604</f>
        <v>0</v>
      </c>
      <c r="R602" s="224">
        <f>R603+R604</f>
        <v>0</v>
      </c>
      <c r="S602" s="224">
        <f>S603+S604</f>
        <v>0</v>
      </c>
      <c r="T602" s="224">
        <f t="shared" si="153"/>
        <v>0</v>
      </c>
      <c r="U602" s="224">
        <f t="shared" si="154"/>
        <v>0</v>
      </c>
    </row>
    <row r="603" spans="1:21" ht="18.75" hidden="1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469">
        <v>0</v>
      </c>
      <c r="M603" s="83">
        <v>0</v>
      </c>
      <c r="N603" s="83">
        <v>0</v>
      </c>
      <c r="O603" s="83">
        <f t="shared" si="151"/>
        <v>0</v>
      </c>
      <c r="P603" s="83">
        <f t="shared" si="152"/>
        <v>0</v>
      </c>
      <c r="Q603" s="83">
        <v>0</v>
      </c>
      <c r="R603" s="83">
        <v>0</v>
      </c>
      <c r="S603" s="83">
        <v>0</v>
      </c>
      <c r="T603" s="83">
        <f t="shared" si="153"/>
        <v>0</v>
      </c>
      <c r="U603" s="83">
        <f t="shared" si="154"/>
        <v>0</v>
      </c>
    </row>
    <row r="604" spans="1:21" ht="18.75" hidden="1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468">
        <v>0</v>
      </c>
      <c r="M604" s="224">
        <v>0</v>
      </c>
      <c r="N604" s="224">
        <v>0</v>
      </c>
      <c r="O604" s="224">
        <f t="shared" si="151"/>
        <v>0</v>
      </c>
      <c r="P604" s="224">
        <f t="shared" si="152"/>
        <v>0</v>
      </c>
      <c r="Q604" s="224">
        <v>0</v>
      </c>
      <c r="R604" s="224">
        <v>0</v>
      </c>
      <c r="S604" s="224">
        <v>0</v>
      </c>
      <c r="T604" s="224">
        <f t="shared" si="153"/>
        <v>0</v>
      </c>
      <c r="U604" s="224">
        <f t="shared" si="154"/>
        <v>0</v>
      </c>
    </row>
    <row r="605" spans="1:21" ht="19.5" hidden="1" x14ac:dyDescent="0.3">
      <c r="A605" s="128"/>
      <c r="B605" s="158"/>
      <c r="C605" s="158"/>
      <c r="D605" s="494" t="s">
        <v>23</v>
      </c>
      <c r="E605" s="158"/>
      <c r="F605" s="40"/>
      <c r="G605" s="42"/>
      <c r="H605" s="374" t="s">
        <v>14</v>
      </c>
      <c r="I605" s="135"/>
      <c r="J605" s="135"/>
      <c r="K605" s="136"/>
      <c r="L605" s="468">
        <f>L606+L607</f>
        <v>0</v>
      </c>
      <c r="M605" s="224">
        <f>M606+M607</f>
        <v>0</v>
      </c>
      <c r="N605" s="224">
        <f>N606+N607</f>
        <v>0</v>
      </c>
      <c r="O605" s="224">
        <f t="shared" si="151"/>
        <v>0</v>
      </c>
      <c r="P605" s="224">
        <f t="shared" si="152"/>
        <v>0</v>
      </c>
      <c r="Q605" s="224">
        <f>Q606+Q607</f>
        <v>0</v>
      </c>
      <c r="R605" s="224">
        <f>R606+R607</f>
        <v>0</v>
      </c>
      <c r="S605" s="224">
        <f>S606+S607</f>
        <v>0</v>
      </c>
      <c r="T605" s="224">
        <f t="shared" si="153"/>
        <v>0</v>
      </c>
      <c r="U605" s="224">
        <f t="shared" si="154"/>
        <v>0</v>
      </c>
    </row>
    <row r="606" spans="1:21" ht="18.75" hidden="1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469">
        <v>0</v>
      </c>
      <c r="M606" s="83">
        <v>0</v>
      </c>
      <c r="N606" s="83">
        <v>0</v>
      </c>
      <c r="O606" s="83">
        <f t="shared" si="151"/>
        <v>0</v>
      </c>
      <c r="P606" s="83">
        <f t="shared" si="152"/>
        <v>0</v>
      </c>
      <c r="Q606" s="83">
        <v>0</v>
      </c>
      <c r="R606" s="83">
        <v>0</v>
      </c>
      <c r="S606" s="83">
        <v>0</v>
      </c>
      <c r="T606" s="83">
        <f t="shared" si="153"/>
        <v>0</v>
      </c>
      <c r="U606" s="83">
        <f t="shared" si="154"/>
        <v>0</v>
      </c>
    </row>
    <row r="607" spans="1:21" ht="18.75" hidden="1" x14ac:dyDescent="0.25">
      <c r="A607" s="128"/>
      <c r="B607" s="158"/>
      <c r="C607" s="158"/>
      <c r="D607" s="40"/>
      <c r="E607" s="314" t="s">
        <v>21</v>
      </c>
      <c r="F607" s="40"/>
      <c r="G607" s="42"/>
      <c r="H607" s="375" t="s">
        <v>14</v>
      </c>
      <c r="I607" s="135"/>
      <c r="J607" s="135"/>
      <c r="K607" s="136"/>
      <c r="L607" s="468">
        <v>0</v>
      </c>
      <c r="M607" s="224">
        <v>0</v>
      </c>
      <c r="N607" s="224">
        <v>0</v>
      </c>
      <c r="O607" s="224">
        <f t="shared" si="151"/>
        <v>0</v>
      </c>
      <c r="P607" s="224">
        <f t="shared" si="152"/>
        <v>0</v>
      </c>
      <c r="Q607" s="224">
        <v>0</v>
      </c>
      <c r="R607" s="224">
        <v>0</v>
      </c>
      <c r="S607" s="224">
        <v>0</v>
      </c>
      <c r="T607" s="224">
        <f t="shared" si="153"/>
        <v>0</v>
      </c>
      <c r="U607" s="224">
        <f t="shared" si="154"/>
        <v>0</v>
      </c>
    </row>
    <row r="608" spans="1:21" ht="19.5" hidden="1" x14ac:dyDescent="0.3">
      <c r="A608" s="138"/>
      <c r="B608" s="139"/>
      <c r="C608" s="177" t="s">
        <v>18</v>
      </c>
      <c r="D608" s="509" t="s">
        <v>38</v>
      </c>
      <c r="E608" s="141"/>
      <c r="F608" s="141"/>
      <c r="G608" s="142"/>
      <c r="H608" s="178"/>
      <c r="I608" s="135"/>
      <c r="J608" s="135"/>
      <c r="K608" s="136"/>
      <c r="L608" s="465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377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465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377" t="s">
        <v>217</v>
      </c>
      <c r="E610" s="145"/>
      <c r="F610" s="145"/>
      <c r="G610" s="143"/>
      <c r="H610" s="372" t="s">
        <v>35</v>
      </c>
      <c r="I610" s="44"/>
      <c r="J610" s="44"/>
      <c r="K610" s="136"/>
      <c r="L610" s="465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377" t="s">
        <v>218</v>
      </c>
      <c r="F611" s="145"/>
      <c r="G611" s="143"/>
      <c r="H611" s="375" t="s">
        <v>35</v>
      </c>
      <c r="I611" s="44"/>
      <c r="J611" s="44"/>
      <c r="K611" s="136"/>
      <c r="L611" s="465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378"/>
      <c r="B612" s="379"/>
      <c r="C612" s="379"/>
      <c r="D612" s="379"/>
      <c r="E612" s="380" t="s">
        <v>219</v>
      </c>
      <c r="F612" s="381"/>
      <c r="G612" s="382"/>
      <c r="H612" s="383" t="s">
        <v>35</v>
      </c>
      <c r="I612" s="384"/>
      <c r="J612" s="384"/>
      <c r="K612" s="385"/>
      <c r="L612" s="508"/>
      <c r="M612" s="386"/>
      <c r="N612" s="386"/>
      <c r="O612" s="386"/>
      <c r="P612" s="386"/>
      <c r="Q612" s="386"/>
      <c r="R612" s="386"/>
      <c r="S612" s="386"/>
      <c r="T612" s="386"/>
      <c r="U612" s="386"/>
    </row>
    <row r="613" spans="1:21" ht="19.5" hidden="1" x14ac:dyDescent="0.3">
      <c r="A613" s="387" t="s">
        <v>220</v>
      </c>
      <c r="B613" s="388"/>
      <c r="C613" s="388"/>
      <c r="D613" s="389"/>
      <c r="E613" s="389"/>
      <c r="F613" s="389"/>
      <c r="G613" s="390"/>
      <c r="H613" s="391"/>
      <c r="I613" s="392"/>
      <c r="J613" s="392"/>
      <c r="K613" s="393"/>
      <c r="L613" s="507"/>
      <c r="M613" s="393"/>
      <c r="N613" s="393"/>
      <c r="O613" s="393"/>
      <c r="P613" s="393"/>
      <c r="Q613" s="393"/>
      <c r="R613" s="393"/>
      <c r="S613" s="393"/>
      <c r="T613" s="393"/>
      <c r="U613" s="393"/>
    </row>
    <row r="614" spans="1:21" ht="19.5" x14ac:dyDescent="0.3">
      <c r="A614" s="394"/>
      <c r="B614" s="395" t="s">
        <v>221</v>
      </c>
      <c r="C614" s="394"/>
      <c r="D614" s="396"/>
      <c r="E614" s="396"/>
      <c r="F614" s="396"/>
      <c r="G614" s="397"/>
      <c r="H614" s="398"/>
      <c r="I614" s="399"/>
      <c r="J614" s="399"/>
      <c r="K614" s="400"/>
      <c r="L614" s="473"/>
      <c r="M614" s="400"/>
      <c r="N614" s="400"/>
      <c r="O614" s="400"/>
      <c r="P614" s="400"/>
      <c r="Q614" s="400"/>
      <c r="R614" s="400"/>
      <c r="S614" s="400"/>
      <c r="T614" s="400"/>
      <c r="U614" s="400"/>
    </row>
    <row r="615" spans="1:21" ht="19.5" x14ac:dyDescent="0.3">
      <c r="A615" s="401"/>
      <c r="B615" s="402" t="s">
        <v>222</v>
      </c>
      <c r="C615" s="401"/>
      <c r="D615" s="403"/>
      <c r="E615" s="403"/>
      <c r="F615" s="403"/>
      <c r="G615" s="404"/>
      <c r="H615" s="405" t="s">
        <v>46</v>
      </c>
      <c r="I615" s="506">
        <f ca="1">I626</f>
        <v>100</v>
      </c>
      <c r="J615" s="506">
        <f>J626</f>
        <v>0</v>
      </c>
      <c r="K615" s="505">
        <f ca="1">IF(I615&gt;0,J615*100/I615,0)</f>
        <v>0</v>
      </c>
      <c r="L615" s="504"/>
      <c r="M615" s="408"/>
      <c r="N615" s="408"/>
      <c r="O615" s="408"/>
      <c r="P615" s="408"/>
      <c r="Q615" s="408"/>
      <c r="R615" s="408"/>
      <c r="S615" s="408"/>
      <c r="T615" s="408"/>
      <c r="U615" s="408"/>
    </row>
    <row r="616" spans="1:21" ht="19.5" x14ac:dyDescent="0.3">
      <c r="A616" s="128"/>
      <c r="B616" s="158"/>
      <c r="C616" s="177" t="s">
        <v>18</v>
      </c>
      <c r="D616" s="821" t="s">
        <v>19</v>
      </c>
      <c r="E616" s="793"/>
      <c r="F616" s="793"/>
      <c r="G616" s="794"/>
      <c r="H616" s="221" t="s">
        <v>14</v>
      </c>
      <c r="I616" s="44"/>
      <c r="J616" s="44"/>
      <c r="K616" s="45"/>
      <c r="L616" s="471">
        <f>L617+L618</f>
        <v>0</v>
      </c>
      <c r="M616" s="470">
        <f>M617+M618</f>
        <v>0</v>
      </c>
      <c r="N616" s="470">
        <f>N617+N618</f>
        <v>0</v>
      </c>
      <c r="O616" s="470">
        <f t="shared" ref="O616:O624" si="157">IF(L616&gt;0,N616*100/L616,0)</f>
        <v>0</v>
      </c>
      <c r="P616" s="470">
        <f t="shared" ref="P616:P624" si="158">IF(M616&gt;0,N616*100/M616,0)</f>
        <v>0</v>
      </c>
      <c r="Q616" s="470">
        <f ca="1">Q617+Q618</f>
        <v>11725</v>
      </c>
      <c r="R616" s="470">
        <f ca="1">R617+R618</f>
        <v>11725</v>
      </c>
      <c r="S616" s="470">
        <f ca="1">S617+S618</f>
        <v>0</v>
      </c>
      <c r="T616" s="470">
        <f t="shared" ref="T616:T624" ca="1" si="159">IF(Q616&gt;0,S616*100/Q616,0)</f>
        <v>0</v>
      </c>
      <c r="U616" s="470">
        <f t="shared" ref="U616:U624" ca="1" si="160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469">
        <f t="shared" ref="L617:N618" si="161">L620+L623</f>
        <v>0</v>
      </c>
      <c r="M617" s="83">
        <f t="shared" si="161"/>
        <v>0</v>
      </c>
      <c r="N617" s="83">
        <f t="shared" si="161"/>
        <v>0</v>
      </c>
      <c r="O617" s="83">
        <f t="shared" si="157"/>
        <v>0</v>
      </c>
      <c r="P617" s="83">
        <f t="shared" si="158"/>
        <v>0</v>
      </c>
      <c r="Q617" s="83">
        <f t="shared" ref="Q617:S618" si="162">Q620+Q623</f>
        <v>0</v>
      </c>
      <c r="R617" s="83">
        <f t="shared" si="162"/>
        <v>0</v>
      </c>
      <c r="S617" s="83">
        <f t="shared" si="162"/>
        <v>0</v>
      </c>
      <c r="T617" s="83">
        <f t="shared" si="159"/>
        <v>0</v>
      </c>
      <c r="U617" s="83">
        <f t="shared" si="160"/>
        <v>0</v>
      </c>
    </row>
    <row r="618" spans="1:21" ht="18.75" hidden="1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468">
        <f t="shared" si="161"/>
        <v>0</v>
      </c>
      <c r="M618" s="224">
        <f t="shared" si="161"/>
        <v>0</v>
      </c>
      <c r="N618" s="224">
        <f t="shared" si="161"/>
        <v>0</v>
      </c>
      <c r="O618" s="224">
        <f t="shared" si="157"/>
        <v>0</v>
      </c>
      <c r="P618" s="224">
        <f t="shared" si="158"/>
        <v>0</v>
      </c>
      <c r="Q618" s="224">
        <f t="shared" ca="1" si="162"/>
        <v>11725</v>
      </c>
      <c r="R618" s="224">
        <f t="shared" ca="1" si="162"/>
        <v>11725</v>
      </c>
      <c r="S618" s="224">
        <f t="shared" ca="1" si="162"/>
        <v>0</v>
      </c>
      <c r="T618" s="224">
        <f t="shared" ca="1" si="159"/>
        <v>0</v>
      </c>
      <c r="U618" s="224">
        <f t="shared" ca="1" si="160"/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468">
        <f>L620+L621</f>
        <v>0</v>
      </c>
      <c r="M619" s="224">
        <f>M620+M621</f>
        <v>0</v>
      </c>
      <c r="N619" s="224">
        <f>N620+N621</f>
        <v>0</v>
      </c>
      <c r="O619" s="224">
        <f t="shared" si="157"/>
        <v>0</v>
      </c>
      <c r="P619" s="224">
        <f t="shared" si="158"/>
        <v>0</v>
      </c>
      <c r="Q619" s="224">
        <f ca="1">Q620+Q621</f>
        <v>11725</v>
      </c>
      <c r="R619" s="224">
        <f ca="1">R620+R621</f>
        <v>11725</v>
      </c>
      <c r="S619" s="224">
        <f ca="1">S620+S621</f>
        <v>0</v>
      </c>
      <c r="T619" s="224">
        <f t="shared" ca="1" si="159"/>
        <v>0</v>
      </c>
      <c r="U619" s="224">
        <f t="shared" ca="1" si="160"/>
        <v>0</v>
      </c>
    </row>
    <row r="620" spans="1:21" ht="18.75" hidden="1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469">
        <v>0</v>
      </c>
      <c r="M620" s="83">
        <v>0</v>
      </c>
      <c r="N620" s="83">
        <v>0</v>
      </c>
      <c r="O620" s="83">
        <f t="shared" si="157"/>
        <v>0</v>
      </c>
      <c r="P620" s="83">
        <f t="shared" si="158"/>
        <v>0</v>
      </c>
      <c r="Q620" s="83">
        <v>0</v>
      </c>
      <c r="R620" s="83">
        <v>0</v>
      </c>
      <c r="S620" s="83">
        <v>0</v>
      </c>
      <c r="T620" s="83">
        <f t="shared" si="159"/>
        <v>0</v>
      </c>
      <c r="U620" s="83">
        <f t="shared" si="160"/>
        <v>0</v>
      </c>
    </row>
    <row r="621" spans="1:21" ht="18.75" hidden="1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468">
        <v>0</v>
      </c>
      <c r="M621" s="224">
        <v>0</v>
      </c>
      <c r="N621" s="224">
        <v>0</v>
      </c>
      <c r="O621" s="224">
        <f t="shared" si="157"/>
        <v>0</v>
      </c>
      <c r="P621" s="224">
        <f t="shared" si="158"/>
        <v>0</v>
      </c>
      <c r="Q621" s="224">
        <f ca="1">IFERROR(__xludf.DUMMYFUNCTION("IMPORTRANGE(""https://docs.google.com/spreadsheets/d/1ItG2mGa2ceCfYo0BwxsXqNm01IGEUdYcSSLTEv9YCik/edit?usp=sharing"",""เบิกจ่ายกองทุน!F28"")"),11725)</f>
        <v>11725</v>
      </c>
      <c r="R621" s="224">
        <f ca="1">IFERROR(__xludf.DUMMYFUNCTION("IMPORTRANGE(""https://docs.google.com/spreadsheets/d/1ItG2mGa2ceCfYo0BwxsXqNm01IGEUdYcSSLTEv9YCik/edit?usp=sharing"",""เบิกจ่ายกองทุน!G28"")"),11725)</f>
        <v>11725</v>
      </c>
      <c r="S621" s="224">
        <f ca="1">IFERROR(__xludf.DUMMYFUNCTION("IMPORTRANGE(""https://docs.google.com/spreadsheets/d/1ItG2mGa2ceCfYo0BwxsXqNm01IGEUdYcSSLTEv9YCik/edit?usp=sharing"",""เบิกจ่ายกองทุน!H28"")"),0)</f>
        <v>0</v>
      </c>
      <c r="T621" s="224">
        <f t="shared" ca="1" si="159"/>
        <v>0</v>
      </c>
      <c r="U621" s="224">
        <f t="shared" ca="1" si="160"/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468">
        <f>L623+L624</f>
        <v>0</v>
      </c>
      <c r="M622" s="224">
        <f>M623+M624</f>
        <v>0</v>
      </c>
      <c r="N622" s="224">
        <f>N623+N624</f>
        <v>0</v>
      </c>
      <c r="O622" s="224">
        <f t="shared" si="157"/>
        <v>0</v>
      </c>
      <c r="P622" s="224">
        <f t="shared" si="158"/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 t="shared" si="159"/>
        <v>0</v>
      </c>
      <c r="U622" s="224">
        <f t="shared" si="160"/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469">
        <v>0</v>
      </c>
      <c r="M623" s="83">
        <v>0</v>
      </c>
      <c r="N623" s="83">
        <v>0</v>
      </c>
      <c r="O623" s="83">
        <f t="shared" si="157"/>
        <v>0</v>
      </c>
      <c r="P623" s="83">
        <f t="shared" si="158"/>
        <v>0</v>
      </c>
      <c r="Q623" s="83">
        <v>0</v>
      </c>
      <c r="R623" s="83">
        <v>0</v>
      </c>
      <c r="S623" s="83">
        <v>0</v>
      </c>
      <c r="T623" s="83">
        <f t="shared" si="159"/>
        <v>0</v>
      </c>
      <c r="U623" s="83">
        <f t="shared" si="160"/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468">
        <v>0</v>
      </c>
      <c r="M624" s="224">
        <v>0</v>
      </c>
      <c r="N624" s="224">
        <v>0</v>
      </c>
      <c r="O624" s="224">
        <f t="shared" si="157"/>
        <v>0</v>
      </c>
      <c r="P624" s="224">
        <f t="shared" si="158"/>
        <v>0</v>
      </c>
      <c r="Q624" s="224">
        <v>0</v>
      </c>
      <c r="R624" s="224">
        <v>0</v>
      </c>
      <c r="S624" s="224">
        <v>0</v>
      </c>
      <c r="T624" s="224">
        <f t="shared" si="159"/>
        <v>0</v>
      </c>
      <c r="U624" s="224">
        <f t="shared" si="160"/>
        <v>0</v>
      </c>
    </row>
    <row r="625" spans="1:21" ht="19.5" x14ac:dyDescent="0.3">
      <c r="A625" s="138"/>
      <c r="B625" s="139"/>
      <c r="C625" s="177" t="s">
        <v>18</v>
      </c>
      <c r="D625" s="467" t="s">
        <v>38</v>
      </c>
      <c r="E625" s="141"/>
      <c r="F625" s="141"/>
      <c r="G625" s="142"/>
      <c r="H625" s="178"/>
      <c r="I625" s="135"/>
      <c r="J625" s="135"/>
      <c r="K625" s="136"/>
      <c r="L625" s="4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10" t="s">
        <v>223</v>
      </c>
      <c r="E626" s="145"/>
      <c r="F626" s="145"/>
      <c r="G626" s="143"/>
      <c r="H626" s="411" t="s">
        <v>46</v>
      </c>
      <c r="I626" s="328">
        <f ca="1">IFERROR(__xludf.DUMMYFUNCTION("IMPORTRANGE(""https://docs.google.com/spreadsheets/d/1eHaY18a8A9IcSdp1K8H6x8fbOy06t2VsZHhMHf-1x7Y/edit?usp=sharing"",""แผน!ID28"")"),100)</f>
        <v>100</v>
      </c>
      <c r="J626" s="328">
        <f>J632</f>
        <v>0</v>
      </c>
      <c r="K626" s="470">
        <f ca="1">IF(I626&gt;0,J626*100/I626,0)</f>
        <v>0</v>
      </c>
      <c r="L626" s="4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IFERROR(__xludf.DUMMYFUNCTION("IMPORTRANGE(""https://docs.google.com/spreadsheets/d/1eHaY18a8A9IcSdp1K8H6x8fbOy06t2VsZHhMHf-1x7Y/edit?usp=sharing"",""แผน!IC28"")"),0)</f>
        <v>0</v>
      </c>
      <c r="J627" s="466">
        <v>0</v>
      </c>
      <c r="K627" s="224">
        <f ca="1">IF(I627&gt;0,(J627*100)/I627,0)</f>
        <v>0</v>
      </c>
      <c r="L627" s="4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IFERROR(__xludf.DUMMYFUNCTION("IMPORTRANGE(""https://docs.google.com/spreadsheets/d/1eHaY18a8A9IcSdp1K8H6x8fbOy06t2VsZHhMHf-1x7Y/edit?usp=sharing"",""แผน!IC28"")"),0)</f>
        <v>0</v>
      </c>
      <c r="J628" s="466">
        <v>0</v>
      </c>
      <c r="K628" s="224">
        <f ca="1">IF(I628&gt;0,(J628*100)/I628,0)</f>
        <v>0</v>
      </c>
      <c r="L628" s="4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466">
        <v>0</v>
      </c>
      <c r="K629" s="224">
        <f ca="1">IF(I$626&gt;0,J629*100/I$626,0)</f>
        <v>0</v>
      </c>
      <c r="L629" s="4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466">
        <v>0</v>
      </c>
      <c r="K630" s="224">
        <f ca="1">IF(I$626&gt;0,J630*100/I$626,0)</f>
        <v>0</v>
      </c>
      <c r="L630" s="4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466">
        <v>0</v>
      </c>
      <c r="K631" s="224">
        <f ca="1">IF(I$626&gt;0,J631*100/I$626,0)</f>
        <v>0</v>
      </c>
      <c r="L631" s="4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470">
        <f ca="1">IF(I626&gt;0,J632*100/I626,0)</f>
        <v>0</v>
      </c>
      <c r="L632" s="4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466">
        <v>0</v>
      </c>
      <c r="K633" s="45"/>
      <c r="L633" s="4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466">
        <v>0</v>
      </c>
      <c r="K634" s="45"/>
      <c r="L634" s="4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10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IFERROR(__xludf.DUMMYFUNCTION("IMPORTRANGE(""https://docs.google.com/spreadsheets/d/1eHaY18a8A9IcSdp1K8H6x8fbOy06t2VsZHhMHf-1x7Y/edit?usp=sharing"",""แผน!IE28"")"),0)</f>
        <v>0</v>
      </c>
      <c r="J635" s="328">
        <f>J636</f>
        <v>0</v>
      </c>
      <c r="K635" s="470">
        <f ca="1">IF(I635&gt;0,J635*100/I635,0)</f>
        <v>0</v>
      </c>
      <c r="L635" s="4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4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466">
        <v>0</v>
      </c>
      <c r="K637" s="45"/>
      <c r="L637" s="4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466">
        <v>0</v>
      </c>
      <c r="K638" s="45"/>
      <c r="L638" s="4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466">
        <v>0</v>
      </c>
      <c r="K639" s="45"/>
      <c r="L639" s="4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466">
        <v>0</v>
      </c>
      <c r="K640" s="45"/>
      <c r="L640" s="4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01"/>
      <c r="B641" s="402" t="s">
        <v>236</v>
      </c>
      <c r="C641" s="401"/>
      <c r="D641" s="403"/>
      <c r="E641" s="403"/>
      <c r="F641" s="403"/>
      <c r="G641" s="404"/>
      <c r="H641" s="412"/>
      <c r="I641" s="413"/>
      <c r="J641" s="413"/>
      <c r="K641" s="408"/>
      <c r="L641" s="504"/>
      <c r="M641" s="408"/>
      <c r="N641" s="408"/>
      <c r="O641" s="408"/>
      <c r="P641" s="408"/>
      <c r="Q641" s="408"/>
      <c r="R641" s="408"/>
      <c r="S641" s="408"/>
      <c r="T641" s="408"/>
      <c r="U641" s="408"/>
    </row>
    <row r="642" spans="1:21" ht="19.5" x14ac:dyDescent="0.3">
      <c r="A642" s="128"/>
      <c r="B642" s="158"/>
      <c r="C642" s="209" t="s">
        <v>18</v>
      </c>
      <c r="D642" s="821" t="s">
        <v>19</v>
      </c>
      <c r="E642" s="793"/>
      <c r="F642" s="793"/>
      <c r="G642" s="794"/>
      <c r="H642" s="221" t="s">
        <v>14</v>
      </c>
      <c r="I642" s="44"/>
      <c r="J642" s="44"/>
      <c r="K642" s="45"/>
      <c r="L642" s="471">
        <f>L643+L644</f>
        <v>0</v>
      </c>
      <c r="M642" s="470">
        <f>M643+M644</f>
        <v>0</v>
      </c>
      <c r="N642" s="470">
        <f>N643+N644</f>
        <v>0</v>
      </c>
      <c r="O642" s="470">
        <f t="shared" ref="O642:O650" si="163">IF(L642&gt;0,N642*100/L642,0)</f>
        <v>0</v>
      </c>
      <c r="P642" s="470">
        <f t="shared" ref="P642:P650" si="164">IF(M642&gt;0,N642*100/M642,0)</f>
        <v>0</v>
      </c>
      <c r="Q642" s="470">
        <f ca="1">Q643+Q644</f>
        <v>2180</v>
      </c>
      <c r="R642" s="470">
        <f ca="1">R643+R644</f>
        <v>2180</v>
      </c>
      <c r="S642" s="470">
        <f ca="1">S643+S644</f>
        <v>0</v>
      </c>
      <c r="T642" s="470">
        <f t="shared" ref="T642:T650" ca="1" si="165">IF(Q642&gt;0,S642*100/Q642,0)</f>
        <v>0</v>
      </c>
      <c r="U642" s="470">
        <f t="shared" ref="U642:U650" ca="1" si="166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469">
        <f t="shared" ref="L643:N644" si="167">L646+L649</f>
        <v>0</v>
      </c>
      <c r="M643" s="83">
        <f t="shared" si="167"/>
        <v>0</v>
      </c>
      <c r="N643" s="83">
        <f t="shared" si="167"/>
        <v>0</v>
      </c>
      <c r="O643" s="83">
        <f t="shared" si="163"/>
        <v>0</v>
      </c>
      <c r="P643" s="83">
        <f t="shared" si="164"/>
        <v>0</v>
      </c>
      <c r="Q643" s="83">
        <f t="shared" ref="Q643:S644" si="168">Q646+Q649</f>
        <v>0</v>
      </c>
      <c r="R643" s="83">
        <f t="shared" si="168"/>
        <v>0</v>
      </c>
      <c r="S643" s="83">
        <f t="shared" si="168"/>
        <v>0</v>
      </c>
      <c r="T643" s="83">
        <f t="shared" si="165"/>
        <v>0</v>
      </c>
      <c r="U643" s="83">
        <f t="shared" si="166"/>
        <v>0</v>
      </c>
    </row>
    <row r="644" spans="1:21" ht="18.75" hidden="1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468">
        <f t="shared" si="167"/>
        <v>0</v>
      </c>
      <c r="M644" s="224">
        <f t="shared" si="167"/>
        <v>0</v>
      </c>
      <c r="N644" s="224">
        <f t="shared" si="167"/>
        <v>0</v>
      </c>
      <c r="O644" s="224">
        <f t="shared" si="163"/>
        <v>0</v>
      </c>
      <c r="P644" s="224">
        <f t="shared" si="164"/>
        <v>0</v>
      </c>
      <c r="Q644" s="224">
        <f t="shared" ca="1" si="168"/>
        <v>2180</v>
      </c>
      <c r="R644" s="224">
        <f t="shared" ca="1" si="168"/>
        <v>2180</v>
      </c>
      <c r="S644" s="224">
        <f t="shared" ca="1" si="168"/>
        <v>0</v>
      </c>
      <c r="T644" s="224">
        <f t="shared" ca="1" si="165"/>
        <v>0</v>
      </c>
      <c r="U644" s="224">
        <f t="shared" ca="1" si="166"/>
        <v>0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468">
        <f>L646+L647</f>
        <v>0</v>
      </c>
      <c r="M645" s="224">
        <f>M646+M647</f>
        <v>0</v>
      </c>
      <c r="N645" s="224">
        <f>N646+N647</f>
        <v>0</v>
      </c>
      <c r="O645" s="224">
        <f t="shared" si="163"/>
        <v>0</v>
      </c>
      <c r="P645" s="224">
        <f t="shared" si="164"/>
        <v>0</v>
      </c>
      <c r="Q645" s="224">
        <f ca="1">Q646+Q647</f>
        <v>2180</v>
      </c>
      <c r="R645" s="224">
        <f ca="1">R646+R647</f>
        <v>2180</v>
      </c>
      <c r="S645" s="224">
        <f ca="1">S646+S647</f>
        <v>0</v>
      </c>
      <c r="T645" s="224">
        <f t="shared" ca="1" si="165"/>
        <v>0</v>
      </c>
      <c r="U645" s="224">
        <f t="shared" ca="1" si="166"/>
        <v>0</v>
      </c>
    </row>
    <row r="646" spans="1:21" ht="18.75" hidden="1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469">
        <v>0</v>
      </c>
      <c r="M646" s="83">
        <v>0</v>
      </c>
      <c r="N646" s="83">
        <v>0</v>
      </c>
      <c r="O646" s="83">
        <f t="shared" si="163"/>
        <v>0</v>
      </c>
      <c r="P646" s="83">
        <f t="shared" si="164"/>
        <v>0</v>
      </c>
      <c r="Q646" s="83">
        <v>0</v>
      </c>
      <c r="R646" s="83">
        <v>0</v>
      </c>
      <c r="S646" s="83">
        <v>0</v>
      </c>
      <c r="T646" s="83">
        <f t="shared" si="165"/>
        <v>0</v>
      </c>
      <c r="U646" s="83">
        <f t="shared" si="166"/>
        <v>0</v>
      </c>
    </row>
    <row r="647" spans="1:21" ht="18.75" hidden="1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468">
        <v>0</v>
      </c>
      <c r="M647" s="224">
        <v>0</v>
      </c>
      <c r="N647" s="224">
        <v>0</v>
      </c>
      <c r="O647" s="224">
        <f t="shared" si="163"/>
        <v>0</v>
      </c>
      <c r="P647" s="224">
        <f t="shared" si="164"/>
        <v>0</v>
      </c>
      <c r="Q647" s="224">
        <f ca="1">IFERROR(__xludf.DUMMYFUNCTION("IMPORTRANGE(""https://docs.google.com/spreadsheets/d/1ItG2mGa2ceCfYo0BwxsXqNm01IGEUdYcSSLTEv9YCik/edit?usp=sharing"",""เบิกจ่ายกองทุน!I28"")"),2180)</f>
        <v>2180</v>
      </c>
      <c r="R647" s="224">
        <f ca="1">IFERROR(__xludf.DUMMYFUNCTION("IMPORTRANGE(""https://docs.google.com/spreadsheets/d/1ItG2mGa2ceCfYo0BwxsXqNm01IGEUdYcSSLTEv9YCik/edit?usp=sharing"",""เบิกจ่ายกองทุน!J28"")"),2180)</f>
        <v>2180</v>
      </c>
      <c r="S647" s="224">
        <f ca="1">IFERROR(__xludf.DUMMYFUNCTION("IMPORTRANGE(""https://docs.google.com/spreadsheets/d/1ItG2mGa2ceCfYo0BwxsXqNm01IGEUdYcSSLTEv9YCik/edit?usp=sharing"",""เบิกจ่ายกองทุน!K28"")"),0)</f>
        <v>0</v>
      </c>
      <c r="T647" s="224">
        <f t="shared" ca="1" si="165"/>
        <v>0</v>
      </c>
      <c r="U647" s="224">
        <f t="shared" ca="1" si="166"/>
        <v>0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468">
        <f>L649+L650</f>
        <v>0</v>
      </c>
      <c r="M648" s="224">
        <f>M649+M650</f>
        <v>0</v>
      </c>
      <c r="N648" s="224">
        <f>N649+N650</f>
        <v>0</v>
      </c>
      <c r="O648" s="224">
        <f t="shared" si="163"/>
        <v>0</v>
      </c>
      <c r="P648" s="224">
        <f t="shared" si="164"/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 t="shared" si="165"/>
        <v>0</v>
      </c>
      <c r="U648" s="224">
        <f t="shared" si="166"/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469">
        <v>0</v>
      </c>
      <c r="M649" s="83">
        <v>0</v>
      </c>
      <c r="N649" s="83">
        <v>0</v>
      </c>
      <c r="O649" s="83">
        <f t="shared" si="163"/>
        <v>0</v>
      </c>
      <c r="P649" s="83">
        <f t="shared" si="164"/>
        <v>0</v>
      </c>
      <c r="Q649" s="83">
        <v>0</v>
      </c>
      <c r="R649" s="83">
        <v>0</v>
      </c>
      <c r="S649" s="83">
        <v>0</v>
      </c>
      <c r="T649" s="83">
        <f t="shared" si="165"/>
        <v>0</v>
      </c>
      <c r="U649" s="83">
        <f t="shared" si="166"/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468">
        <v>0</v>
      </c>
      <c r="M650" s="224">
        <v>0</v>
      </c>
      <c r="N650" s="224">
        <v>0</v>
      </c>
      <c r="O650" s="224">
        <f t="shared" si="163"/>
        <v>0</v>
      </c>
      <c r="P650" s="224">
        <f t="shared" si="164"/>
        <v>0</v>
      </c>
      <c r="Q650" s="224">
        <v>0</v>
      </c>
      <c r="R650" s="224">
        <v>0</v>
      </c>
      <c r="S650" s="224">
        <v>0</v>
      </c>
      <c r="T650" s="224">
        <f t="shared" si="165"/>
        <v>0</v>
      </c>
      <c r="U650" s="224">
        <f t="shared" si="166"/>
        <v>0</v>
      </c>
    </row>
    <row r="651" spans="1:21" ht="19.5" x14ac:dyDescent="0.3">
      <c r="A651" s="138"/>
      <c r="B651" s="139"/>
      <c r="C651" s="209" t="s">
        <v>18</v>
      </c>
      <c r="D651" s="503" t="s">
        <v>38</v>
      </c>
      <c r="E651" s="141"/>
      <c r="F651" s="141"/>
      <c r="G651" s="142"/>
      <c r="H651" s="178"/>
      <c r="I651" s="135"/>
      <c r="J651" s="135"/>
      <c r="K651" s="136"/>
      <c r="L651" s="4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502">
        <f ca="1">IFERROR(__xludf.DUMMYFUNCTION("IMPORTRANGE(""https://docs.google.com/spreadsheets/d/1eHaY18a8A9IcSdp1K8H6x8fbOy06t2VsZHhMHf-1x7Y/edit?usp=sharing"",""แผน!IF28"")"),0)</f>
        <v>0</v>
      </c>
      <c r="J652" s="184">
        <f ca="1">IFERROR(__xludf.DUMMYFUNCTION("IMPORTRANGE(""https://docs.google.com/spreadsheets/d/1tdoBKaGub7dwA3U6UFTqxio9LNnvDCQjHKmttSEBsFQ/edit?usp=sharing"",""จัดที่ดิน!AU28"")"),0)</f>
        <v>0</v>
      </c>
      <c r="K652" s="224">
        <f ca="1">IF(I652&gt;0,J652*100/I652,0)</f>
        <v>0</v>
      </c>
      <c r="L652" s="465"/>
      <c r="M652" s="45"/>
      <c r="N652" s="416"/>
      <c r="O652" s="45"/>
      <c r="P652" s="45"/>
      <c r="Q652" s="45"/>
      <c r="R652" s="45"/>
      <c r="S652" s="416"/>
      <c r="T652" s="45"/>
      <c r="U652" s="45"/>
    </row>
    <row r="653" spans="1:21" ht="18.75" hidden="1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502">
        <f ca="1">IFERROR(__xludf.DUMMYFUNCTION("IMPORTRANGE(""https://docs.google.com/spreadsheets/d/1eHaY18a8A9IcSdp1K8H6x8fbOy06t2VsZHhMHf-1x7Y/edit?usp=sharing"",""แผน!IG28"")"),0)</f>
        <v>0</v>
      </c>
      <c r="J653" s="184">
        <f ca="1">IFERROR(__xludf.DUMMYFUNCTION("IMPORTRANGE(""https://docs.google.com/spreadsheets/d/1tdoBKaGub7dwA3U6UFTqxio9LNnvDCQjHKmttSEBsFQ/edit?usp=sharing"",""จัดที่ดิน!AW28"")"),0)</f>
        <v>0</v>
      </c>
      <c r="K653" s="224">
        <f ca="1">IF(I653&gt;0,J653*100/I653,0)</f>
        <v>0</v>
      </c>
      <c r="L653" s="465"/>
      <c r="M653" s="45"/>
      <c r="N653" s="416"/>
      <c r="O653" s="45"/>
      <c r="P653" s="45"/>
      <c r="Q653" s="45"/>
      <c r="R653" s="45"/>
      <c r="S653" s="416"/>
      <c r="T653" s="45"/>
      <c r="U653" s="45"/>
    </row>
    <row r="654" spans="1:21" ht="19.5" x14ac:dyDescent="0.3">
      <c r="A654" s="208"/>
      <c r="B654" s="158"/>
      <c r="C654" s="158"/>
      <c r="D654" s="47" t="s">
        <v>239</v>
      </c>
      <c r="E654" s="40"/>
      <c r="F654" s="40"/>
      <c r="G654" s="42"/>
      <c r="H654" s="411" t="s">
        <v>46</v>
      </c>
      <c r="I654" s="501">
        <f ca="1">IFERROR(__xludf.DUMMYFUNCTION("IMPORTRANGE(""https://docs.google.com/spreadsheets/d/1eHaY18a8A9IcSdp1K8H6x8fbOy06t2VsZHhMHf-1x7Y/edit?usp=sharing"",""แผน!IH28"")"),29)</f>
        <v>29</v>
      </c>
      <c r="J654" s="328">
        <f>J657+J660</f>
        <v>0</v>
      </c>
      <c r="K654" s="470">
        <f ca="1">IF(I654&gt;0,J654*100/I654,0)</f>
        <v>0</v>
      </c>
      <c r="L654" s="465"/>
      <c r="M654" s="45"/>
      <c r="N654" s="416"/>
      <c r="O654" s="45"/>
      <c r="P654" s="45"/>
      <c r="Q654" s="45"/>
      <c r="R654" s="45"/>
      <c r="S654" s="416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466">
        <v>0</v>
      </c>
      <c r="K655" s="45"/>
      <c r="L655" s="465"/>
      <c r="M655" s="45"/>
      <c r="N655" s="416"/>
      <c r="O655" s="45"/>
      <c r="P655" s="45"/>
      <c r="Q655" s="45"/>
      <c r="R655" s="45"/>
      <c r="S655" s="416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466">
        <v>0</v>
      </c>
      <c r="K656" s="45"/>
      <c r="L656" s="465"/>
      <c r="M656" s="45"/>
      <c r="N656" s="416"/>
      <c r="O656" s="45"/>
      <c r="P656" s="45"/>
      <c r="Q656" s="45"/>
      <c r="R656" s="45"/>
      <c r="S656" s="416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02">
        <f ca="1">IFERROR(__xludf.DUMMYFUNCTION("IMPORTRANGE(""https://docs.google.com/spreadsheets/d/1eHaY18a8A9IcSdp1K8H6x8fbOy06t2VsZHhMHf-1x7Y/edit?usp=sharing"",""แผน!II28"")"),29)</f>
        <v>29</v>
      </c>
      <c r="J657" s="466">
        <v>0</v>
      </c>
      <c r="K657" s="45"/>
      <c r="L657" s="465"/>
      <c r="M657" s="45"/>
      <c r="N657" s="416"/>
      <c r="O657" s="45"/>
      <c r="P657" s="45"/>
      <c r="Q657" s="45"/>
      <c r="R657" s="45"/>
      <c r="S657" s="416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466">
        <v>0</v>
      </c>
      <c r="K658" s="45"/>
      <c r="L658" s="465"/>
      <c r="M658" s="45"/>
      <c r="N658" s="416"/>
      <c r="O658" s="45"/>
      <c r="P658" s="45"/>
      <c r="Q658" s="45"/>
      <c r="R658" s="45"/>
      <c r="S658" s="416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466">
        <v>0</v>
      </c>
      <c r="K659" s="45"/>
      <c r="L659" s="465"/>
      <c r="M659" s="45"/>
      <c r="N659" s="416"/>
      <c r="O659" s="45"/>
      <c r="P659" s="45"/>
      <c r="Q659" s="45"/>
      <c r="R659" s="45"/>
      <c r="S659" s="416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02">
        <f ca="1">IFERROR(__xludf.DUMMYFUNCTION("IMPORTRANGE(""https://docs.google.com/spreadsheets/d/1eHaY18a8A9IcSdp1K8H6x8fbOy06t2VsZHhMHf-1x7Y/edit?usp=sharing"",""แผน!IJ28"")"),0)</f>
        <v>0</v>
      </c>
      <c r="J660" s="466">
        <v>0</v>
      </c>
      <c r="K660" s="45"/>
      <c r="L660" s="465"/>
      <c r="M660" s="45"/>
      <c r="N660" s="416"/>
      <c r="O660" s="45"/>
      <c r="P660" s="45"/>
      <c r="Q660" s="45"/>
      <c r="R660" s="45"/>
      <c r="S660" s="416"/>
      <c r="T660" s="45"/>
      <c r="U660" s="45"/>
    </row>
    <row r="661" spans="1:21" ht="19.5" hidden="1" x14ac:dyDescent="0.3">
      <c r="A661" s="208"/>
      <c r="B661" s="158"/>
      <c r="C661" s="158"/>
      <c r="D661" s="332" t="s">
        <v>242</v>
      </c>
      <c r="E661" s="40"/>
      <c r="F661" s="40"/>
      <c r="G661" s="42"/>
      <c r="H661" s="411" t="s">
        <v>46</v>
      </c>
      <c r="I661" s="501">
        <f ca="1">IFERROR(__xludf.DUMMYFUNCTION("IMPORTRANGE(""https://docs.google.com/spreadsheets/d/1eHaY18a8A9IcSdp1K8H6x8fbOy06t2VsZHhMHf-1x7Y/edit?usp=sharing"",""แผน!IK28"")"),0)</f>
        <v>0</v>
      </c>
      <c r="J661" s="328">
        <f>J667+J670</f>
        <v>0</v>
      </c>
      <c r="K661" s="470">
        <f ca="1">IF(I661&gt;0,J661*100/I661,0)</f>
        <v>0</v>
      </c>
      <c r="L661" s="465"/>
      <c r="M661" s="45"/>
      <c r="N661" s="416"/>
      <c r="O661" s="45"/>
      <c r="P661" s="45"/>
      <c r="Q661" s="45"/>
      <c r="R661" s="45"/>
      <c r="S661" s="416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466">
        <v>0</v>
      </c>
      <c r="K662" s="45"/>
      <c r="L662" s="500"/>
      <c r="M662" s="45"/>
      <c r="N662" s="416"/>
      <c r="O662" s="45"/>
      <c r="P662" s="45"/>
      <c r="Q662" s="416"/>
      <c r="R662" s="45"/>
      <c r="S662" s="416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466">
        <v>0</v>
      </c>
      <c r="K663" s="45"/>
      <c r="L663" s="500"/>
      <c r="M663" s="45"/>
      <c r="N663" s="416"/>
      <c r="O663" s="45"/>
      <c r="P663" s="45"/>
      <c r="Q663" s="416"/>
      <c r="R663" s="45"/>
      <c r="S663" s="416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500"/>
      <c r="M664" s="45"/>
      <c r="N664" s="416"/>
      <c r="O664" s="45"/>
      <c r="P664" s="45"/>
      <c r="Q664" s="416"/>
      <c r="R664" s="45"/>
      <c r="S664" s="416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466">
        <v>0</v>
      </c>
      <c r="K665" s="45"/>
      <c r="L665" s="500"/>
      <c r="M665" s="45"/>
      <c r="N665" s="416"/>
      <c r="O665" s="45"/>
      <c r="P665" s="45"/>
      <c r="Q665" s="416"/>
      <c r="R665" s="45"/>
      <c r="S665" s="416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466">
        <v>0</v>
      </c>
      <c r="K666" s="45"/>
      <c r="L666" s="500"/>
      <c r="M666" s="45"/>
      <c r="N666" s="416"/>
      <c r="O666" s="45"/>
      <c r="P666" s="45"/>
      <c r="Q666" s="416"/>
      <c r="R666" s="45"/>
      <c r="S666" s="416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466">
        <v>0</v>
      </c>
      <c r="K667" s="45"/>
      <c r="L667" s="500"/>
      <c r="M667" s="45"/>
      <c r="N667" s="416"/>
      <c r="O667" s="45"/>
      <c r="P667" s="45"/>
      <c r="Q667" s="416"/>
      <c r="R667" s="45"/>
      <c r="S667" s="416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466">
        <v>0</v>
      </c>
      <c r="K668" s="45"/>
      <c r="L668" s="500"/>
      <c r="M668" s="45"/>
      <c r="N668" s="416"/>
      <c r="O668" s="45"/>
      <c r="P668" s="45"/>
      <c r="Q668" s="416"/>
      <c r="R668" s="45"/>
      <c r="S668" s="416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466">
        <v>0</v>
      </c>
      <c r="K669" s="45"/>
      <c r="L669" s="500"/>
      <c r="M669" s="45"/>
      <c r="N669" s="416"/>
      <c r="O669" s="45"/>
      <c r="P669" s="45"/>
      <c r="Q669" s="416"/>
      <c r="R669" s="45"/>
      <c r="S669" s="416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466">
        <v>0</v>
      </c>
      <c r="K670" s="45"/>
      <c r="L670" s="500"/>
      <c r="M670" s="45"/>
      <c r="N670" s="416"/>
      <c r="O670" s="45"/>
      <c r="P670" s="45"/>
      <c r="Q670" s="416"/>
      <c r="R670" s="45"/>
      <c r="S670" s="416"/>
      <c r="T670" s="45"/>
      <c r="U670" s="45"/>
    </row>
    <row r="671" spans="1:21" ht="18.75" hidden="1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IFERROR(__xludf.DUMMYFUNCTION("IMPORTRANGE(""https://docs.google.com/spreadsheets/d/1tdoBKaGub7dwA3U6UFTqxio9LNnvDCQjHKmttSEBsFQ/edit?usp=sharing"",""จัดที่ดิน!AY28"")"),0)</f>
        <v>0</v>
      </c>
      <c r="K671" s="45"/>
      <c r="L671" s="465"/>
      <c r="M671" s="45"/>
      <c r="N671" s="416"/>
      <c r="O671" s="45"/>
      <c r="P671" s="45"/>
      <c r="Q671" s="45"/>
      <c r="R671" s="45"/>
      <c r="S671" s="416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IFERROR(__xludf.DUMMYFUNCTION("IMPORTRANGE(""https://docs.google.com/spreadsheets/d/1tdoBKaGub7dwA3U6UFTqxio9LNnvDCQjHKmttSEBsFQ/edit?usp=sharing"",""จัดที่ดิน!AZ28"")"),0)</f>
        <v>0</v>
      </c>
      <c r="K672" s="45"/>
      <c r="L672" s="500"/>
      <c r="M672" s="45"/>
      <c r="N672" s="416"/>
      <c r="O672" s="45"/>
      <c r="P672" s="45"/>
      <c r="Q672" s="416"/>
      <c r="R672" s="45"/>
      <c r="S672" s="416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02">
        <f ca="1">IFERROR(__xludf.DUMMYFUNCTION("IMPORTRANGE(""https://docs.google.com/spreadsheets/d/1eHaY18a8A9IcSdp1K8H6x8fbOy06t2VsZHhMHf-1x7Y/edit?usp=sharing"",""แผน!IL28"")"),0)</f>
        <v>0</v>
      </c>
      <c r="J673" s="184">
        <f ca="1">IFERROR(__xludf.DUMMYFUNCTION("IMPORTRANGE(""https://docs.google.com/spreadsheets/d/1tdoBKaGub7dwA3U6UFTqxio9LNnvDCQjHKmttSEBsFQ/edit?usp=sharing"",""จัดที่ดิน!BA28"")"),0)</f>
        <v>0</v>
      </c>
      <c r="K673" s="224">
        <f ca="1">IF(I673&gt;0,J673*100/I673,0)</f>
        <v>0</v>
      </c>
      <c r="L673" s="500"/>
      <c r="M673" s="45"/>
      <c r="N673" s="416"/>
      <c r="O673" s="45"/>
      <c r="P673" s="45"/>
      <c r="Q673" s="416"/>
      <c r="R673" s="45"/>
      <c r="S673" s="416"/>
      <c r="T673" s="45"/>
      <c r="U673" s="45"/>
    </row>
    <row r="674" spans="1:21" ht="19.5" x14ac:dyDescent="0.3">
      <c r="A674" s="208"/>
      <c r="B674" s="158"/>
      <c r="C674" s="158"/>
      <c r="D674" s="47" t="s">
        <v>248</v>
      </c>
      <c r="E674" s="40"/>
      <c r="F674" s="40"/>
      <c r="G674" s="42"/>
      <c r="H674" s="411" t="s">
        <v>35</v>
      </c>
      <c r="I674" s="501">
        <f ca="1">IFERROR(__xludf.DUMMYFUNCTION("IMPORTRANGE(""https://docs.google.com/spreadsheets/d/1eHaY18a8A9IcSdp1K8H6x8fbOy06t2VsZHhMHf-1x7Y/edit?usp=sharing"",""แผน!IM28"")"),5)</f>
        <v>5</v>
      </c>
      <c r="J674" s="328">
        <f ca="1">J676+J679</f>
        <v>1</v>
      </c>
      <c r="K674" s="470">
        <f ca="1">IF(I674&gt;0,J674*100/I674,0)</f>
        <v>20</v>
      </c>
      <c r="L674" s="500"/>
      <c r="M674" s="45"/>
      <c r="N674" s="416"/>
      <c r="O674" s="45"/>
      <c r="P674" s="45"/>
      <c r="Q674" s="416"/>
      <c r="R674" s="45"/>
      <c r="S674" s="416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11" t="s">
        <v>46</v>
      </c>
      <c r="I675" s="501">
        <f ca="1">IFERROR(__xludf.DUMMYFUNCTION("IMPORTRANGE(""https://docs.google.com/spreadsheets/d/1eHaY18a8A9IcSdp1K8H6x8fbOy06t2VsZHhMHf-1x7Y/edit?usp=sharing"",""แผน!IN28"")"),73)</f>
        <v>73</v>
      </c>
      <c r="J675" s="328">
        <f ca="1">J678+J681</f>
        <v>25</v>
      </c>
      <c r="K675" s="470">
        <f ca="1">IF(I675&gt;0,J675*100/I675,0)</f>
        <v>34.246575342465754</v>
      </c>
      <c r="L675" s="465"/>
      <c r="M675" s="45"/>
      <c r="N675" s="416"/>
      <c r="O675" s="45"/>
      <c r="P675" s="45"/>
      <c r="Q675" s="45"/>
      <c r="R675" s="45"/>
      <c r="S675" s="416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502">
        <f ca="1">IFERROR(__xludf.DUMMYFUNCTION("IMPORTRANGE(""https://docs.google.com/spreadsheets/d/1eHaY18a8A9IcSdp1K8H6x8fbOy06t2VsZHhMHf-1x7Y/edit?usp=sharing"",""แผน!IO28"")"),5)</f>
        <v>5</v>
      </c>
      <c r="J676" s="184">
        <f ca="1">IFERROR(__xludf.DUMMYFUNCTION("IMPORTRANGE(""https://docs.google.com/spreadsheets/d/1tdoBKaGub7dwA3U6UFTqxio9LNnvDCQjHKmttSEBsFQ/edit?usp=sharing"",""จัดที่ดิน!BF28"")"),1)</f>
        <v>1</v>
      </c>
      <c r="K676" s="224">
        <f ca="1">IF(I676&gt;0,J676*100/I676,0)</f>
        <v>20</v>
      </c>
      <c r="L676" s="465"/>
      <c r="M676" s="45"/>
      <c r="N676" s="416"/>
      <c r="O676" s="45"/>
      <c r="P676" s="45"/>
      <c r="Q676" s="45"/>
      <c r="R676" s="45"/>
      <c r="S676" s="416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IFERROR(__xludf.DUMMYFUNCTION("IMPORTRANGE(""https://docs.google.com/spreadsheets/d/1tdoBKaGub7dwA3U6UFTqxio9LNnvDCQjHKmttSEBsFQ/edit?usp=sharing"",""จัดที่ดิน!BG28"")"),1)</f>
        <v>1</v>
      </c>
      <c r="K677" s="45"/>
      <c r="L677" s="500"/>
      <c r="M677" s="45"/>
      <c r="N677" s="416"/>
      <c r="O677" s="45"/>
      <c r="P677" s="45"/>
      <c r="Q677" s="416"/>
      <c r="R677" s="45"/>
      <c r="S677" s="416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02">
        <f ca="1">IFERROR(__xludf.DUMMYFUNCTION("IMPORTRANGE(""https://docs.google.com/spreadsheets/d/1eHaY18a8A9IcSdp1K8H6x8fbOy06t2VsZHhMHf-1x7Y/edit?usp=sharing"",""แผน!IP28"")"),73)</f>
        <v>73</v>
      </c>
      <c r="J678" s="184">
        <f ca="1">IFERROR(__xludf.DUMMYFUNCTION("IMPORTRANGE(""https://docs.google.com/spreadsheets/d/1tdoBKaGub7dwA3U6UFTqxio9LNnvDCQjHKmttSEBsFQ/edit?usp=sharing"",""จัดที่ดิน!BH28"")"),25)</f>
        <v>25</v>
      </c>
      <c r="K678" s="224">
        <f ca="1">IF(I678&gt;0,J678*100/I678,0)</f>
        <v>34.246575342465754</v>
      </c>
      <c r="L678" s="500"/>
      <c r="M678" s="45"/>
      <c r="N678" s="416"/>
      <c r="O678" s="45"/>
      <c r="P678" s="45"/>
      <c r="Q678" s="416"/>
      <c r="R678" s="45"/>
      <c r="S678" s="416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502">
        <f ca="1">IFERROR(__xludf.DUMMYFUNCTION("IMPORTRANGE(""https://docs.google.com/spreadsheets/d/1eHaY18a8A9IcSdp1K8H6x8fbOy06t2VsZHhMHf-1x7Y/edit?usp=sharing"",""แผน!IQ28"")"),0)</f>
        <v>0</v>
      </c>
      <c r="J679" s="184">
        <f ca="1">IFERROR(__xludf.DUMMYFUNCTION("IMPORTRANGE(""https://docs.google.com/spreadsheets/d/1tdoBKaGub7dwA3U6UFTqxio9LNnvDCQjHKmttSEBsFQ/edit?usp=sharing"",""จัดที่ดิน!BK28"")"),0)</f>
        <v>0</v>
      </c>
      <c r="K679" s="224">
        <f ca="1">IF(I679&gt;0,J679*100/I679,0)</f>
        <v>0</v>
      </c>
      <c r="L679" s="465"/>
      <c r="M679" s="45"/>
      <c r="N679" s="416"/>
      <c r="O679" s="45"/>
      <c r="P679" s="45"/>
      <c r="Q679" s="45"/>
      <c r="R679" s="45"/>
      <c r="S679" s="416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IFERROR(__xludf.DUMMYFUNCTION("IMPORTRANGE(""https://docs.google.com/spreadsheets/d/1tdoBKaGub7dwA3U6UFTqxio9LNnvDCQjHKmttSEBsFQ/edit?usp=sharing"",""จัดที่ดิน!BL28"")"),0)</f>
        <v>0</v>
      </c>
      <c r="K680" s="45"/>
      <c r="L680" s="500"/>
      <c r="M680" s="45"/>
      <c r="N680" s="416"/>
      <c r="O680" s="45"/>
      <c r="P680" s="45"/>
      <c r="Q680" s="416"/>
      <c r="R680" s="45"/>
      <c r="S680" s="416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02">
        <f ca="1">IFERROR(__xludf.DUMMYFUNCTION("IMPORTRANGE(""https://docs.google.com/spreadsheets/d/1eHaY18a8A9IcSdp1K8H6x8fbOy06t2VsZHhMHf-1x7Y/edit?usp=sharing"",""แผน!IR28"")"),0)</f>
        <v>0</v>
      </c>
      <c r="J681" s="184">
        <f ca="1">IFERROR(__xludf.DUMMYFUNCTION("IMPORTRANGE(""https://docs.google.com/spreadsheets/d/1tdoBKaGub7dwA3U6UFTqxio9LNnvDCQjHKmttSEBsFQ/edit?usp=sharing"",""จัดที่ดิน!BM28"")"),0)</f>
        <v>0</v>
      </c>
      <c r="K681" s="224">
        <f ca="1">IF(I681&gt;0,J681*100/I681,0)</f>
        <v>0</v>
      </c>
      <c r="L681" s="500"/>
      <c r="M681" s="45"/>
      <c r="N681" s="416"/>
      <c r="O681" s="45"/>
      <c r="P681" s="45"/>
      <c r="Q681" s="416"/>
      <c r="R681" s="45"/>
      <c r="S681" s="416"/>
      <c r="T681" s="45"/>
      <c r="U681" s="45"/>
    </row>
    <row r="682" spans="1:21" ht="19.5" hidden="1" x14ac:dyDescent="0.3">
      <c r="A682" s="208"/>
      <c r="B682" s="158"/>
      <c r="C682" s="158"/>
      <c r="D682" s="47" t="s">
        <v>251</v>
      </c>
      <c r="E682" s="40"/>
      <c r="F682" s="40"/>
      <c r="G682" s="42"/>
      <c r="H682" s="411" t="s">
        <v>46</v>
      </c>
      <c r="I682" s="501">
        <f ca="1">IFERROR(__xludf.DUMMYFUNCTION("IMPORTRANGE(""https://docs.google.com/spreadsheets/d/1eHaY18a8A9IcSdp1K8H6x8fbOy06t2VsZHhMHf-1x7Y/edit?usp=sharing"",""แผน!IS28"")"),0)</f>
        <v>0</v>
      </c>
      <c r="J682" s="328">
        <f>J685+J688</f>
        <v>0</v>
      </c>
      <c r="K682" s="470">
        <f ca="1">IF(I682&gt;0,J682*100/I682,0)</f>
        <v>0</v>
      </c>
      <c r="L682" s="465"/>
      <c r="M682" s="45"/>
      <c r="N682" s="416"/>
      <c r="O682" s="45"/>
      <c r="P682" s="45"/>
      <c r="Q682" s="45"/>
      <c r="R682" s="45"/>
      <c r="S682" s="416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466">
        <v>0</v>
      </c>
      <c r="K683" s="45"/>
      <c r="L683" s="500"/>
      <c r="M683" s="45"/>
      <c r="N683" s="416"/>
      <c r="O683" s="45"/>
      <c r="P683" s="45"/>
      <c r="Q683" s="416"/>
      <c r="R683" s="45"/>
      <c r="S683" s="416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466">
        <v>0</v>
      </c>
      <c r="K684" s="45"/>
      <c r="L684" s="500"/>
      <c r="M684" s="45"/>
      <c r="N684" s="416"/>
      <c r="O684" s="45"/>
      <c r="P684" s="45"/>
      <c r="Q684" s="416"/>
      <c r="R684" s="45"/>
      <c r="S684" s="416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466">
        <v>0</v>
      </c>
      <c r="K685" s="45"/>
      <c r="L685" s="500"/>
      <c r="M685" s="45"/>
      <c r="N685" s="416"/>
      <c r="O685" s="45"/>
      <c r="P685" s="45"/>
      <c r="Q685" s="416"/>
      <c r="R685" s="45"/>
      <c r="S685" s="416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466">
        <v>0</v>
      </c>
      <c r="K686" s="45"/>
      <c r="L686" s="500"/>
      <c r="M686" s="45"/>
      <c r="N686" s="416"/>
      <c r="O686" s="45"/>
      <c r="P686" s="45"/>
      <c r="Q686" s="416"/>
      <c r="R686" s="45"/>
      <c r="S686" s="416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466">
        <v>0</v>
      </c>
      <c r="K687" s="45"/>
      <c r="L687" s="500"/>
      <c r="M687" s="45"/>
      <c r="N687" s="416"/>
      <c r="O687" s="45"/>
      <c r="P687" s="45"/>
      <c r="Q687" s="416"/>
      <c r="R687" s="45"/>
      <c r="S687" s="416"/>
      <c r="T687" s="45"/>
      <c r="U687" s="45"/>
    </row>
    <row r="688" spans="1:21" ht="19.5" hidden="1" x14ac:dyDescent="0.3">
      <c r="A688" s="249"/>
      <c r="B688" s="419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464">
        <v>0</v>
      </c>
      <c r="K688" s="3"/>
      <c r="L688" s="499"/>
      <c r="M688" s="3"/>
      <c r="N688" s="420"/>
      <c r="O688" s="3"/>
      <c r="P688" s="3"/>
      <c r="Q688" s="420"/>
      <c r="R688" s="3"/>
      <c r="S688" s="420"/>
      <c r="T688" s="3"/>
      <c r="U688" s="3"/>
    </row>
    <row r="689" spans="1:21" ht="19.5" x14ac:dyDescent="0.3">
      <c r="A689" s="394"/>
      <c r="B689" s="395" t="s">
        <v>255</v>
      </c>
      <c r="C689" s="394"/>
      <c r="D689" s="396"/>
      <c r="E689" s="396"/>
      <c r="F689" s="396"/>
      <c r="G689" s="397"/>
      <c r="H689" s="434" t="s">
        <v>35</v>
      </c>
      <c r="I689" s="475">
        <f ca="1">I707</f>
        <v>160</v>
      </c>
      <c r="J689" s="475">
        <f ca="1">J707</f>
        <v>45</v>
      </c>
      <c r="K689" s="474">
        <f ca="1">IF(I689&gt;0,J689*100/I689,0)</f>
        <v>28.125</v>
      </c>
      <c r="L689" s="473"/>
      <c r="M689" s="400"/>
      <c r="N689" s="400"/>
      <c r="O689" s="400"/>
      <c r="P689" s="400"/>
      <c r="Q689" s="400"/>
      <c r="R689" s="400"/>
      <c r="S689" s="400"/>
      <c r="T689" s="400"/>
      <c r="U689" s="400"/>
    </row>
    <row r="690" spans="1:21" ht="19.5" x14ac:dyDescent="0.3">
      <c r="A690" s="128"/>
      <c r="B690" s="158"/>
      <c r="C690" s="177" t="s">
        <v>18</v>
      </c>
      <c r="D690" s="821" t="s">
        <v>19</v>
      </c>
      <c r="E690" s="793"/>
      <c r="F690" s="793"/>
      <c r="G690" s="794"/>
      <c r="H690" s="221" t="s">
        <v>14</v>
      </c>
      <c r="I690" s="44"/>
      <c r="J690" s="44"/>
      <c r="K690" s="45"/>
      <c r="L690" s="471">
        <f>L691+L692</f>
        <v>0</v>
      </c>
      <c r="M690" s="470">
        <f>M691+M692</f>
        <v>0</v>
      </c>
      <c r="N690" s="470">
        <f>N691+N692</f>
        <v>0</v>
      </c>
      <c r="O690" s="470">
        <f t="shared" ref="O690:O698" si="169">IF(L690&gt;0,N690*100/L690,0)</f>
        <v>0</v>
      </c>
      <c r="P690" s="470">
        <f t="shared" ref="P690:P698" si="170">IF(M690&gt;0,N690*100/M690,0)</f>
        <v>0</v>
      </c>
      <c r="Q690" s="470">
        <f ca="1">Q691+Q692</f>
        <v>268050</v>
      </c>
      <c r="R690" s="470">
        <f ca="1">R691+R692</f>
        <v>268050</v>
      </c>
      <c r="S690" s="470">
        <f ca="1">S691+S692</f>
        <v>44067.29</v>
      </c>
      <c r="T690" s="470">
        <f t="shared" ref="T690:T698" ca="1" si="171">IF(Q690&gt;0,S690*100/Q690,0)</f>
        <v>16.439951501585526</v>
      </c>
      <c r="U690" s="470">
        <f t="shared" ref="U690:U698" ca="1" si="172">IF(R690&gt;0,S690*100/R690,0)</f>
        <v>16.439951501585526</v>
      </c>
    </row>
    <row r="691" spans="1:21" ht="18.75" hidden="1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469">
        <f t="shared" ref="L691:N692" si="173">L694+L697</f>
        <v>0</v>
      </c>
      <c r="M691" s="83">
        <f t="shared" si="173"/>
        <v>0</v>
      </c>
      <c r="N691" s="83">
        <f t="shared" si="173"/>
        <v>0</v>
      </c>
      <c r="O691" s="83">
        <f t="shared" si="169"/>
        <v>0</v>
      </c>
      <c r="P691" s="83">
        <f t="shared" si="170"/>
        <v>0</v>
      </c>
      <c r="Q691" s="83">
        <f t="shared" ref="Q691:S692" si="174">Q694+Q697</f>
        <v>0</v>
      </c>
      <c r="R691" s="83">
        <f t="shared" si="174"/>
        <v>0</v>
      </c>
      <c r="S691" s="83">
        <f t="shared" si="174"/>
        <v>0</v>
      </c>
      <c r="T691" s="83">
        <f t="shared" si="171"/>
        <v>0</v>
      </c>
      <c r="U691" s="83">
        <f t="shared" si="172"/>
        <v>0</v>
      </c>
    </row>
    <row r="692" spans="1:21" ht="18.75" hidden="1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468">
        <f t="shared" si="173"/>
        <v>0</v>
      </c>
      <c r="M692" s="224">
        <f t="shared" si="173"/>
        <v>0</v>
      </c>
      <c r="N692" s="224">
        <f t="shared" si="173"/>
        <v>0</v>
      </c>
      <c r="O692" s="224">
        <f t="shared" si="169"/>
        <v>0</v>
      </c>
      <c r="P692" s="224">
        <f t="shared" si="170"/>
        <v>0</v>
      </c>
      <c r="Q692" s="224">
        <f t="shared" ca="1" si="174"/>
        <v>268050</v>
      </c>
      <c r="R692" s="224">
        <f t="shared" ca="1" si="174"/>
        <v>268050</v>
      </c>
      <c r="S692" s="224">
        <f t="shared" ca="1" si="174"/>
        <v>44067.29</v>
      </c>
      <c r="T692" s="224">
        <f t="shared" ca="1" si="171"/>
        <v>16.439951501585526</v>
      </c>
      <c r="U692" s="224">
        <f t="shared" ca="1" si="172"/>
        <v>16.439951501585526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468">
        <f>L694+L695</f>
        <v>0</v>
      </c>
      <c r="M693" s="224">
        <f>M694+M695</f>
        <v>0</v>
      </c>
      <c r="N693" s="224">
        <f>N694+N695</f>
        <v>0</v>
      </c>
      <c r="O693" s="224">
        <f t="shared" si="169"/>
        <v>0</v>
      </c>
      <c r="P693" s="224">
        <f t="shared" si="170"/>
        <v>0</v>
      </c>
      <c r="Q693" s="224">
        <f ca="1">Q694+Q695</f>
        <v>268050</v>
      </c>
      <c r="R693" s="224">
        <f ca="1">R694+R695</f>
        <v>268050</v>
      </c>
      <c r="S693" s="224">
        <f ca="1">S694+S695</f>
        <v>44067.29</v>
      </c>
      <c r="T693" s="224">
        <f t="shared" ca="1" si="171"/>
        <v>16.439951501585526</v>
      </c>
      <c r="U693" s="224">
        <f t="shared" ca="1" si="172"/>
        <v>16.439951501585526</v>
      </c>
    </row>
    <row r="694" spans="1:21" ht="18.75" hidden="1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469">
        <v>0</v>
      </c>
      <c r="M694" s="83">
        <v>0</v>
      </c>
      <c r="N694" s="83">
        <v>0</v>
      </c>
      <c r="O694" s="83">
        <f t="shared" si="169"/>
        <v>0</v>
      </c>
      <c r="P694" s="83">
        <f t="shared" si="170"/>
        <v>0</v>
      </c>
      <c r="Q694" s="83">
        <v>0</v>
      </c>
      <c r="R694" s="83">
        <v>0</v>
      </c>
      <c r="S694" s="83">
        <v>0</v>
      </c>
      <c r="T694" s="83">
        <f t="shared" si="171"/>
        <v>0</v>
      </c>
      <c r="U694" s="83">
        <f t="shared" si="172"/>
        <v>0</v>
      </c>
    </row>
    <row r="695" spans="1:21" ht="18.75" hidden="1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468">
        <v>0</v>
      </c>
      <c r="M695" s="224">
        <v>0</v>
      </c>
      <c r="N695" s="224">
        <v>0</v>
      </c>
      <c r="O695" s="224">
        <f t="shared" si="169"/>
        <v>0</v>
      </c>
      <c r="P695" s="224">
        <f t="shared" si="170"/>
        <v>0</v>
      </c>
      <c r="Q695" s="224">
        <f ca="1">IFERROR(__xludf.DUMMYFUNCTION("IMPORTRANGE(""https://docs.google.com/spreadsheets/d/1ItG2mGa2ceCfYo0BwxsXqNm01IGEUdYcSSLTEv9YCik/edit?usp=sharing"",""เบิกจ่ายกองทุน!L28"")"),268050)</f>
        <v>268050</v>
      </c>
      <c r="R695" s="224">
        <f ca="1">IFERROR(__xludf.DUMMYFUNCTION("IMPORTRANGE(""https://docs.google.com/spreadsheets/d/1ItG2mGa2ceCfYo0BwxsXqNm01IGEUdYcSSLTEv9YCik/edit?usp=sharing"",""เบิกจ่ายกองทุน!M28"")"),268050)</f>
        <v>268050</v>
      </c>
      <c r="S695" s="224">
        <f ca="1">IFERROR(__xludf.DUMMYFUNCTION("IMPORTRANGE(""https://docs.google.com/spreadsheets/d/1ItG2mGa2ceCfYo0BwxsXqNm01IGEUdYcSSLTEv9YCik/edit?usp=sharing"",""เบิกจ่ายกองทุน!N28"")"),44067.29)</f>
        <v>44067.29</v>
      </c>
      <c r="T695" s="224">
        <f t="shared" ca="1" si="171"/>
        <v>16.439951501585526</v>
      </c>
      <c r="U695" s="224">
        <f t="shared" ca="1" si="172"/>
        <v>16.439951501585526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468">
        <f>L697+L698</f>
        <v>0</v>
      </c>
      <c r="M696" s="224">
        <f>M697+M698</f>
        <v>0</v>
      </c>
      <c r="N696" s="224">
        <f>N697+N698</f>
        <v>0</v>
      </c>
      <c r="O696" s="224">
        <f t="shared" si="169"/>
        <v>0</v>
      </c>
      <c r="P696" s="224">
        <f t="shared" si="170"/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 t="shared" si="171"/>
        <v>0</v>
      </c>
      <c r="U696" s="224">
        <f t="shared" si="172"/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469">
        <v>0</v>
      </c>
      <c r="M697" s="83">
        <v>0</v>
      </c>
      <c r="N697" s="83">
        <v>0</v>
      </c>
      <c r="O697" s="83">
        <f t="shared" si="169"/>
        <v>0</v>
      </c>
      <c r="P697" s="83">
        <f t="shared" si="170"/>
        <v>0</v>
      </c>
      <c r="Q697" s="83">
        <v>0</v>
      </c>
      <c r="R697" s="83">
        <v>0</v>
      </c>
      <c r="S697" s="83">
        <v>0</v>
      </c>
      <c r="T697" s="83">
        <f t="shared" si="171"/>
        <v>0</v>
      </c>
      <c r="U697" s="83">
        <f t="shared" si="172"/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468">
        <v>0</v>
      </c>
      <c r="M698" s="224">
        <v>0</v>
      </c>
      <c r="N698" s="224">
        <v>0</v>
      </c>
      <c r="O698" s="224">
        <f t="shared" si="169"/>
        <v>0</v>
      </c>
      <c r="P698" s="224">
        <f t="shared" si="170"/>
        <v>0</v>
      </c>
      <c r="Q698" s="224">
        <v>0</v>
      </c>
      <c r="R698" s="224">
        <v>0</v>
      </c>
      <c r="S698" s="224">
        <v>0</v>
      </c>
      <c r="T698" s="224">
        <f t="shared" si="171"/>
        <v>0</v>
      </c>
      <c r="U698" s="224">
        <f t="shared" si="172"/>
        <v>0</v>
      </c>
    </row>
    <row r="699" spans="1:21" ht="19.5" x14ac:dyDescent="0.3">
      <c r="A699" s="138"/>
      <c r="B699" s="139"/>
      <c r="C699" s="177" t="s">
        <v>18</v>
      </c>
      <c r="D699" s="498" t="s">
        <v>38</v>
      </c>
      <c r="E699" s="141"/>
      <c r="F699" s="141"/>
      <c r="G699" s="141"/>
      <c r="H699" s="178"/>
      <c r="I699" s="135"/>
      <c r="J699" s="135"/>
      <c r="K699" s="136"/>
      <c r="L699" s="465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IFERROR(__xludf.DUMMYFUNCTION("IMPORTRANGE(""https://docs.google.com/spreadsheets/d/1eHaY18a8A9IcSdp1K8H6x8fbOy06t2VsZHhMHf-1x7Y/edit?usp=sharing"",""แผน!LC28"")"),0)</f>
        <v>0</v>
      </c>
      <c r="J700" s="466">
        <v>0</v>
      </c>
      <c r="K700" s="497">
        <f t="shared" ref="K700:K710" ca="1" si="175">IF(I700&gt;0,J700*100/I700,0)</f>
        <v>0</v>
      </c>
      <c r="L700" s="4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24" t="s">
        <v>258</v>
      </c>
      <c r="F701" s="145"/>
      <c r="G701" s="143"/>
      <c r="H701" s="131" t="s">
        <v>35</v>
      </c>
      <c r="I701" s="328">
        <f ca="1">I703+I705</f>
        <v>163</v>
      </c>
      <c r="J701" s="328">
        <f ca="1">J703+J705</f>
        <v>48</v>
      </c>
      <c r="K701" s="470">
        <f t="shared" ca="1" si="175"/>
        <v>29.447852760736197</v>
      </c>
      <c r="L701" s="4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47.8</v>
      </c>
      <c r="K702" s="470">
        <f t="shared" si="175"/>
        <v>0</v>
      </c>
      <c r="L702" s="4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IFERROR(__xludf.DUMMYFUNCTION("IMPORTRANGE(""https://docs.google.com/spreadsheets/d/1eHaY18a8A9IcSdp1K8H6x8fbOy06t2VsZHhMHf-1x7Y/edit?usp=sharing"",""แผน!LJ28"")"),160)</f>
        <v>160</v>
      </c>
      <c r="J703" s="184">
        <f ca="1">IFERROR(__xludf.DUMMYFUNCTION("IMPORTRANGE(""https://docs.google.com/spreadsheets/d/1tdoBKaGub7dwA3U6UFTqxio9LNnvDCQjHKmttSEBsFQ/edit?usp=sharing"",""จัดที่ดิน!AP28"")"),48)</f>
        <v>48</v>
      </c>
      <c r="K703" s="224">
        <f t="shared" ca="1" si="175"/>
        <v>30</v>
      </c>
      <c r="L703" s="4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IFERROR(__xludf.DUMMYFUNCTION("IMPORTRANGE(""https://docs.google.com/spreadsheets/d/1tdoBKaGub7dwA3U6UFTqxio9LNnvDCQjHKmttSEBsFQ/edit?usp=sharing"",""จัดที่ดิน!AQ28"")"),47.8)</f>
        <v>47.8</v>
      </c>
      <c r="K704" s="224">
        <f t="shared" si="175"/>
        <v>0</v>
      </c>
      <c r="L704" s="4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IFERROR(__xludf.DUMMYFUNCTION("IMPORTRANGE(""https://docs.google.com/spreadsheets/d/1eHaY18a8A9IcSdp1K8H6x8fbOy06t2VsZHhMHf-1x7Y/edit?usp=sharing"",""แผน!LK28"")"),3)</f>
        <v>3</v>
      </c>
      <c r="J705" s="184">
        <f ca="1">IFERROR(__xludf.DUMMYFUNCTION("IMPORTRANGE(""https://docs.google.com/spreadsheets/d/1tdoBKaGub7dwA3U6UFTqxio9LNnvDCQjHKmttSEBsFQ/edit?usp=sharing"",""จัดที่ดิน!AR28"")"),0)</f>
        <v>0</v>
      </c>
      <c r="K705" s="497">
        <f t="shared" ca="1" si="175"/>
        <v>0</v>
      </c>
      <c r="L705" s="4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IFERROR(__xludf.DUMMYFUNCTION("IMPORTRANGE(""https://docs.google.com/spreadsheets/d/1tdoBKaGub7dwA3U6UFTqxio9LNnvDCQjHKmttSEBsFQ/edit?usp=sharing"",""จัดที่ดิน!AS28"")"),0)</f>
        <v>0</v>
      </c>
      <c r="K706" s="224">
        <f t="shared" si="175"/>
        <v>0</v>
      </c>
      <c r="L706" s="4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IFERROR(__xludf.DUMMYFUNCTION("IMPORTRANGE(""https://docs.google.com/spreadsheets/d/1eHaY18a8A9IcSdp1K8H6x8fbOy06t2VsZHhMHf-1x7Y/edit?usp=sharing"",""แผน!LJ28"")"),160)</f>
        <v>160</v>
      </c>
      <c r="J707" s="184">
        <f ca="1">IFERROR(__xludf.DUMMYFUNCTION("IMPORTRANGE(""https://docs.google.com/spreadsheets/d/1tdoBKaGub7dwA3U6UFTqxio9LNnvDCQjHKmttSEBsFQ/edit?usp=sharing"",""จัดที่ดิน!BN28"")"),45)</f>
        <v>45</v>
      </c>
      <c r="K707" s="224">
        <f t="shared" ca="1" si="175"/>
        <v>28.125</v>
      </c>
      <c r="L707" s="4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25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IFERROR(__xludf.DUMMYFUNCTION("IMPORTRANGE(""https://docs.google.com/spreadsheets/d/1tdoBKaGub7dwA3U6UFTqxio9LNnvDCQjHKmttSEBsFQ/edit?usp=sharing"",""จัดที่ดิน!BO28"")"),44)</f>
        <v>44</v>
      </c>
      <c r="K708" s="224">
        <f t="shared" si="175"/>
        <v>0</v>
      </c>
      <c r="L708" s="4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IFERROR(__xludf.DUMMYFUNCTION("IMPORTRANGE(""https://docs.google.com/spreadsheets/d/1eHaY18a8A9IcSdp1K8H6x8fbOy06t2VsZHhMHf-1x7Y/edit?usp=sharing"",""แผน!LK28"")"),3)</f>
        <v>3</v>
      </c>
      <c r="J709" s="184">
        <f ca="1">IFERROR(__xludf.DUMMYFUNCTION("IMPORTRANGE(""https://docs.google.com/spreadsheets/d/1tdoBKaGub7dwA3U6UFTqxio9LNnvDCQjHKmttSEBsFQ/edit?usp=sharing"",""จัดที่ดิน!BP28"")"),12)</f>
        <v>12</v>
      </c>
      <c r="K709" s="224">
        <f t="shared" ca="1" si="175"/>
        <v>400</v>
      </c>
      <c r="L709" s="465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25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IFERROR(__xludf.DUMMYFUNCTION("IMPORTRANGE(""https://docs.google.com/spreadsheets/d/1tdoBKaGub7dwA3U6UFTqxio9LNnvDCQjHKmttSEBsFQ/edit?usp=sharing"",""จัดที่ดิน!BQ28"")"),0)</f>
        <v>0</v>
      </c>
      <c r="K710" s="224">
        <f t="shared" si="175"/>
        <v>0</v>
      </c>
      <c r="L710" s="465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496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hidden="1" x14ac:dyDescent="0.3">
      <c r="A712" s="394"/>
      <c r="B712" s="426" t="s">
        <v>265</v>
      </c>
      <c r="C712" s="394"/>
      <c r="D712" s="396"/>
      <c r="E712" s="396"/>
      <c r="F712" s="396"/>
      <c r="G712" s="397"/>
      <c r="H712" s="427" t="s">
        <v>46</v>
      </c>
      <c r="I712" s="399"/>
      <c r="J712" s="399">
        <f>J724</f>
        <v>0</v>
      </c>
      <c r="K712" s="495">
        <f>IF(I712&gt;0,J712*100/I712,0)</f>
        <v>0</v>
      </c>
      <c r="L712" s="473"/>
      <c r="M712" s="400"/>
      <c r="N712" s="400"/>
      <c r="O712" s="400"/>
      <c r="P712" s="400"/>
      <c r="Q712" s="400"/>
      <c r="R712" s="400"/>
      <c r="S712" s="400"/>
      <c r="T712" s="400"/>
      <c r="U712" s="400"/>
    </row>
    <row r="713" spans="1:21" ht="19.5" hidden="1" x14ac:dyDescent="0.3">
      <c r="A713" s="394"/>
      <c r="B713" s="426" t="s">
        <v>266</v>
      </c>
      <c r="C713" s="394"/>
      <c r="D713" s="396"/>
      <c r="E713" s="396"/>
      <c r="F713" s="396"/>
      <c r="G713" s="397"/>
      <c r="H713" s="398"/>
      <c r="I713" s="399"/>
      <c r="J713" s="399"/>
      <c r="K713" s="400"/>
      <c r="L713" s="47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128"/>
      <c r="B714" s="158"/>
      <c r="C714" s="314" t="s">
        <v>18</v>
      </c>
      <c r="D714" s="820" t="s">
        <v>19</v>
      </c>
      <c r="E714" s="793"/>
      <c r="F714" s="793"/>
      <c r="G714" s="794"/>
      <c r="H714" s="372" t="s">
        <v>14</v>
      </c>
      <c r="I714" s="44"/>
      <c r="J714" s="44"/>
      <c r="K714" s="45"/>
      <c r="L714" s="471">
        <f>L715+L716</f>
        <v>0</v>
      </c>
      <c r="M714" s="470">
        <f>M715+M716</f>
        <v>0</v>
      </c>
      <c r="N714" s="470">
        <f>N715+N716</f>
        <v>0</v>
      </c>
      <c r="O714" s="470">
        <f t="shared" ref="O714:O722" si="176">IF(L714&gt;0,N714*100/L714,0)</f>
        <v>0</v>
      </c>
      <c r="P714" s="470">
        <f t="shared" ref="P714:P722" si="177">IF(M714&gt;0,N714*100/M714,0)</f>
        <v>0</v>
      </c>
      <c r="Q714" s="470">
        <f>Q715+Q716</f>
        <v>0</v>
      </c>
      <c r="R714" s="470">
        <f>R715+R716</f>
        <v>0</v>
      </c>
      <c r="S714" s="470">
        <f>S715+S716</f>
        <v>0</v>
      </c>
      <c r="T714" s="470">
        <f t="shared" ref="T714:T722" si="178">IF(Q714&gt;0,S714*100/Q714,0)</f>
        <v>0</v>
      </c>
      <c r="U714" s="470">
        <f t="shared" ref="U714:U722" si="179"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469">
        <f t="shared" ref="L715:N716" si="180">L718+L721</f>
        <v>0</v>
      </c>
      <c r="M715" s="83">
        <f t="shared" si="180"/>
        <v>0</v>
      </c>
      <c r="N715" s="83">
        <f t="shared" si="180"/>
        <v>0</v>
      </c>
      <c r="O715" s="83">
        <f t="shared" si="176"/>
        <v>0</v>
      </c>
      <c r="P715" s="83">
        <f t="shared" si="177"/>
        <v>0</v>
      </c>
      <c r="Q715" s="83">
        <f t="shared" ref="Q715:S716" si="181">Q718+Q721</f>
        <v>0</v>
      </c>
      <c r="R715" s="83">
        <f t="shared" si="181"/>
        <v>0</v>
      </c>
      <c r="S715" s="83">
        <f t="shared" si="181"/>
        <v>0</v>
      </c>
      <c r="T715" s="83">
        <f t="shared" si="178"/>
        <v>0</v>
      </c>
      <c r="U715" s="83">
        <f t="shared" si="179"/>
        <v>0</v>
      </c>
    </row>
    <row r="716" spans="1:21" ht="18.75" hidden="1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468">
        <f t="shared" si="180"/>
        <v>0</v>
      </c>
      <c r="M716" s="224">
        <f t="shared" si="180"/>
        <v>0</v>
      </c>
      <c r="N716" s="224">
        <f t="shared" si="180"/>
        <v>0</v>
      </c>
      <c r="O716" s="224">
        <f t="shared" si="176"/>
        <v>0</v>
      </c>
      <c r="P716" s="224">
        <f t="shared" si="177"/>
        <v>0</v>
      </c>
      <c r="Q716" s="224">
        <f t="shared" si="181"/>
        <v>0</v>
      </c>
      <c r="R716" s="224">
        <f t="shared" si="181"/>
        <v>0</v>
      </c>
      <c r="S716" s="224">
        <f t="shared" si="181"/>
        <v>0</v>
      </c>
      <c r="T716" s="224">
        <f t="shared" si="178"/>
        <v>0</v>
      </c>
      <c r="U716" s="224">
        <f t="shared" si="179"/>
        <v>0</v>
      </c>
    </row>
    <row r="717" spans="1:21" ht="19.5" hidden="1" x14ac:dyDescent="0.3">
      <c r="A717" s="128"/>
      <c r="B717" s="158"/>
      <c r="C717" s="158"/>
      <c r="D717" s="494" t="s">
        <v>22</v>
      </c>
      <c r="E717" s="40"/>
      <c r="F717" s="40"/>
      <c r="G717" s="42"/>
      <c r="H717" s="372" t="s">
        <v>14</v>
      </c>
      <c r="I717" s="135"/>
      <c r="J717" s="135"/>
      <c r="K717" s="136"/>
      <c r="L717" s="468">
        <f>L718+L719</f>
        <v>0</v>
      </c>
      <c r="M717" s="224">
        <f>M718+M719</f>
        <v>0</v>
      </c>
      <c r="N717" s="224">
        <f>N718+N719</f>
        <v>0</v>
      </c>
      <c r="O717" s="224">
        <f t="shared" si="176"/>
        <v>0</v>
      </c>
      <c r="P717" s="224">
        <f t="shared" si="177"/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 t="shared" si="178"/>
        <v>0</v>
      </c>
      <c r="U717" s="224">
        <f t="shared" si="179"/>
        <v>0</v>
      </c>
    </row>
    <row r="718" spans="1:21" ht="18.75" hidden="1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469">
        <v>0</v>
      </c>
      <c r="M718" s="83">
        <v>0</v>
      </c>
      <c r="N718" s="83">
        <v>0</v>
      </c>
      <c r="O718" s="83">
        <f t="shared" si="176"/>
        <v>0</v>
      </c>
      <c r="P718" s="83">
        <f t="shared" si="177"/>
        <v>0</v>
      </c>
      <c r="Q718" s="83">
        <v>0</v>
      </c>
      <c r="R718" s="83">
        <v>0</v>
      </c>
      <c r="S718" s="83">
        <v>0</v>
      </c>
      <c r="T718" s="83">
        <f t="shared" si="178"/>
        <v>0</v>
      </c>
      <c r="U718" s="83">
        <f t="shared" si="179"/>
        <v>0</v>
      </c>
    </row>
    <row r="719" spans="1:21" ht="18.75" hidden="1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468">
        <v>0</v>
      </c>
      <c r="M719" s="224">
        <v>0</v>
      </c>
      <c r="N719" s="224">
        <v>0</v>
      </c>
      <c r="O719" s="224">
        <f t="shared" si="176"/>
        <v>0</v>
      </c>
      <c r="P719" s="224">
        <f t="shared" si="177"/>
        <v>0</v>
      </c>
      <c r="Q719" s="224">
        <v>0</v>
      </c>
      <c r="R719" s="224">
        <v>0</v>
      </c>
      <c r="S719" s="224">
        <v>0</v>
      </c>
      <c r="T719" s="224">
        <f t="shared" si="178"/>
        <v>0</v>
      </c>
      <c r="U719" s="224">
        <f t="shared" si="179"/>
        <v>0</v>
      </c>
    </row>
    <row r="720" spans="1:21" ht="19.5" hidden="1" x14ac:dyDescent="0.3">
      <c r="A720" s="128"/>
      <c r="B720" s="158"/>
      <c r="C720" s="158"/>
      <c r="D720" s="494" t="s">
        <v>23</v>
      </c>
      <c r="E720" s="40"/>
      <c r="F720" s="40"/>
      <c r="G720" s="42"/>
      <c r="H720" s="374" t="s">
        <v>14</v>
      </c>
      <c r="I720" s="135"/>
      <c r="J720" s="135"/>
      <c r="K720" s="136"/>
      <c r="L720" s="468">
        <f>L721+L722</f>
        <v>0</v>
      </c>
      <c r="M720" s="224">
        <f>M721+M722</f>
        <v>0</v>
      </c>
      <c r="N720" s="224">
        <f>N721+N722</f>
        <v>0</v>
      </c>
      <c r="O720" s="224">
        <f t="shared" si="176"/>
        <v>0</v>
      </c>
      <c r="P720" s="224">
        <f t="shared" si="177"/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 t="shared" si="178"/>
        <v>0</v>
      </c>
      <c r="U720" s="224">
        <f t="shared" si="179"/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469">
        <v>0</v>
      </c>
      <c r="M721" s="83">
        <v>0</v>
      </c>
      <c r="N721" s="83">
        <v>0</v>
      </c>
      <c r="O721" s="83">
        <f t="shared" si="176"/>
        <v>0</v>
      </c>
      <c r="P721" s="83">
        <f t="shared" si="177"/>
        <v>0</v>
      </c>
      <c r="Q721" s="83">
        <v>0</v>
      </c>
      <c r="R721" s="83">
        <v>0</v>
      </c>
      <c r="S721" s="83">
        <v>0</v>
      </c>
      <c r="T721" s="83">
        <f t="shared" si="178"/>
        <v>0</v>
      </c>
      <c r="U721" s="83">
        <f t="shared" si="179"/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375" t="s">
        <v>14</v>
      </c>
      <c r="I722" s="135"/>
      <c r="J722" s="135"/>
      <c r="K722" s="136"/>
      <c r="L722" s="468">
        <v>0</v>
      </c>
      <c r="M722" s="224">
        <v>0</v>
      </c>
      <c r="N722" s="224">
        <v>0</v>
      </c>
      <c r="O722" s="224">
        <f t="shared" si="176"/>
        <v>0</v>
      </c>
      <c r="P722" s="224">
        <f t="shared" si="177"/>
        <v>0</v>
      </c>
      <c r="Q722" s="224">
        <v>0</v>
      </c>
      <c r="R722" s="224">
        <v>0</v>
      </c>
      <c r="S722" s="224">
        <v>0</v>
      </c>
      <c r="T722" s="224">
        <f t="shared" si="178"/>
        <v>0</v>
      </c>
      <c r="U722" s="224">
        <f t="shared" si="179"/>
        <v>0</v>
      </c>
    </row>
    <row r="723" spans="1:21" ht="19.5" hidden="1" x14ac:dyDescent="0.3">
      <c r="A723" s="138"/>
      <c r="B723" s="139"/>
      <c r="C723" s="314" t="s">
        <v>18</v>
      </c>
      <c r="D723" s="493" t="s">
        <v>38</v>
      </c>
      <c r="E723" s="141"/>
      <c r="F723" s="141"/>
      <c r="G723" s="142"/>
      <c r="H723" s="178"/>
      <c r="I723" s="135"/>
      <c r="J723" s="135"/>
      <c r="K723" s="136"/>
      <c r="L723" s="4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30">
        <v>0</v>
      </c>
      <c r="J724" s="44"/>
      <c r="K724" s="45"/>
      <c r="L724" s="465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29"/>
      <c r="B725" s="2"/>
      <c r="C725" s="2"/>
      <c r="D725" s="1"/>
      <c r="E725" s="431" t="s">
        <v>268</v>
      </c>
      <c r="F725" s="1"/>
      <c r="G725" s="52"/>
      <c r="H725" s="432" t="s">
        <v>46</v>
      </c>
      <c r="I725" s="433">
        <v>0</v>
      </c>
      <c r="J725" s="54"/>
      <c r="K725" s="3"/>
      <c r="L725" s="46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94"/>
      <c r="B726" s="395" t="s">
        <v>269</v>
      </c>
      <c r="C726" s="394"/>
      <c r="D726" s="396"/>
      <c r="E726" s="396"/>
      <c r="F726" s="396"/>
      <c r="G726" s="397"/>
      <c r="H726" s="434" t="s">
        <v>35</v>
      </c>
      <c r="I726" s="475">
        <f ca="1">IFERROR(__xludf.DUMMYFUNCTION("IMPORTRANGE(""https://docs.google.com/spreadsheets/d/1eHaY18a8A9IcSdp1K8H6x8fbOy06t2VsZHhMHf-1x7Y/edit?usp=sharing"",""แผน!GA28"")"),31)</f>
        <v>31</v>
      </c>
      <c r="J726" s="475">
        <f>J742+J746+J749</f>
        <v>0</v>
      </c>
      <c r="K726" s="474">
        <f ca="1">IF(I726&gt;0,J726*100/I726,0)</f>
        <v>0</v>
      </c>
      <c r="L726" s="473"/>
      <c r="M726" s="400"/>
      <c r="N726" s="400"/>
      <c r="O726" s="400"/>
      <c r="P726" s="400"/>
      <c r="Q726" s="400"/>
      <c r="R726" s="400"/>
      <c r="S726" s="400"/>
      <c r="T726" s="400"/>
      <c r="U726" s="400"/>
    </row>
    <row r="727" spans="1:21" ht="19.5" x14ac:dyDescent="0.3">
      <c r="A727" s="436"/>
      <c r="B727" s="394"/>
      <c r="C727" s="394"/>
      <c r="D727" s="396"/>
      <c r="E727" s="396"/>
      <c r="F727" s="396"/>
      <c r="G727" s="397"/>
      <c r="H727" s="434" t="s">
        <v>46</v>
      </c>
      <c r="I727" s="475">
        <f ca="1">IFERROR(__xludf.DUMMYFUNCTION("IMPORTRANGE(""https://docs.google.com/spreadsheets/d/1eHaY18a8A9IcSdp1K8H6x8fbOy06t2VsZHhMHf-1x7Y/edit?usp=sharing"",""แผน!FZ28"")"),300)</f>
        <v>300</v>
      </c>
      <c r="J727" s="475">
        <f>J752+J755</f>
        <v>0</v>
      </c>
      <c r="K727" s="474">
        <f ca="1">IF(I727&gt;0,J727*100/I727,0)</f>
        <v>0</v>
      </c>
      <c r="L727" s="47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128"/>
      <c r="B728" s="158"/>
      <c r="C728" s="177" t="s">
        <v>18</v>
      </c>
      <c r="D728" s="821" t="s">
        <v>19</v>
      </c>
      <c r="E728" s="793"/>
      <c r="F728" s="793"/>
      <c r="G728" s="794"/>
      <c r="H728" s="221" t="s">
        <v>14</v>
      </c>
      <c r="I728" s="44"/>
      <c r="J728" s="44"/>
      <c r="K728" s="45"/>
      <c r="L728" s="471">
        <f>L729+L730</f>
        <v>0</v>
      </c>
      <c r="M728" s="470">
        <f>M729+M730</f>
        <v>0</v>
      </c>
      <c r="N728" s="470">
        <f>N729+N730</f>
        <v>0</v>
      </c>
      <c r="O728" s="470">
        <f t="shared" ref="O728:O736" si="182">IF(L728&gt;0,N728*100/L728,0)</f>
        <v>0</v>
      </c>
      <c r="P728" s="470">
        <f t="shared" ref="P728:P736" si="183">IF(M728&gt;0,N728*100/M728,0)</f>
        <v>0</v>
      </c>
      <c r="Q728" s="470">
        <f ca="1">Q729+Q730</f>
        <v>242546</v>
      </c>
      <c r="R728" s="470">
        <f ca="1">R729+R730</f>
        <v>242546</v>
      </c>
      <c r="S728" s="470">
        <f ca="1">S729+S730</f>
        <v>0</v>
      </c>
      <c r="T728" s="470">
        <f t="shared" ref="T728:T736" ca="1" si="184">IF(Q728&gt;0,S728*100/Q728,0)</f>
        <v>0</v>
      </c>
      <c r="U728" s="470">
        <f t="shared" ref="U728:U736" ca="1" si="185">IF(R728&gt;0,S728*100/R728,0)</f>
        <v>0</v>
      </c>
    </row>
    <row r="729" spans="1:21" ht="18.75" hidden="1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469">
        <f t="shared" ref="L729:N730" si="186">L732+L735</f>
        <v>0</v>
      </c>
      <c r="M729" s="83">
        <f t="shared" si="186"/>
        <v>0</v>
      </c>
      <c r="N729" s="83">
        <f t="shared" si="186"/>
        <v>0</v>
      </c>
      <c r="O729" s="83">
        <f t="shared" si="182"/>
        <v>0</v>
      </c>
      <c r="P729" s="83">
        <f t="shared" si="183"/>
        <v>0</v>
      </c>
      <c r="Q729" s="83">
        <f t="shared" ref="Q729:S730" si="187">Q732+Q735</f>
        <v>0</v>
      </c>
      <c r="R729" s="83">
        <f t="shared" si="187"/>
        <v>0</v>
      </c>
      <c r="S729" s="83">
        <f t="shared" si="187"/>
        <v>0</v>
      </c>
      <c r="T729" s="83">
        <f t="shared" si="184"/>
        <v>0</v>
      </c>
      <c r="U729" s="83">
        <f t="shared" si="185"/>
        <v>0</v>
      </c>
    </row>
    <row r="730" spans="1:21" ht="18.75" hidden="1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468">
        <f t="shared" si="186"/>
        <v>0</v>
      </c>
      <c r="M730" s="224">
        <f t="shared" si="186"/>
        <v>0</v>
      </c>
      <c r="N730" s="224">
        <f t="shared" si="186"/>
        <v>0</v>
      </c>
      <c r="O730" s="224">
        <f t="shared" si="182"/>
        <v>0</v>
      </c>
      <c r="P730" s="224">
        <f t="shared" si="183"/>
        <v>0</v>
      </c>
      <c r="Q730" s="224">
        <f t="shared" ca="1" si="187"/>
        <v>242546</v>
      </c>
      <c r="R730" s="224">
        <f t="shared" ca="1" si="187"/>
        <v>242546</v>
      </c>
      <c r="S730" s="224">
        <f t="shared" ca="1" si="187"/>
        <v>0</v>
      </c>
      <c r="T730" s="224">
        <f t="shared" ca="1" si="184"/>
        <v>0</v>
      </c>
      <c r="U730" s="224">
        <f t="shared" ca="1" si="185"/>
        <v>0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468">
        <f>L732+L733</f>
        <v>0</v>
      </c>
      <c r="M731" s="224">
        <f>M732+M733</f>
        <v>0</v>
      </c>
      <c r="N731" s="224">
        <f>N732+N733</f>
        <v>0</v>
      </c>
      <c r="O731" s="224">
        <f t="shared" si="182"/>
        <v>0</v>
      </c>
      <c r="P731" s="224">
        <f t="shared" si="183"/>
        <v>0</v>
      </c>
      <c r="Q731" s="224">
        <f ca="1">Q732+Q733</f>
        <v>242546</v>
      </c>
      <c r="R731" s="224">
        <f ca="1">R732+R733</f>
        <v>242546</v>
      </c>
      <c r="S731" s="224">
        <f ca="1">S732+S733</f>
        <v>0</v>
      </c>
      <c r="T731" s="224">
        <f t="shared" ca="1" si="184"/>
        <v>0</v>
      </c>
      <c r="U731" s="224">
        <f t="shared" ca="1" si="185"/>
        <v>0</v>
      </c>
    </row>
    <row r="732" spans="1:21" ht="18.75" hidden="1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469">
        <v>0</v>
      </c>
      <c r="M732" s="83">
        <v>0</v>
      </c>
      <c r="N732" s="83">
        <v>0</v>
      </c>
      <c r="O732" s="83">
        <f t="shared" si="182"/>
        <v>0</v>
      </c>
      <c r="P732" s="83">
        <f t="shared" si="183"/>
        <v>0</v>
      </c>
      <c r="Q732" s="83">
        <v>0</v>
      </c>
      <c r="R732" s="83">
        <v>0</v>
      </c>
      <c r="S732" s="83">
        <v>0</v>
      </c>
      <c r="T732" s="83">
        <f t="shared" si="184"/>
        <v>0</v>
      </c>
      <c r="U732" s="83">
        <f t="shared" si="185"/>
        <v>0</v>
      </c>
    </row>
    <row r="733" spans="1:21" ht="18.75" hidden="1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468">
        <v>0</v>
      </c>
      <c r="M733" s="224">
        <v>0</v>
      </c>
      <c r="N733" s="224">
        <v>0</v>
      </c>
      <c r="O733" s="224">
        <f t="shared" si="182"/>
        <v>0</v>
      </c>
      <c r="P733" s="224">
        <f t="shared" si="183"/>
        <v>0</v>
      </c>
      <c r="Q733" s="224">
        <f ca="1">IFERROR(__xludf.DUMMYFUNCTION("IMPORTRANGE(""https://docs.google.com/spreadsheets/d/1ItG2mGa2ceCfYo0BwxsXqNm01IGEUdYcSSLTEv9YCik/edit?usp=sharing"",""เบิกจ่ายกองทุน!O28"")"),242546)</f>
        <v>242546</v>
      </c>
      <c r="R733" s="224">
        <f ca="1">IFERROR(__xludf.DUMMYFUNCTION("IMPORTRANGE(""https://docs.google.com/spreadsheets/d/1ItG2mGa2ceCfYo0BwxsXqNm01IGEUdYcSSLTEv9YCik/edit?usp=sharing"",""เบิกจ่ายกองทุน!P28"")"),242546)</f>
        <v>242546</v>
      </c>
      <c r="S733" s="224">
        <f ca="1">IFERROR(__xludf.DUMMYFUNCTION("IMPORTRANGE(""https://docs.google.com/spreadsheets/d/1ItG2mGa2ceCfYo0BwxsXqNm01IGEUdYcSSLTEv9YCik/edit?usp=sharing"",""เบิกจ่ายกองทุน!Q28"")"),0)</f>
        <v>0</v>
      </c>
      <c r="T733" s="224">
        <f t="shared" ca="1" si="184"/>
        <v>0</v>
      </c>
      <c r="U733" s="224">
        <f t="shared" ca="1" si="185"/>
        <v>0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468">
        <f>L735+L736</f>
        <v>0</v>
      </c>
      <c r="M734" s="224">
        <f>M735+M736</f>
        <v>0</v>
      </c>
      <c r="N734" s="224">
        <f>N735+N736</f>
        <v>0</v>
      </c>
      <c r="O734" s="224">
        <f t="shared" si="182"/>
        <v>0</v>
      </c>
      <c r="P734" s="224">
        <f t="shared" si="183"/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 t="shared" si="184"/>
        <v>0</v>
      </c>
      <c r="U734" s="224">
        <f t="shared" si="185"/>
        <v>0</v>
      </c>
    </row>
    <row r="735" spans="1:21" ht="18.75" hidden="1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469">
        <v>0</v>
      </c>
      <c r="M735" s="83">
        <v>0</v>
      </c>
      <c r="N735" s="83">
        <v>0</v>
      </c>
      <c r="O735" s="83">
        <f t="shared" si="182"/>
        <v>0</v>
      </c>
      <c r="P735" s="83">
        <f t="shared" si="183"/>
        <v>0</v>
      </c>
      <c r="Q735" s="83">
        <v>0</v>
      </c>
      <c r="R735" s="83">
        <v>0</v>
      </c>
      <c r="S735" s="83">
        <v>0</v>
      </c>
      <c r="T735" s="83">
        <f t="shared" si="184"/>
        <v>0</v>
      </c>
      <c r="U735" s="83">
        <f t="shared" si="185"/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468">
        <v>0</v>
      </c>
      <c r="M736" s="224">
        <v>0</v>
      </c>
      <c r="N736" s="224">
        <v>0</v>
      </c>
      <c r="O736" s="224">
        <f t="shared" si="182"/>
        <v>0</v>
      </c>
      <c r="P736" s="224">
        <f t="shared" si="183"/>
        <v>0</v>
      </c>
      <c r="Q736" s="224">
        <v>0</v>
      </c>
      <c r="R736" s="224">
        <v>0</v>
      </c>
      <c r="S736" s="224">
        <v>0</v>
      </c>
      <c r="T736" s="224">
        <f t="shared" si="184"/>
        <v>0</v>
      </c>
      <c r="U736" s="224">
        <f t="shared" si="185"/>
        <v>0</v>
      </c>
    </row>
    <row r="737" spans="1:21" ht="19.5" x14ac:dyDescent="0.3">
      <c r="A737" s="138"/>
      <c r="B737" s="139"/>
      <c r="C737" s="177" t="s">
        <v>18</v>
      </c>
      <c r="D737" s="491" t="s">
        <v>38</v>
      </c>
      <c r="E737" s="203"/>
      <c r="F737" s="141"/>
      <c r="G737" s="142"/>
      <c r="H737" s="178"/>
      <c r="I737" s="44"/>
      <c r="J737" s="44"/>
      <c r="K737" s="45"/>
      <c r="L737" s="465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7" t="s">
        <v>121</v>
      </c>
      <c r="E738" s="139"/>
      <c r="F738" s="139"/>
      <c r="G738" s="143"/>
      <c r="H738" s="180"/>
      <c r="I738" s="44"/>
      <c r="J738" s="44"/>
      <c r="K738" s="45"/>
      <c r="L738" s="465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10" t="s">
        <v>270</v>
      </c>
      <c r="F739" s="139"/>
      <c r="G739" s="143"/>
      <c r="H739" s="180"/>
      <c r="I739" s="44"/>
      <c r="J739" s="44"/>
      <c r="K739" s="45"/>
      <c r="L739" s="465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10" t="s">
        <v>271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IFERROR(__xludf.DUMMYFUNCTION("IMPORTRANGE(""https://docs.google.com/spreadsheets/d/1eHaY18a8A9IcSdp1K8H6x8fbOy06t2VsZHhMHf-1x7Y/edit?usp=sharing"",""แผน!GB28"")"),240)</f>
        <v>240</v>
      </c>
      <c r="J740" s="466">
        <v>0</v>
      </c>
      <c r="K740" s="224">
        <f ca="1">IF(I740&gt;0,J740*100/I740,0)</f>
        <v>0</v>
      </c>
      <c r="L740" s="465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485"/>
      <c r="B741" s="484"/>
      <c r="C741" s="484"/>
      <c r="D741" s="484"/>
      <c r="E741" s="484"/>
      <c r="F741" s="489" t="s">
        <v>306</v>
      </c>
      <c r="G741" s="481"/>
      <c r="H741" s="480" t="s">
        <v>35</v>
      </c>
      <c r="I741" s="479"/>
      <c r="J741" s="478">
        <v>0</v>
      </c>
      <c r="K741" s="476"/>
      <c r="L741" s="477"/>
      <c r="M741" s="476"/>
      <c r="N741" s="476"/>
      <c r="O741" s="476"/>
      <c r="P741" s="476"/>
      <c r="Q741" s="476"/>
      <c r="R741" s="476"/>
      <c r="S741" s="476"/>
      <c r="T741" s="476"/>
      <c r="U741" s="476"/>
    </row>
    <row r="742" spans="1:21" ht="18.75" x14ac:dyDescent="0.25">
      <c r="A742" s="485"/>
      <c r="B742" s="484"/>
      <c r="C742" s="484"/>
      <c r="D742" s="484"/>
      <c r="E742" s="484"/>
      <c r="F742" s="489" t="s">
        <v>305</v>
      </c>
      <c r="G742" s="481"/>
      <c r="H742" s="480" t="s">
        <v>35</v>
      </c>
      <c r="I742" s="487">
        <f ca="1">IFERROR(__xludf.DUMMYFUNCTION("IMPORTRANGE(""https://docs.google.com/spreadsheets/d/1eHaY18a8A9IcSdp1K8H6x8fbOy06t2VsZHhMHf-1x7Y/edit?usp=sharing"",""แผน!GC28"")"),24)</f>
        <v>24</v>
      </c>
      <c r="J742" s="478">
        <v>0</v>
      </c>
      <c r="K742" s="486">
        <f ca="1">IF(I742&gt;0,J742*100/I742,0)</f>
        <v>0</v>
      </c>
      <c r="L742" s="477"/>
      <c r="M742" s="476"/>
      <c r="N742" s="476"/>
      <c r="O742" s="476"/>
      <c r="P742" s="476"/>
      <c r="Q742" s="476"/>
      <c r="R742" s="476"/>
      <c r="S742" s="476"/>
      <c r="T742" s="476"/>
      <c r="U742" s="476"/>
    </row>
    <row r="743" spans="1:21" ht="18.75" x14ac:dyDescent="0.25">
      <c r="A743" s="485"/>
      <c r="B743" s="484"/>
      <c r="C743" s="484"/>
      <c r="D743" s="484"/>
      <c r="E743" s="489" t="s">
        <v>274</v>
      </c>
      <c r="F743" s="484"/>
      <c r="G743" s="481"/>
      <c r="H743" s="488"/>
      <c r="I743" s="479"/>
      <c r="J743" s="479"/>
      <c r="K743" s="476"/>
      <c r="L743" s="477"/>
      <c r="M743" s="476"/>
      <c r="N743" s="476"/>
      <c r="O743" s="476"/>
      <c r="P743" s="476"/>
      <c r="Q743" s="476"/>
      <c r="R743" s="476"/>
      <c r="S743" s="476"/>
      <c r="T743" s="476"/>
      <c r="U743" s="476"/>
    </row>
    <row r="744" spans="1:21" ht="18.75" x14ac:dyDescent="0.25">
      <c r="A744" s="485"/>
      <c r="B744" s="484"/>
      <c r="C744" s="484"/>
      <c r="D744" s="484"/>
      <c r="E744" s="484"/>
      <c r="F744" s="489" t="s">
        <v>271</v>
      </c>
      <c r="G744" s="481"/>
      <c r="H744" s="480" t="s">
        <v>46</v>
      </c>
      <c r="I744" s="487">
        <f ca="1">IFERROR(__xludf.DUMMYFUNCTION("IMPORTRANGE(""https://docs.google.com/spreadsheets/d/1eHaY18a8A9IcSdp1K8H6x8fbOy06t2VsZHhMHf-1x7Y/edit?usp=sharing"",""แผน!GD28"")"),60)</f>
        <v>60</v>
      </c>
      <c r="J744" s="478">
        <v>0</v>
      </c>
      <c r="K744" s="486">
        <f ca="1">IF(I744&gt;0,J744*100/I744,0)</f>
        <v>0</v>
      </c>
      <c r="L744" s="477"/>
      <c r="M744" s="476"/>
      <c r="N744" s="476"/>
      <c r="O744" s="476"/>
      <c r="P744" s="476"/>
      <c r="Q744" s="476"/>
      <c r="R744" s="476"/>
      <c r="S744" s="476"/>
      <c r="T744" s="476"/>
      <c r="U744" s="476"/>
    </row>
    <row r="745" spans="1:21" ht="18.75" x14ac:dyDescent="0.25">
      <c r="A745" s="485"/>
      <c r="B745" s="484"/>
      <c r="C745" s="484"/>
      <c r="D745" s="484"/>
      <c r="E745" s="484"/>
      <c r="F745" s="489" t="s">
        <v>304</v>
      </c>
      <c r="G745" s="481"/>
      <c r="H745" s="480" t="s">
        <v>35</v>
      </c>
      <c r="I745" s="479"/>
      <c r="J745" s="478">
        <v>0</v>
      </c>
      <c r="K745" s="476"/>
      <c r="L745" s="477"/>
      <c r="M745" s="476"/>
      <c r="N745" s="476"/>
      <c r="O745" s="476"/>
      <c r="P745" s="476"/>
      <c r="Q745" s="476"/>
      <c r="R745" s="476"/>
      <c r="S745" s="476"/>
      <c r="T745" s="476"/>
      <c r="U745" s="476"/>
    </row>
    <row r="746" spans="1:21" ht="18.75" x14ac:dyDescent="0.25">
      <c r="A746" s="485"/>
      <c r="B746" s="484"/>
      <c r="C746" s="484"/>
      <c r="D746" s="484"/>
      <c r="E746" s="484"/>
      <c r="F746" s="489" t="s">
        <v>303</v>
      </c>
      <c r="G746" s="481"/>
      <c r="H746" s="480" t="s">
        <v>35</v>
      </c>
      <c r="I746" s="487">
        <f ca="1">IFERROR(__xludf.DUMMYFUNCTION("IMPORTRANGE(""https://docs.google.com/spreadsheets/d/1eHaY18a8A9IcSdp1K8H6x8fbOy06t2VsZHhMHf-1x7Y/edit?usp=sharing"",""แผน!GE28"")"),6)</f>
        <v>6</v>
      </c>
      <c r="J746" s="478">
        <v>0</v>
      </c>
      <c r="K746" s="486">
        <f ca="1">IF(I746&gt;0,J746*100/I746,0)</f>
        <v>0</v>
      </c>
      <c r="L746" s="477"/>
      <c r="M746" s="476"/>
      <c r="N746" s="476"/>
      <c r="O746" s="476"/>
      <c r="P746" s="476"/>
      <c r="Q746" s="476"/>
      <c r="R746" s="476"/>
      <c r="S746" s="476"/>
      <c r="T746" s="476"/>
      <c r="U746" s="476"/>
    </row>
    <row r="747" spans="1:21" ht="18.75" x14ac:dyDescent="0.25">
      <c r="A747" s="485"/>
      <c r="B747" s="484"/>
      <c r="C747" s="484"/>
      <c r="D747" s="484"/>
      <c r="E747" s="489" t="s">
        <v>277</v>
      </c>
      <c r="F747" s="483"/>
      <c r="G747" s="481"/>
      <c r="H747" s="488"/>
      <c r="I747" s="479"/>
      <c r="J747" s="479"/>
      <c r="K747" s="476"/>
      <c r="L747" s="477"/>
      <c r="M747" s="476"/>
      <c r="N747" s="476"/>
      <c r="O747" s="476"/>
      <c r="P747" s="476"/>
      <c r="Q747" s="476"/>
      <c r="R747" s="476"/>
      <c r="S747" s="476"/>
      <c r="T747" s="476"/>
      <c r="U747" s="476"/>
    </row>
    <row r="748" spans="1:21" ht="18.75" x14ac:dyDescent="0.25">
      <c r="A748" s="485"/>
      <c r="B748" s="484"/>
      <c r="C748" s="484"/>
      <c r="D748" s="484"/>
      <c r="E748" s="484"/>
      <c r="F748" s="489" t="s">
        <v>302</v>
      </c>
      <c r="G748" s="481"/>
      <c r="H748" s="480" t="s">
        <v>35</v>
      </c>
      <c r="I748" s="479"/>
      <c r="J748" s="478">
        <v>0</v>
      </c>
      <c r="K748" s="476"/>
      <c r="L748" s="477"/>
      <c r="M748" s="476"/>
      <c r="N748" s="476"/>
      <c r="O748" s="476"/>
      <c r="P748" s="476"/>
      <c r="Q748" s="476"/>
      <c r="R748" s="476"/>
      <c r="S748" s="476"/>
      <c r="T748" s="476"/>
      <c r="U748" s="476"/>
    </row>
    <row r="749" spans="1:21" ht="18.75" x14ac:dyDescent="0.25">
      <c r="A749" s="485"/>
      <c r="B749" s="484"/>
      <c r="C749" s="484"/>
      <c r="D749" s="484"/>
      <c r="E749" s="484"/>
      <c r="F749" s="489" t="s">
        <v>301</v>
      </c>
      <c r="G749" s="481"/>
      <c r="H749" s="480" t="s">
        <v>35</v>
      </c>
      <c r="I749" s="487">
        <f ca="1">IFERROR(__xludf.DUMMYFUNCTION("IMPORTRANGE(""https://docs.google.com/spreadsheets/d/1eHaY18a8A9IcSdp1K8H6x8fbOy06t2VsZHhMHf-1x7Y/edit?usp=sharing"",""แผน!GF28"")"),1)</f>
        <v>1</v>
      </c>
      <c r="J749" s="478">
        <v>0</v>
      </c>
      <c r="K749" s="486">
        <f ca="1">IF(I749&gt;0,J749*100/I749,0)</f>
        <v>0</v>
      </c>
      <c r="L749" s="477"/>
      <c r="M749" s="476"/>
      <c r="N749" s="476"/>
      <c r="O749" s="476"/>
      <c r="P749" s="476"/>
      <c r="Q749" s="476"/>
      <c r="R749" s="476"/>
      <c r="S749" s="476"/>
      <c r="T749" s="476"/>
      <c r="U749" s="476"/>
    </row>
    <row r="750" spans="1:21" ht="19.5" x14ac:dyDescent="0.3">
      <c r="A750" s="485"/>
      <c r="B750" s="484"/>
      <c r="C750" s="484"/>
      <c r="D750" s="490" t="s">
        <v>50</v>
      </c>
      <c r="E750" s="484"/>
      <c r="F750" s="483"/>
      <c r="G750" s="481"/>
      <c r="H750" s="488"/>
      <c r="I750" s="479"/>
      <c r="J750" s="479"/>
      <c r="K750" s="476"/>
      <c r="L750" s="477"/>
      <c r="M750" s="476"/>
      <c r="N750" s="476"/>
      <c r="O750" s="476"/>
      <c r="P750" s="476"/>
      <c r="Q750" s="476"/>
      <c r="R750" s="476"/>
      <c r="S750" s="476"/>
      <c r="T750" s="476"/>
      <c r="U750" s="476"/>
    </row>
    <row r="751" spans="1:21" ht="18.75" x14ac:dyDescent="0.25">
      <c r="A751" s="485"/>
      <c r="B751" s="484"/>
      <c r="C751" s="484"/>
      <c r="D751" s="484"/>
      <c r="E751" s="489" t="s">
        <v>270</v>
      </c>
      <c r="F751" s="483"/>
      <c r="G751" s="481"/>
      <c r="H751" s="488"/>
      <c r="I751" s="479"/>
      <c r="J751" s="479"/>
      <c r="K751" s="476"/>
      <c r="L751" s="477"/>
      <c r="M751" s="476"/>
      <c r="N751" s="476"/>
      <c r="O751" s="476"/>
      <c r="P751" s="476"/>
      <c r="Q751" s="476"/>
      <c r="R751" s="476"/>
      <c r="S751" s="476"/>
      <c r="T751" s="476"/>
      <c r="U751" s="476"/>
    </row>
    <row r="752" spans="1:21" ht="18.75" x14ac:dyDescent="0.25">
      <c r="A752" s="485"/>
      <c r="B752" s="484"/>
      <c r="C752" s="484"/>
      <c r="D752" s="484"/>
      <c r="E752" s="484"/>
      <c r="F752" s="482" t="s">
        <v>300</v>
      </c>
      <c r="G752" s="481"/>
      <c r="H752" s="480" t="s">
        <v>46</v>
      </c>
      <c r="I752" s="487">
        <f ca="1">IFERROR(__xludf.DUMMYFUNCTION("IMPORTRANGE(""https://docs.google.com/spreadsheets/d/1eHaY18a8A9IcSdp1K8H6x8fbOy06t2VsZHhMHf-1x7Y/edit?usp=sharing"",""แผน!GB28"")"),240)</f>
        <v>240</v>
      </c>
      <c r="J752" s="478">
        <v>0</v>
      </c>
      <c r="K752" s="486">
        <f ca="1">IF(I752&gt;0,J752*100/I752,0)</f>
        <v>0</v>
      </c>
      <c r="L752" s="477"/>
      <c r="M752" s="476"/>
      <c r="N752" s="476"/>
      <c r="O752" s="476"/>
      <c r="P752" s="476"/>
      <c r="Q752" s="476"/>
      <c r="R752" s="476"/>
      <c r="S752" s="476"/>
      <c r="T752" s="476"/>
      <c r="U752" s="476"/>
    </row>
    <row r="753" spans="1:21" ht="18.75" x14ac:dyDescent="0.25">
      <c r="A753" s="485"/>
      <c r="B753" s="484"/>
      <c r="C753" s="484"/>
      <c r="D753" s="484"/>
      <c r="E753" s="484"/>
      <c r="F753" s="482" t="s">
        <v>299</v>
      </c>
      <c r="G753" s="481"/>
      <c r="H753" s="480" t="s">
        <v>46</v>
      </c>
      <c r="I753" s="479"/>
      <c r="J753" s="478">
        <v>0</v>
      </c>
      <c r="K753" s="476"/>
      <c r="L753" s="477"/>
      <c r="M753" s="476"/>
      <c r="N753" s="476"/>
      <c r="O753" s="476"/>
      <c r="P753" s="476"/>
      <c r="Q753" s="476"/>
      <c r="R753" s="476"/>
      <c r="S753" s="476"/>
      <c r="T753" s="476"/>
      <c r="U753" s="476"/>
    </row>
    <row r="754" spans="1:21" ht="18.75" x14ac:dyDescent="0.25">
      <c r="A754" s="485"/>
      <c r="B754" s="484"/>
      <c r="C754" s="484"/>
      <c r="D754" s="484"/>
      <c r="E754" s="489" t="s">
        <v>274</v>
      </c>
      <c r="F754" s="483"/>
      <c r="G754" s="481"/>
      <c r="H754" s="488"/>
      <c r="I754" s="479"/>
      <c r="J754" s="479"/>
      <c r="K754" s="476"/>
      <c r="L754" s="477"/>
      <c r="M754" s="476"/>
      <c r="N754" s="476"/>
      <c r="O754" s="476"/>
      <c r="P754" s="476"/>
      <c r="Q754" s="476"/>
      <c r="R754" s="476"/>
      <c r="S754" s="476"/>
      <c r="T754" s="476"/>
      <c r="U754" s="476"/>
    </row>
    <row r="755" spans="1:21" ht="18.75" x14ac:dyDescent="0.25">
      <c r="A755" s="485"/>
      <c r="B755" s="484"/>
      <c r="C755" s="484"/>
      <c r="D755" s="484"/>
      <c r="E755" s="483"/>
      <c r="F755" s="482" t="s">
        <v>298</v>
      </c>
      <c r="G755" s="481"/>
      <c r="H755" s="480" t="s">
        <v>46</v>
      </c>
      <c r="I755" s="487">
        <f ca="1">IFERROR(__xludf.DUMMYFUNCTION("IMPORTRANGE(""https://docs.google.com/spreadsheets/d/1eHaY18a8A9IcSdp1K8H6x8fbOy06t2VsZHhMHf-1x7Y/edit?usp=sharing"",""แผน!GD28"")"),60)</f>
        <v>60</v>
      </c>
      <c r="J755" s="478">
        <v>0</v>
      </c>
      <c r="K755" s="486">
        <f ca="1">IF(I755&gt;0,J755*100/I755,0)</f>
        <v>0</v>
      </c>
      <c r="L755" s="477"/>
      <c r="M755" s="476"/>
      <c r="N755" s="476"/>
      <c r="O755" s="476"/>
      <c r="P755" s="476"/>
      <c r="Q755" s="476"/>
      <c r="R755" s="476"/>
      <c r="S755" s="476"/>
      <c r="T755" s="476"/>
      <c r="U755" s="476"/>
    </row>
    <row r="756" spans="1:21" ht="18.75" x14ac:dyDescent="0.25">
      <c r="A756" s="485"/>
      <c r="B756" s="484"/>
      <c r="C756" s="484"/>
      <c r="D756" s="484"/>
      <c r="E756" s="483"/>
      <c r="F756" s="482" t="s">
        <v>297</v>
      </c>
      <c r="G756" s="481"/>
      <c r="H756" s="480" t="s">
        <v>46</v>
      </c>
      <c r="I756" s="479"/>
      <c r="J756" s="478">
        <v>0</v>
      </c>
      <c r="K756" s="476"/>
      <c r="L756" s="477"/>
      <c r="M756" s="476"/>
      <c r="N756" s="476"/>
      <c r="O756" s="476"/>
      <c r="P756" s="476"/>
      <c r="Q756" s="476"/>
      <c r="R756" s="476"/>
      <c r="S756" s="476"/>
      <c r="T756" s="476"/>
      <c r="U756" s="476"/>
    </row>
    <row r="757" spans="1:21" ht="18.75" x14ac:dyDescent="0.25">
      <c r="A757" s="438"/>
      <c r="B757" s="438"/>
      <c r="C757" s="438"/>
      <c r="D757" s="438"/>
      <c r="E757" s="439" t="s">
        <v>284</v>
      </c>
      <c r="F757" s="440"/>
      <c r="G757" s="441"/>
      <c r="H757" s="442" t="s">
        <v>35</v>
      </c>
      <c r="I757" s="443"/>
      <c r="J757" s="444">
        <v>0</v>
      </c>
      <c r="K757" s="445"/>
      <c r="L757" s="445"/>
      <c r="M757" s="445"/>
      <c r="N757" s="445"/>
      <c r="O757" s="445"/>
      <c r="P757" s="445"/>
      <c r="Q757" s="445"/>
      <c r="R757" s="445"/>
      <c r="S757" s="445"/>
      <c r="T757" s="445"/>
      <c r="U757" s="445"/>
    </row>
    <row r="758" spans="1:21" ht="19.5" x14ac:dyDescent="0.3">
      <c r="A758" s="394"/>
      <c r="B758" s="395" t="s">
        <v>285</v>
      </c>
      <c r="C758" s="394"/>
      <c r="D758" s="396"/>
      <c r="E758" s="396"/>
      <c r="F758" s="396"/>
      <c r="G758" s="397"/>
      <c r="H758" s="434" t="s">
        <v>35</v>
      </c>
      <c r="I758" s="475">
        <f ca="1">I772</f>
        <v>146</v>
      </c>
      <c r="J758" s="475">
        <f>J772</f>
        <v>64</v>
      </c>
      <c r="K758" s="474">
        <f ca="1">IF(I758&gt;0,J758*100/I758,0)</f>
        <v>43.835616438356162</v>
      </c>
      <c r="L758" s="47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6"/>
      <c r="B759" s="394"/>
      <c r="C759" s="394"/>
      <c r="D759" s="396"/>
      <c r="E759" s="396"/>
      <c r="F759" s="396"/>
      <c r="G759" s="397"/>
      <c r="H759" s="434" t="s">
        <v>46</v>
      </c>
      <c r="I759" s="475">
        <f ca="1">I774</f>
        <v>509</v>
      </c>
      <c r="J759" s="475">
        <f>J774</f>
        <v>0</v>
      </c>
      <c r="K759" s="474">
        <f ca="1">IF(I759&gt;0,J759*100/I759,0)</f>
        <v>0</v>
      </c>
      <c r="L759" s="47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8"/>
      <c r="C760" s="177" t="s">
        <v>18</v>
      </c>
      <c r="D760" s="821" t="s">
        <v>19</v>
      </c>
      <c r="E760" s="793"/>
      <c r="F760" s="793"/>
      <c r="G760" s="794"/>
      <c r="H760" s="221" t="s">
        <v>14</v>
      </c>
      <c r="I760" s="44"/>
      <c r="J760" s="44"/>
      <c r="K760" s="45"/>
      <c r="L760" s="471">
        <f>L761+L762</f>
        <v>0</v>
      </c>
      <c r="M760" s="470">
        <f>M761+M762</f>
        <v>0</v>
      </c>
      <c r="N760" s="470">
        <f>N761+N762</f>
        <v>0</v>
      </c>
      <c r="O760" s="470">
        <f t="shared" ref="O760:O768" si="188">IF(L760&gt;0,N760*100/L760,0)</f>
        <v>0</v>
      </c>
      <c r="P760" s="470">
        <f t="shared" ref="P760:P768" si="189">IF(M760&gt;0,N760*100/M760,0)</f>
        <v>0</v>
      </c>
      <c r="Q760" s="470">
        <f ca="1">Q761+Q762</f>
        <v>1018160</v>
      </c>
      <c r="R760" s="470">
        <f ca="1">R761+R762</f>
        <v>1018160</v>
      </c>
      <c r="S760" s="470">
        <f ca="1">S761+S762</f>
        <v>170530</v>
      </c>
      <c r="T760" s="470">
        <f t="shared" ref="T760:T768" ca="1" si="190">IF(Q760&gt;0,S760*100/Q760,0)</f>
        <v>16.748841046593856</v>
      </c>
      <c r="U760" s="470">
        <f t="shared" ref="U760:U768" ca="1" si="191">IF(R760&gt;0,S760*100/R760,0)</f>
        <v>16.748841046593856</v>
      </c>
    </row>
    <row r="761" spans="1:21" ht="18.75" hidden="1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469">
        <f t="shared" ref="L761:N762" si="192">L764+L767</f>
        <v>0</v>
      </c>
      <c r="M761" s="83">
        <f t="shared" si="192"/>
        <v>0</v>
      </c>
      <c r="N761" s="83">
        <f t="shared" si="192"/>
        <v>0</v>
      </c>
      <c r="O761" s="83">
        <f t="shared" si="188"/>
        <v>0</v>
      </c>
      <c r="P761" s="83">
        <f t="shared" si="189"/>
        <v>0</v>
      </c>
      <c r="Q761" s="83">
        <f t="shared" ref="Q761:S762" si="193">Q764+Q767</f>
        <v>0</v>
      </c>
      <c r="R761" s="83">
        <f t="shared" si="193"/>
        <v>0</v>
      </c>
      <c r="S761" s="83">
        <f t="shared" si="193"/>
        <v>0</v>
      </c>
      <c r="T761" s="83">
        <f t="shared" si="190"/>
        <v>0</v>
      </c>
      <c r="U761" s="83">
        <f t="shared" si="191"/>
        <v>0</v>
      </c>
    </row>
    <row r="762" spans="1:21" ht="18.75" hidden="1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468">
        <f t="shared" si="192"/>
        <v>0</v>
      </c>
      <c r="M762" s="224">
        <f t="shared" si="192"/>
        <v>0</v>
      </c>
      <c r="N762" s="224">
        <f t="shared" si="192"/>
        <v>0</v>
      </c>
      <c r="O762" s="224">
        <f t="shared" si="188"/>
        <v>0</v>
      </c>
      <c r="P762" s="224">
        <f t="shared" si="189"/>
        <v>0</v>
      </c>
      <c r="Q762" s="224">
        <f t="shared" ca="1" si="193"/>
        <v>1018160</v>
      </c>
      <c r="R762" s="224">
        <f t="shared" ca="1" si="193"/>
        <v>1018160</v>
      </c>
      <c r="S762" s="224">
        <f t="shared" ca="1" si="193"/>
        <v>170530</v>
      </c>
      <c r="T762" s="224">
        <f t="shared" ca="1" si="190"/>
        <v>16.748841046593856</v>
      </c>
      <c r="U762" s="224">
        <f t="shared" ca="1" si="191"/>
        <v>16.748841046593856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468">
        <f>L764+L765</f>
        <v>0</v>
      </c>
      <c r="M763" s="224">
        <f>M764+M765</f>
        <v>0</v>
      </c>
      <c r="N763" s="224">
        <f>N764+N765</f>
        <v>0</v>
      </c>
      <c r="O763" s="224">
        <f t="shared" si="188"/>
        <v>0</v>
      </c>
      <c r="P763" s="224">
        <f t="shared" si="189"/>
        <v>0</v>
      </c>
      <c r="Q763" s="224">
        <f ca="1">Q764+Q765</f>
        <v>1018160</v>
      </c>
      <c r="R763" s="224">
        <f ca="1">R764+R765</f>
        <v>1018160</v>
      </c>
      <c r="S763" s="224">
        <f ca="1">S764+S765</f>
        <v>170530</v>
      </c>
      <c r="T763" s="224">
        <f t="shared" ca="1" si="190"/>
        <v>16.748841046593856</v>
      </c>
      <c r="U763" s="224">
        <f t="shared" ca="1" si="191"/>
        <v>16.748841046593856</v>
      </c>
    </row>
    <row r="764" spans="1:21" ht="18.75" hidden="1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469">
        <v>0</v>
      </c>
      <c r="M764" s="83">
        <v>0</v>
      </c>
      <c r="N764" s="83">
        <v>0</v>
      </c>
      <c r="O764" s="83">
        <f t="shared" si="188"/>
        <v>0</v>
      </c>
      <c r="P764" s="83">
        <f t="shared" si="189"/>
        <v>0</v>
      </c>
      <c r="Q764" s="83">
        <v>0</v>
      </c>
      <c r="R764" s="83">
        <v>0</v>
      </c>
      <c r="S764" s="83">
        <v>0</v>
      </c>
      <c r="T764" s="83">
        <f t="shared" si="190"/>
        <v>0</v>
      </c>
      <c r="U764" s="83">
        <f t="shared" si="191"/>
        <v>0</v>
      </c>
    </row>
    <row r="765" spans="1:21" ht="18.75" hidden="1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468">
        <v>0</v>
      </c>
      <c r="M765" s="224">
        <v>0</v>
      </c>
      <c r="N765" s="224">
        <v>0</v>
      </c>
      <c r="O765" s="224">
        <f t="shared" si="188"/>
        <v>0</v>
      </c>
      <c r="P765" s="224">
        <f t="shared" si="189"/>
        <v>0</v>
      </c>
      <c r="Q765" s="224">
        <f ca="1">IFERROR(__xludf.DUMMYFUNCTION("IMPORTRANGE(""https://docs.google.com/spreadsheets/d/1ItG2mGa2ceCfYo0BwxsXqNm01IGEUdYcSSLTEv9YCik/edit?usp=sharing"",""เบิกจ่ายกองทุน!U28"")"),1018160)</f>
        <v>1018160</v>
      </c>
      <c r="R765" s="224">
        <f ca="1">IFERROR(__xludf.DUMMYFUNCTION("IMPORTRANGE(""https://docs.google.com/spreadsheets/d/1ItG2mGa2ceCfYo0BwxsXqNm01IGEUdYcSSLTEv9YCik/edit?usp=sharing"",""เบิกจ่ายกองทุน!V28"")"),1018160)</f>
        <v>1018160</v>
      </c>
      <c r="S765" s="224">
        <f ca="1">IFERROR(__xludf.DUMMYFUNCTION("IMPORTRANGE(""https://docs.google.com/spreadsheets/d/1ItG2mGa2ceCfYo0BwxsXqNm01IGEUdYcSSLTEv9YCik/edit?usp=sharing"",""เบิกจ่ายกองทุน!W28"")"),170530)</f>
        <v>170530</v>
      </c>
      <c r="T765" s="224">
        <f t="shared" ca="1" si="190"/>
        <v>16.748841046593856</v>
      </c>
      <c r="U765" s="224">
        <f t="shared" ca="1" si="191"/>
        <v>16.748841046593856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468">
        <f>L767+L768</f>
        <v>0</v>
      </c>
      <c r="M766" s="224">
        <f>M767+M768</f>
        <v>0</v>
      </c>
      <c r="N766" s="224">
        <f>N767+N768</f>
        <v>0</v>
      </c>
      <c r="O766" s="224">
        <f t="shared" si="188"/>
        <v>0</v>
      </c>
      <c r="P766" s="224">
        <f t="shared" si="189"/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 t="shared" si="190"/>
        <v>0</v>
      </c>
      <c r="U766" s="224">
        <f t="shared" si="191"/>
        <v>0</v>
      </c>
    </row>
    <row r="767" spans="1:21" ht="18.75" hidden="1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469">
        <v>0</v>
      </c>
      <c r="M767" s="83">
        <v>0</v>
      </c>
      <c r="N767" s="83">
        <v>0</v>
      </c>
      <c r="O767" s="83">
        <f t="shared" si="188"/>
        <v>0</v>
      </c>
      <c r="P767" s="83">
        <f t="shared" si="189"/>
        <v>0</v>
      </c>
      <c r="Q767" s="83">
        <v>0</v>
      </c>
      <c r="R767" s="83">
        <v>0</v>
      </c>
      <c r="S767" s="83">
        <v>0</v>
      </c>
      <c r="T767" s="83">
        <f t="shared" si="190"/>
        <v>0</v>
      </c>
      <c r="U767" s="83">
        <f t="shared" si="191"/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468">
        <v>0</v>
      </c>
      <c r="M768" s="224">
        <v>0</v>
      </c>
      <c r="N768" s="224">
        <v>0</v>
      </c>
      <c r="O768" s="224">
        <f t="shared" si="188"/>
        <v>0</v>
      </c>
      <c r="P768" s="224">
        <f t="shared" si="189"/>
        <v>0</v>
      </c>
      <c r="Q768" s="224">
        <v>0</v>
      </c>
      <c r="R768" s="224">
        <v>0</v>
      </c>
      <c r="S768" s="224">
        <v>0</v>
      </c>
      <c r="T768" s="224">
        <f t="shared" si="190"/>
        <v>0</v>
      </c>
      <c r="U768" s="224">
        <f t="shared" si="191"/>
        <v>0</v>
      </c>
    </row>
    <row r="769" spans="1:21" ht="19.5" x14ac:dyDescent="0.3">
      <c r="A769" s="138"/>
      <c r="B769" s="139"/>
      <c r="C769" s="446" t="s">
        <v>18</v>
      </c>
      <c r="D769" s="467" t="s">
        <v>38</v>
      </c>
      <c r="E769" s="203"/>
      <c r="F769" s="141"/>
      <c r="G769" s="142"/>
      <c r="H769" s="178"/>
      <c r="I769" s="44"/>
      <c r="J769" s="44"/>
      <c r="K769" s="45"/>
      <c r="L769" s="465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377" t="s">
        <v>286</v>
      </c>
      <c r="E770" s="139"/>
      <c r="F770" s="145"/>
      <c r="G770" s="143"/>
      <c r="H770" s="375" t="s">
        <v>35</v>
      </c>
      <c r="I770" s="430">
        <f ca="1">IFERROR(__xludf.DUMMYFUNCTION("IMPORTRANGE(""https://docs.google.com/spreadsheets/d/1eHaY18a8A9IcSdp1K8H6x8fbOy06t2VsZHhMHf-1x7Y/edit?usp=sharing"",""แผน!FI28"")"),0)</f>
        <v>0</v>
      </c>
      <c r="J770" s="430">
        <v>0</v>
      </c>
      <c r="K770" s="83">
        <f ca="1">IF(I770&gt;0,J770*100/I770,0)</f>
        <v>0</v>
      </c>
      <c r="L770" s="465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377" t="s">
        <v>287</v>
      </c>
      <c r="E771" s="139"/>
      <c r="F771" s="145"/>
      <c r="G771" s="143"/>
      <c r="H771" s="178"/>
      <c r="I771" s="44"/>
      <c r="J771" s="44"/>
      <c r="K771" s="45"/>
      <c r="L771" s="465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10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IFERROR(__xludf.DUMMYFUNCTION("IMPORTRANGE(""https://docs.google.com/spreadsheets/d/1eHaY18a8A9IcSdp1K8H6x8fbOy06t2VsZHhMHf-1x7Y/edit?usp=sharing"",""แผน!FQ28"")"),146)</f>
        <v>146</v>
      </c>
      <c r="J772" s="466">
        <v>64</v>
      </c>
      <c r="K772" s="224">
        <f ca="1">IF(I772&gt;0,J772*100/I772,0)</f>
        <v>43.835616438356162</v>
      </c>
      <c r="L772" s="465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10" t="s">
        <v>289</v>
      </c>
      <c r="E773" s="139"/>
      <c r="F773" s="145"/>
      <c r="G773" s="143"/>
      <c r="H773" s="178"/>
      <c r="I773" s="44"/>
      <c r="J773" s="44"/>
      <c r="K773" s="45"/>
      <c r="L773" s="465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10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IFERROR(__xludf.DUMMYFUNCTION("IMPORTRANGE(""https://docs.google.com/spreadsheets/d/1eHaY18a8A9IcSdp1K8H6x8fbOy06t2VsZHhMHf-1x7Y/edit?usp=sharing"",""แผน!FR28"")"),509)</f>
        <v>509</v>
      </c>
      <c r="J774" s="466">
        <v>0</v>
      </c>
      <c r="K774" s="224">
        <f ca="1">IF(I774&gt;0,J774*100/I774,0)</f>
        <v>0</v>
      </c>
      <c r="L774" s="465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10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IFERROR(__xludf.DUMMYFUNCTION("IMPORTRANGE(""https://docs.google.com/spreadsheets/d/1eHaY18a8A9IcSdp1K8H6x8fbOy06t2VsZHhMHf-1x7Y/edit?usp=sharing"",""แผน!FS28"")"),509)</f>
        <v>509</v>
      </c>
      <c r="J775" s="466">
        <v>0</v>
      </c>
      <c r="K775" s="45"/>
      <c r="L775" s="465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IFERROR(__xludf.DUMMYFUNCTION("IMPORTRANGE(""https://docs.google.com/spreadsheets/d/1eHaY18a8A9IcSdp1K8H6x8fbOy06t2VsZHhMHf-1x7Y/edit?usp=sharing"",""แผน!FT28"")"),146)</f>
        <v>146</v>
      </c>
      <c r="J776" s="464">
        <v>0</v>
      </c>
      <c r="K776" s="3"/>
      <c r="L776" s="46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462" t="s">
        <v>291</v>
      </c>
      <c r="B777" s="449"/>
      <c r="C777" s="449"/>
      <c r="D777" s="448"/>
      <c r="E777" s="449"/>
      <c r="F777" s="449"/>
      <c r="G777" s="450"/>
      <c r="H777" s="461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2"/>
      <c r="J777" s="453"/>
      <c r="K777" s="454"/>
      <c r="L777" s="454"/>
      <c r="M777" s="454"/>
      <c r="N777" s="454"/>
      <c r="O777" s="454"/>
      <c r="P777" s="454"/>
      <c r="Q777" s="454"/>
      <c r="R777" s="454"/>
      <c r="S777" s="454"/>
      <c r="T777" s="454"/>
      <c r="U777" s="454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IFERROR(__xludf.DUMMYFUNCTION("IMPORTRANGE(""https://docs.google.com/spreadsheets/d/10OvvATaaLtwErnr3qtWFcTmtbfpFEt5Bsqel9sXx0uE/edit?usp=sharing"",""งานกองทุน!D28"")"),4007548.06)</f>
        <v>4007548.06</v>
      </c>
      <c r="J778" s="184">
        <f ca="1">IFERROR(__xludf.DUMMYFUNCTION("IMPORTRANGE(""https://docs.google.com/spreadsheets/d/10OvvATaaLtwErnr3qtWFcTmtbfpFEt5Bsqel9sXx0uE/edit?usp=sharing"",""งานกองทุน!F28"")"),1708069.95)</f>
        <v>1708069.95</v>
      </c>
      <c r="K778" s="224">
        <f t="shared" ref="K778:K785" ca="1" si="194">IF(I778&gt;0,J778*100/I778,0)</f>
        <v>42.621321676676288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IFERROR(__xludf.DUMMYFUNCTION("IMPORTRANGE(""https://docs.google.com/spreadsheets/d/10OvvATaaLtwErnr3qtWFcTmtbfpFEt5Bsqel9sXx0uE/edit?usp=sharing"",""งานกองทุน!C28"")"),285)</f>
        <v>285</v>
      </c>
      <c r="J779" s="184">
        <f ca="1">IFERROR(__xludf.DUMMYFUNCTION("IMPORTRANGE(""https://docs.google.com/spreadsheets/d/10OvvATaaLtwErnr3qtWFcTmtbfpFEt5Bsqel9sXx0uE/edit?usp=sharing"",""งานกองทุน!E28"")"),169)</f>
        <v>169</v>
      </c>
      <c r="K779" s="224">
        <f t="shared" ca="1" si="194"/>
        <v>59.298245614035089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IFERROR(__xludf.DUMMYFUNCTION("IMPORTRANGE(""https://docs.google.com/spreadsheets/d/10OvvATaaLtwErnr3qtWFcTmtbfpFEt5Bsqel9sXx0uE/edit?usp=sharing"",""งานกองทุน!I28"")"),8048617.16)</f>
        <v>8048617.1600000001</v>
      </c>
      <c r="J780" s="184">
        <f ca="1">IFERROR(__xludf.DUMMYFUNCTION("IMPORTRANGE(""https://docs.google.com/spreadsheets/d/10OvvATaaLtwErnr3qtWFcTmtbfpFEt5Bsqel9sXx0uE/edit?usp=sharing"",""งานกองทุน!K28"")"),341227.64)</f>
        <v>341227.64</v>
      </c>
      <c r="K780" s="224">
        <f t="shared" ca="1" si="194"/>
        <v>4.2395809518165724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IFERROR(__xludf.DUMMYFUNCTION("IMPORTRANGE(""https://docs.google.com/spreadsheets/d/10OvvATaaLtwErnr3qtWFcTmtbfpFEt5Bsqel9sXx0uE/edit?usp=sharing"",""งานกองทุน!H28"")"),213)</f>
        <v>213</v>
      </c>
      <c r="J781" s="184">
        <f ca="1">IFERROR(__xludf.DUMMYFUNCTION("IMPORTRANGE(""https://docs.google.com/spreadsheets/d/10OvvATaaLtwErnr3qtWFcTmtbfpFEt5Bsqel9sXx0uE/edit?usp=sharing"",""งานกองทุน!J28"")"),104)</f>
        <v>104</v>
      </c>
      <c r="K781" s="224">
        <f t="shared" ca="1" si="194"/>
        <v>48.826291079812208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IFERROR(__xludf.DUMMYFUNCTION("IMPORTRANGE(""https://docs.google.com/spreadsheets/d/10OvvATaaLtwErnr3qtWFcTmtbfpFEt5Bsqel9sXx0uE/edit?usp=sharing"",""งานกองทุน!N28"")"),1999966.68)</f>
        <v>1999966.68</v>
      </c>
      <c r="J782" s="184">
        <f ca="1">IFERROR(__xludf.DUMMYFUNCTION("IMPORTRANGE(""https://docs.google.com/spreadsheets/d/10OvvATaaLtwErnr3qtWFcTmtbfpFEt5Bsqel9sXx0uE/edit?usp=sharing"",""งานกองทุน!P28"")"),843608.21)</f>
        <v>843608.21</v>
      </c>
      <c r="K782" s="224">
        <f t="shared" ca="1" si="194"/>
        <v>42.181113237346537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IFERROR(__xludf.DUMMYFUNCTION("IMPORTRANGE(""https://docs.google.com/spreadsheets/d/10OvvATaaLtwErnr3qtWFcTmtbfpFEt5Bsqel9sXx0uE/edit?usp=sharing"",""งานกองทุน!M28"")"),170)</f>
        <v>170</v>
      </c>
      <c r="J783" s="184">
        <f ca="1">IFERROR(__xludf.DUMMYFUNCTION("IMPORTRANGE(""https://docs.google.com/spreadsheets/d/10OvvATaaLtwErnr3qtWFcTmtbfpFEt5Bsqel9sXx0uE/edit?usp=sharing"",""งานกองทุน!O28"")"),87)</f>
        <v>87</v>
      </c>
      <c r="K783" s="224">
        <f t="shared" ca="1" si="194"/>
        <v>51.176470588235297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IFERROR(__xludf.DUMMYFUNCTION("IMPORTRANGE(""https://docs.google.com/spreadsheets/d/10OvvATaaLtwErnr3qtWFcTmtbfpFEt5Bsqel9sXx0uE/edit?usp=sharing"",""งานกองทุน!S28"")"),6440000)</f>
        <v>6440000</v>
      </c>
      <c r="J784" s="184">
        <f ca="1">IFERROR(__xludf.DUMMYFUNCTION("IMPORTRANGE(""https://docs.google.com/spreadsheets/d/10OvvATaaLtwErnr3qtWFcTmtbfpFEt5Bsqel9sXx0uE/edit?usp=sharing"",""งานกองทุน!U28"")"),0)</f>
        <v>0</v>
      </c>
      <c r="K784" s="224">
        <f t="shared" ca="1" si="194"/>
        <v>0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IFERROR(__xludf.DUMMYFUNCTION("IMPORTRANGE(""https://docs.google.com/spreadsheets/d/10OvvATaaLtwErnr3qtWFcTmtbfpFEt5Bsqel9sXx0uE/edit?usp=sharing"",""งานกองทุน!R28"")"),230)</f>
        <v>230</v>
      </c>
      <c r="J785" s="188">
        <f ca="1">IFERROR(__xludf.DUMMYFUNCTION("IMPORTRANGE(""https://docs.google.com/spreadsheets/d/10OvvATaaLtwErnr3qtWFcTmtbfpFEt5Bsqel9sXx0uE/edit?usp=sharing"",""งานกองทุน!T28"")"),0)</f>
        <v>0</v>
      </c>
      <c r="K785" s="455">
        <f t="shared" ca="1" si="194"/>
        <v>0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460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4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4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horizontalDpi="4294967293" verticalDpi="4294967293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7BD15-C86A-4BC6-BDDC-447A92F2AC96}">
  <sheetPr>
    <outlinePr summaryBelow="0" summaryRight="0"/>
  </sheetPr>
  <dimension ref="A1:U789"/>
  <sheetViews>
    <sheetView view="pageBreakPreview" zoomScale="60" zoomScaleNormal="70" workbookViewId="0">
      <pane xSplit="8" ySplit="6" topLeftCell="I7" activePane="bottomRight" state="frozen"/>
      <selection activeCell="N28" sqref="N28"/>
      <selection pane="topRight" activeCell="N28" sqref="N28"/>
      <selection pane="bottomLeft" activeCell="N28" sqref="N28"/>
      <selection pane="bottomRight" activeCell="N28" sqref="N2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5703125" bestFit="1" customWidth="1"/>
    <col min="10" max="10" width="16.7109375" bestFit="1" customWidth="1"/>
    <col min="11" max="11" width="12.42578125" bestFit="1" customWidth="1"/>
    <col min="12" max="14" width="21" bestFit="1" customWidth="1"/>
    <col min="15" max="15" width="20.140625" bestFit="1" customWidth="1"/>
    <col min="16" max="16" width="22" bestFit="1" customWidth="1"/>
    <col min="17" max="18" width="21" bestFit="1" customWidth="1"/>
    <col min="19" max="19" width="18.57031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815" t="s">
        <v>0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5"/>
      <c r="T1" s="815"/>
      <c r="U1" s="815"/>
    </row>
    <row r="2" spans="1:21" ht="19.5" x14ac:dyDescent="0.3">
      <c r="A2" s="815" t="s">
        <v>333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</row>
    <row r="3" spans="1:21" ht="19.5" x14ac:dyDescent="0.3">
      <c r="A3" s="815" t="s">
        <v>335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709"/>
      <c r="L4" s="816" t="s">
        <v>2</v>
      </c>
      <c r="M4" s="800"/>
      <c r="N4" s="800"/>
      <c r="O4" s="800"/>
      <c r="P4" s="801"/>
      <c r="Q4" s="817" t="s">
        <v>3</v>
      </c>
      <c r="R4" s="800"/>
      <c r="S4" s="800"/>
      <c r="T4" s="800"/>
      <c r="U4" s="801"/>
    </row>
    <row r="5" spans="1:21" ht="19.5" x14ac:dyDescent="0.3">
      <c r="A5" s="822" t="s">
        <v>4</v>
      </c>
      <c r="B5" s="797"/>
      <c r="C5" s="797"/>
      <c r="D5" s="797"/>
      <c r="E5" s="797"/>
      <c r="F5" s="797"/>
      <c r="G5" s="798"/>
      <c r="H5" s="789" t="s">
        <v>5</v>
      </c>
      <c r="I5" s="814" t="s">
        <v>6</v>
      </c>
      <c r="J5" s="800"/>
      <c r="K5" s="801"/>
      <c r="L5" s="818" t="s">
        <v>7</v>
      </c>
      <c r="M5" s="801"/>
      <c r="N5" s="807" t="s">
        <v>8</v>
      </c>
      <c r="O5" s="800"/>
      <c r="P5" s="801"/>
      <c r="Q5" s="808" t="s">
        <v>7</v>
      </c>
      <c r="R5" s="801"/>
      <c r="S5" s="807" t="s">
        <v>8</v>
      </c>
      <c r="T5" s="800"/>
      <c r="U5" s="801"/>
    </row>
    <row r="6" spans="1:21" ht="19.5" x14ac:dyDescent="0.3">
      <c r="A6" s="799"/>
      <c r="B6" s="800"/>
      <c r="C6" s="800"/>
      <c r="D6" s="800"/>
      <c r="E6" s="800"/>
      <c r="F6" s="800"/>
      <c r="G6" s="801"/>
      <c r="H6" s="788"/>
      <c r="I6" s="6" t="s">
        <v>9</v>
      </c>
      <c r="J6" s="7" t="s">
        <v>10</v>
      </c>
      <c r="K6" s="6" t="s">
        <v>11</v>
      </c>
      <c r="L6" s="706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823"/>
      <c r="B7" s="800"/>
      <c r="C7" s="800"/>
      <c r="D7" s="800"/>
      <c r="E7" s="800"/>
      <c r="F7" s="800"/>
      <c r="G7" s="801"/>
      <c r="H7" s="14"/>
      <c r="I7" s="15"/>
      <c r="J7" s="15"/>
      <c r="K7" s="16"/>
      <c r="L7" s="580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571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71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71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71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71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71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71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71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580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803" t="s">
        <v>309</v>
      </c>
      <c r="B17" s="800"/>
      <c r="C17" s="800"/>
      <c r="D17" s="800"/>
      <c r="E17" s="800"/>
      <c r="F17" s="800"/>
      <c r="G17" s="801"/>
      <c r="H17" s="23"/>
      <c r="I17" s="24"/>
      <c r="J17" s="24"/>
      <c r="K17" s="25"/>
      <c r="L17" s="705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704">
        <f ca="1">L19+L20</f>
        <v>1968920</v>
      </c>
      <c r="M18" s="664">
        <f ca="1">M19+M20</f>
        <v>2022420</v>
      </c>
      <c r="N18" s="664">
        <f ca="1">N19+N20</f>
        <v>1667785.12</v>
      </c>
      <c r="O18" s="664">
        <f t="shared" ref="O18:O26" ca="1" si="0">IF(L18&gt;0,N18*100/L18,0)</f>
        <v>84.705580724458073</v>
      </c>
      <c r="P18" s="664">
        <f t="shared" ref="P18:P26" ca="1" si="1">IF(M18&gt;0,N18*100/M18,0)</f>
        <v>82.464825308294024</v>
      </c>
      <c r="Q18" s="664">
        <f ca="1">Q19+Q20</f>
        <v>2314504.2400000002</v>
      </c>
      <c r="R18" s="664">
        <f ca="1">R19+R20</f>
        <v>2314504</v>
      </c>
      <c r="S18" s="664">
        <f ca="1">S19+S20</f>
        <v>326473.5</v>
      </c>
      <c r="T18" s="664">
        <f t="shared" ref="T18:T26" ca="1" si="2">IF(Q18&gt;0,S18*100/Q18,0)</f>
        <v>14.105547717639954</v>
      </c>
      <c r="U18" s="664">
        <f t="shared" ref="U18:U26" ca="1" si="3">IF(R18&gt;0,S18*100/R18,0)</f>
        <v>14.105549180299537</v>
      </c>
    </row>
    <row r="19" spans="1:21" ht="18.75" hidden="1" x14ac:dyDescent="0.25">
      <c r="A19" s="26"/>
      <c r="B19" s="27"/>
      <c r="C19" s="27"/>
      <c r="D19" s="27"/>
      <c r="E19" s="703" t="s">
        <v>20</v>
      </c>
      <c r="F19" s="27"/>
      <c r="G19" s="30"/>
      <c r="H19" s="702" t="s">
        <v>14</v>
      </c>
      <c r="I19" s="32"/>
      <c r="J19" s="32"/>
      <c r="K19" s="33"/>
      <c r="L19" s="701">
        <f t="shared" ref="L19:N20" si="4">L22+L25</f>
        <v>0</v>
      </c>
      <c r="M19" s="700">
        <f t="shared" si="4"/>
        <v>0</v>
      </c>
      <c r="N19" s="700">
        <f t="shared" si="4"/>
        <v>0</v>
      </c>
      <c r="O19" s="700">
        <f t="shared" si="0"/>
        <v>0</v>
      </c>
      <c r="P19" s="700">
        <f t="shared" si="1"/>
        <v>0</v>
      </c>
      <c r="Q19" s="700">
        <f t="shared" ref="Q19:S20" si="5">Q22+Q25</f>
        <v>0</v>
      </c>
      <c r="R19" s="700">
        <f t="shared" si="5"/>
        <v>0</v>
      </c>
      <c r="S19" s="700">
        <f t="shared" si="5"/>
        <v>0</v>
      </c>
      <c r="T19" s="700">
        <f t="shared" si="2"/>
        <v>0</v>
      </c>
      <c r="U19" s="700">
        <f t="shared" si="3"/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699">
        <f t="shared" ca="1" si="4"/>
        <v>1968920</v>
      </c>
      <c r="M20" s="698">
        <f t="shared" ca="1" si="4"/>
        <v>2022420</v>
      </c>
      <c r="N20" s="698">
        <f t="shared" ca="1" si="4"/>
        <v>1667785.12</v>
      </c>
      <c r="O20" s="698">
        <f t="shared" ca="1" si="0"/>
        <v>84.705580724458073</v>
      </c>
      <c r="P20" s="698">
        <f t="shared" ca="1" si="1"/>
        <v>82.464825308294024</v>
      </c>
      <c r="Q20" s="698">
        <f t="shared" ca="1" si="5"/>
        <v>2314504.2400000002</v>
      </c>
      <c r="R20" s="698">
        <f t="shared" ca="1" si="5"/>
        <v>2314504</v>
      </c>
      <c r="S20" s="698">
        <f t="shared" ca="1" si="5"/>
        <v>326473.5</v>
      </c>
      <c r="T20" s="698">
        <f t="shared" ca="1" si="2"/>
        <v>14.105547717639954</v>
      </c>
      <c r="U20" s="698">
        <f t="shared" ca="1" si="3"/>
        <v>14.105549180299537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468">
        <f ca="1">L22+L23</f>
        <v>1968920</v>
      </c>
      <c r="M21" s="224">
        <f ca="1">M22+M23</f>
        <v>2022420</v>
      </c>
      <c r="N21" s="224">
        <f ca="1">N22+N23</f>
        <v>1667785.12</v>
      </c>
      <c r="O21" s="224">
        <f t="shared" ca="1" si="0"/>
        <v>84.705580724458073</v>
      </c>
      <c r="P21" s="224">
        <f t="shared" ca="1" si="1"/>
        <v>82.464825308294024</v>
      </c>
      <c r="Q21" s="224">
        <f ca="1">Q22+Q23</f>
        <v>2314504.2400000002</v>
      </c>
      <c r="R21" s="224">
        <f ca="1">R22+R23</f>
        <v>2314504</v>
      </c>
      <c r="S21" s="224">
        <f ca="1">S22+S23</f>
        <v>326473.5</v>
      </c>
      <c r="T21" s="224">
        <f t="shared" ca="1" si="2"/>
        <v>14.105547717639954</v>
      </c>
      <c r="U21" s="224">
        <f t="shared" ca="1" si="3"/>
        <v>14.105549180299537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674" t="s">
        <v>14</v>
      </c>
      <c r="I22" s="44"/>
      <c r="J22" s="44"/>
      <c r="K22" s="45"/>
      <c r="L22" s="469">
        <f t="shared" ref="L22:N23" si="6">L48+L63+L76+L98+L129+L143+L161+L190+L177+L270+L286+L307+L324+L337+L360+L517</f>
        <v>0</v>
      </c>
      <c r="M22" s="83">
        <f t="shared" si="6"/>
        <v>0</v>
      </c>
      <c r="N22" s="83">
        <f t="shared" si="6"/>
        <v>0</v>
      </c>
      <c r="O22" s="83">
        <f t="shared" si="0"/>
        <v>0</v>
      </c>
      <c r="P22" s="83">
        <f t="shared" si="1"/>
        <v>0</v>
      </c>
      <c r="Q22" s="83">
        <f t="shared" ref="Q22:S23" si="7">Q76+Q98+Q121+Q143+Q161+Q177+Q190+Q270+Q286+Q307+Q337+Q379+Q396+Q417+Q497+Q603+Q620+Q646+Q694+Q718+Q732+Q764</f>
        <v>0</v>
      </c>
      <c r="R22" s="83">
        <f t="shared" si="7"/>
        <v>0</v>
      </c>
      <c r="S22" s="83">
        <f t="shared" si="7"/>
        <v>0</v>
      </c>
      <c r="T22" s="83">
        <f t="shared" si="2"/>
        <v>0</v>
      </c>
      <c r="U22" s="83">
        <f t="shared" si="3"/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468">
        <f t="shared" ca="1" si="6"/>
        <v>1968920</v>
      </c>
      <c r="M23" s="224">
        <f t="shared" ca="1" si="6"/>
        <v>2022420</v>
      </c>
      <c r="N23" s="224">
        <f t="shared" ca="1" si="6"/>
        <v>1667785.12</v>
      </c>
      <c r="O23" s="224">
        <f t="shared" ca="1" si="0"/>
        <v>84.705580724458073</v>
      </c>
      <c r="P23" s="224">
        <f t="shared" ca="1" si="1"/>
        <v>82.464825308294024</v>
      </c>
      <c r="Q23" s="224">
        <f t="shared" ca="1" si="7"/>
        <v>2314504.2400000002</v>
      </c>
      <c r="R23" s="224">
        <f t="shared" ca="1" si="7"/>
        <v>2314504</v>
      </c>
      <c r="S23" s="224">
        <f t="shared" ca="1" si="7"/>
        <v>326473.5</v>
      </c>
      <c r="T23" s="224">
        <f t="shared" ca="1" si="2"/>
        <v>14.105547717639954</v>
      </c>
      <c r="U23" s="224">
        <f t="shared" ca="1" si="3"/>
        <v>14.105549180299537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468">
        <f ca="1">L25+L26</f>
        <v>0</v>
      </c>
      <c r="M24" s="224">
        <f ca="1">M25+M26</f>
        <v>0</v>
      </c>
      <c r="N24" s="224">
        <f ca="1">N25+N26</f>
        <v>0</v>
      </c>
      <c r="O24" s="224">
        <f t="shared" ca="1" si="0"/>
        <v>0</v>
      </c>
      <c r="P24" s="224">
        <f t="shared" ca="1" si="1"/>
        <v>0</v>
      </c>
      <c r="Q24" s="224">
        <f>Q25+Q26</f>
        <v>0</v>
      </c>
      <c r="R24" s="224">
        <f>R25+R26</f>
        <v>0</v>
      </c>
      <c r="S24" s="224">
        <f>S25+S26</f>
        <v>0</v>
      </c>
      <c r="T24" s="224">
        <f t="shared" si="2"/>
        <v>0</v>
      </c>
      <c r="U24" s="224">
        <f t="shared" si="3"/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674" t="s">
        <v>14</v>
      </c>
      <c r="I25" s="44"/>
      <c r="J25" s="44"/>
      <c r="K25" s="45"/>
      <c r="L25" s="469">
        <f t="shared" ref="L25:N26" si="8">L51+L66+L79+L101+L132+L146+L164+L193+L180+L273+L289+L310+L327+L340+L363+L520</f>
        <v>0</v>
      </c>
      <c r="M25" s="83">
        <f t="shared" si="8"/>
        <v>0</v>
      </c>
      <c r="N25" s="83">
        <f t="shared" si="8"/>
        <v>0</v>
      </c>
      <c r="O25" s="83">
        <f t="shared" si="0"/>
        <v>0</v>
      </c>
      <c r="P25" s="83">
        <f t="shared" si="1"/>
        <v>0</v>
      </c>
      <c r="Q25" s="83">
        <f t="shared" ref="Q25:S26" si="9">Q79+Q101+Q124+Q146+Q164+Q180+Q193+Q273+Q289+Q310+Q340+Q382+Q399+Q420+Q500+Q606+Q623+Q649+Q697+Q721+Q735+Q767</f>
        <v>0</v>
      </c>
      <c r="R25" s="83">
        <f t="shared" si="9"/>
        <v>0</v>
      </c>
      <c r="S25" s="83">
        <f t="shared" si="9"/>
        <v>0</v>
      </c>
      <c r="T25" s="83">
        <f t="shared" si="2"/>
        <v>0</v>
      </c>
      <c r="U25" s="83">
        <f t="shared" si="3"/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468">
        <f t="shared" ca="1" si="8"/>
        <v>0</v>
      </c>
      <c r="M26" s="224">
        <f t="shared" ca="1" si="8"/>
        <v>0</v>
      </c>
      <c r="N26" s="224">
        <f t="shared" ca="1" si="8"/>
        <v>0</v>
      </c>
      <c r="O26" s="224">
        <f t="shared" ca="1" si="0"/>
        <v>0</v>
      </c>
      <c r="P26" s="224">
        <f t="shared" ca="1" si="1"/>
        <v>0</v>
      </c>
      <c r="Q26" s="83">
        <f t="shared" si="9"/>
        <v>0</v>
      </c>
      <c r="R26" s="83">
        <f t="shared" si="9"/>
        <v>0</v>
      </c>
      <c r="S26" s="83">
        <f t="shared" si="9"/>
        <v>0</v>
      </c>
      <c r="T26" s="224">
        <f t="shared" si="2"/>
        <v>0</v>
      </c>
      <c r="U26" s="224">
        <f t="shared" si="3"/>
        <v>0</v>
      </c>
    </row>
    <row r="27" spans="1:21" ht="18.75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465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674" t="s">
        <v>14</v>
      </c>
      <c r="I28" s="44"/>
      <c r="J28" s="44"/>
      <c r="K28" s="45"/>
      <c r="L28" s="465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463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823"/>
      <c r="B30" s="800"/>
      <c r="C30" s="800"/>
      <c r="D30" s="800"/>
      <c r="E30" s="800"/>
      <c r="F30" s="800"/>
      <c r="G30" s="801"/>
      <c r="H30" s="14"/>
      <c r="I30" s="15"/>
      <c r="J30" s="15"/>
      <c r="K30" s="16"/>
      <c r="L30" s="580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571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7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71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7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7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7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7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71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580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697">
        <f ca="1">L44+L59+L72+L94+L125+L139+L157+L173+L186+L266+L282+L303+L320+L333+L356</f>
        <v>1968920</v>
      </c>
      <c r="M40" s="696">
        <f ca="1">M44+M59+M72+M94+M125+M139+M157+M173+M186+M266+M282+M303+M320+M333+M356</f>
        <v>2022420</v>
      </c>
      <c r="N40" s="696">
        <f ca="1">N44+N59+N72+N94+N125+N139+N157+N173+N186+N266+N282+N303+N320+N333+N356</f>
        <v>1667785.12</v>
      </c>
      <c r="O40" s="696">
        <f ca="1">IF(L40&gt;0,N40*100/L40,0)</f>
        <v>84.705580724458073</v>
      </c>
      <c r="P40" s="696">
        <f ca="1">IF(M40&gt;0,N40*100/M40,0)</f>
        <v>82.464825308294024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695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571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694" t="s">
        <v>19</v>
      </c>
      <c r="E44" s="71"/>
      <c r="F44" s="71"/>
      <c r="G44" s="74"/>
      <c r="H44" s="75" t="s">
        <v>14</v>
      </c>
      <c r="I44" s="76"/>
      <c r="J44" s="76"/>
      <c r="K44" s="77"/>
      <c r="L44" s="693">
        <f ca="1">L45+L46</f>
        <v>332950</v>
      </c>
      <c r="M44" s="692">
        <f ca="1">M45+M46</f>
        <v>344900</v>
      </c>
      <c r="N44" s="692">
        <f ca="1">N45+N46</f>
        <v>321159</v>
      </c>
      <c r="O44" s="692">
        <f t="shared" ref="O44:O52" ca="1" si="10">IF(L44&gt;0,N44*100/L44,0)</f>
        <v>96.458627421534771</v>
      </c>
      <c r="P44" s="692">
        <f t="shared" ref="P44:P52" ca="1" si="11">IF(M44&gt;0,N44*100/M44,0)</f>
        <v>93.116555523340097</v>
      </c>
      <c r="Q44" s="692">
        <f>Q45+Q46</f>
        <v>0</v>
      </c>
      <c r="R44" s="692">
        <f>R45+R46</f>
        <v>0</v>
      </c>
      <c r="S44" s="692">
        <f>S45+S46</f>
        <v>0</v>
      </c>
      <c r="T44" s="692">
        <f t="shared" ref="T44:T52" si="12">IF(Q44&gt;0,S44*100/Q44,0)</f>
        <v>0</v>
      </c>
      <c r="U44" s="692">
        <f t="shared" ref="U44:U52" si="13">IF(R44&gt;0,S44*100/R44,0)</f>
        <v>0</v>
      </c>
    </row>
    <row r="45" spans="1:21" ht="18.75" hidden="1" x14ac:dyDescent="0.25">
      <c r="A45" s="70"/>
      <c r="B45" s="71"/>
      <c r="C45" s="71"/>
      <c r="D45" s="71"/>
      <c r="E45" s="691" t="s">
        <v>20</v>
      </c>
      <c r="F45" s="71"/>
      <c r="G45" s="74"/>
      <c r="H45" s="690" t="s">
        <v>14</v>
      </c>
      <c r="I45" s="76"/>
      <c r="J45" s="76"/>
      <c r="K45" s="77"/>
      <c r="L45" s="689">
        <f t="shared" ref="L45:N46" si="14">L48+L51</f>
        <v>0</v>
      </c>
      <c r="M45" s="688">
        <f t="shared" si="14"/>
        <v>0</v>
      </c>
      <c r="N45" s="688">
        <f t="shared" si="14"/>
        <v>0</v>
      </c>
      <c r="O45" s="688">
        <f t="shared" si="10"/>
        <v>0</v>
      </c>
      <c r="P45" s="688">
        <f t="shared" si="11"/>
        <v>0</v>
      </c>
      <c r="Q45" s="688">
        <f t="shared" ref="Q45:S46" si="15">Q48+Q51</f>
        <v>0</v>
      </c>
      <c r="R45" s="688">
        <f t="shared" si="15"/>
        <v>0</v>
      </c>
      <c r="S45" s="688">
        <f t="shared" si="15"/>
        <v>0</v>
      </c>
      <c r="T45" s="688">
        <f t="shared" si="12"/>
        <v>0</v>
      </c>
      <c r="U45" s="688">
        <f t="shared" si="13"/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687">
        <f t="shared" ca="1" si="14"/>
        <v>332950</v>
      </c>
      <c r="M46" s="686">
        <f t="shared" ca="1" si="14"/>
        <v>344900</v>
      </c>
      <c r="N46" s="686">
        <f t="shared" ca="1" si="14"/>
        <v>321159</v>
      </c>
      <c r="O46" s="686">
        <f t="shared" ca="1" si="10"/>
        <v>96.458627421534771</v>
      </c>
      <c r="P46" s="686">
        <f t="shared" ca="1" si="11"/>
        <v>93.116555523340097</v>
      </c>
      <c r="Q46" s="686">
        <f t="shared" si="15"/>
        <v>0</v>
      </c>
      <c r="R46" s="686">
        <f t="shared" si="15"/>
        <v>0</v>
      </c>
      <c r="S46" s="686">
        <f t="shared" si="15"/>
        <v>0</v>
      </c>
      <c r="T46" s="686">
        <f t="shared" si="12"/>
        <v>0</v>
      </c>
      <c r="U46" s="686">
        <f t="shared" si="13"/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468">
        <f ca="1">L48+L49</f>
        <v>332950</v>
      </c>
      <c r="M47" s="224">
        <f ca="1">M48+M49</f>
        <v>344900</v>
      </c>
      <c r="N47" s="224">
        <f ca="1">N48+N49</f>
        <v>321159</v>
      </c>
      <c r="O47" s="224">
        <f t="shared" ca="1" si="10"/>
        <v>96.458627421534771</v>
      </c>
      <c r="P47" s="224">
        <f t="shared" ca="1" si="11"/>
        <v>93.116555523340097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 t="shared" si="12"/>
        <v>0</v>
      </c>
      <c r="U47" s="224">
        <f t="shared" si="13"/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674" t="s">
        <v>14</v>
      </c>
      <c r="I48" s="44"/>
      <c r="J48" s="44"/>
      <c r="K48" s="45"/>
      <c r="L48" s="469">
        <v>0</v>
      </c>
      <c r="M48" s="83">
        <v>0</v>
      </c>
      <c r="N48" s="83">
        <v>0</v>
      </c>
      <c r="O48" s="83">
        <f t="shared" si="10"/>
        <v>0</v>
      </c>
      <c r="P48" s="83">
        <f t="shared" si="11"/>
        <v>0</v>
      </c>
      <c r="Q48" s="83">
        <v>0</v>
      </c>
      <c r="R48" s="83">
        <v>0</v>
      </c>
      <c r="S48" s="83">
        <v>0</v>
      </c>
      <c r="T48" s="83">
        <f t="shared" si="12"/>
        <v>0</v>
      </c>
      <c r="U48" s="83">
        <f t="shared" si="13"/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468">
        <f ca="1">IFERROR(__xludf.DUMMYFUNCTION("IMPORTRANGE(""https://docs.google.com/spreadsheets/d/1-uDff_7J0KD5mKrp0Vvzr7lt3OU09vwQwhkpOPPYv2Y/edit?usp=sharing"",""งบพรบ!P29"")"),332950)</f>
        <v>332950</v>
      </c>
      <c r="M49" s="224">
        <f ca="1">IFERROR(__xludf.DUMMYFUNCTION("IMPORTRANGE(""https://docs.google.com/spreadsheets/d/1-uDff_7J0KD5mKrp0Vvzr7lt3OU09vwQwhkpOPPYv2Y/edit?usp=sharing"",""งบพรบ!V29"")"),344900)</f>
        <v>344900</v>
      </c>
      <c r="N49" s="224">
        <f ca="1">IFERROR(__xludf.DUMMYFUNCTION("IMPORTRANGE(""https://docs.google.com/spreadsheets/d/1-uDff_7J0KD5mKrp0Vvzr7lt3OU09vwQwhkpOPPYv2Y/edit?usp=sharing"",""งบพรบ!Y29"")"),321159)</f>
        <v>321159</v>
      </c>
      <c r="O49" s="224">
        <f t="shared" ca="1" si="10"/>
        <v>96.458627421534771</v>
      </c>
      <c r="P49" s="224">
        <f t="shared" ca="1" si="11"/>
        <v>93.116555523340097</v>
      </c>
      <c r="Q49" s="224">
        <v>0</v>
      </c>
      <c r="R49" s="224">
        <v>0</v>
      </c>
      <c r="S49" s="224">
        <v>0</v>
      </c>
      <c r="T49" s="224">
        <f t="shared" si="12"/>
        <v>0</v>
      </c>
      <c r="U49" s="224">
        <f t="shared" si="13"/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468">
        <f ca="1">L51+L52</f>
        <v>0</v>
      </c>
      <c r="M50" s="224">
        <f ca="1">M51+M52</f>
        <v>0</v>
      </c>
      <c r="N50" s="224">
        <f ca="1">N51+N52</f>
        <v>0</v>
      </c>
      <c r="O50" s="224">
        <f t="shared" ca="1" si="10"/>
        <v>0</v>
      </c>
      <c r="P50" s="224">
        <f t="shared" ca="1" si="11"/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 t="shared" si="12"/>
        <v>0</v>
      </c>
      <c r="U50" s="224">
        <f t="shared" si="13"/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674" t="s">
        <v>14</v>
      </c>
      <c r="I51" s="44"/>
      <c r="J51" s="44"/>
      <c r="K51" s="45"/>
      <c r="L51" s="469">
        <v>0</v>
      </c>
      <c r="M51" s="83">
        <v>0</v>
      </c>
      <c r="N51" s="83">
        <v>0</v>
      </c>
      <c r="O51" s="83">
        <f t="shared" si="10"/>
        <v>0</v>
      </c>
      <c r="P51" s="83">
        <f t="shared" si="11"/>
        <v>0</v>
      </c>
      <c r="Q51" s="83">
        <v>0</v>
      </c>
      <c r="R51" s="83">
        <v>0</v>
      </c>
      <c r="S51" s="83">
        <v>0</v>
      </c>
      <c r="T51" s="83">
        <f t="shared" si="12"/>
        <v>0</v>
      </c>
      <c r="U51" s="83">
        <f t="shared" si="13"/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468">
        <f ca="1">IFERROR(__xludf.DUMMYFUNCTION("IMPORTRANGE(""https://docs.google.com/spreadsheets/d/1-uDff_7J0KD5mKrp0Vvzr7lt3OU09vwQwhkpOPPYv2Y/edit?usp=sharing"",""งบพรบ!S29"")"),0)</f>
        <v>0</v>
      </c>
      <c r="M52" s="224">
        <f ca="1">IFERROR(__xludf.DUMMYFUNCTION("IMPORTRANGE(""https://docs.google.com/spreadsheets/d/1-uDff_7J0KD5mKrp0Vvzr7lt3OU09vwQwhkpOPPYv2Y/edit?usp=sharing"",""งบพรบ!W29"")"),0)</f>
        <v>0</v>
      </c>
      <c r="N52" s="224">
        <f ca="1">IFERROR(__xludf.DUMMYFUNCTION("IMPORTRANGE(""https://docs.google.com/spreadsheets/d/1-uDff_7J0KD5mKrp0Vvzr7lt3OU09vwQwhkpOPPYv2Y/edit?usp=sharing"",""งบพรบ!Z29"")"),0)</f>
        <v>0</v>
      </c>
      <c r="O52" s="224">
        <f t="shared" ca="1" si="10"/>
        <v>0</v>
      </c>
      <c r="P52" s="224">
        <f t="shared" ca="1" si="11"/>
        <v>0</v>
      </c>
      <c r="Q52" s="224">
        <v>0</v>
      </c>
      <c r="R52" s="224">
        <v>0</v>
      </c>
      <c r="S52" s="224">
        <v>0</v>
      </c>
      <c r="T52" s="224">
        <f t="shared" si="12"/>
        <v>0</v>
      </c>
      <c r="U52" s="224">
        <f t="shared" si="13"/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465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674" t="s">
        <v>14</v>
      </c>
      <c r="I54" s="44"/>
      <c r="J54" s="44"/>
      <c r="K54" s="45"/>
      <c r="L54" s="465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463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804" t="s">
        <v>28</v>
      </c>
      <c r="B56" s="800"/>
      <c r="C56" s="800"/>
      <c r="D56" s="800"/>
      <c r="E56" s="800"/>
      <c r="F56" s="800"/>
      <c r="G56" s="80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805" t="s">
        <v>29</v>
      </c>
      <c r="C57" s="793"/>
      <c r="D57" s="793"/>
      <c r="E57" s="793"/>
      <c r="F57" s="793"/>
      <c r="G57" s="794"/>
      <c r="H57" s="89"/>
      <c r="I57" s="90"/>
      <c r="J57" s="90"/>
      <c r="K57" s="91"/>
      <c r="L57" s="68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8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8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82">
        <f ca="1">L60+L61</f>
        <v>499600</v>
      </c>
      <c r="M59" s="681">
        <f ca="1">M60+M61</f>
        <v>501100</v>
      </c>
      <c r="N59" s="681">
        <f ca="1">N60+N61</f>
        <v>449357.44</v>
      </c>
      <c r="O59" s="681">
        <f t="shared" ref="O59:O67" ca="1" si="16">IF(L59&gt;0,N59*100/L59,0)</f>
        <v>89.94344275420336</v>
      </c>
      <c r="P59" s="681">
        <f t="shared" ref="P59:P67" ca="1" si="17">IF(M59&gt;0,N59*100/M59,0)</f>
        <v>89.674204749550981</v>
      </c>
      <c r="Q59" s="681">
        <f>Q60+Q61</f>
        <v>0</v>
      </c>
      <c r="R59" s="681">
        <f>R60+R61</f>
        <v>0</v>
      </c>
      <c r="S59" s="681">
        <f>S60+S61</f>
        <v>0</v>
      </c>
      <c r="T59" s="681">
        <f t="shared" ref="T59:T67" si="18">IF(Q59&gt;0,S59*100/Q59,0)</f>
        <v>0</v>
      </c>
      <c r="U59" s="681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80" t="s">
        <v>20</v>
      </c>
      <c r="F60" s="99"/>
      <c r="G60" s="102"/>
      <c r="H60" s="679" t="s">
        <v>14</v>
      </c>
      <c r="I60" s="104"/>
      <c r="J60" s="104"/>
      <c r="K60" s="105"/>
      <c r="L60" s="678">
        <f t="shared" ref="L60:N61" si="20">L63+L66</f>
        <v>0</v>
      </c>
      <c r="M60" s="677">
        <f t="shared" si="20"/>
        <v>0</v>
      </c>
      <c r="N60" s="677">
        <f t="shared" si="20"/>
        <v>0</v>
      </c>
      <c r="O60" s="677">
        <f t="shared" si="16"/>
        <v>0</v>
      </c>
      <c r="P60" s="677">
        <f t="shared" si="17"/>
        <v>0</v>
      </c>
      <c r="Q60" s="677">
        <f t="shared" ref="Q60:S61" si="21">Q63+Q66</f>
        <v>0</v>
      </c>
      <c r="R60" s="677">
        <f t="shared" si="21"/>
        <v>0</v>
      </c>
      <c r="S60" s="677">
        <f t="shared" si="21"/>
        <v>0</v>
      </c>
      <c r="T60" s="677">
        <f t="shared" si="18"/>
        <v>0</v>
      </c>
      <c r="U60" s="677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76">
        <f t="shared" ca="1" si="20"/>
        <v>499600</v>
      </c>
      <c r="M61" s="675">
        <f t="shared" ca="1" si="20"/>
        <v>501100</v>
      </c>
      <c r="N61" s="675">
        <f t="shared" ca="1" si="20"/>
        <v>449357.44</v>
      </c>
      <c r="O61" s="675">
        <f t="shared" ca="1" si="16"/>
        <v>89.94344275420336</v>
      </c>
      <c r="P61" s="675">
        <f t="shared" ca="1" si="17"/>
        <v>89.674204749550981</v>
      </c>
      <c r="Q61" s="675">
        <f t="shared" si="21"/>
        <v>0</v>
      </c>
      <c r="R61" s="675">
        <f t="shared" si="21"/>
        <v>0</v>
      </c>
      <c r="S61" s="675">
        <f t="shared" si="21"/>
        <v>0</v>
      </c>
      <c r="T61" s="675">
        <f t="shared" si="18"/>
        <v>0</v>
      </c>
      <c r="U61" s="675">
        <f t="shared" si="19"/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468">
        <f ca="1">L63+L64</f>
        <v>499600</v>
      </c>
      <c r="M62" s="224">
        <f ca="1">M63+M64</f>
        <v>501100</v>
      </c>
      <c r="N62" s="224">
        <f ca="1">N63+N64</f>
        <v>449357.44</v>
      </c>
      <c r="O62" s="224">
        <f t="shared" ca="1" si="16"/>
        <v>89.94344275420336</v>
      </c>
      <c r="P62" s="224">
        <f t="shared" ca="1" si="17"/>
        <v>89.674204749550981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 t="shared" si="18"/>
        <v>0</v>
      </c>
      <c r="U62" s="224">
        <f t="shared" si="19"/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674" t="s">
        <v>14</v>
      </c>
      <c r="I63" s="44"/>
      <c r="J63" s="44"/>
      <c r="K63" s="45"/>
      <c r="L63" s="469">
        <v>0</v>
      </c>
      <c r="M63" s="83">
        <v>0</v>
      </c>
      <c r="N63" s="83">
        <v>0</v>
      </c>
      <c r="O63" s="83">
        <f t="shared" si="16"/>
        <v>0</v>
      </c>
      <c r="P63" s="83">
        <f t="shared" si="17"/>
        <v>0</v>
      </c>
      <c r="Q63" s="83">
        <v>0</v>
      </c>
      <c r="R63" s="83">
        <v>0</v>
      </c>
      <c r="S63" s="83">
        <v>0</v>
      </c>
      <c r="T63" s="83">
        <f t="shared" si="18"/>
        <v>0</v>
      </c>
      <c r="U63" s="83">
        <f t="shared" si="19"/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468">
        <f ca="1">IFERROR(__xludf.DUMMYFUNCTION("IMPORTRANGE(""https://docs.google.com/spreadsheets/d/1-uDff_7J0KD5mKrp0Vvzr7lt3OU09vwQwhkpOPPYv2Y/edit?usp=sharing"",""งบพรบ!AC29"")"),499600)</f>
        <v>499600</v>
      </c>
      <c r="M64" s="224">
        <f ca="1">IFERROR(__xludf.DUMMYFUNCTION("IMPORTRANGE(""https://docs.google.com/spreadsheets/d/1-uDff_7J0KD5mKrp0Vvzr7lt3OU09vwQwhkpOPPYv2Y/edit?usp=sharing"",""งบพรบ!AH29"")"),501100)</f>
        <v>501100</v>
      </c>
      <c r="N64" s="224">
        <f ca="1">IFERROR(__xludf.DUMMYFUNCTION("IMPORTRANGE(""https://docs.google.com/spreadsheets/d/1-uDff_7J0KD5mKrp0Vvzr7lt3OU09vwQwhkpOPPYv2Y/edit?usp=sharing"",""งบพรบ!AJ29"")"),449357.44)</f>
        <v>449357.44</v>
      </c>
      <c r="O64" s="224">
        <f t="shared" ca="1" si="16"/>
        <v>89.94344275420336</v>
      </c>
      <c r="P64" s="224">
        <f t="shared" ca="1" si="17"/>
        <v>89.674204749550981</v>
      </c>
      <c r="Q64" s="224">
        <v>0</v>
      </c>
      <c r="R64" s="224">
        <v>0</v>
      </c>
      <c r="S64" s="224">
        <v>0</v>
      </c>
      <c r="T64" s="224">
        <f t="shared" si="18"/>
        <v>0</v>
      </c>
      <c r="U64" s="224">
        <f t="shared" si="19"/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468">
        <f ca="1">L66+L67</f>
        <v>0</v>
      </c>
      <c r="M65" s="224">
        <f ca="1">M66+M67</f>
        <v>0</v>
      </c>
      <c r="N65" s="224">
        <f ca="1">N66+N67</f>
        <v>0</v>
      </c>
      <c r="O65" s="224">
        <f t="shared" ca="1" si="16"/>
        <v>0</v>
      </c>
      <c r="P65" s="224">
        <f t="shared" ca="1" si="17"/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 t="shared" si="18"/>
        <v>0</v>
      </c>
      <c r="U65" s="224">
        <f t="shared" si="19"/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674" t="s">
        <v>14</v>
      </c>
      <c r="I66" s="44"/>
      <c r="J66" s="44"/>
      <c r="K66" s="45"/>
      <c r="L66" s="469">
        <v>0</v>
      </c>
      <c r="M66" s="83">
        <v>0</v>
      </c>
      <c r="N66" s="83">
        <v>0</v>
      </c>
      <c r="O66" s="83">
        <f t="shared" si="16"/>
        <v>0</v>
      </c>
      <c r="P66" s="83">
        <f t="shared" si="17"/>
        <v>0</v>
      </c>
      <c r="Q66" s="83">
        <v>0</v>
      </c>
      <c r="R66" s="83">
        <v>0</v>
      </c>
      <c r="S66" s="83">
        <v>0</v>
      </c>
      <c r="T66" s="83">
        <f t="shared" si="18"/>
        <v>0</v>
      </c>
      <c r="U66" s="83">
        <f t="shared" si="19"/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673">
        <f ca="1">IFERROR(__xludf.DUMMYFUNCTION("IMPORTRANGE(""https://docs.google.com/spreadsheets/d/1-uDff_7J0KD5mKrp0Vvzr7lt3OU09vwQwhkpOPPYv2Y/edit?usp=sharing"",""งบพรบ!AF29"")"),0)</f>
        <v>0</v>
      </c>
      <c r="M67" s="455">
        <f ca="1">IFERROR(__xludf.DUMMYFUNCTION("IMPORTRANGE(""https://docs.google.com/spreadsheets/d/1-uDff_7J0KD5mKrp0Vvzr7lt3OU09vwQwhkpOPPYv2Y/edit?usp=sharing"",""งบพรบ!AI29"")"),0)</f>
        <v>0</v>
      </c>
      <c r="N67" s="455">
        <f ca="1">IFERROR(__xludf.DUMMYFUNCTION("IMPORTRANGE(""https://docs.google.com/spreadsheets/d/1-uDff_7J0KD5mKrp0Vvzr7lt3OU09vwQwhkpOPPYv2Y/edit?usp=sharing"",""งบพรบ!AK29"")"),0)</f>
        <v>0</v>
      </c>
      <c r="O67" s="455">
        <f t="shared" ca="1" si="16"/>
        <v>0</v>
      </c>
      <c r="P67" s="455">
        <f t="shared" ca="1" si="17"/>
        <v>0</v>
      </c>
      <c r="Q67" s="455">
        <v>0</v>
      </c>
      <c r="R67" s="455">
        <v>0</v>
      </c>
      <c r="S67" s="455">
        <v>0</v>
      </c>
      <c r="T67" s="455">
        <f t="shared" si="18"/>
        <v>0</v>
      </c>
      <c r="U67" s="455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7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665">
        <f ca="1">I82</f>
        <v>0</v>
      </c>
      <c r="J70" s="665">
        <f>J82</f>
        <v>0</v>
      </c>
      <c r="K70" s="664">
        <f ca="1">IF(I70&gt;0,J70*100/I70,0)</f>
        <v>0</v>
      </c>
      <c r="L70" s="510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hidden="1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665">
        <f ca="1">I83</f>
        <v>0</v>
      </c>
      <c r="J71" s="665">
        <f>J83</f>
        <v>0</v>
      </c>
      <c r="K71" s="664">
        <f ca="1">IF(I71&gt;0,J71*100/I71,0)</f>
        <v>0</v>
      </c>
      <c r="L71" s="510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8"/>
      <c r="B72" s="40"/>
      <c r="C72" s="129" t="s">
        <v>18</v>
      </c>
      <c r="D72" s="472" t="s">
        <v>19</v>
      </c>
      <c r="E72" s="40"/>
      <c r="F72" s="40"/>
      <c r="G72" s="42"/>
      <c r="H72" s="131" t="s">
        <v>14</v>
      </c>
      <c r="I72" s="44"/>
      <c r="J72" s="44"/>
      <c r="K72" s="45"/>
      <c r="L72" s="471">
        <f ca="1">L73+L74</f>
        <v>0</v>
      </c>
      <c r="M72" s="470">
        <f ca="1">M73+M74</f>
        <v>0</v>
      </c>
      <c r="N72" s="470">
        <f ca="1">N73+N74</f>
        <v>0</v>
      </c>
      <c r="O72" s="470">
        <f t="shared" ref="O72:O80" ca="1" si="22">IF(L72&gt;0,N72*100/L72,0)</f>
        <v>0</v>
      </c>
      <c r="P72" s="470">
        <f t="shared" ref="P72:P80" ca="1" si="23">IF(M72&gt;0,N72*100/M72,0)</f>
        <v>0</v>
      </c>
      <c r="Q72" s="470">
        <f ca="1">Q73+Q74</f>
        <v>0</v>
      </c>
      <c r="R72" s="470">
        <f ca="1">R73+R74</f>
        <v>0</v>
      </c>
      <c r="S72" s="470">
        <f ca="1">S73+S74</f>
        <v>0</v>
      </c>
      <c r="T72" s="470">
        <f t="shared" ref="T72:T80" ca="1" si="24">IF(Q72&gt;0,S72*100/Q72,0)</f>
        <v>0</v>
      </c>
      <c r="U72" s="470">
        <f t="shared" ref="U72:U80" ca="1" si="25">IF(R72&gt;0,S72*100/R72,0)</f>
        <v>0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469">
        <f t="shared" ref="L73:N74" si="26">L76+L79</f>
        <v>0</v>
      </c>
      <c r="M73" s="83">
        <f t="shared" si="26"/>
        <v>0</v>
      </c>
      <c r="N73" s="83">
        <f t="shared" si="26"/>
        <v>0</v>
      </c>
      <c r="O73" s="83">
        <f t="shared" si="22"/>
        <v>0</v>
      </c>
      <c r="P73" s="83">
        <f t="shared" si="23"/>
        <v>0</v>
      </c>
      <c r="Q73" s="83">
        <f t="shared" ref="Q73:S74" si="27">Q76+Q79</f>
        <v>0</v>
      </c>
      <c r="R73" s="83">
        <f t="shared" si="27"/>
        <v>0</v>
      </c>
      <c r="S73" s="83">
        <f t="shared" si="27"/>
        <v>0</v>
      </c>
      <c r="T73" s="83">
        <f t="shared" si="24"/>
        <v>0</v>
      </c>
      <c r="U73" s="83">
        <f t="shared" si="25"/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468">
        <f t="shared" ca="1" si="26"/>
        <v>0</v>
      </c>
      <c r="M74" s="224">
        <f t="shared" ca="1" si="26"/>
        <v>0</v>
      </c>
      <c r="N74" s="224">
        <f t="shared" ca="1" si="26"/>
        <v>0</v>
      </c>
      <c r="O74" s="224">
        <f t="shared" ca="1" si="22"/>
        <v>0</v>
      </c>
      <c r="P74" s="224">
        <f t="shared" ca="1" si="23"/>
        <v>0</v>
      </c>
      <c r="Q74" s="224">
        <f t="shared" ca="1" si="27"/>
        <v>0</v>
      </c>
      <c r="R74" s="224">
        <f t="shared" ca="1" si="27"/>
        <v>0</v>
      </c>
      <c r="S74" s="224">
        <f t="shared" ca="1" si="27"/>
        <v>0</v>
      </c>
      <c r="T74" s="224">
        <f t="shared" ca="1" si="24"/>
        <v>0</v>
      </c>
      <c r="U74" s="224">
        <f t="shared" ca="1" si="25"/>
        <v>0</v>
      </c>
    </row>
    <row r="75" spans="1:21" ht="18.75" hidden="1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468">
        <f ca="1">L76+L77</f>
        <v>0</v>
      </c>
      <c r="M75" s="224">
        <f ca="1">M76+M77</f>
        <v>0</v>
      </c>
      <c r="N75" s="224">
        <f ca="1">N76+N77</f>
        <v>0</v>
      </c>
      <c r="O75" s="224">
        <f t="shared" ca="1" si="22"/>
        <v>0</v>
      </c>
      <c r="P75" s="224">
        <f t="shared" ca="1" si="23"/>
        <v>0</v>
      </c>
      <c r="Q75" s="224">
        <f ca="1">Q76+Q77</f>
        <v>0</v>
      </c>
      <c r="R75" s="224">
        <f ca="1">R76+R77</f>
        <v>0</v>
      </c>
      <c r="S75" s="224">
        <f ca="1">S76+S77</f>
        <v>0</v>
      </c>
      <c r="T75" s="224">
        <f t="shared" ca="1" si="24"/>
        <v>0</v>
      </c>
      <c r="U75" s="224">
        <f t="shared" ca="1" si="25"/>
        <v>0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469">
        <v>0</v>
      </c>
      <c r="M76" s="83">
        <v>0</v>
      </c>
      <c r="N76" s="83">
        <v>0</v>
      </c>
      <c r="O76" s="83">
        <f t="shared" si="22"/>
        <v>0</v>
      </c>
      <c r="P76" s="83">
        <f t="shared" si="23"/>
        <v>0</v>
      </c>
      <c r="Q76" s="83">
        <v>0</v>
      </c>
      <c r="R76" s="83">
        <v>0</v>
      </c>
      <c r="S76" s="83">
        <v>0</v>
      </c>
      <c r="T76" s="83">
        <f t="shared" si="24"/>
        <v>0</v>
      </c>
      <c r="U76" s="83">
        <f t="shared" si="25"/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468">
        <f ca="1">IFERROR(__xludf.DUMMYFUNCTION("IMPORTRANGE(""https://docs.google.com/spreadsheets/d/1-uDff_7J0KD5mKrp0Vvzr7lt3OU09vwQwhkpOPPYv2Y/edit?usp=sharing"",""งบพรบ!AM29"")"),0)</f>
        <v>0</v>
      </c>
      <c r="M77" s="224">
        <f ca="1">IFERROR(__xludf.DUMMYFUNCTION("IMPORTRANGE(""https://docs.google.com/spreadsheets/d/1-uDff_7J0KD5mKrp0Vvzr7lt3OU09vwQwhkpOPPYv2Y/edit?usp=sharing"",""งบพรบ!AR29"")"),0)</f>
        <v>0</v>
      </c>
      <c r="N77" s="224">
        <f ca="1">IFERROR(__xludf.DUMMYFUNCTION("IMPORTRANGE(""https://docs.google.com/spreadsheets/d/1-uDff_7J0KD5mKrp0Vvzr7lt3OU09vwQwhkpOPPYv2Y/edit?usp=sharing"",""งบพรบ!AT29"")"),0)</f>
        <v>0</v>
      </c>
      <c r="O77" s="224">
        <f t="shared" ca="1" si="22"/>
        <v>0</v>
      </c>
      <c r="P77" s="224">
        <f t="shared" ca="1" si="23"/>
        <v>0</v>
      </c>
      <c r="Q77" s="224">
        <f ca="1">IFERROR(__xludf.DUMMYFUNCTION("IMPORTRANGE(""https://docs.google.com/spreadsheets/d/1ItG2mGa2ceCfYo0BwxsXqNm01IGEUdYcSSLTEv9YCik/edit?usp=sharing"",""เบิกจ่ายกองทุน!AS29"")"),0)</f>
        <v>0</v>
      </c>
      <c r="R77" s="224">
        <f ca="1">IFERROR(__xludf.DUMMYFUNCTION("IMPORTRANGE(""https://docs.google.com/spreadsheets/d/1ItG2mGa2ceCfYo0BwxsXqNm01IGEUdYcSSLTEv9YCik/edit?usp=sharing"",""เบิกจ่ายกองทุน!AT29"")"),0)</f>
        <v>0</v>
      </c>
      <c r="S77" s="224">
        <f ca="1">IFERROR(__xludf.DUMMYFUNCTION("IMPORTRANGE(""https://docs.google.com/spreadsheets/d/1ItG2mGa2ceCfYo0BwxsXqNm01IGEUdYcSSLTEv9YCik/edit?usp=sharing"",""เบิกจ่ายกองทุน!AU29"")"),0)</f>
        <v>0</v>
      </c>
      <c r="T77" s="224">
        <f t="shared" ca="1" si="24"/>
        <v>0</v>
      </c>
      <c r="U77" s="224">
        <f t="shared" ca="1" si="25"/>
        <v>0</v>
      </c>
    </row>
    <row r="78" spans="1:21" ht="18.75" hidden="1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468">
        <f ca="1">L79+L80</f>
        <v>0</v>
      </c>
      <c r="M78" s="224">
        <f ca="1">M79+M80</f>
        <v>0</v>
      </c>
      <c r="N78" s="224">
        <f ca="1">N79+N80</f>
        <v>0</v>
      </c>
      <c r="O78" s="224">
        <f t="shared" ca="1" si="22"/>
        <v>0</v>
      </c>
      <c r="P78" s="224">
        <f t="shared" ca="1" si="23"/>
        <v>0</v>
      </c>
      <c r="Q78" s="224">
        <f>Q79+Q80</f>
        <v>0</v>
      </c>
      <c r="R78" s="224">
        <f>R79+R80</f>
        <v>0</v>
      </c>
      <c r="S78" s="224">
        <f>S79+S80</f>
        <v>0</v>
      </c>
      <c r="T78" s="224">
        <f t="shared" si="24"/>
        <v>0</v>
      </c>
      <c r="U78" s="224">
        <f t="shared" si="25"/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469">
        <v>0</v>
      </c>
      <c r="M79" s="224">
        <v>0</v>
      </c>
      <c r="N79" s="224">
        <v>0</v>
      </c>
      <c r="O79" s="83">
        <f t="shared" si="22"/>
        <v>0</v>
      </c>
      <c r="P79" s="83">
        <f t="shared" si="23"/>
        <v>0</v>
      </c>
      <c r="Q79" s="83">
        <v>0</v>
      </c>
      <c r="R79" s="224">
        <v>0</v>
      </c>
      <c r="S79" s="224">
        <v>0</v>
      </c>
      <c r="T79" s="83">
        <f t="shared" si="24"/>
        <v>0</v>
      </c>
      <c r="U79" s="83">
        <f t="shared" si="25"/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468">
        <f ca="1">IFERROR(__xludf.DUMMYFUNCTION("IMPORTRANGE(""https://docs.google.com/spreadsheets/d/1-uDff_7J0KD5mKrp0Vvzr7lt3OU09vwQwhkpOPPYv2Y/edit?usp=sharing"",""งบพรบ!AP29"")"),0)</f>
        <v>0</v>
      </c>
      <c r="M80" s="224">
        <f ca="1">IFERROR(__xludf.DUMMYFUNCTION("IMPORTRANGE(""https://docs.google.com/spreadsheets/d/1-uDff_7J0KD5mKrp0Vvzr7lt3OU09vwQwhkpOPPYv2Y/edit?usp=sharing"",""งบพรบ!AS29"")"),0)</f>
        <v>0</v>
      </c>
      <c r="N80" s="224">
        <f ca="1">IFERROR(__xludf.DUMMYFUNCTION("IMPORTRANGE(""https://docs.google.com/spreadsheets/d/1-uDff_7J0KD5mKrp0Vvzr7lt3OU09vwQwhkpOPPYv2Y/edit?usp=sharing"",""งบพรบ!AU29"")"),0)</f>
        <v>0</v>
      </c>
      <c r="O80" s="224">
        <f t="shared" ca="1" si="22"/>
        <v>0</v>
      </c>
      <c r="P80" s="224">
        <f t="shared" ca="1" si="23"/>
        <v>0</v>
      </c>
      <c r="Q80" s="224">
        <v>0</v>
      </c>
      <c r="R80" s="224">
        <v>0</v>
      </c>
      <c r="S80" s="224">
        <v>0</v>
      </c>
      <c r="T80" s="224">
        <f t="shared" si="24"/>
        <v>0</v>
      </c>
      <c r="U80" s="224">
        <f t="shared" si="25"/>
        <v>0</v>
      </c>
    </row>
    <row r="81" spans="1:21" ht="19.5" hidden="1" x14ac:dyDescent="0.3">
      <c r="A81" s="138"/>
      <c r="B81" s="139"/>
      <c r="C81" s="129" t="s">
        <v>18</v>
      </c>
      <c r="D81" s="498" t="s">
        <v>38</v>
      </c>
      <c r="E81" s="141"/>
      <c r="F81" s="141"/>
      <c r="G81" s="142"/>
      <c r="H81" s="143"/>
      <c r="I81" s="135"/>
      <c r="J81" s="135"/>
      <c r="K81" s="136"/>
      <c r="L81" s="4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ca="1">I84+I86+I88</f>
        <v>0</v>
      </c>
      <c r="J82" s="328">
        <f>J84+J86+J88</f>
        <v>0</v>
      </c>
      <c r="K82" s="582">
        <f t="shared" ref="K82:K90" ca="1" si="28">IF(I82&gt;0,J82*100/I82,0)</f>
        <v>0</v>
      </c>
      <c r="L82" s="4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ca="1">I85+I87+I89</f>
        <v>0</v>
      </c>
      <c r="J83" s="328">
        <f>J85+J87+J89</f>
        <v>0</v>
      </c>
      <c r="K83" s="582">
        <f t="shared" ca="1" si="28"/>
        <v>0</v>
      </c>
      <c r="L83" s="4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581">
        <f ca="1">IFERROR(__xludf.DUMMYFUNCTION("IMPORTRANGE(""https://docs.google.com/spreadsheets/d/1eHaY18a8A9IcSdp1K8H6x8fbOy06t2VsZHhMHf-1x7Y/edit?usp=sharing"",""แผน!H29"")"),0)</f>
        <v>0</v>
      </c>
      <c r="J84" s="466">
        <v>0</v>
      </c>
      <c r="K84" s="497">
        <f t="shared" ca="1" si="28"/>
        <v>0</v>
      </c>
      <c r="L84" s="4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581">
        <f ca="1">IFERROR(__xludf.DUMMYFUNCTION("IMPORTRANGE(""https://docs.google.com/spreadsheets/d/1eHaY18a8A9IcSdp1K8H6x8fbOy06t2VsZHhMHf-1x7Y/edit?usp=sharing"",""แผน!I29"")"),0)</f>
        <v>0</v>
      </c>
      <c r="J85" s="466">
        <v>0</v>
      </c>
      <c r="K85" s="497">
        <f t="shared" ca="1" si="28"/>
        <v>0</v>
      </c>
      <c r="L85" s="4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581">
        <f ca="1">IFERROR(__xludf.DUMMYFUNCTION("IMPORTRANGE(""https://docs.google.com/spreadsheets/d/1eHaY18a8A9IcSdp1K8H6x8fbOy06t2VsZHhMHf-1x7Y/edit?usp=sharing"",""แผน!F29"")"),0)</f>
        <v>0</v>
      </c>
      <c r="J86" s="466">
        <v>0</v>
      </c>
      <c r="K86" s="497">
        <f t="shared" ca="1" si="28"/>
        <v>0</v>
      </c>
      <c r="L86" s="4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581">
        <f ca="1">IFERROR(__xludf.DUMMYFUNCTION("IMPORTRANGE(""https://docs.google.com/spreadsheets/d/1eHaY18a8A9IcSdp1K8H6x8fbOy06t2VsZHhMHf-1x7Y/edit?usp=sharing"",""แผน!G29"")"),0)</f>
        <v>0</v>
      </c>
      <c r="J87" s="466">
        <v>0</v>
      </c>
      <c r="K87" s="497">
        <f t="shared" ca="1" si="28"/>
        <v>0</v>
      </c>
      <c r="L87" s="4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581">
        <f ca="1">IFERROR(__xludf.DUMMYFUNCTION("IMPORTRANGE(""https://docs.google.com/spreadsheets/d/1eHaY18a8A9IcSdp1K8H6x8fbOy06t2VsZHhMHf-1x7Y/edit?usp=sharing"",""แผน!D29"")"),0)</f>
        <v>0</v>
      </c>
      <c r="J88" s="466">
        <v>0</v>
      </c>
      <c r="K88" s="497">
        <f t="shared" ca="1" si="28"/>
        <v>0</v>
      </c>
      <c r="L88" s="4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581">
        <f ca="1">IFERROR(__xludf.DUMMYFUNCTION("IMPORTRANGE(""https://docs.google.com/spreadsheets/d/1eHaY18a8A9IcSdp1K8H6x8fbOy06t2VsZHhMHf-1x7Y/edit?usp=sharing"",""แผน!E29"")"),0)</f>
        <v>0</v>
      </c>
      <c r="J89" s="466">
        <v>0</v>
      </c>
      <c r="K89" s="497">
        <f t="shared" ca="1" si="28"/>
        <v>0</v>
      </c>
      <c r="L89" s="4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581">
        <f ca="1">IFERROR(__xludf.DUMMYFUNCTION("IMPORTRANGE(""https://docs.google.com/spreadsheets/d/1eHaY18a8A9IcSdp1K8H6x8fbOy06t2VsZHhMHf-1x7Y/edit?usp=sharing"",""แผน!J29"")"),0)</f>
        <v>0</v>
      </c>
      <c r="J90" s="466">
        <v>0</v>
      </c>
      <c r="K90" s="497">
        <f t="shared" ca="1" si="28"/>
        <v>0</v>
      </c>
      <c r="L90" s="4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7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665">
        <f ca="1">I108</f>
        <v>0</v>
      </c>
      <c r="J92" s="665">
        <f>J108</f>
        <v>0</v>
      </c>
      <c r="K92" s="664">
        <f ca="1">IF(I92&gt;0,J92*100/I92,0)</f>
        <v>0</v>
      </c>
      <c r="L92" s="510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665">
        <f ca="1">I109</f>
        <v>0</v>
      </c>
      <c r="J93" s="665">
        <f>J109</f>
        <v>0</v>
      </c>
      <c r="K93" s="664">
        <f ca="1">IF(I93&gt;0,J93*100/I93,0)</f>
        <v>0</v>
      </c>
      <c r="L93" s="510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472" t="s">
        <v>19</v>
      </c>
      <c r="E94" s="40"/>
      <c r="F94" s="40"/>
      <c r="G94" s="42"/>
      <c r="H94" s="131" t="s">
        <v>14</v>
      </c>
      <c r="I94" s="44"/>
      <c r="J94" s="44"/>
      <c r="K94" s="45"/>
      <c r="L94" s="471">
        <f ca="1">L95+L96</f>
        <v>0</v>
      </c>
      <c r="M94" s="470">
        <f ca="1">M95+M96</f>
        <v>0</v>
      </c>
      <c r="N94" s="470">
        <f ca="1">N95+N96</f>
        <v>0</v>
      </c>
      <c r="O94" s="470">
        <f t="shared" ref="O94:O102" ca="1" si="29">IF(L94&gt;0,N94*100/L94,0)</f>
        <v>0</v>
      </c>
      <c r="P94" s="470">
        <f t="shared" ref="P94:P102" ca="1" si="30">IF(M94&gt;0,N94*100/M94,0)</f>
        <v>0</v>
      </c>
      <c r="Q94" s="470">
        <f ca="1">Q95+Q96</f>
        <v>0</v>
      </c>
      <c r="R94" s="470">
        <f ca="1">R95+R96</f>
        <v>0</v>
      </c>
      <c r="S94" s="470">
        <f ca="1">S95+S96</f>
        <v>0</v>
      </c>
      <c r="T94" s="470">
        <f t="shared" ref="T94:T102" ca="1" si="31">IF(Q94&gt;0,S94*100/Q94,0)</f>
        <v>0</v>
      </c>
      <c r="U94" s="470">
        <f t="shared" ref="U94:U102" ca="1" si="32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469">
        <f t="shared" ref="L95:N96" si="33">L98+L101</f>
        <v>0</v>
      </c>
      <c r="M95" s="83">
        <f t="shared" si="33"/>
        <v>0</v>
      </c>
      <c r="N95" s="83">
        <f t="shared" si="33"/>
        <v>0</v>
      </c>
      <c r="O95" s="83">
        <f t="shared" si="29"/>
        <v>0</v>
      </c>
      <c r="P95" s="83">
        <f t="shared" si="30"/>
        <v>0</v>
      </c>
      <c r="Q95" s="83">
        <f t="shared" ref="Q95:S96" si="34">Q98+Q101</f>
        <v>0</v>
      </c>
      <c r="R95" s="83">
        <f t="shared" si="34"/>
        <v>0</v>
      </c>
      <c r="S95" s="83">
        <f t="shared" si="34"/>
        <v>0</v>
      </c>
      <c r="T95" s="83">
        <f t="shared" si="31"/>
        <v>0</v>
      </c>
      <c r="U95" s="83">
        <f t="shared" si="32"/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468">
        <f t="shared" ca="1" si="33"/>
        <v>0</v>
      </c>
      <c r="M96" s="224">
        <f t="shared" ca="1" si="33"/>
        <v>0</v>
      </c>
      <c r="N96" s="224">
        <f t="shared" ca="1" si="33"/>
        <v>0</v>
      </c>
      <c r="O96" s="224">
        <f t="shared" ca="1" si="29"/>
        <v>0</v>
      </c>
      <c r="P96" s="224">
        <f t="shared" ca="1" si="30"/>
        <v>0</v>
      </c>
      <c r="Q96" s="224">
        <f t="shared" ca="1" si="34"/>
        <v>0</v>
      </c>
      <c r="R96" s="224">
        <f t="shared" ca="1" si="34"/>
        <v>0</v>
      </c>
      <c r="S96" s="224">
        <f t="shared" ca="1" si="34"/>
        <v>0</v>
      </c>
      <c r="T96" s="224">
        <f t="shared" ca="1" si="31"/>
        <v>0</v>
      </c>
      <c r="U96" s="224">
        <f t="shared" ca="1" si="32"/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468">
        <f ca="1">L98+L99</f>
        <v>0</v>
      </c>
      <c r="M97" s="224">
        <f ca="1">M98+M99</f>
        <v>0</v>
      </c>
      <c r="N97" s="224">
        <f ca="1">N98+N99</f>
        <v>0</v>
      </c>
      <c r="O97" s="224">
        <f t="shared" ca="1" si="29"/>
        <v>0</v>
      </c>
      <c r="P97" s="224">
        <f t="shared" ca="1" si="30"/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t="shared" ca="1" si="31"/>
        <v>0</v>
      </c>
      <c r="U97" s="224">
        <f t="shared" ca="1" si="32"/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469">
        <v>0</v>
      </c>
      <c r="M98" s="83">
        <v>0</v>
      </c>
      <c r="N98" s="83">
        <v>0</v>
      </c>
      <c r="O98" s="83">
        <f t="shared" si="29"/>
        <v>0</v>
      </c>
      <c r="P98" s="83">
        <f t="shared" si="30"/>
        <v>0</v>
      </c>
      <c r="Q98" s="83">
        <v>0</v>
      </c>
      <c r="R98" s="83">
        <v>0</v>
      </c>
      <c r="S98" s="83">
        <v>0</v>
      </c>
      <c r="T98" s="83">
        <f t="shared" si="31"/>
        <v>0</v>
      </c>
      <c r="U98" s="83">
        <f t="shared" si="32"/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468">
        <f ca="1">IFERROR(__xludf.DUMMYFUNCTION("IMPORTRANGE(""https://docs.google.com/spreadsheets/d/1-uDff_7J0KD5mKrp0Vvzr7lt3OU09vwQwhkpOPPYv2Y/edit?usp=sharing"",""งบพรบ!AW29"")"),0)</f>
        <v>0</v>
      </c>
      <c r="M99" s="224">
        <f ca="1">IFERROR(__xludf.DUMMYFUNCTION("IMPORTRANGE(""https://docs.google.com/spreadsheets/d/1-uDff_7J0KD5mKrp0Vvzr7lt3OU09vwQwhkpOPPYv2Y/edit?usp=sharing"",""งบพรบ!BB29"")"),0)</f>
        <v>0</v>
      </c>
      <c r="N99" s="224">
        <f ca="1">IFERROR(__xludf.DUMMYFUNCTION("IMPORTRANGE(""https://docs.google.com/spreadsheets/d/1-uDff_7J0KD5mKrp0Vvzr7lt3OU09vwQwhkpOPPYv2Y/edit?usp=sharing"",""งบพรบ!BD29"")"),0)</f>
        <v>0</v>
      </c>
      <c r="O99" s="224">
        <f t="shared" ca="1" si="29"/>
        <v>0</v>
      </c>
      <c r="P99" s="224">
        <f t="shared" ca="1" si="30"/>
        <v>0</v>
      </c>
      <c r="Q99" s="224">
        <f ca="1">IFERROR(__xludf.DUMMYFUNCTION("IMPORTRANGE(""https://docs.google.com/spreadsheets/d/1ItG2mGa2ceCfYo0BwxsXqNm01IGEUdYcSSLTEv9YCik/edit?usp=sharing"",""เบิกจ่ายกองทุน!AD29"")"),0)</f>
        <v>0</v>
      </c>
      <c r="R99" s="224">
        <f ca="1">IFERROR(__xludf.DUMMYFUNCTION("IMPORTRANGE(""https://docs.google.com/spreadsheets/d/1ItG2mGa2ceCfYo0BwxsXqNm01IGEUdYcSSLTEv9YCik/edit?usp=sharing"",""เบิกจ่ายกองทุน!AE29"")"),0)</f>
        <v>0</v>
      </c>
      <c r="S99" s="224">
        <f ca="1">IFERROR(__xludf.DUMMYFUNCTION("IMPORTRANGE(""https://docs.google.com/spreadsheets/d/1ItG2mGa2ceCfYo0BwxsXqNm01IGEUdYcSSLTEv9YCik/edit?usp=sharing"",""เบิกจ่ายกองทุน!AF29"")"),0)</f>
        <v>0</v>
      </c>
      <c r="T99" s="224">
        <f t="shared" ca="1" si="31"/>
        <v>0</v>
      </c>
      <c r="U99" s="224">
        <f t="shared" ca="1" si="32"/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468">
        <f ca="1">L101+L102</f>
        <v>0</v>
      </c>
      <c r="M100" s="224">
        <f ca="1">M101+M102</f>
        <v>0</v>
      </c>
      <c r="N100" s="224">
        <f ca="1">N101+N102</f>
        <v>0</v>
      </c>
      <c r="O100" s="224">
        <f t="shared" ca="1" si="29"/>
        <v>0</v>
      </c>
      <c r="P100" s="224">
        <f t="shared" ca="1" si="30"/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 t="shared" si="31"/>
        <v>0</v>
      </c>
      <c r="U100" s="224">
        <f t="shared" si="32"/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469">
        <v>0</v>
      </c>
      <c r="M101" s="83">
        <v>0</v>
      </c>
      <c r="N101" s="83">
        <v>0</v>
      </c>
      <c r="O101" s="83">
        <f t="shared" si="29"/>
        <v>0</v>
      </c>
      <c r="P101" s="83">
        <f t="shared" si="30"/>
        <v>0</v>
      </c>
      <c r="Q101" s="83">
        <v>0</v>
      </c>
      <c r="R101" s="83">
        <v>0</v>
      </c>
      <c r="S101" s="83">
        <v>0</v>
      </c>
      <c r="T101" s="83">
        <f t="shared" si="31"/>
        <v>0</v>
      </c>
      <c r="U101" s="83">
        <f t="shared" si="32"/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468">
        <f ca="1">IFERROR(__xludf.DUMMYFUNCTION("IMPORTRANGE(""https://docs.google.com/spreadsheets/d/1-uDff_7J0KD5mKrp0Vvzr7lt3OU09vwQwhkpOPPYv2Y/edit?usp=sharing"",""งบพรบ!AZ29"")"),0)</f>
        <v>0</v>
      </c>
      <c r="M102" s="224">
        <f ca="1">IFERROR(__xludf.DUMMYFUNCTION("IMPORTRANGE(""https://docs.google.com/spreadsheets/d/1-uDff_7J0KD5mKrp0Vvzr7lt3OU09vwQwhkpOPPYv2Y/edit?usp=sharing"",""งบพรบ!BC29"")"),0)</f>
        <v>0</v>
      </c>
      <c r="N102" s="224">
        <f ca="1">IFERROR(__xludf.DUMMYFUNCTION("IMPORTRANGE(""https://docs.google.com/spreadsheets/d/1-uDff_7J0KD5mKrp0Vvzr7lt3OU09vwQwhkpOPPYv2Y/edit?usp=sharing"",""งบพรบ!BE29"")"),0)</f>
        <v>0</v>
      </c>
      <c r="O102" s="224">
        <f t="shared" ca="1" si="29"/>
        <v>0</v>
      </c>
      <c r="P102" s="224">
        <f t="shared" ca="1" si="30"/>
        <v>0</v>
      </c>
      <c r="Q102" s="224">
        <v>0</v>
      </c>
      <c r="R102" s="224">
        <v>0</v>
      </c>
      <c r="S102" s="224">
        <v>0</v>
      </c>
      <c r="T102" s="224">
        <f t="shared" si="31"/>
        <v>0</v>
      </c>
      <c r="U102" s="224">
        <f t="shared" si="32"/>
        <v>0</v>
      </c>
    </row>
    <row r="103" spans="1:21" ht="19.5" hidden="1" x14ac:dyDescent="0.3">
      <c r="A103" s="138"/>
      <c r="B103" s="139"/>
      <c r="C103" s="129" t="s">
        <v>18</v>
      </c>
      <c r="D103" s="498" t="s">
        <v>38</v>
      </c>
      <c r="E103" s="141"/>
      <c r="F103" s="141"/>
      <c r="G103" s="142"/>
      <c r="H103" s="143"/>
      <c r="I103" s="135"/>
      <c r="J103" s="44"/>
      <c r="K103" s="45"/>
      <c r="L103" s="465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571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571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571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465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IFERROR(__xludf.DUMMYFUNCTION("IMPORTRANGE(""https://docs.google.com/spreadsheets/d/1eHaY18a8A9IcSdp1K8H6x8fbOy06t2VsZHhMHf-1x7Y/edit?usp=sharing"",""แผน!N29"")"),0)</f>
        <v>0</v>
      </c>
      <c r="J108" s="466">
        <v>0</v>
      </c>
      <c r="K108" s="224">
        <f ca="1">IF(I108&gt;0,J108*100/I108,0)</f>
        <v>0</v>
      </c>
      <c r="L108" s="465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IFERROR(__xludf.DUMMYFUNCTION("IMPORTRANGE(""https://docs.google.com/spreadsheets/d/1eHaY18a8A9IcSdp1K8H6x8fbOy06t2VsZHhMHf-1x7Y/edit?usp=sharing"",""แผน!O29"")"),0)</f>
        <v>0</v>
      </c>
      <c r="J109" s="466">
        <v>0</v>
      </c>
      <c r="K109" s="224">
        <f ca="1">IF(I109&gt;0,J109*100/I109,0)</f>
        <v>0</v>
      </c>
      <c r="L109" s="465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571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571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571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571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581">
        <f ca="1">IFERROR(__xludf.DUMMYFUNCTION("IMPORTRANGE(""https://docs.google.com/spreadsheets/d/1eHaY18a8A9IcSdp1K8H6x8fbOy06t2VsZHhMHf-1x7Y/edit?usp=sharing"",""แผน!R29"")"),0)</f>
        <v>0</v>
      </c>
      <c r="J114" s="466">
        <v>0</v>
      </c>
      <c r="K114" s="224">
        <f ca="1">IF(I114&gt;0,J114*100/I114,0)</f>
        <v>0</v>
      </c>
      <c r="L114" s="46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671" t="s">
        <v>51</v>
      </c>
      <c r="B115" s="668"/>
      <c r="C115" s="670"/>
      <c r="D115" s="669"/>
      <c r="E115" s="669"/>
      <c r="F115" s="669"/>
      <c r="G115" s="669"/>
      <c r="H115" s="668"/>
      <c r="I115" s="667"/>
      <c r="J115" s="667"/>
      <c r="K115" s="66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665">
        <f ca="1">I127</f>
        <v>25</v>
      </c>
      <c r="J116" s="665">
        <f>J127</f>
        <v>25</v>
      </c>
      <c r="K116" s="664">
        <f ca="1">IF(I116&gt;0,J116*100/I116,0)</f>
        <v>100</v>
      </c>
      <c r="L116" s="510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472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471">
        <f ca="1">L118+L119</f>
        <v>0</v>
      </c>
      <c r="M117" s="470">
        <f ca="1">M118+M119</f>
        <v>0</v>
      </c>
      <c r="N117" s="470">
        <f ca="1">N118+N119</f>
        <v>0</v>
      </c>
      <c r="O117" s="470">
        <f t="shared" ref="O117:O125" ca="1" si="35">IF(L117&gt;0,N117*100/L117,0)</f>
        <v>0</v>
      </c>
      <c r="P117" s="470">
        <f t="shared" ref="P117:P125" ca="1" si="36">IF(M117&gt;0,N117*100/M117,0)</f>
        <v>0</v>
      </c>
      <c r="Q117" s="470">
        <f ca="1">Q118+Q119</f>
        <v>229220</v>
      </c>
      <c r="R117" s="470">
        <f ca="1">R118+R119</f>
        <v>229220</v>
      </c>
      <c r="S117" s="470">
        <f ca="1">S118+S119</f>
        <v>128307</v>
      </c>
      <c r="T117" s="470">
        <f t="shared" ref="T117:T125" ca="1" si="37">IF(Q117&gt;0,S117*100/Q117,0)</f>
        <v>55.975482069627432</v>
      </c>
      <c r="U117" s="470">
        <f t="shared" ref="U117:U125" ca="1" si="38">IF(R117&gt;0,S117*100/R117,0)</f>
        <v>55.975482069627432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469">
        <f t="shared" ref="L118:N119" si="39">L121+L124</f>
        <v>0</v>
      </c>
      <c r="M118" s="83">
        <f t="shared" si="39"/>
        <v>0</v>
      </c>
      <c r="N118" s="83">
        <f t="shared" si="39"/>
        <v>0</v>
      </c>
      <c r="O118" s="83">
        <f t="shared" si="35"/>
        <v>0</v>
      </c>
      <c r="P118" s="83">
        <f t="shared" si="36"/>
        <v>0</v>
      </c>
      <c r="Q118" s="83">
        <f t="shared" ref="Q118:S119" si="40">Q121+Q124</f>
        <v>0</v>
      </c>
      <c r="R118" s="83">
        <f t="shared" si="40"/>
        <v>0</v>
      </c>
      <c r="S118" s="83">
        <f t="shared" si="40"/>
        <v>0</v>
      </c>
      <c r="T118" s="83">
        <f t="shared" si="37"/>
        <v>0</v>
      </c>
      <c r="U118" s="83">
        <f t="shared" si="38"/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468">
        <f t="shared" ca="1" si="39"/>
        <v>0</v>
      </c>
      <c r="M119" s="224">
        <f t="shared" ca="1" si="39"/>
        <v>0</v>
      </c>
      <c r="N119" s="224">
        <f t="shared" ca="1" si="39"/>
        <v>0</v>
      </c>
      <c r="O119" s="224">
        <f t="shared" ca="1" si="35"/>
        <v>0</v>
      </c>
      <c r="P119" s="224">
        <f t="shared" ca="1" si="36"/>
        <v>0</v>
      </c>
      <c r="Q119" s="224">
        <f t="shared" ca="1" si="40"/>
        <v>229220</v>
      </c>
      <c r="R119" s="224">
        <f t="shared" ca="1" si="40"/>
        <v>229220</v>
      </c>
      <c r="S119" s="224">
        <f t="shared" ca="1" si="40"/>
        <v>128307</v>
      </c>
      <c r="T119" s="224">
        <f t="shared" ca="1" si="37"/>
        <v>55.975482069627432</v>
      </c>
      <c r="U119" s="224">
        <f t="shared" ca="1" si="38"/>
        <v>55.975482069627432</v>
      </c>
    </row>
    <row r="120" spans="1:21" ht="18.75" x14ac:dyDescent="0.25">
      <c r="A120" s="128"/>
      <c r="B120" s="158"/>
      <c r="C120" s="174"/>
      <c r="D120" s="53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468">
        <f ca="1">L121+L122</f>
        <v>0</v>
      </c>
      <c r="M120" s="224">
        <f ca="1">M121+M122</f>
        <v>0</v>
      </c>
      <c r="N120" s="224">
        <f ca="1">N121+N122</f>
        <v>0</v>
      </c>
      <c r="O120" s="224">
        <f t="shared" ca="1" si="35"/>
        <v>0</v>
      </c>
      <c r="P120" s="224">
        <f t="shared" ca="1" si="36"/>
        <v>0</v>
      </c>
      <c r="Q120" s="224">
        <f ca="1">Q121+Q122</f>
        <v>229220</v>
      </c>
      <c r="R120" s="224">
        <f ca="1">R121+R122</f>
        <v>229220</v>
      </c>
      <c r="S120" s="224">
        <f ca="1">S121+S122</f>
        <v>128307</v>
      </c>
      <c r="T120" s="224">
        <f t="shared" ca="1" si="37"/>
        <v>55.975482069627432</v>
      </c>
      <c r="U120" s="224">
        <f t="shared" ca="1" si="38"/>
        <v>55.975482069627432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469">
        <v>0</v>
      </c>
      <c r="M121" s="83">
        <v>0</v>
      </c>
      <c r="N121" s="83">
        <v>0</v>
      </c>
      <c r="O121" s="83">
        <f t="shared" si="35"/>
        <v>0</v>
      </c>
      <c r="P121" s="83">
        <f t="shared" si="36"/>
        <v>0</v>
      </c>
      <c r="Q121" s="83">
        <v>0</v>
      </c>
      <c r="R121" s="83">
        <v>0</v>
      </c>
      <c r="S121" s="83">
        <v>0</v>
      </c>
      <c r="T121" s="83">
        <f t="shared" si="37"/>
        <v>0</v>
      </c>
      <c r="U121" s="83">
        <f t="shared" si="38"/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468">
        <f ca="1">IFERROR(__xludf.DUMMYFUNCTION("IMPORTRANGE(""https://docs.google.com/spreadsheets/d/1-uDff_7J0KD5mKrp0Vvzr7lt3OU09vwQwhkpOPPYv2Y/edit?usp=sharing"",""งบพรบ!BG29"")"),0)</f>
        <v>0</v>
      </c>
      <c r="M122" s="224">
        <f ca="1">IFERROR(__xludf.DUMMYFUNCTION("IMPORTRANGE(""https://docs.google.com/spreadsheets/d/1-uDff_7J0KD5mKrp0Vvzr7lt3OU09vwQwhkpOPPYv2Y/edit?usp=sharing"",""งบพรบ!BL29"")"),0)</f>
        <v>0</v>
      </c>
      <c r="N122" s="224">
        <f ca="1">IFERROR(__xludf.DUMMYFUNCTION("IMPORTRANGE(""https://docs.google.com/spreadsheets/d/1-uDff_7J0KD5mKrp0Vvzr7lt3OU09vwQwhkpOPPYv2Y/edit?usp=sharing"",""งบพรบ!BN29"")"),0)</f>
        <v>0</v>
      </c>
      <c r="O122" s="224">
        <f t="shared" ca="1" si="35"/>
        <v>0</v>
      </c>
      <c r="P122" s="224">
        <f t="shared" ca="1" si="36"/>
        <v>0</v>
      </c>
      <c r="Q122" s="224">
        <f ca="1">IFERROR(__xludf.DUMMYFUNCTION("IMPORTRANGE(""https://docs.google.com/spreadsheets/d/1ItG2mGa2ceCfYo0BwxsXqNm01IGEUdYcSSLTEv9YCik/edit?usp=sharing"",""เบิกจ่ายกองทุน!R29"")"),229220)</f>
        <v>229220</v>
      </c>
      <c r="R122" s="224">
        <f ca="1">IFERROR(__xludf.DUMMYFUNCTION("IMPORTRANGE(""https://docs.google.com/spreadsheets/d/1ItG2mGa2ceCfYo0BwxsXqNm01IGEUdYcSSLTEv9YCik/edit?usp=sharing"",""เบิกจ่ายกองทุน!S29"")"),229220)</f>
        <v>229220</v>
      </c>
      <c r="S122" s="224">
        <f ca="1">IFERROR(__xludf.DUMMYFUNCTION("IMPORTRANGE(""https://docs.google.com/spreadsheets/d/1ItG2mGa2ceCfYo0BwxsXqNm01IGEUdYcSSLTEv9YCik/edit?usp=sharing"",""เบิกจ่ายกองทุน!T29"")"),128307)</f>
        <v>128307</v>
      </c>
      <c r="T122" s="224">
        <f t="shared" ca="1" si="37"/>
        <v>55.975482069627432</v>
      </c>
      <c r="U122" s="224">
        <f t="shared" ca="1" si="38"/>
        <v>55.975482069627432</v>
      </c>
    </row>
    <row r="123" spans="1:21" ht="18.75" x14ac:dyDescent="0.25">
      <c r="A123" s="128"/>
      <c r="B123" s="40"/>
      <c r="C123" s="174"/>
      <c r="D123" s="53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468">
        <f ca="1">L124+L125</f>
        <v>0</v>
      </c>
      <c r="M123" s="224">
        <f ca="1">M124+M125</f>
        <v>0</v>
      </c>
      <c r="N123" s="224">
        <f ca="1">N124+N125</f>
        <v>0</v>
      </c>
      <c r="O123" s="224">
        <f t="shared" ca="1" si="35"/>
        <v>0</v>
      </c>
      <c r="P123" s="224">
        <f t="shared" ca="1" si="36"/>
        <v>0</v>
      </c>
      <c r="Q123" s="224">
        <f>Q124+Q125</f>
        <v>0</v>
      </c>
      <c r="R123" s="224">
        <f>R124+R125</f>
        <v>0</v>
      </c>
      <c r="S123" s="224">
        <f>S124+S125</f>
        <v>0</v>
      </c>
      <c r="T123" s="224">
        <f t="shared" si="37"/>
        <v>0</v>
      </c>
      <c r="U123" s="224">
        <f t="shared" si="38"/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469">
        <v>0</v>
      </c>
      <c r="M124" s="83">
        <v>0</v>
      </c>
      <c r="N124" s="83">
        <v>0</v>
      </c>
      <c r="O124" s="83">
        <f t="shared" si="35"/>
        <v>0</v>
      </c>
      <c r="P124" s="83">
        <f t="shared" si="36"/>
        <v>0</v>
      </c>
      <c r="Q124" s="83">
        <v>0</v>
      </c>
      <c r="R124" s="83">
        <v>0</v>
      </c>
      <c r="S124" s="83">
        <v>0</v>
      </c>
      <c r="T124" s="83">
        <f t="shared" si="37"/>
        <v>0</v>
      </c>
      <c r="U124" s="83">
        <f t="shared" si="38"/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468">
        <f ca="1">IFERROR(__xludf.DUMMYFUNCTION("IMPORTRANGE(""https://docs.google.com/spreadsheets/d/1-uDff_7J0KD5mKrp0Vvzr7lt3OU09vwQwhkpOPPYv2Y/edit?usp=sharing"",""งบพรบ!BJ29"")"),0)</f>
        <v>0</v>
      </c>
      <c r="M125" s="224">
        <f ca="1">IFERROR(__xludf.DUMMYFUNCTION("IMPORTRANGE(""https://docs.google.com/spreadsheets/d/1-uDff_7J0KD5mKrp0Vvzr7lt3OU09vwQwhkpOPPYv2Y/edit?usp=sharing"",""งบพรบ!BM29"")"),0)</f>
        <v>0</v>
      </c>
      <c r="N125" s="224">
        <f ca="1">IFERROR(__xludf.DUMMYFUNCTION("IMPORTRANGE(""https://docs.google.com/spreadsheets/d/1-uDff_7J0KD5mKrp0Vvzr7lt3OU09vwQwhkpOPPYv2Y/edit?usp=sharing"",""งบพรบ!BO29"")"),0)</f>
        <v>0</v>
      </c>
      <c r="O125" s="224">
        <f t="shared" ca="1" si="35"/>
        <v>0</v>
      </c>
      <c r="P125" s="224">
        <f t="shared" ca="1" si="36"/>
        <v>0</v>
      </c>
      <c r="Q125" s="224">
        <v>0</v>
      </c>
      <c r="R125" s="224">
        <v>0</v>
      </c>
      <c r="S125" s="224">
        <v>0</v>
      </c>
      <c r="T125" s="224">
        <f t="shared" si="37"/>
        <v>0</v>
      </c>
      <c r="U125" s="224">
        <f t="shared" si="38"/>
        <v>0</v>
      </c>
    </row>
    <row r="126" spans="1:21" ht="19.5" x14ac:dyDescent="0.3">
      <c r="A126" s="138"/>
      <c r="B126" s="139"/>
      <c r="C126" s="177" t="s">
        <v>18</v>
      </c>
      <c r="D126" s="498" t="s">
        <v>38</v>
      </c>
      <c r="E126" s="141"/>
      <c r="F126" s="141"/>
      <c r="G126" s="142"/>
      <c r="H126" s="178"/>
      <c r="I126" s="44"/>
      <c r="J126" s="44"/>
      <c r="K126" s="45"/>
      <c r="L126" s="465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IFERROR(__xludf.DUMMYFUNCTION("IMPORTRANGE(""https://docs.google.com/spreadsheets/d/1eHaY18a8A9IcSdp1K8H6x8fbOy06t2VsZHhMHf-1x7Y/edit?usp=sharing"",""แผน!FF29"")"),25)</f>
        <v>25</v>
      </c>
      <c r="J127" s="466">
        <v>25</v>
      </c>
      <c r="K127" s="224">
        <f ca="1">IF(I127&gt;0,J127*100/I127,0)</f>
        <v>100</v>
      </c>
      <c r="L127" s="465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IFERROR(__xludf.DUMMYFUNCTION("IMPORTRANGE(""https://docs.google.com/spreadsheets/d/1eHaY18a8A9IcSdp1K8H6x8fbOy06t2VsZHhMHf-1x7Y/edit?usp=sharing"",""แผน!FG29"")"),0)</f>
        <v>0</v>
      </c>
      <c r="J128" s="466">
        <v>2</v>
      </c>
      <c r="K128" s="224">
        <f ca="1">IF(I128&gt;0,J128*100/I128,0)</f>
        <v>0</v>
      </c>
      <c r="L128" s="465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IFERROR(__xludf.DUMMYFUNCTION("IMPORTRANGE(""https://docs.google.com/spreadsheets/d/1eHaY18a8A9IcSdp1K8H6x8fbOy06t2VsZHhMHf-1x7Y/edit?usp=sharing"",""แผน!FH29"")"),25)</f>
        <v>25</v>
      </c>
      <c r="J129" s="466">
        <v>25</v>
      </c>
      <c r="K129" s="224">
        <f ca="1">IF(I129&gt;0,J129*100/I129,0)</f>
        <v>100</v>
      </c>
      <c r="L129" s="465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IFERROR(__xludf.DUMMYFUNCTION("IMPORTRANGE(""https://docs.google.com/spreadsheets/d/1eHaY18a8A9IcSdp1K8H6x8fbOy06t2VsZHhMHf-1x7Y/edit?usp=sharing"",""แผน!FI29"")"),0)</f>
        <v>0</v>
      </c>
      <c r="J130" s="466">
        <v>2</v>
      </c>
      <c r="K130" s="224">
        <f ca="1">IF(I130&gt;0,J130*100/I130,0)</f>
        <v>0</v>
      </c>
      <c r="L130" s="465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465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465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57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10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665">
        <f ca="1">I154</f>
        <v>1</v>
      </c>
      <c r="J136" s="665">
        <f>J154</f>
        <v>0</v>
      </c>
      <c r="K136" s="664">
        <f ca="1">IF(I136&gt;0,J136*100/I136,0)</f>
        <v>0</v>
      </c>
      <c r="L136" s="510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665">
        <f ca="1">I152</f>
        <v>20</v>
      </c>
      <c r="J137" s="665">
        <f>J152</f>
        <v>0</v>
      </c>
      <c r="K137" s="664">
        <f ca="1">IF(I137&gt;0,J137*100/I137,0)</f>
        <v>0</v>
      </c>
      <c r="L137" s="510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665">
        <f ca="1">I153</f>
        <v>2</v>
      </c>
      <c r="J138" s="665">
        <f>J153</f>
        <v>0</v>
      </c>
      <c r="K138" s="664">
        <f ca="1">IF(I138&gt;0,J138*100/I138,0)</f>
        <v>0</v>
      </c>
      <c r="L138" s="510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129" t="s">
        <v>18</v>
      </c>
      <c r="D139" s="472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471">
        <f ca="1">L140+L141</f>
        <v>136400</v>
      </c>
      <c r="M139" s="470">
        <f ca="1">M140+M141</f>
        <v>131400</v>
      </c>
      <c r="N139" s="470">
        <f ca="1">N140+N141</f>
        <v>86427.63</v>
      </c>
      <c r="O139" s="470">
        <f t="shared" ref="O139:O147" ca="1" si="41">IF(L139&gt;0,N139*100/L139,0)</f>
        <v>63.3633651026393</v>
      </c>
      <c r="P139" s="470">
        <f t="shared" ref="P139:P147" ca="1" si="42">IF(M139&gt;0,N139*100/M139,0)</f>
        <v>65.774452054794523</v>
      </c>
      <c r="Q139" s="470">
        <f ca="1">Q140+Q141</f>
        <v>0</v>
      </c>
      <c r="R139" s="470">
        <f ca="1">R140+R141</f>
        <v>0</v>
      </c>
      <c r="S139" s="470">
        <f ca="1">S140+S141</f>
        <v>0</v>
      </c>
      <c r="T139" s="470">
        <f t="shared" ref="T139:T147" ca="1" si="43">IF(Q139&gt;0,S139*100/Q139,0)</f>
        <v>0</v>
      </c>
      <c r="U139" s="470">
        <f t="shared" ref="U139:U147" ca="1" si="44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469">
        <f t="shared" ref="L140:N141" si="45">L143+L146</f>
        <v>0</v>
      </c>
      <c r="M140" s="83">
        <f t="shared" si="45"/>
        <v>0</v>
      </c>
      <c r="N140" s="83">
        <f t="shared" si="45"/>
        <v>0</v>
      </c>
      <c r="O140" s="83">
        <f t="shared" si="41"/>
        <v>0</v>
      </c>
      <c r="P140" s="83">
        <f t="shared" si="42"/>
        <v>0</v>
      </c>
      <c r="Q140" s="83">
        <f t="shared" ref="Q140:S141" si="46">Q143+Q146</f>
        <v>0</v>
      </c>
      <c r="R140" s="83">
        <f t="shared" si="46"/>
        <v>0</v>
      </c>
      <c r="S140" s="83">
        <f t="shared" si="46"/>
        <v>0</v>
      </c>
      <c r="T140" s="83">
        <f t="shared" si="43"/>
        <v>0</v>
      </c>
      <c r="U140" s="83">
        <f t="shared" si="44"/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468">
        <f t="shared" ca="1" si="45"/>
        <v>136400</v>
      </c>
      <c r="M141" s="224">
        <f t="shared" ca="1" si="45"/>
        <v>131400</v>
      </c>
      <c r="N141" s="224">
        <f t="shared" ca="1" si="45"/>
        <v>86427.63</v>
      </c>
      <c r="O141" s="224">
        <f t="shared" ca="1" si="41"/>
        <v>63.3633651026393</v>
      </c>
      <c r="P141" s="224">
        <f t="shared" ca="1" si="42"/>
        <v>65.774452054794523</v>
      </c>
      <c r="Q141" s="224">
        <f t="shared" ca="1" si="46"/>
        <v>0</v>
      </c>
      <c r="R141" s="224">
        <f t="shared" ca="1" si="46"/>
        <v>0</v>
      </c>
      <c r="S141" s="224">
        <f t="shared" ca="1" si="46"/>
        <v>0</v>
      </c>
      <c r="T141" s="224">
        <f t="shared" ca="1" si="43"/>
        <v>0</v>
      </c>
      <c r="U141" s="224">
        <f t="shared" ca="1" si="44"/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468">
        <f ca="1">L143+L144</f>
        <v>136400</v>
      </c>
      <c r="M142" s="224">
        <f ca="1">M143+M144</f>
        <v>131400</v>
      </c>
      <c r="N142" s="224">
        <f ca="1">N143+N144</f>
        <v>86427.63</v>
      </c>
      <c r="O142" s="224">
        <f t="shared" ca="1" si="41"/>
        <v>63.3633651026393</v>
      </c>
      <c r="P142" s="224">
        <f t="shared" ca="1" si="42"/>
        <v>65.774452054794523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t="shared" ca="1" si="43"/>
        <v>0</v>
      </c>
      <c r="U142" s="224">
        <f t="shared" ca="1" si="44"/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469">
        <v>0</v>
      </c>
      <c r="M143" s="83">
        <v>0</v>
      </c>
      <c r="N143" s="83">
        <v>0</v>
      </c>
      <c r="O143" s="83">
        <f t="shared" si="41"/>
        <v>0</v>
      </c>
      <c r="P143" s="83">
        <f t="shared" si="42"/>
        <v>0</v>
      </c>
      <c r="Q143" s="83">
        <v>0</v>
      </c>
      <c r="R143" s="83">
        <v>0</v>
      </c>
      <c r="S143" s="83">
        <v>0</v>
      </c>
      <c r="T143" s="83">
        <f t="shared" si="43"/>
        <v>0</v>
      </c>
      <c r="U143" s="83">
        <f t="shared" si="44"/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468">
        <f ca="1">IFERROR(__xludf.DUMMYFUNCTION("IMPORTRANGE(""https://docs.google.com/spreadsheets/d/1-uDff_7J0KD5mKrp0Vvzr7lt3OU09vwQwhkpOPPYv2Y/edit?usp=sharing"",""งบพรบ!BQ29"")"),136400)</f>
        <v>136400</v>
      </c>
      <c r="M144" s="224">
        <f ca="1">IFERROR(__xludf.DUMMYFUNCTION("IMPORTRANGE(""https://docs.google.com/spreadsheets/d/1-uDff_7J0KD5mKrp0Vvzr7lt3OU09vwQwhkpOPPYv2Y/edit?usp=sharing"",""งบพรบ!BV29"")"),131400)</f>
        <v>131400</v>
      </c>
      <c r="N144" s="224">
        <f ca="1">IFERROR(__xludf.DUMMYFUNCTION("IMPORTRANGE(""https://docs.google.com/spreadsheets/d/1-uDff_7J0KD5mKrp0Vvzr7lt3OU09vwQwhkpOPPYv2Y/edit?usp=sharing"",""งบพรบ!BX29"")"),86427.63)</f>
        <v>86427.63</v>
      </c>
      <c r="O144" s="224">
        <f t="shared" ca="1" si="41"/>
        <v>63.3633651026393</v>
      </c>
      <c r="P144" s="224">
        <f t="shared" ca="1" si="42"/>
        <v>65.774452054794523</v>
      </c>
      <c r="Q144" s="224">
        <f ca="1">IFERROR(__xludf.DUMMYFUNCTION("IMPORTRANGE(""https://docs.google.com/spreadsheets/d/1ItG2mGa2ceCfYo0BwxsXqNm01IGEUdYcSSLTEv9YCik/edit?usp=sharing"",""เบิกจ่ายกองทุน!BB29"")"),0)</f>
        <v>0</v>
      </c>
      <c r="R144" s="224">
        <f ca="1">IFERROR(__xludf.DUMMYFUNCTION("IMPORTRANGE(""https://docs.google.com/spreadsheets/d/1ItG2mGa2ceCfYo0BwxsXqNm01IGEUdYcSSLTEv9YCik/edit?usp=sharing"",""เบิกจ่ายกองทุน!BC29"")"),0)</f>
        <v>0</v>
      </c>
      <c r="S144" s="224">
        <f ca="1">IFERROR(__xludf.DUMMYFUNCTION("IMPORTRANGE(""https://docs.google.com/spreadsheets/d/1ItG2mGa2ceCfYo0BwxsXqNm01IGEUdYcSSLTEv9YCik/edit?usp=sharing"",""เบิกจ่ายกองทุน!BD29"")"),0)</f>
        <v>0</v>
      </c>
      <c r="T144" s="224">
        <f t="shared" ca="1" si="43"/>
        <v>0</v>
      </c>
      <c r="U144" s="224">
        <f t="shared" ca="1" si="44"/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468">
        <f ca="1">L146+L147</f>
        <v>0</v>
      </c>
      <c r="M145" s="224">
        <f ca="1">M146+M147</f>
        <v>0</v>
      </c>
      <c r="N145" s="224">
        <f ca="1">N146+N147</f>
        <v>0</v>
      </c>
      <c r="O145" s="224">
        <f t="shared" ca="1" si="41"/>
        <v>0</v>
      </c>
      <c r="P145" s="224">
        <f t="shared" ca="1" si="42"/>
        <v>0</v>
      </c>
      <c r="Q145" s="224">
        <f>Q146+Q147</f>
        <v>0</v>
      </c>
      <c r="R145" s="224">
        <f>R146+R147</f>
        <v>0</v>
      </c>
      <c r="S145" s="224">
        <f>S146+S147</f>
        <v>0</v>
      </c>
      <c r="T145" s="224">
        <f t="shared" si="43"/>
        <v>0</v>
      </c>
      <c r="U145" s="224">
        <f t="shared" si="44"/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469">
        <v>0</v>
      </c>
      <c r="M146" s="83">
        <v>0</v>
      </c>
      <c r="N146" s="83">
        <v>0</v>
      </c>
      <c r="O146" s="83">
        <f t="shared" si="41"/>
        <v>0</v>
      </c>
      <c r="P146" s="83">
        <f t="shared" si="42"/>
        <v>0</v>
      </c>
      <c r="Q146" s="83">
        <v>0</v>
      </c>
      <c r="R146" s="83">
        <v>0</v>
      </c>
      <c r="S146" s="83">
        <v>0</v>
      </c>
      <c r="T146" s="83">
        <f t="shared" si="43"/>
        <v>0</v>
      </c>
      <c r="U146" s="83">
        <f t="shared" si="44"/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468">
        <f ca="1">IFERROR(__xludf.DUMMYFUNCTION("IMPORTRANGE(""https://docs.google.com/spreadsheets/d/1-uDff_7J0KD5mKrp0Vvzr7lt3OU09vwQwhkpOPPYv2Y/edit?usp=sharing"",""งบพรบ!BT29"")"),0)</f>
        <v>0</v>
      </c>
      <c r="M147" s="224">
        <f ca="1">IFERROR(__xludf.DUMMYFUNCTION("IMPORTRANGE(""https://docs.google.com/spreadsheets/d/1-uDff_7J0KD5mKrp0Vvzr7lt3OU09vwQwhkpOPPYv2Y/edit?usp=sharing"",""งบพรบ!BW29"")"),0)</f>
        <v>0</v>
      </c>
      <c r="N147" s="224">
        <f ca="1">IFERROR(__xludf.DUMMYFUNCTION("IMPORTRANGE(""https://docs.google.com/spreadsheets/d/1-uDff_7J0KD5mKrp0Vvzr7lt3OU09vwQwhkpOPPYv2Y/edit?usp=sharing"",""งบพรบ!BY29"")"),0)</f>
        <v>0</v>
      </c>
      <c r="O147" s="224">
        <f t="shared" ca="1" si="41"/>
        <v>0</v>
      </c>
      <c r="P147" s="224">
        <f t="shared" ca="1" si="42"/>
        <v>0</v>
      </c>
      <c r="Q147" s="224">
        <v>0</v>
      </c>
      <c r="R147" s="224">
        <v>0</v>
      </c>
      <c r="S147" s="224">
        <v>0</v>
      </c>
      <c r="T147" s="224">
        <f t="shared" si="43"/>
        <v>0</v>
      </c>
      <c r="U147" s="224">
        <f t="shared" si="44"/>
        <v>0</v>
      </c>
    </row>
    <row r="148" spans="1:21" ht="19.5" x14ac:dyDescent="0.3">
      <c r="A148" s="138"/>
      <c r="B148" s="139"/>
      <c r="C148" s="129" t="s">
        <v>18</v>
      </c>
      <c r="D148" s="498" t="s">
        <v>38</v>
      </c>
      <c r="E148" s="141"/>
      <c r="F148" s="141"/>
      <c r="G148" s="142"/>
      <c r="H148" s="178"/>
      <c r="I148" s="44"/>
      <c r="J148" s="44"/>
      <c r="K148" s="45"/>
      <c r="L148" s="465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466">
        <v>0</v>
      </c>
      <c r="K149" s="45"/>
      <c r="L149" s="465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IFERROR(__xludf.DUMMYFUNCTION("IMPORTRANGE(""https://docs.google.com/spreadsheets/d/1eHaY18a8A9IcSdp1K8H6x8fbOy06t2VsZHhMHf-1x7Y/edit?usp=sharing"",""แผน!U29"")"),10)</f>
        <v>10</v>
      </c>
      <c r="J150" s="466">
        <v>0</v>
      </c>
      <c r="K150" s="224">
        <f ca="1">IF(I150&gt;0,J150*100/I150,0)</f>
        <v>0</v>
      </c>
      <c r="L150" s="465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IFERROR(__xludf.DUMMYFUNCTION("IMPORTRANGE(""https://docs.google.com/spreadsheets/d/1eHaY18a8A9IcSdp1K8H6x8fbOy06t2VsZHhMHf-1x7Y/edit?usp=sharing"",""แผน!V29"")"),1)</f>
        <v>1</v>
      </c>
      <c r="J151" s="466">
        <v>0</v>
      </c>
      <c r="K151" s="224">
        <f ca="1">IF(I151&gt;0,J151*100/I151,0)</f>
        <v>0</v>
      </c>
      <c r="L151" s="465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IFERROR(__xludf.DUMMYFUNCTION("IMPORTRANGE(""https://docs.google.com/spreadsheets/d/1eHaY18a8A9IcSdp1K8H6x8fbOy06t2VsZHhMHf-1x7Y/edit?usp=sharing"",""แผน!W29"")"),20)</f>
        <v>20</v>
      </c>
      <c r="J152" s="466">
        <v>0</v>
      </c>
      <c r="K152" s="224">
        <f ca="1">IF(I152&gt;0,J152*100/I152,0)</f>
        <v>0</v>
      </c>
      <c r="L152" s="465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IFERROR(__xludf.DUMMYFUNCTION("IMPORTRANGE(""https://docs.google.com/spreadsheets/d/1eHaY18a8A9IcSdp1K8H6x8fbOy06t2VsZHhMHf-1x7Y/edit?usp=sharing"",""แผน!X29"")"),2)</f>
        <v>2</v>
      </c>
      <c r="J153" s="466">
        <v>0</v>
      </c>
      <c r="K153" s="224">
        <f ca="1">IF(I153&gt;0,J153*100/I153,0)</f>
        <v>0</v>
      </c>
      <c r="L153" s="465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IFERROR(__xludf.DUMMYFUNCTION("IMPORTRANGE(""https://docs.google.com/spreadsheets/d/1eHaY18a8A9IcSdp1K8H6x8fbOy06t2VsZHhMHf-1x7Y/edit?usp=sharing"",""แผน!Y29"")"),1)</f>
        <v>1</v>
      </c>
      <c r="J154" s="466">
        <v>0</v>
      </c>
      <c r="K154" s="224">
        <f ca="1">IF(I154&gt;0,J154*100/I154,0)</f>
        <v>0</v>
      </c>
      <c r="L154" s="465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hidden="1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665">
        <f ca="1">I169</f>
        <v>0</v>
      </c>
      <c r="J156" s="665">
        <f>J169</f>
        <v>0</v>
      </c>
      <c r="K156" s="664">
        <f ca="1">IF(I156&gt;0,J156*100/I156,0)</f>
        <v>0</v>
      </c>
      <c r="L156" s="510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hidden="1" x14ac:dyDescent="0.3">
      <c r="A157" s="128"/>
      <c r="B157" s="40"/>
      <c r="C157" s="129" t="s">
        <v>18</v>
      </c>
      <c r="D157" s="472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471">
        <f ca="1">L158+L159</f>
        <v>0</v>
      </c>
      <c r="M157" s="470">
        <f ca="1">M158+M159</f>
        <v>1120</v>
      </c>
      <c r="N157" s="470">
        <f ca="1">N158+N159</f>
        <v>0</v>
      </c>
      <c r="O157" s="470">
        <f t="shared" ref="O157:O165" ca="1" si="47">IF(L157&gt;0,N157*100/L157,0)</f>
        <v>0</v>
      </c>
      <c r="P157" s="470">
        <f t="shared" ref="P157:P165" ca="1" si="48">IF(M157&gt;0,N157*100/M157,0)</f>
        <v>0</v>
      </c>
      <c r="Q157" s="470">
        <f ca="1">Q158+Q159</f>
        <v>0</v>
      </c>
      <c r="R157" s="470">
        <f ca="1">R158+R159</f>
        <v>0</v>
      </c>
      <c r="S157" s="470">
        <f ca="1">S158+S159</f>
        <v>0</v>
      </c>
      <c r="T157" s="470">
        <f t="shared" ref="T157:T165" ca="1" si="49">IF(Q157&gt;0,S157*100/Q157,0)</f>
        <v>0</v>
      </c>
      <c r="U157" s="470">
        <f t="shared" ref="U157:U165" ca="1" si="50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469">
        <f t="shared" ref="L158:N159" si="51">L161+L164</f>
        <v>0</v>
      </c>
      <c r="M158" s="83">
        <f t="shared" si="51"/>
        <v>0</v>
      </c>
      <c r="N158" s="83">
        <f t="shared" si="51"/>
        <v>0</v>
      </c>
      <c r="O158" s="83">
        <f t="shared" si="47"/>
        <v>0</v>
      </c>
      <c r="P158" s="83">
        <f t="shared" si="48"/>
        <v>0</v>
      </c>
      <c r="Q158" s="83">
        <f t="shared" ref="Q158:S159" si="52">Q161+Q164</f>
        <v>0</v>
      </c>
      <c r="R158" s="83">
        <f t="shared" si="52"/>
        <v>0</v>
      </c>
      <c r="S158" s="83">
        <f t="shared" si="52"/>
        <v>0</v>
      </c>
      <c r="T158" s="83">
        <f t="shared" si="49"/>
        <v>0</v>
      </c>
      <c r="U158" s="83">
        <f t="shared" si="50"/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468">
        <f t="shared" ca="1" si="51"/>
        <v>0</v>
      </c>
      <c r="M159" s="224">
        <f t="shared" ca="1" si="51"/>
        <v>1120</v>
      </c>
      <c r="N159" s="224">
        <f t="shared" ca="1" si="51"/>
        <v>0</v>
      </c>
      <c r="O159" s="224">
        <f t="shared" ca="1" si="47"/>
        <v>0</v>
      </c>
      <c r="P159" s="224">
        <f t="shared" ca="1" si="48"/>
        <v>0</v>
      </c>
      <c r="Q159" s="224">
        <f t="shared" ca="1" si="52"/>
        <v>0</v>
      </c>
      <c r="R159" s="224">
        <f t="shared" ca="1" si="52"/>
        <v>0</v>
      </c>
      <c r="S159" s="224">
        <f t="shared" ca="1" si="52"/>
        <v>0</v>
      </c>
      <c r="T159" s="224">
        <f t="shared" ca="1" si="49"/>
        <v>0</v>
      </c>
      <c r="U159" s="224">
        <f t="shared" ca="1" si="50"/>
        <v>0</v>
      </c>
    </row>
    <row r="160" spans="1:21" ht="18.75" hidden="1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468">
        <f ca="1">L161+L162</f>
        <v>0</v>
      </c>
      <c r="M160" s="224">
        <f ca="1">M161+M162</f>
        <v>1120</v>
      </c>
      <c r="N160" s="224">
        <f ca="1">N161+N162</f>
        <v>0</v>
      </c>
      <c r="O160" s="224">
        <f t="shared" ca="1" si="47"/>
        <v>0</v>
      </c>
      <c r="P160" s="224">
        <f t="shared" ca="1" si="48"/>
        <v>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t="shared" ca="1" si="49"/>
        <v>0</v>
      </c>
      <c r="U160" s="224">
        <f t="shared" ca="1" si="50"/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469">
        <v>0</v>
      </c>
      <c r="M161" s="83">
        <v>0</v>
      </c>
      <c r="N161" s="83">
        <v>0</v>
      </c>
      <c r="O161" s="83">
        <f t="shared" si="47"/>
        <v>0</v>
      </c>
      <c r="P161" s="83">
        <f t="shared" si="48"/>
        <v>0</v>
      </c>
      <c r="Q161" s="83">
        <v>0</v>
      </c>
      <c r="R161" s="83">
        <v>0</v>
      </c>
      <c r="S161" s="83">
        <v>0</v>
      </c>
      <c r="T161" s="83">
        <f t="shared" si="49"/>
        <v>0</v>
      </c>
      <c r="U161" s="83">
        <f t="shared" si="50"/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468">
        <f ca="1">IFERROR(__xludf.DUMMYFUNCTION("IMPORTRANGE(""https://docs.google.com/spreadsheets/d/1-uDff_7J0KD5mKrp0Vvzr7lt3OU09vwQwhkpOPPYv2Y/edit?usp=sharing"",""งบพรบ!CA29"")"),0)</f>
        <v>0</v>
      </c>
      <c r="M162" s="224">
        <f ca="1">IFERROR(__xludf.DUMMYFUNCTION("IMPORTRANGE(""https://docs.google.com/spreadsheets/d/1-uDff_7J0KD5mKrp0Vvzr7lt3OU09vwQwhkpOPPYv2Y/edit?usp=sharing"",""งบพรบ!CF29"")"),1120)</f>
        <v>1120</v>
      </c>
      <c r="N162" s="224">
        <f ca="1">IFERROR(__xludf.DUMMYFUNCTION("IMPORTRANGE(""https://docs.google.com/spreadsheets/d/1-uDff_7J0KD5mKrp0Vvzr7lt3OU09vwQwhkpOPPYv2Y/edit?usp=sharing"",""งบพรบ!CH29"")"),0)</f>
        <v>0</v>
      </c>
      <c r="O162" s="224">
        <f t="shared" ca="1" si="47"/>
        <v>0</v>
      </c>
      <c r="P162" s="224">
        <f t="shared" ca="1" si="48"/>
        <v>0</v>
      </c>
      <c r="Q162" s="224">
        <f ca="1">IFERROR(__xludf.DUMMYFUNCTION("IMPORTRANGE(""https://docs.google.com/spreadsheets/d/1ItG2mGa2ceCfYo0BwxsXqNm01IGEUdYcSSLTEv9YCik/edit?usp=sharing"",""เบิกจ่ายกองทุน!AG29"")"),0)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IFERROR(__xludf.DUMMYFUNCTION("IMPORTRANGE(""https://docs.google.com/spreadsheets/d/1ItG2mGa2ceCfYo0BwxsXqNm01IGEUdYcSSLTEv9YCik/edit?usp=sharing"",""เบิกจ่ายกองทุน!AH29"")"),0)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IFERROR(__xludf.DUMMYFUNCTION("IMPORTRANGE(""https://docs.google.com/spreadsheets/d/1ItG2mGa2ceCfYo0BwxsXqNm01IGEUdYcSSLTEv9YCik/edit?usp=sharing"",""เบิกจ่ายกองทุน!AI29"")"),0)</f>
        <v>0</v>
      </c>
      <c r="T162" s="224">
        <f t="shared" ca="1" si="49"/>
        <v>0</v>
      </c>
      <c r="U162" s="224">
        <f t="shared" ca="1" si="50"/>
        <v>0</v>
      </c>
    </row>
    <row r="163" spans="1:21" ht="18.75" hidden="1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468">
        <f ca="1">L164+L165</f>
        <v>0</v>
      </c>
      <c r="M163" s="224">
        <f ca="1">M164+M165</f>
        <v>0</v>
      </c>
      <c r="N163" s="224">
        <f ca="1">N164+N165</f>
        <v>0</v>
      </c>
      <c r="O163" s="224">
        <f t="shared" ca="1" si="47"/>
        <v>0</v>
      </c>
      <c r="P163" s="224">
        <f t="shared" ca="1" si="48"/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 t="shared" si="49"/>
        <v>0</v>
      </c>
      <c r="U163" s="224">
        <f t="shared" si="50"/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469">
        <v>0</v>
      </c>
      <c r="M164" s="83">
        <v>0</v>
      </c>
      <c r="N164" s="83">
        <v>0</v>
      </c>
      <c r="O164" s="83">
        <f t="shared" si="47"/>
        <v>0</v>
      </c>
      <c r="P164" s="83">
        <f t="shared" si="48"/>
        <v>0</v>
      </c>
      <c r="Q164" s="83">
        <v>0</v>
      </c>
      <c r="R164" s="83">
        <v>0</v>
      </c>
      <c r="S164" s="83">
        <v>0</v>
      </c>
      <c r="T164" s="83">
        <f t="shared" si="49"/>
        <v>0</v>
      </c>
      <c r="U164" s="83">
        <f t="shared" si="50"/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468">
        <f ca="1">IFERROR(__xludf.DUMMYFUNCTION("IMPORTRANGE(""https://docs.google.com/spreadsheets/d/1-uDff_7J0KD5mKrp0Vvzr7lt3OU09vwQwhkpOPPYv2Y/edit?usp=sharing"",""งบพรบ!CD29"")"),0)</f>
        <v>0</v>
      </c>
      <c r="M165" s="224">
        <f ca="1">IFERROR(__xludf.DUMMYFUNCTION("IMPORTRANGE(""https://docs.google.com/spreadsheets/d/1-uDff_7J0KD5mKrp0Vvzr7lt3OU09vwQwhkpOPPYv2Y/edit?usp=sharing"",""งบพรบ!CG29"")"),0)</f>
        <v>0</v>
      </c>
      <c r="N165" s="224">
        <f ca="1">IFERROR(__xludf.DUMMYFUNCTION("IMPORTRANGE(""https://docs.google.com/spreadsheets/d/1-uDff_7J0KD5mKrp0Vvzr7lt3OU09vwQwhkpOPPYv2Y/edit?usp=sharing"",""งบพรบ!CI29"")"),0)</f>
        <v>0</v>
      </c>
      <c r="O165" s="224">
        <f t="shared" ca="1" si="47"/>
        <v>0</v>
      </c>
      <c r="P165" s="224">
        <f t="shared" ca="1" si="48"/>
        <v>0</v>
      </c>
      <c r="Q165" s="224">
        <v>0</v>
      </c>
      <c r="R165" s="224">
        <v>0</v>
      </c>
      <c r="S165" s="224">
        <v>0</v>
      </c>
      <c r="T165" s="224">
        <f t="shared" si="49"/>
        <v>0</v>
      </c>
      <c r="U165" s="224">
        <f t="shared" si="50"/>
        <v>0</v>
      </c>
    </row>
    <row r="166" spans="1:21" ht="19.5" hidden="1" x14ac:dyDescent="0.3">
      <c r="A166" s="138"/>
      <c r="B166" s="139"/>
      <c r="C166" s="129" t="s">
        <v>18</v>
      </c>
      <c r="D166" s="498" t="s">
        <v>38</v>
      </c>
      <c r="E166" s="141"/>
      <c r="F166" s="141"/>
      <c r="G166" s="142"/>
      <c r="H166" s="178"/>
      <c r="I166" s="44"/>
      <c r="J166" s="44"/>
      <c r="K166" s="45"/>
      <c r="L166" s="465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hidden="1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IFERROR(__xludf.DUMMYFUNCTION("IMPORTRANGE(""https://docs.google.com/spreadsheets/d/1eHaY18a8A9IcSdp1K8H6x8fbOy06t2VsZHhMHf-1x7Y/edit?usp=sharing"",""แผน!Z29"")"),0)</f>
        <v>0</v>
      </c>
      <c r="J167" s="466">
        <v>0</v>
      </c>
      <c r="K167" s="224">
        <f ca="1">IF(I167&gt;0,J167*100/I167,0)</f>
        <v>0</v>
      </c>
      <c r="L167" s="465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375" t="s">
        <v>35</v>
      </c>
      <c r="I168" s="430">
        <f ca="1">IFERROR(__xludf.DUMMYFUNCTION("IMPORTRANGE(""https://docs.google.com/spreadsheets/d/1eHaY18a8A9IcSdp1K8H6x8fbOy06t2VsZHhMHf-1x7Y/edit?usp=sharing"",""แผน!Z29"")"),0)</f>
        <v>0</v>
      </c>
      <c r="J168" s="525">
        <v>0</v>
      </c>
      <c r="K168" s="83">
        <f ca="1">IF(I168&gt;0,J168*100/I168,0)</f>
        <v>0</v>
      </c>
      <c r="L168" s="465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31" t="s">
        <v>71</v>
      </c>
      <c r="E169" s="1"/>
      <c r="F169" s="1"/>
      <c r="G169" s="52"/>
      <c r="H169" s="663" t="s">
        <v>35</v>
      </c>
      <c r="I169" s="433">
        <f ca="1">IFERROR(__xludf.DUMMYFUNCTION("IMPORTRANGE(""https://docs.google.com/spreadsheets/d/1eHaY18a8A9IcSdp1K8H6x8fbOy06t2VsZHhMHf-1x7Y/edit?usp=sharing"",""แผน!Z29"")"),0)</f>
        <v>0</v>
      </c>
      <c r="J169" s="522">
        <v>0</v>
      </c>
      <c r="K169" s="521">
        <f ca="1">IF(I169&gt;0,J169*100/I169,0)</f>
        <v>0</v>
      </c>
      <c r="L169" s="46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662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661">
        <f ca="1">I183+I184</f>
        <v>7</v>
      </c>
      <c r="J172" s="661">
        <f>J183+J184</f>
        <v>7</v>
      </c>
      <c r="K172" s="660">
        <f ca="1">IF(I172&gt;0,J172*100/I172,0)</f>
        <v>100</v>
      </c>
      <c r="L172" s="659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472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471">
        <f ca="1">L174+L175</f>
        <v>19590</v>
      </c>
      <c r="M173" s="470">
        <f ca="1">M174+M175</f>
        <v>85520</v>
      </c>
      <c r="N173" s="470">
        <f ca="1">N174+N175</f>
        <v>85520</v>
      </c>
      <c r="O173" s="470">
        <f t="shared" ref="O173:O181" ca="1" si="53">IF(L173&gt;0,N173*100/L173,0)</f>
        <v>436.54925982644204</v>
      </c>
      <c r="P173" s="470">
        <f t="shared" ref="P173:P181" ca="1" si="54">IF(M173&gt;0,N173*100/M173,0)</f>
        <v>100</v>
      </c>
      <c r="Q173" s="470">
        <f ca="1">Q174+Q175</f>
        <v>0</v>
      </c>
      <c r="R173" s="470">
        <f ca="1">R174+R175</f>
        <v>0</v>
      </c>
      <c r="S173" s="470">
        <f ca="1">S174+S175</f>
        <v>0</v>
      </c>
      <c r="T173" s="470">
        <f t="shared" ref="T173:T181" ca="1" si="55">IF(Q173&gt;0,S173*100/Q173,0)</f>
        <v>0</v>
      </c>
      <c r="U173" s="470">
        <f t="shared" ref="U173:U181" ca="1" si="56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469">
        <f t="shared" ref="L174:N175" si="57">L177+L180</f>
        <v>0</v>
      </c>
      <c r="M174" s="83">
        <f t="shared" si="57"/>
        <v>0</v>
      </c>
      <c r="N174" s="83">
        <f t="shared" si="57"/>
        <v>0</v>
      </c>
      <c r="O174" s="83">
        <f t="shared" si="53"/>
        <v>0</v>
      </c>
      <c r="P174" s="83">
        <f t="shared" si="54"/>
        <v>0</v>
      </c>
      <c r="Q174" s="83">
        <f t="shared" ref="Q174:S175" si="58">Q177+Q180</f>
        <v>0</v>
      </c>
      <c r="R174" s="83">
        <f t="shared" si="58"/>
        <v>0</v>
      </c>
      <c r="S174" s="83">
        <f t="shared" si="58"/>
        <v>0</v>
      </c>
      <c r="T174" s="83">
        <f t="shared" si="55"/>
        <v>0</v>
      </c>
      <c r="U174" s="83">
        <f t="shared" si="56"/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468">
        <f t="shared" ca="1" si="57"/>
        <v>19590</v>
      </c>
      <c r="M175" s="224">
        <f t="shared" ca="1" si="57"/>
        <v>85520</v>
      </c>
      <c r="N175" s="224">
        <f t="shared" ca="1" si="57"/>
        <v>85520</v>
      </c>
      <c r="O175" s="224">
        <f t="shared" ca="1" si="53"/>
        <v>436.54925982644204</v>
      </c>
      <c r="P175" s="224">
        <f t="shared" ca="1" si="54"/>
        <v>100</v>
      </c>
      <c r="Q175" s="224">
        <f t="shared" ca="1" si="58"/>
        <v>0</v>
      </c>
      <c r="R175" s="224">
        <f t="shared" ca="1" si="58"/>
        <v>0</v>
      </c>
      <c r="S175" s="224">
        <f t="shared" ca="1" si="58"/>
        <v>0</v>
      </c>
      <c r="T175" s="224">
        <f t="shared" ca="1" si="55"/>
        <v>0</v>
      </c>
      <c r="U175" s="224">
        <f t="shared" ca="1" si="56"/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468">
        <f ca="1">L177+L178</f>
        <v>19590</v>
      </c>
      <c r="M176" s="224">
        <f ca="1">M177+M178</f>
        <v>85520</v>
      </c>
      <c r="N176" s="224">
        <f ca="1">N177+N178</f>
        <v>85520</v>
      </c>
      <c r="O176" s="224">
        <f t="shared" ca="1" si="53"/>
        <v>436.54925982644204</v>
      </c>
      <c r="P176" s="224">
        <f t="shared" ca="1" si="54"/>
        <v>100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t="shared" ca="1" si="55"/>
        <v>0</v>
      </c>
      <c r="U176" s="224">
        <f t="shared" ca="1" si="56"/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469">
        <v>0</v>
      </c>
      <c r="M177" s="83">
        <v>0</v>
      </c>
      <c r="N177" s="83">
        <v>0</v>
      </c>
      <c r="O177" s="83">
        <f t="shared" si="53"/>
        <v>0</v>
      </c>
      <c r="P177" s="83">
        <f t="shared" si="54"/>
        <v>0</v>
      </c>
      <c r="Q177" s="83">
        <v>0</v>
      </c>
      <c r="R177" s="83">
        <v>0</v>
      </c>
      <c r="S177" s="83">
        <v>0</v>
      </c>
      <c r="T177" s="83">
        <f t="shared" si="55"/>
        <v>0</v>
      </c>
      <c r="U177" s="83">
        <f t="shared" si="56"/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468">
        <f ca="1">IFERROR(__xludf.DUMMYFUNCTION("IMPORTRANGE(""https://docs.google.com/spreadsheets/d/1-uDff_7J0KD5mKrp0Vvzr7lt3OU09vwQwhkpOPPYv2Y/edit?usp=sharing"",""งบพรบ!CK29"")"),19590)</f>
        <v>19590</v>
      </c>
      <c r="M178" s="224">
        <f ca="1">IFERROR(__xludf.DUMMYFUNCTION("IMPORTRANGE(""https://docs.google.com/spreadsheets/d/1-uDff_7J0KD5mKrp0Vvzr7lt3OU09vwQwhkpOPPYv2Y/edit?usp=sharing"",""งบพรบ!CP29"")"),85520)</f>
        <v>85520</v>
      </c>
      <c r="N178" s="224">
        <f ca="1">IFERROR(__xludf.DUMMYFUNCTION("IMPORTRANGE(""https://docs.google.com/spreadsheets/d/1-uDff_7J0KD5mKrp0Vvzr7lt3OU09vwQwhkpOPPYv2Y/edit?usp=sharing"",""งบพรบ!CR29"")"),85520)</f>
        <v>85520</v>
      </c>
      <c r="O178" s="224">
        <f t="shared" ca="1" si="53"/>
        <v>436.54925982644204</v>
      </c>
      <c r="P178" s="224">
        <f t="shared" ca="1" si="54"/>
        <v>100</v>
      </c>
      <c r="Q178" s="224">
        <f ca="1">IFERROR(__xludf.DUMMYFUNCTION("IMPORTRANGE(""https://docs.google.com/spreadsheets/d/1ItG2mGa2ceCfYo0BwxsXqNm01IGEUdYcSSLTEv9YCik/edit?usp=sharing"",""เบิกจ่ายกองทุน!BE29"")"),0)</f>
        <v>0</v>
      </c>
      <c r="R178" s="224">
        <f ca="1">IFERROR(__xludf.DUMMYFUNCTION("IMPORTRANGE(""https://docs.google.com/spreadsheets/d/1ItG2mGa2ceCfYo0BwxsXqNm01IGEUdYcSSLTEv9YCik/edit?usp=sharing"",""เบิกจ่ายกองทุน!BF29"")"),0)</f>
        <v>0</v>
      </c>
      <c r="S178" s="224">
        <f ca="1">IFERROR(__xludf.DUMMYFUNCTION("IMPORTRANGE(""https://docs.google.com/spreadsheets/d/1ItG2mGa2ceCfYo0BwxsXqNm01IGEUdYcSSLTEv9YCik/edit?usp=sharing"",""เบิกจ่ายกองทุน!BG29"")"),0)</f>
        <v>0</v>
      </c>
      <c r="T178" s="224">
        <f t="shared" ca="1" si="55"/>
        <v>0</v>
      </c>
      <c r="U178" s="224">
        <f t="shared" ca="1" si="56"/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468">
        <f ca="1">L180+L181</f>
        <v>0</v>
      </c>
      <c r="M179" s="224">
        <f ca="1">M180+M181</f>
        <v>0</v>
      </c>
      <c r="N179" s="224">
        <f ca="1">N180+N181</f>
        <v>0</v>
      </c>
      <c r="O179" s="224">
        <f t="shared" ca="1" si="53"/>
        <v>0</v>
      </c>
      <c r="P179" s="224">
        <f t="shared" ca="1" si="54"/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 t="shared" si="55"/>
        <v>0</v>
      </c>
      <c r="U179" s="224">
        <f t="shared" si="56"/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469">
        <v>0</v>
      </c>
      <c r="M180" s="83">
        <v>0</v>
      </c>
      <c r="N180" s="83">
        <v>0</v>
      </c>
      <c r="O180" s="83">
        <f t="shared" si="53"/>
        <v>0</v>
      </c>
      <c r="P180" s="83">
        <f t="shared" si="54"/>
        <v>0</v>
      </c>
      <c r="Q180" s="83">
        <v>0</v>
      </c>
      <c r="R180" s="83">
        <v>0</v>
      </c>
      <c r="S180" s="83">
        <v>0</v>
      </c>
      <c r="T180" s="83">
        <f t="shared" si="55"/>
        <v>0</v>
      </c>
      <c r="U180" s="83">
        <f t="shared" si="56"/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468">
        <f ca="1">IFERROR(__xludf.DUMMYFUNCTION("IMPORTRANGE(""https://docs.google.com/spreadsheets/d/1-uDff_7J0KD5mKrp0Vvzr7lt3OU09vwQwhkpOPPYv2Y/edit?usp=sharing"",""งบพรบ!CN29"")"),0)</f>
        <v>0</v>
      </c>
      <c r="M181" s="224">
        <f ca="1">IFERROR(__xludf.DUMMYFUNCTION("IMPORTRANGE(""https://docs.google.com/spreadsheets/d/1-uDff_7J0KD5mKrp0Vvzr7lt3OU09vwQwhkpOPPYv2Y/edit?usp=sharing"",""งบพรบ!CQ29"")"),0)</f>
        <v>0</v>
      </c>
      <c r="N181" s="224">
        <f ca="1">IFERROR(__xludf.DUMMYFUNCTION("IMPORTRANGE(""https://docs.google.com/spreadsheets/d/1-uDff_7J0KD5mKrp0Vvzr7lt3OU09vwQwhkpOPPYv2Y/edit?usp=sharing"",""งบพรบ!CS29"")"),0)</f>
        <v>0</v>
      </c>
      <c r="O181" s="224">
        <f t="shared" ca="1" si="53"/>
        <v>0</v>
      </c>
      <c r="P181" s="224">
        <f t="shared" ca="1" si="54"/>
        <v>0</v>
      </c>
      <c r="Q181" s="224">
        <v>0</v>
      </c>
      <c r="R181" s="224">
        <v>0</v>
      </c>
      <c r="S181" s="224">
        <v>0</v>
      </c>
      <c r="T181" s="224">
        <f t="shared" si="55"/>
        <v>0</v>
      </c>
      <c r="U181" s="224">
        <f t="shared" si="56"/>
        <v>0</v>
      </c>
    </row>
    <row r="182" spans="1:21" ht="19.5" x14ac:dyDescent="0.3">
      <c r="A182" s="138"/>
      <c r="B182" s="139"/>
      <c r="C182" s="129" t="s">
        <v>18</v>
      </c>
      <c r="D182" s="498" t="s">
        <v>38</v>
      </c>
      <c r="E182" s="141"/>
      <c r="F182" s="141"/>
      <c r="G182" s="142"/>
      <c r="H182" s="178"/>
      <c r="I182" s="44"/>
      <c r="J182" s="44"/>
      <c r="K182" s="45"/>
      <c r="L182" s="465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IFERROR(__xludf.DUMMYFUNCTION("IMPORTRANGE(""https://docs.google.com/spreadsheets/d/1eHaY18a8A9IcSdp1K8H6x8fbOy06t2VsZHhMHf-1x7Y/edit?usp=sharing"",""แผน!AA29"")"),7)</f>
        <v>7</v>
      </c>
      <c r="J183" s="466">
        <v>7</v>
      </c>
      <c r="K183" s="224">
        <f ca="1">IF(I183&gt;0,J183*100/I183,0)</f>
        <v>100</v>
      </c>
      <c r="L183" s="465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14" t="s">
        <v>76</v>
      </c>
      <c r="E184" s="40"/>
      <c r="F184" s="40"/>
      <c r="G184" s="42"/>
      <c r="H184" s="526" t="s">
        <v>35</v>
      </c>
      <c r="I184" s="430">
        <v>0</v>
      </c>
      <c r="J184" s="430">
        <v>0</v>
      </c>
      <c r="K184" s="83">
        <f>IF(I184&gt;0,J184*100/I184,0)</f>
        <v>0</v>
      </c>
      <c r="L184" s="465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661">
        <f ca="1">I230+I231</f>
        <v>0</v>
      </c>
      <c r="J185" s="661">
        <f>J230+J231</f>
        <v>0</v>
      </c>
      <c r="K185" s="660">
        <f ca="1">IF(I185&gt;0,J185*100/I185,0)</f>
        <v>0</v>
      </c>
      <c r="L185" s="659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472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471">
        <f ca="1">L187+L188</f>
        <v>161500</v>
      </c>
      <c r="M186" s="470">
        <f ca="1">M187+M188</f>
        <v>129500</v>
      </c>
      <c r="N186" s="470">
        <f ca="1">N187+N188</f>
        <v>82361.05</v>
      </c>
      <c r="O186" s="470">
        <f t="shared" ref="O186:O194" ca="1" si="59">IF(L186&gt;0,N186*100/L186,0)</f>
        <v>50.997554179566563</v>
      </c>
      <c r="P186" s="470">
        <f t="shared" ref="P186:P194" ca="1" si="60">IF(M186&gt;0,N186*100/M186,0)</f>
        <v>63.599266409266406</v>
      </c>
      <c r="Q186" s="470">
        <f ca="1">Q187+Q188</f>
        <v>91700</v>
      </c>
      <c r="R186" s="470">
        <f ca="1">R187+R188</f>
        <v>91700</v>
      </c>
      <c r="S186" s="470">
        <f ca="1">S187+S188</f>
        <v>25650</v>
      </c>
      <c r="T186" s="470">
        <f t="shared" ref="T186:T194" ca="1" si="61">IF(Q186&gt;0,S186*100/Q186,0)</f>
        <v>27.97164667393675</v>
      </c>
      <c r="U186" s="470">
        <f t="shared" ref="U186:U194" ca="1" si="62">IF(R186&gt;0,S186*100/R186,0)</f>
        <v>27.97164667393675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469">
        <f t="shared" ref="L187:N188" si="63">L190+L193</f>
        <v>0</v>
      </c>
      <c r="M187" s="83">
        <f t="shared" si="63"/>
        <v>0</v>
      </c>
      <c r="N187" s="83">
        <f t="shared" si="63"/>
        <v>0</v>
      </c>
      <c r="O187" s="83">
        <f t="shared" si="59"/>
        <v>0</v>
      </c>
      <c r="P187" s="83">
        <f t="shared" si="60"/>
        <v>0</v>
      </c>
      <c r="Q187" s="83">
        <f t="shared" ref="Q187:S188" si="64">Q190+Q193</f>
        <v>0</v>
      </c>
      <c r="R187" s="83">
        <f t="shared" si="64"/>
        <v>0</v>
      </c>
      <c r="S187" s="83">
        <f t="shared" si="64"/>
        <v>0</v>
      </c>
      <c r="T187" s="83">
        <f t="shared" si="61"/>
        <v>0</v>
      </c>
      <c r="U187" s="83">
        <f t="shared" si="62"/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468">
        <f t="shared" ca="1" si="63"/>
        <v>161500</v>
      </c>
      <c r="M188" s="224">
        <f t="shared" ca="1" si="63"/>
        <v>129500</v>
      </c>
      <c r="N188" s="224">
        <f t="shared" ca="1" si="63"/>
        <v>82361.05</v>
      </c>
      <c r="O188" s="224">
        <f t="shared" ca="1" si="59"/>
        <v>50.997554179566563</v>
      </c>
      <c r="P188" s="224">
        <f t="shared" ca="1" si="60"/>
        <v>63.599266409266406</v>
      </c>
      <c r="Q188" s="224">
        <f t="shared" ca="1" si="64"/>
        <v>91700</v>
      </c>
      <c r="R188" s="224">
        <f t="shared" ca="1" si="64"/>
        <v>91700</v>
      </c>
      <c r="S188" s="224">
        <f t="shared" ca="1" si="64"/>
        <v>25650</v>
      </c>
      <c r="T188" s="224">
        <f t="shared" ca="1" si="61"/>
        <v>27.97164667393675</v>
      </c>
      <c r="U188" s="224">
        <f t="shared" ca="1" si="62"/>
        <v>27.97164667393675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468">
        <f ca="1">L190+L191</f>
        <v>161500</v>
      </c>
      <c r="M189" s="224">
        <f ca="1">M190+M191</f>
        <v>129500</v>
      </c>
      <c r="N189" s="224">
        <f ca="1">N190+N191</f>
        <v>82361.05</v>
      </c>
      <c r="O189" s="224">
        <f t="shared" ca="1" si="59"/>
        <v>50.997554179566563</v>
      </c>
      <c r="P189" s="224">
        <f t="shared" ca="1" si="60"/>
        <v>63.599266409266406</v>
      </c>
      <c r="Q189" s="224">
        <f ca="1">Q190+Q191</f>
        <v>91700</v>
      </c>
      <c r="R189" s="224">
        <f ca="1">R190+R191</f>
        <v>91700</v>
      </c>
      <c r="S189" s="224">
        <f ca="1">S190+S191</f>
        <v>25650</v>
      </c>
      <c r="T189" s="224">
        <f t="shared" ca="1" si="61"/>
        <v>27.97164667393675</v>
      </c>
      <c r="U189" s="224">
        <f t="shared" ca="1" si="62"/>
        <v>27.97164667393675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469">
        <v>0</v>
      </c>
      <c r="M190" s="83">
        <v>0</v>
      </c>
      <c r="N190" s="83">
        <v>0</v>
      </c>
      <c r="O190" s="83">
        <f t="shared" si="59"/>
        <v>0</v>
      </c>
      <c r="P190" s="83">
        <f t="shared" si="60"/>
        <v>0</v>
      </c>
      <c r="Q190" s="83">
        <v>0</v>
      </c>
      <c r="R190" s="83">
        <v>0</v>
      </c>
      <c r="S190" s="83">
        <v>0</v>
      </c>
      <c r="T190" s="83">
        <f t="shared" si="61"/>
        <v>0</v>
      </c>
      <c r="U190" s="83">
        <f t="shared" si="62"/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468">
        <f ca="1">IFERROR(__xludf.DUMMYFUNCTION("IMPORTRANGE(""https://docs.google.com/spreadsheets/d/1-uDff_7J0KD5mKrp0Vvzr7lt3OU09vwQwhkpOPPYv2Y/edit?usp=sharing"",""งบพรบ!CU29"")"),161500)</f>
        <v>161500</v>
      </c>
      <c r="M191" s="224">
        <f ca="1">IFERROR(__xludf.DUMMYFUNCTION("IMPORTRANGE(""https://docs.google.com/spreadsheets/d/1-uDff_7J0KD5mKrp0Vvzr7lt3OU09vwQwhkpOPPYv2Y/edit?usp=sharing"",""งบพรบ!CZ29"")"),129500)</f>
        <v>129500</v>
      </c>
      <c r="N191" s="224">
        <f ca="1">IFERROR(__xludf.DUMMYFUNCTION("IMPORTRANGE(""https://docs.google.com/spreadsheets/d/1-uDff_7J0KD5mKrp0Vvzr7lt3OU09vwQwhkpOPPYv2Y/edit?usp=sharing"",""งบพรบ!DB29"")"),82361.05)</f>
        <v>82361.05</v>
      </c>
      <c r="O191" s="224">
        <f t="shared" ca="1" si="59"/>
        <v>50.997554179566563</v>
      </c>
      <c r="P191" s="224">
        <f t="shared" ca="1" si="60"/>
        <v>63.599266409266406</v>
      </c>
      <c r="Q191" s="224">
        <f ca="1">IFERROR(__xludf.DUMMYFUNCTION("IMPORTRANGE(""https://docs.google.com/spreadsheets/d/1ItG2mGa2ceCfYo0BwxsXqNm01IGEUdYcSSLTEv9YCik/edit?usp=sharing"",""เบิกจ่ายกองทุน!AV29"")"),91700)</f>
        <v>91700</v>
      </c>
      <c r="R191" s="224">
        <f ca="1">IFERROR(__xludf.DUMMYFUNCTION("IMPORTRANGE(""https://docs.google.com/spreadsheets/d/1ItG2mGa2ceCfYo0BwxsXqNm01IGEUdYcSSLTEv9YCik/edit?usp=sharing"",""เบิกจ่ายกองทุน!AW29"")"),91700)</f>
        <v>91700</v>
      </c>
      <c r="S191" s="224">
        <f ca="1">IFERROR(__xludf.DUMMYFUNCTION("IMPORTRANGE(""https://docs.google.com/spreadsheets/d/1ItG2mGa2ceCfYo0BwxsXqNm01IGEUdYcSSLTEv9YCik/edit?usp=sharing"",""เบิกจ่ายกองทุน!AX29"")"),25650)</f>
        <v>25650</v>
      </c>
      <c r="T191" s="224">
        <f t="shared" ca="1" si="61"/>
        <v>27.97164667393675</v>
      </c>
      <c r="U191" s="224">
        <f t="shared" ca="1" si="62"/>
        <v>27.97164667393675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468">
        <f ca="1">L193+L194</f>
        <v>0</v>
      </c>
      <c r="M192" s="224">
        <f ca="1">M193+M194</f>
        <v>0</v>
      </c>
      <c r="N192" s="224">
        <f ca="1">N193+N194</f>
        <v>0</v>
      </c>
      <c r="O192" s="224">
        <f t="shared" ca="1" si="59"/>
        <v>0</v>
      </c>
      <c r="P192" s="224">
        <f t="shared" ca="1" si="60"/>
        <v>0</v>
      </c>
      <c r="Q192" s="224">
        <f>Q193+Q194</f>
        <v>0</v>
      </c>
      <c r="R192" s="224">
        <f>R193+R194</f>
        <v>0</v>
      </c>
      <c r="S192" s="224">
        <f>S193+S194</f>
        <v>0</v>
      </c>
      <c r="T192" s="224">
        <f t="shared" si="61"/>
        <v>0</v>
      </c>
      <c r="U192" s="224">
        <f t="shared" si="62"/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469">
        <v>0</v>
      </c>
      <c r="M193" s="83">
        <v>0</v>
      </c>
      <c r="N193" s="83">
        <v>0</v>
      </c>
      <c r="O193" s="83">
        <f t="shared" si="59"/>
        <v>0</v>
      </c>
      <c r="P193" s="83">
        <f t="shared" si="60"/>
        <v>0</v>
      </c>
      <c r="Q193" s="83">
        <v>0</v>
      </c>
      <c r="R193" s="83">
        <v>0</v>
      </c>
      <c r="S193" s="83">
        <v>0</v>
      </c>
      <c r="T193" s="83">
        <f t="shared" si="61"/>
        <v>0</v>
      </c>
      <c r="U193" s="83">
        <f t="shared" si="62"/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468">
        <f ca="1">IFERROR(__xludf.DUMMYFUNCTION("IMPORTRANGE(""https://docs.google.com/spreadsheets/d/1-uDff_7J0KD5mKrp0Vvzr7lt3OU09vwQwhkpOPPYv2Y/edit?usp=sharing"",""งบพรบ!CX29"")"),0)</f>
        <v>0</v>
      </c>
      <c r="M194" s="224">
        <f ca="1">IFERROR(__xludf.DUMMYFUNCTION("IMPORTRANGE(""https://docs.google.com/spreadsheets/d/1-uDff_7J0KD5mKrp0Vvzr7lt3OU09vwQwhkpOPPYv2Y/edit?usp=sharing"",""งบพรบ!DA29"")"),0)</f>
        <v>0</v>
      </c>
      <c r="N194" s="224">
        <f ca="1">IFERROR(__xludf.DUMMYFUNCTION("IMPORTRANGE(""https://docs.google.com/spreadsheets/d/1-uDff_7J0KD5mKrp0Vvzr7lt3OU09vwQwhkpOPPYv2Y/edit?usp=sharing"",""งบพรบ!DC29"")"),0)</f>
        <v>0</v>
      </c>
      <c r="O194" s="224">
        <f t="shared" ca="1" si="59"/>
        <v>0</v>
      </c>
      <c r="P194" s="224">
        <f t="shared" ca="1" si="60"/>
        <v>0</v>
      </c>
      <c r="Q194" s="224">
        <v>0</v>
      </c>
      <c r="R194" s="224">
        <v>0</v>
      </c>
      <c r="S194" s="224">
        <v>0</v>
      </c>
      <c r="T194" s="224">
        <f t="shared" si="61"/>
        <v>0</v>
      </c>
      <c r="U194" s="224">
        <f t="shared" si="62"/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ca="1">I198</f>
        <v>4</v>
      </c>
      <c r="J195" s="303">
        <f>J198</f>
        <v>2</v>
      </c>
      <c r="K195" s="304">
        <f ca="1">IF(I195&gt;0,J195*100/I195,0)</f>
        <v>50</v>
      </c>
      <c r="L195" s="557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654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471">
        <f ca="1">IFERROR(__xludf.DUMMYFUNCTION("IMPORTRANGE(""https://docs.google.com/spreadsheets/d/1eHaY18a8A9IcSdp1K8H6x8fbOy06t2VsZHhMHf-1x7Y/edit?usp=sharing"",""แผน!AB29"")"),6000)</f>
        <v>6000</v>
      </c>
      <c r="M196" s="45"/>
      <c r="N196" s="658">
        <v>0</v>
      </c>
      <c r="O196" s="470">
        <f ca="1">IF(L196&gt;0,N196*100/L196,0)</f>
        <v>0</v>
      </c>
      <c r="P196" s="47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498" t="s">
        <v>38</v>
      </c>
      <c r="E197" s="141"/>
      <c r="F197" s="141"/>
      <c r="G197" s="142"/>
      <c r="H197" s="143"/>
      <c r="I197" s="44"/>
      <c r="J197" s="44"/>
      <c r="K197" s="45"/>
      <c r="L197" s="465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IFERROR(__xludf.DUMMYFUNCTION("IMPORTRANGE(""https://docs.google.com/spreadsheets/d/1eHaY18a8A9IcSdp1K8H6x8fbOy06t2VsZHhMHf-1x7Y/edit?usp=sharing"",""แผน!AE29"")"),4)</f>
        <v>4</v>
      </c>
      <c r="J198" s="466">
        <v>2</v>
      </c>
      <c r="K198" s="224">
        <f ca="1">IF(I198&gt;0,J198*100/I198,0)</f>
        <v>50</v>
      </c>
      <c r="L198" s="465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91</v>
      </c>
      <c r="K199" s="45"/>
      <c r="L199" s="465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466">
        <v>91</v>
      </c>
      <c r="K200" s="45"/>
      <c r="L200" s="465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466">
        <v>0</v>
      </c>
      <c r="K201" s="45"/>
      <c r="L201" s="465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ca="1">I209</f>
        <v>3</v>
      </c>
      <c r="J202" s="303">
        <f>J209</f>
        <v>0</v>
      </c>
      <c r="K202" s="304">
        <f ca="1">IF(I202&gt;0,J202*100/I202,0)</f>
        <v>0</v>
      </c>
      <c r="L202" s="557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654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471">
        <f ca="1">L204+L205+L206+L207</f>
        <v>20000</v>
      </c>
      <c r="M203" s="45"/>
      <c r="N203" s="470">
        <f>N204+N205+N206+N207</f>
        <v>0</v>
      </c>
      <c r="O203" s="470">
        <f ca="1">IF(L203&gt;0,N203*100/L203,0)</f>
        <v>0</v>
      </c>
      <c r="P203" s="470">
        <f>IF(M203&gt;0,N203*100/M203,0)</f>
        <v>0</v>
      </c>
      <c r="Q203" s="657">
        <f ca="1">Q204+Q205+Q206+Q207</f>
        <v>42000</v>
      </c>
      <c r="R203" s="656"/>
      <c r="S203" s="655">
        <f>S204+S205+S206+S207</f>
        <v>0</v>
      </c>
      <c r="T203" s="655">
        <f ca="1">IF(Q203&gt;0,S203*100/Q203,0)</f>
        <v>0</v>
      </c>
      <c r="U203" s="655">
        <f>IF(R203&gt;0,S203*100/R203,0)</f>
        <v>0</v>
      </c>
    </row>
    <row r="204" spans="1:21" ht="18.75" x14ac:dyDescent="0.25">
      <c r="A204" s="128"/>
      <c r="B204" s="158"/>
      <c r="C204" s="40"/>
      <c r="D204" s="653" t="s">
        <v>311</v>
      </c>
      <c r="E204" s="40"/>
      <c r="F204" s="40"/>
      <c r="G204" s="42"/>
      <c r="H204" s="134" t="s">
        <v>14</v>
      </c>
      <c r="I204" s="135"/>
      <c r="J204" s="135"/>
      <c r="K204" s="136"/>
      <c r="L204" s="468">
        <f ca="1">IFERROR(__xludf.DUMMYFUNCTION("IMPORTRANGE(""https://docs.google.com/spreadsheets/d/1eHaY18a8A9IcSdp1K8H6x8fbOy06t2VsZHhMHf-1x7Y/edit?usp=sharing"",""แผน!AG29"")"),3000)</f>
        <v>3000</v>
      </c>
      <c r="M204" s="45"/>
      <c r="N204" s="644">
        <v>0</v>
      </c>
      <c r="O204" s="136"/>
      <c r="P204" s="45"/>
      <c r="Q204" s="468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307</v>
      </c>
      <c r="E205" s="40"/>
      <c r="F205" s="40"/>
      <c r="G205" s="42"/>
      <c r="H205" s="43" t="s">
        <v>14</v>
      </c>
      <c r="I205" s="44"/>
      <c r="J205" s="44"/>
      <c r="K205" s="45"/>
      <c r="L205" s="468">
        <f ca="1">IFERROR(__xludf.DUMMYFUNCTION("IMPORTRANGE(""https://docs.google.com/spreadsheets/d/1eHaY18a8A9IcSdp1K8H6x8fbOy06t2VsZHhMHf-1x7Y/edit?usp=sharing"",""แผน!AH29"")"),0)</f>
        <v>0</v>
      </c>
      <c r="M205" s="45"/>
      <c r="N205" s="644">
        <v>0</v>
      </c>
      <c r="O205" s="136"/>
      <c r="P205" s="45"/>
      <c r="Q205" s="468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468">
        <f ca="1">IFERROR(__xludf.DUMMYFUNCTION("IMPORTRANGE(""https://docs.google.com/spreadsheets/d/1eHaY18a8A9IcSdp1K8H6x8fbOy06t2VsZHhMHf-1x7Y/edit?usp=sharing"",""แผน!AI29"")"),0)</f>
        <v>0</v>
      </c>
      <c r="M206" s="45"/>
      <c r="N206" s="644">
        <v>0</v>
      </c>
      <c r="O206" s="136"/>
      <c r="P206" s="45"/>
      <c r="Q206" s="468">
        <f ca="1">IFERROR(__xludf.DUMMYFUNCTION("IMPORTRANGE(""https://docs.google.com/spreadsheets/d/1eHaY18a8A9IcSdp1K8H6x8fbOy06t2VsZHhMHf-1x7Y/edit?usp=sharing"",""แผน!LV29"")"),42000)</f>
        <v>42000</v>
      </c>
      <c r="R206" s="45"/>
      <c r="S206" s="644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468">
        <f ca="1">IFERROR(__xludf.DUMMYFUNCTION("IMPORTRANGE(""https://docs.google.com/spreadsheets/d/1eHaY18a8A9IcSdp1K8H6x8fbOy06t2VsZHhMHf-1x7Y/edit?usp=sharing"",""แผน!AJ29"")"),17000)</f>
        <v>17000</v>
      </c>
      <c r="M207" s="45"/>
      <c r="N207" s="644">
        <v>0</v>
      </c>
      <c r="O207" s="136"/>
      <c r="P207" s="45"/>
      <c r="Q207" s="468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498" t="s">
        <v>38</v>
      </c>
      <c r="E208" s="141"/>
      <c r="F208" s="141"/>
      <c r="G208" s="142"/>
      <c r="H208" s="143"/>
      <c r="I208" s="135"/>
      <c r="J208" s="135"/>
      <c r="K208" s="136"/>
      <c r="L208" s="492"/>
      <c r="M208" s="136"/>
      <c r="N208" s="136"/>
      <c r="O208" s="136"/>
      <c r="P208" s="136"/>
      <c r="Q208" s="4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IFERROR(__xludf.DUMMYFUNCTION("IMPORTRANGE(""https://docs.google.com/spreadsheets/d/1eHaY18a8A9IcSdp1K8H6x8fbOy06t2VsZHhMHf-1x7Y/edit?usp=sharing"",""แผน!AK29"")"),3)</f>
        <v>3</v>
      </c>
      <c r="J209" s="466">
        <v>0</v>
      </c>
      <c r="K209" s="497">
        <f ca="1">IF(I209&gt;0,J209*100/I209,0)</f>
        <v>0</v>
      </c>
      <c r="L209" s="465"/>
      <c r="M209" s="45"/>
      <c r="N209" s="45"/>
      <c r="O209" s="45"/>
      <c r="P209" s="45"/>
      <c r="Q209" s="465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465"/>
      <c r="M210" s="45"/>
      <c r="N210" s="45"/>
      <c r="O210" s="45"/>
      <c r="P210" s="45"/>
      <c r="Q210" s="46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IFERROR(__xludf.DUMMYFUNCTION("IMPORTRANGE(""https://docs.google.com/spreadsheets/d/1eHaY18a8A9IcSdp1K8H6x8fbOy06t2VsZHhMHf-1x7Y/edit?usp=sharing"",""แผน!JX29"")"),3)</f>
        <v>3</v>
      </c>
      <c r="J211" s="466">
        <v>0</v>
      </c>
      <c r="K211" s="497">
        <f ca="1">IF(I211&gt;0,J211*100/I211,0)</f>
        <v>0</v>
      </c>
      <c r="L211" s="465"/>
      <c r="M211" s="45"/>
      <c r="N211" s="45"/>
      <c r="O211" s="45"/>
      <c r="P211" s="45"/>
      <c r="Q211" s="46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IFERROR(__xludf.DUMMYFUNCTION("IMPORTRANGE(""https://docs.google.com/spreadsheets/d/1eHaY18a8A9IcSdp1K8H6x8fbOy06t2VsZHhMHf-1x7Y/edit?usp=sharing"",""แผน!JY29"")"),1)</f>
        <v>1</v>
      </c>
      <c r="J212" s="466">
        <v>0</v>
      </c>
      <c r="K212" s="497">
        <f ca="1">IF(I212&gt;0,J212*100/I212,0)</f>
        <v>0</v>
      </c>
      <c r="L212" s="465"/>
      <c r="M212" s="45"/>
      <c r="N212" s="45"/>
      <c r="O212" s="45"/>
      <c r="P212" s="45"/>
      <c r="Q212" s="465"/>
      <c r="R212" s="45"/>
      <c r="S212" s="45"/>
      <c r="T212" s="45"/>
      <c r="U212" s="45"/>
    </row>
    <row r="213" spans="1:21" ht="19.5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ca="1">I220</f>
        <v>1</v>
      </c>
      <c r="J213" s="303">
        <f>J220</f>
        <v>0</v>
      </c>
      <c r="K213" s="304">
        <f ca="1">IF(I213&gt;0,J213*100/I213,0)</f>
        <v>0</v>
      </c>
      <c r="L213" s="557"/>
      <c r="M213" s="219"/>
      <c r="N213" s="219"/>
      <c r="O213" s="219"/>
      <c r="P213" s="219"/>
      <c r="Q213" s="557"/>
      <c r="R213" s="219"/>
      <c r="S213" s="219"/>
      <c r="T213" s="219"/>
      <c r="U213" s="219"/>
    </row>
    <row r="214" spans="1:21" ht="19.5" x14ac:dyDescent="0.3">
      <c r="A214" s="128"/>
      <c r="B214" s="40"/>
      <c r="C214" s="129" t="s">
        <v>18</v>
      </c>
      <c r="D214" s="654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471">
        <f ca="1">L215+L216+L217</f>
        <v>6000</v>
      </c>
      <c r="M214" s="45"/>
      <c r="N214" s="470">
        <f>N215+N216+N217</f>
        <v>0</v>
      </c>
      <c r="O214" s="470">
        <f ca="1">IF(L214&gt;0,N214*100/L214,0)</f>
        <v>0</v>
      </c>
      <c r="P214" s="470">
        <f>IF(M214&gt;0,N214*100/M214,0)</f>
        <v>0</v>
      </c>
      <c r="Q214" s="471">
        <f ca="1">Q215+Q216+Q217</f>
        <v>49700</v>
      </c>
      <c r="R214" s="45"/>
      <c r="S214" s="470">
        <f>S215+S216+S217</f>
        <v>0</v>
      </c>
      <c r="T214" s="470">
        <f ca="1">IF(Q214&gt;0,S214*100/Q214,0)</f>
        <v>0</v>
      </c>
      <c r="U214" s="470">
        <f>IF(R214&gt;0,S214*100/R214,0)</f>
        <v>0</v>
      </c>
    </row>
    <row r="215" spans="1:21" ht="18.75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468">
        <f ca="1">IFERROR(__xludf.DUMMYFUNCTION("IMPORTRANGE(""https://docs.google.com/spreadsheets/d/1eHaY18a8A9IcSdp1K8H6x8fbOy06t2VsZHhMHf-1x7Y/edit?usp=sharing"",""แผน!AM29"")"),1000)</f>
        <v>1000</v>
      </c>
      <c r="M215" s="45"/>
      <c r="N215" s="644">
        <v>0</v>
      </c>
      <c r="O215" s="136"/>
      <c r="P215" s="45"/>
      <c r="Q215" s="468">
        <v>0</v>
      </c>
      <c r="R215" s="45"/>
      <c r="S215" s="224">
        <v>0</v>
      </c>
      <c r="T215" s="136"/>
      <c r="U215" s="45"/>
    </row>
    <row r="216" spans="1:21" ht="18.75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468">
        <f ca="1">IFERROR(__xludf.DUMMYFUNCTION("IMPORTRANGE(""https://docs.google.com/spreadsheets/d/1eHaY18a8A9IcSdp1K8H6x8fbOy06t2VsZHhMHf-1x7Y/edit?usp=sharing"",""แผน!AN29"")"),5000)</f>
        <v>5000</v>
      </c>
      <c r="M216" s="45"/>
      <c r="N216" s="644">
        <v>0</v>
      </c>
      <c r="O216" s="136"/>
      <c r="P216" s="45"/>
      <c r="Q216" s="468">
        <v>0</v>
      </c>
      <c r="R216" s="45"/>
      <c r="S216" s="224">
        <v>0</v>
      </c>
      <c r="T216" s="136"/>
      <c r="U216" s="45"/>
    </row>
    <row r="217" spans="1:21" ht="18.75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468">
        <f ca="1">IFERROR(__xludf.DUMMYFUNCTION("IMPORTRANGE(""https://docs.google.com/spreadsheets/d/1eHaY18a8A9IcSdp1K8H6x8fbOy06t2VsZHhMHf-1x7Y/edit?usp=sharing"",""แผน!AO29"")"),0)</f>
        <v>0</v>
      </c>
      <c r="M217" s="45"/>
      <c r="N217" s="644">
        <v>0</v>
      </c>
      <c r="O217" s="136"/>
      <c r="P217" s="45"/>
      <c r="Q217" s="468">
        <f ca="1">IFERROR(__xludf.DUMMYFUNCTION("IMPORTRANGE(""https://docs.google.com/spreadsheets/d/1eHaY18a8A9IcSdp1K8H6x8fbOy06t2VsZHhMHf-1x7Y/edit?usp=sharing"",""แผน!LY29"")"),49700)</f>
        <v>49700</v>
      </c>
      <c r="R217" s="45"/>
      <c r="S217" s="644">
        <v>0</v>
      </c>
      <c r="T217" s="136"/>
      <c r="U217" s="45"/>
    </row>
    <row r="218" spans="1:21" ht="19.5" x14ac:dyDescent="0.3">
      <c r="A218" s="138"/>
      <c r="B218" s="139"/>
      <c r="C218" s="161" t="s">
        <v>18</v>
      </c>
      <c r="D218" s="498" t="s">
        <v>38</v>
      </c>
      <c r="E218" s="141"/>
      <c r="F218" s="141"/>
      <c r="G218" s="142"/>
      <c r="H218" s="143"/>
      <c r="I218" s="135"/>
      <c r="J218" s="44"/>
      <c r="K218" s="45"/>
      <c r="L218" s="465"/>
      <c r="M218" s="45"/>
      <c r="N218" s="45"/>
      <c r="O218" s="136"/>
      <c r="P218" s="136"/>
      <c r="Q218" s="465"/>
      <c r="R218" s="45"/>
      <c r="S218" s="45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IFERROR(__xludf.DUMMYFUNCTION("IMPORTRANGE(""https://docs.google.com/spreadsheets/d/1eHaY18a8A9IcSdp1K8H6x8fbOy06t2VsZHhMHf-1x7Y/edit?usp=sharing"",""แผน!AP29"")"),1)</f>
        <v>1</v>
      </c>
      <c r="J219" s="466">
        <v>0</v>
      </c>
      <c r="K219" s="224">
        <f ca="1">IF(I219&gt;0,J219*100/I219,0)</f>
        <v>0</v>
      </c>
      <c r="L219" s="465"/>
      <c r="M219" s="45"/>
      <c r="N219" s="45"/>
      <c r="O219" s="45"/>
      <c r="P219" s="45"/>
      <c r="Q219" s="465"/>
      <c r="R219" s="45"/>
      <c r="S219" s="45"/>
      <c r="T219" s="45"/>
      <c r="U219" s="45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IFERROR(__xludf.DUMMYFUNCTION("IMPORTRANGE(""https://docs.google.com/spreadsheets/d/1eHaY18a8A9IcSdp1K8H6x8fbOy06t2VsZHhMHf-1x7Y/edit?usp=sharing"",""แผน!AP29"")"),1)</f>
        <v>1</v>
      </c>
      <c r="J220" s="466">
        <v>0</v>
      </c>
      <c r="K220" s="224">
        <f ca="1">IF(I220&gt;0,J220*100/I220,0)</f>
        <v>0</v>
      </c>
      <c r="L220" s="465"/>
      <c r="M220" s="45"/>
      <c r="N220" s="45"/>
      <c r="O220" s="45"/>
      <c r="P220" s="45"/>
      <c r="Q220" s="465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ca="1">I229</f>
        <v>30000</v>
      </c>
      <c r="J221" s="303">
        <f>J229</f>
        <v>0</v>
      </c>
      <c r="K221" s="304">
        <f ca="1">IF(I221&gt;0,J221*100/I221,0)</f>
        <v>0</v>
      </c>
      <c r="L221" s="557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654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471">
        <f ca="1">L223+L224+L225</f>
        <v>6500</v>
      </c>
      <c r="M222" s="45"/>
      <c r="N222" s="470">
        <f>N223+N224+N225</f>
        <v>0</v>
      </c>
      <c r="O222" s="470">
        <f ca="1">IF(L222&gt;0,N222*100/L222,0)</f>
        <v>0</v>
      </c>
      <c r="P222" s="47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653" t="s">
        <v>308</v>
      </c>
      <c r="E223" s="40"/>
      <c r="F223" s="40"/>
      <c r="G223" s="42"/>
      <c r="H223" s="134" t="s">
        <v>14</v>
      </c>
      <c r="I223" s="135"/>
      <c r="J223" s="135"/>
      <c r="K223" s="136"/>
      <c r="L223" s="468">
        <f ca="1">IFERROR(__xludf.DUMMYFUNCTION("IMPORTRANGE(""https://docs.google.com/spreadsheets/d/1eHaY18a8A9IcSdp1K8H6x8fbOy06t2VsZHhMHf-1x7Y/edit?usp=sharing"",""แผน!AR29"")"),2500)</f>
        <v>2500</v>
      </c>
      <c r="M223" s="45"/>
      <c r="N223" s="644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307</v>
      </c>
      <c r="E224" s="40"/>
      <c r="F224" s="40"/>
      <c r="G224" s="42"/>
      <c r="H224" s="134" t="s">
        <v>14</v>
      </c>
      <c r="I224" s="44"/>
      <c r="J224" s="44"/>
      <c r="K224" s="45"/>
      <c r="L224" s="468">
        <f ca="1">IFERROR(__xludf.DUMMYFUNCTION("IMPORTRANGE(""https://docs.google.com/spreadsheets/d/1eHaY18a8A9IcSdp1K8H6x8fbOy06t2VsZHhMHf-1x7Y/edit?usp=sharing"",""แผน!AS29"")"),4000)</f>
        <v>4000</v>
      </c>
      <c r="M224" s="45"/>
      <c r="N224" s="644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468">
        <f ca="1">IFERROR(__xludf.DUMMYFUNCTION("IMPORTRANGE(""https://docs.google.com/spreadsheets/d/1eHaY18a8A9IcSdp1K8H6x8fbOy06t2VsZHhMHf-1x7Y/edit?usp=sharing"",""แผน!AT29"")"),0)</f>
        <v>0</v>
      </c>
      <c r="M225" s="45"/>
      <c r="N225" s="644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498" t="s">
        <v>38</v>
      </c>
      <c r="E226" s="141"/>
      <c r="F226" s="141"/>
      <c r="G226" s="142"/>
      <c r="H226" s="143"/>
      <c r="I226" s="135"/>
      <c r="J226" s="135"/>
      <c r="K226" s="136"/>
      <c r="L226" s="4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4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IFERROR(__xludf.DUMMYFUNCTION("IMPORTRANGE(""https://docs.google.com/spreadsheets/d/1eHaY18a8A9IcSdp1K8H6x8fbOy06t2VsZHhMHf-1x7Y/edit?usp=sharing"",""แผน!AV29"")"),30000)</f>
        <v>30000</v>
      </c>
      <c r="J228" s="466">
        <v>0</v>
      </c>
      <c r="K228" s="497">
        <f ca="1">IF(I228&gt;0,J228*100/I228,0)</f>
        <v>0</v>
      </c>
      <c r="L228" s="4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IFERROR(__xludf.DUMMYFUNCTION("IMPORTRANGE(""https://docs.google.com/spreadsheets/d/1eHaY18a8A9IcSdp1K8H6x8fbOy06t2VsZHhMHf-1x7Y/edit?usp=sharing"",""แผน!AV29"")"),30000)</f>
        <v>30000</v>
      </c>
      <c r="J229" s="466">
        <v>0</v>
      </c>
      <c r="K229" s="497">
        <f ca="1">IF(I229&gt;0,J229*100/I229,0)</f>
        <v>0</v>
      </c>
      <c r="L229" s="465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IFERROR(__xludf.DUMMYFUNCTION("IMPORTRANGE(""https://docs.google.com/spreadsheets/d/1eHaY18a8A9IcSdp1K8H6x8fbOy06t2VsZHhMHf-1x7Y/edit?usp=sharing"",""แผน!AU29"")"),0)</f>
        <v>0</v>
      </c>
      <c r="J230" s="466">
        <v>0</v>
      </c>
      <c r="K230" s="497">
        <f ca="1">IF(I230&gt;0,J230*100/I230,0)</f>
        <v>0</v>
      </c>
      <c r="L230" s="465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3">
        <f ca="1">I242+I253</f>
        <v>0</v>
      </c>
      <c r="J231" s="303">
        <f>J242+J253</f>
        <v>0</v>
      </c>
      <c r="K231" s="304">
        <f ca="1">IF(I231&gt;0,J231*100/I231,0)</f>
        <v>0</v>
      </c>
      <c r="L231" s="557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472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652">
        <f ca="1">L243+L254</f>
        <v>0</v>
      </c>
      <c r="M232" s="45"/>
      <c r="N232" s="651">
        <f>N243+N254</f>
        <v>0</v>
      </c>
      <c r="O232" s="45"/>
      <c r="P232" s="45"/>
      <c r="Q232" s="45"/>
      <c r="R232" s="45"/>
      <c r="S232" s="45"/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469">
        <f ca="1">L244+L255</f>
        <v>0</v>
      </c>
      <c r="M233" s="45"/>
      <c r="N233" s="83">
        <f>N244+N255</f>
        <v>0</v>
      </c>
      <c r="O233" s="45"/>
      <c r="P233" s="45"/>
      <c r="Q233" s="791">
        <v>0</v>
      </c>
      <c r="R233" s="591">
        <v>0</v>
      </c>
      <c r="S233" s="591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469">
        <f ca="1">L245+L256</f>
        <v>0</v>
      </c>
      <c r="M234" s="45"/>
      <c r="N234" s="83">
        <f>N245+N256</f>
        <v>0</v>
      </c>
      <c r="O234" s="45"/>
      <c r="P234" s="45"/>
      <c r="Q234" s="468">
        <v>0</v>
      </c>
      <c r="R234" s="224">
        <v>0</v>
      </c>
      <c r="S234" s="224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469">
        <f ca="1">L246+L257</f>
        <v>0</v>
      </c>
      <c r="M235" s="45"/>
      <c r="N235" s="83">
        <f>N246+N257</f>
        <v>0</v>
      </c>
      <c r="O235" s="45"/>
      <c r="P235" s="45"/>
      <c r="Q235" s="468">
        <v>0</v>
      </c>
      <c r="R235" s="224">
        <v>0</v>
      </c>
      <c r="S235" s="224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469">
        <f ca="1">L247+L258</f>
        <v>0</v>
      </c>
      <c r="M236" s="45"/>
      <c r="N236" s="83">
        <f>N247+N258</f>
        <v>0</v>
      </c>
      <c r="O236" s="45"/>
      <c r="P236" s="45"/>
      <c r="Q236" s="468">
        <v>0</v>
      </c>
      <c r="R236" s="224">
        <v>0</v>
      </c>
      <c r="S236" s="224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498" t="s">
        <v>38</v>
      </c>
      <c r="E237" s="141"/>
      <c r="F237" s="141"/>
      <c r="G237" s="142"/>
      <c r="H237" s="143"/>
      <c r="I237" s="135"/>
      <c r="J237" s="44"/>
      <c r="K237" s="45"/>
      <c r="L237" s="465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465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465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465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465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649" t="s">
        <v>111</v>
      </c>
      <c r="D242" s="214"/>
      <c r="E242" s="214"/>
      <c r="F242" s="214"/>
      <c r="G242" s="215"/>
      <c r="H242" s="648" t="s">
        <v>35</v>
      </c>
      <c r="I242" s="647">
        <f ca="1">I249</f>
        <v>0</v>
      </c>
      <c r="J242" s="647">
        <f>J249</f>
        <v>0</v>
      </c>
      <c r="K242" s="646">
        <f ca="1">IF(I242&gt;0,J242*100/I242,0)</f>
        <v>0</v>
      </c>
      <c r="L242" s="557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527" t="s">
        <v>18</v>
      </c>
      <c r="D243" s="494" t="s">
        <v>19</v>
      </c>
      <c r="E243" s="40"/>
      <c r="F243" s="40"/>
      <c r="G243" s="42"/>
      <c r="H243" s="372" t="s">
        <v>14</v>
      </c>
      <c r="I243" s="135"/>
      <c r="J243" s="135"/>
      <c r="K243" s="136"/>
      <c r="L243" s="471">
        <f ca="1">L244+L245+L246+L247</f>
        <v>0</v>
      </c>
      <c r="M243" s="45"/>
      <c r="N243" s="470">
        <f>N244+N245+N246+N247</f>
        <v>0</v>
      </c>
      <c r="O243" s="470">
        <f ca="1">IF(L243&gt;0,N243*100/L243,0)</f>
        <v>0</v>
      </c>
      <c r="P243" s="470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468">
        <f ca="1">IFERROR(__xludf.DUMMYFUNCTION("IMPORTRANGE(""https://docs.google.com/spreadsheets/d/1eHaY18a8A9IcSdp1K8H6x8fbOy06t2VsZHhMHf-1x7Y/edit?usp=sharing"",""แผน!AX29"")"),0)</f>
        <v>0</v>
      </c>
      <c r="M244" s="45"/>
      <c r="N244" s="644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468">
        <f ca="1">IFERROR(__xludf.DUMMYFUNCTION("IMPORTRANGE(""https://docs.google.com/spreadsheets/d/1eHaY18a8A9IcSdp1K8H6x8fbOy06t2VsZHhMHf-1x7Y/edit?usp=sharing"",""แผน!AY29"")"),0)</f>
        <v>0</v>
      </c>
      <c r="M245" s="45"/>
      <c r="N245" s="644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468">
        <f ca="1">IFERROR(__xludf.DUMMYFUNCTION("IMPORTRANGE(""https://docs.google.com/spreadsheets/d/1eHaY18a8A9IcSdp1K8H6x8fbOy06t2VsZHhMHf-1x7Y/edit?usp=sharing"",""แผน!AZ29"")"),0)</f>
        <v>0</v>
      </c>
      <c r="M246" s="45"/>
      <c r="N246" s="644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468">
        <f ca="1">IFERROR(__xludf.DUMMYFUNCTION("IMPORTRANGE(""https://docs.google.com/spreadsheets/d/1eHaY18a8A9IcSdp1K8H6x8fbOy06t2VsZHhMHf-1x7Y/edit?usp=sharing"",""แผน!BA29"")"),0)</f>
        <v>0</v>
      </c>
      <c r="M247" s="45"/>
      <c r="N247" s="644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643" t="s">
        <v>18</v>
      </c>
      <c r="D248" s="509" t="s">
        <v>38</v>
      </c>
      <c r="E248" s="141"/>
      <c r="F248" s="141"/>
      <c r="G248" s="142"/>
      <c r="H248" s="143"/>
      <c r="I248" s="135"/>
      <c r="J248" s="44"/>
      <c r="K248" s="45"/>
      <c r="L248" s="465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640" t="s">
        <v>35</v>
      </c>
      <c r="I249" s="430">
        <f ca="1">IFERROR(__xludf.DUMMYFUNCTION("IMPORTRANGE(""https://docs.google.com/spreadsheets/d/1eHaY18a8A9IcSdp1K8H6x8fbOy06t2VsZHhMHf-1x7Y/edit?usp=sharing"",""แผน!BG29"")"),0)</f>
        <v>0</v>
      </c>
      <c r="J249" s="525">
        <v>0</v>
      </c>
      <c r="K249" s="83">
        <f ca="1">IF(I249&gt;0,J249*100/I249,0)</f>
        <v>0</v>
      </c>
      <c r="L249" s="465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642" t="s">
        <v>43</v>
      </c>
      <c r="E250" s="145"/>
      <c r="F250" s="145"/>
      <c r="G250" s="143"/>
      <c r="H250" s="143"/>
      <c r="I250" s="44"/>
      <c r="J250" s="44"/>
      <c r="K250" s="45"/>
      <c r="L250" s="465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1" t="s">
        <v>109</v>
      </c>
      <c r="F251" s="145"/>
      <c r="G251" s="143"/>
      <c r="H251" s="640" t="s">
        <v>35</v>
      </c>
      <c r="I251" s="430">
        <v>0</v>
      </c>
      <c r="J251" s="525">
        <v>0</v>
      </c>
      <c r="K251" s="83">
        <f>IF(I251&gt;0,J251*100/I251,0)</f>
        <v>0</v>
      </c>
      <c r="L251" s="465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641" t="s">
        <v>110</v>
      </c>
      <c r="F252" s="145"/>
      <c r="G252" s="143"/>
      <c r="H252" s="640" t="s">
        <v>61</v>
      </c>
      <c r="I252" s="430">
        <v>0</v>
      </c>
      <c r="J252" s="525">
        <v>0</v>
      </c>
      <c r="K252" s="83">
        <f>IF(I252&gt;0,J252*100/I252,0)</f>
        <v>0</v>
      </c>
      <c r="L252" s="465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649" t="s">
        <v>112</v>
      </c>
      <c r="D253" s="214"/>
      <c r="E253" s="214"/>
      <c r="F253" s="214"/>
      <c r="G253" s="215"/>
      <c r="H253" s="648" t="s">
        <v>35</v>
      </c>
      <c r="I253" s="647">
        <f ca="1">I260</f>
        <v>0</v>
      </c>
      <c r="J253" s="647">
        <f>J260</f>
        <v>0</v>
      </c>
      <c r="K253" s="646">
        <f ca="1">IF(I253&gt;0,J253*100/I253,0)</f>
        <v>0</v>
      </c>
      <c r="L253" s="557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527" t="s">
        <v>18</v>
      </c>
      <c r="D254" s="645" t="s">
        <v>19</v>
      </c>
      <c r="E254" s="40"/>
      <c r="F254" s="40"/>
      <c r="G254" s="42"/>
      <c r="H254" s="372" t="s">
        <v>14</v>
      </c>
      <c r="I254" s="135"/>
      <c r="J254" s="135"/>
      <c r="K254" s="136"/>
      <c r="L254" s="471">
        <f ca="1">L255+L256+L257+L258</f>
        <v>0</v>
      </c>
      <c r="M254" s="45"/>
      <c r="N254" s="470">
        <f>N255+N256+N257+N258</f>
        <v>0</v>
      </c>
      <c r="O254" s="470">
        <f ca="1">IF(L254&gt;0,N254*100/L254,0)</f>
        <v>0</v>
      </c>
      <c r="P254" s="470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468">
        <f ca="1">IFERROR(__xludf.DUMMYFUNCTION("IMPORTRANGE(""https://docs.google.com/spreadsheets/d/1eHaY18a8A9IcSdp1K8H6x8fbOy06t2VsZHhMHf-1x7Y/edit?usp=sharing"",""แผน!BB29"")"),0)</f>
        <v>0</v>
      </c>
      <c r="M255" s="45"/>
      <c r="N255" s="644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468">
        <f ca="1">IFERROR(__xludf.DUMMYFUNCTION("IMPORTRANGE(""https://docs.google.com/spreadsheets/d/1eHaY18a8A9IcSdp1K8H6x8fbOy06t2VsZHhMHf-1x7Y/edit?usp=sharing"",""แผน!BC29"")"),0)</f>
        <v>0</v>
      </c>
      <c r="M256" s="45"/>
      <c r="N256" s="644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468">
        <f ca="1">IFERROR(__xludf.DUMMYFUNCTION("IMPORTRANGE(""https://docs.google.com/spreadsheets/d/1eHaY18a8A9IcSdp1K8H6x8fbOy06t2VsZHhMHf-1x7Y/edit?usp=sharing"",""แผน!BD29"")"),0)</f>
        <v>0</v>
      </c>
      <c r="M257" s="45"/>
      <c r="N257" s="644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468">
        <f ca="1">IFERROR(__xludf.DUMMYFUNCTION("IMPORTRANGE(""https://docs.google.com/spreadsheets/d/1eHaY18a8A9IcSdp1K8H6x8fbOy06t2VsZHhMHf-1x7Y/edit?usp=sharing"",""แผน!BE29"")"),0)</f>
        <v>0</v>
      </c>
      <c r="M258" s="45"/>
      <c r="N258" s="644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643" t="s">
        <v>18</v>
      </c>
      <c r="D259" s="509" t="s">
        <v>38</v>
      </c>
      <c r="E259" s="141"/>
      <c r="F259" s="141"/>
      <c r="G259" s="142"/>
      <c r="H259" s="143"/>
      <c r="I259" s="135"/>
      <c r="J259" s="44"/>
      <c r="K259" s="45"/>
      <c r="L259" s="465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640" t="s">
        <v>35</v>
      </c>
      <c r="I260" s="430">
        <f ca="1">IFERROR(__xludf.DUMMYFUNCTION("IMPORTRANGE(""https://docs.google.com/spreadsheets/d/1eHaY18a8A9IcSdp1K8H6x8fbOy06t2VsZHhMHf-1x7Y/edit?usp=sharing"",""แผน!BH29"")"),0)</f>
        <v>0</v>
      </c>
      <c r="J260" s="525">
        <v>0</v>
      </c>
      <c r="K260" s="83">
        <f ca="1">IF(I260&gt;0,J260*100/I260,0)</f>
        <v>0</v>
      </c>
      <c r="L260" s="465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642" t="s">
        <v>43</v>
      </c>
      <c r="E261" s="145"/>
      <c r="F261" s="145"/>
      <c r="G261" s="143"/>
      <c r="H261" s="143"/>
      <c r="I261" s="44"/>
      <c r="J261" s="44"/>
      <c r="K261" s="45"/>
      <c r="L261" s="465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1" t="s">
        <v>109</v>
      </c>
      <c r="F262" s="145"/>
      <c r="G262" s="143"/>
      <c r="H262" s="640" t="s">
        <v>35</v>
      </c>
      <c r="I262" s="44"/>
      <c r="J262" s="525">
        <v>0</v>
      </c>
      <c r="K262" s="83">
        <f>IF(I262&gt;0,J262*100/I262,0)</f>
        <v>0</v>
      </c>
      <c r="L262" s="465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641" t="s">
        <v>110</v>
      </c>
      <c r="F263" s="145"/>
      <c r="G263" s="143"/>
      <c r="H263" s="640" t="s">
        <v>61</v>
      </c>
      <c r="I263" s="44"/>
      <c r="J263" s="525">
        <v>0</v>
      </c>
      <c r="K263" s="83">
        <f>IF(I263&gt;0,J263*100/I263,0)</f>
        <v>0</v>
      </c>
      <c r="L263" s="465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639" t="s">
        <v>113</v>
      </c>
      <c r="B264" s="638"/>
      <c r="C264" s="638"/>
      <c r="D264" s="637"/>
      <c r="E264" s="637"/>
      <c r="F264" s="637"/>
      <c r="G264" s="636"/>
      <c r="H264" s="636"/>
      <c r="I264" s="635"/>
      <c r="J264" s="635"/>
      <c r="K264" s="633"/>
      <c r="L264" s="634"/>
      <c r="M264" s="633"/>
      <c r="N264" s="633"/>
      <c r="O264" s="633"/>
      <c r="P264" s="633"/>
      <c r="Q264" s="633"/>
      <c r="R264" s="633"/>
      <c r="S264" s="633"/>
      <c r="T264" s="633"/>
      <c r="U264" s="633"/>
    </row>
    <row r="265" spans="1:21" ht="19.5" x14ac:dyDescent="0.3">
      <c r="A265" s="632"/>
      <c r="B265" s="631" t="s">
        <v>114</v>
      </c>
      <c r="C265" s="630"/>
      <c r="D265" s="603"/>
      <c r="E265" s="603"/>
      <c r="F265" s="603"/>
      <c r="G265" s="602"/>
      <c r="H265" s="629" t="s">
        <v>35</v>
      </c>
      <c r="I265" s="628">
        <f ca="1">I276</f>
        <v>22</v>
      </c>
      <c r="J265" s="628">
        <f>J276</f>
        <v>0</v>
      </c>
      <c r="K265" s="627">
        <f ca="1">IF(I265&gt;0,J265*100/I265,0)</f>
        <v>0</v>
      </c>
      <c r="L265" s="626"/>
      <c r="M265" s="625"/>
      <c r="N265" s="625"/>
      <c r="O265" s="625"/>
      <c r="P265" s="625"/>
      <c r="Q265" s="625"/>
      <c r="R265" s="625"/>
      <c r="S265" s="625"/>
      <c r="T265" s="625"/>
      <c r="U265" s="625"/>
    </row>
    <row r="266" spans="1:21" ht="19.5" x14ac:dyDescent="0.3">
      <c r="A266" s="610"/>
      <c r="B266" s="609"/>
      <c r="C266" s="624" t="s">
        <v>18</v>
      </c>
      <c r="D266" s="623" t="s">
        <v>19</v>
      </c>
      <c r="E266" s="609"/>
      <c r="F266" s="609"/>
      <c r="G266" s="608"/>
      <c r="H266" s="622" t="s">
        <v>14</v>
      </c>
      <c r="I266" s="479"/>
      <c r="J266" s="479"/>
      <c r="K266" s="476"/>
      <c r="L266" s="621">
        <f ca="1">L267+L268</f>
        <v>0</v>
      </c>
      <c r="M266" s="620">
        <f ca="1">M267+M268</f>
        <v>5000</v>
      </c>
      <c r="N266" s="620">
        <f ca="1">N267+N268</f>
        <v>0</v>
      </c>
      <c r="O266" s="620">
        <f t="shared" ref="O266:O274" ca="1" si="65">IF(L266&gt;0,N266*100/L266,0)</f>
        <v>0</v>
      </c>
      <c r="P266" s="620">
        <f t="shared" ref="P266:P274" ca="1" si="66">IF(M266&gt;0,N266*100/M266,0)</f>
        <v>0</v>
      </c>
      <c r="Q266" s="620">
        <f ca="1">Q267+Q268</f>
        <v>50660</v>
      </c>
      <c r="R266" s="620">
        <f ca="1">R267+R268</f>
        <v>50660</v>
      </c>
      <c r="S266" s="620">
        <f ca="1">S267+S268</f>
        <v>0</v>
      </c>
      <c r="T266" s="620">
        <f t="shared" ref="T266:T274" ca="1" si="67">IF(Q266&gt;0,S266*100/Q266,0)</f>
        <v>0</v>
      </c>
      <c r="U266" s="620">
        <f t="shared" ref="U266:U274" ca="1" si="68">IF(R266&gt;0,S266*100/R266,0)</f>
        <v>0</v>
      </c>
    </row>
    <row r="267" spans="1:21" ht="18.75" hidden="1" x14ac:dyDescent="0.25">
      <c r="A267" s="615"/>
      <c r="B267" s="614"/>
      <c r="C267" s="614"/>
      <c r="D267" s="614"/>
      <c r="E267" s="156" t="s">
        <v>20</v>
      </c>
      <c r="F267" s="614"/>
      <c r="G267" s="613"/>
      <c r="H267" s="157" t="s">
        <v>14</v>
      </c>
      <c r="I267" s="619"/>
      <c r="J267" s="619"/>
      <c r="K267" s="618"/>
      <c r="L267" s="469">
        <f t="shared" ref="L267:N268" si="69">L270+L273</f>
        <v>0</v>
      </c>
      <c r="M267" s="83">
        <f t="shared" si="69"/>
        <v>0</v>
      </c>
      <c r="N267" s="83">
        <f t="shared" si="69"/>
        <v>0</v>
      </c>
      <c r="O267" s="83">
        <f t="shared" si="65"/>
        <v>0</v>
      </c>
      <c r="P267" s="83">
        <f t="shared" si="66"/>
        <v>0</v>
      </c>
      <c r="Q267" s="83">
        <f t="shared" ref="Q267:S268" si="70">Q270+Q273</f>
        <v>0</v>
      </c>
      <c r="R267" s="83">
        <f t="shared" si="70"/>
        <v>0</v>
      </c>
      <c r="S267" s="83">
        <f t="shared" si="70"/>
        <v>0</v>
      </c>
      <c r="T267" s="83">
        <f t="shared" si="67"/>
        <v>0</v>
      </c>
      <c r="U267" s="83">
        <f t="shared" si="68"/>
        <v>0</v>
      </c>
    </row>
    <row r="268" spans="1:21" ht="18.75" hidden="1" x14ac:dyDescent="0.25">
      <c r="A268" s="610"/>
      <c r="B268" s="609"/>
      <c r="C268" s="609"/>
      <c r="D268" s="609"/>
      <c r="E268" s="605" t="s">
        <v>21</v>
      </c>
      <c r="F268" s="609"/>
      <c r="G268" s="608"/>
      <c r="H268" s="480" t="s">
        <v>14</v>
      </c>
      <c r="I268" s="479"/>
      <c r="J268" s="479"/>
      <c r="K268" s="476"/>
      <c r="L268" s="606">
        <f t="shared" ca="1" si="69"/>
        <v>0</v>
      </c>
      <c r="M268" s="486">
        <f t="shared" ca="1" si="69"/>
        <v>5000</v>
      </c>
      <c r="N268" s="486">
        <f t="shared" ca="1" si="69"/>
        <v>0</v>
      </c>
      <c r="O268" s="486">
        <f t="shared" ca="1" si="65"/>
        <v>0</v>
      </c>
      <c r="P268" s="486">
        <f t="shared" ca="1" si="66"/>
        <v>0</v>
      </c>
      <c r="Q268" s="486">
        <f t="shared" ca="1" si="70"/>
        <v>50660</v>
      </c>
      <c r="R268" s="486">
        <f t="shared" ca="1" si="70"/>
        <v>50660</v>
      </c>
      <c r="S268" s="486">
        <f t="shared" ca="1" si="70"/>
        <v>0</v>
      </c>
      <c r="T268" s="486">
        <f t="shared" ca="1" si="67"/>
        <v>0</v>
      </c>
      <c r="U268" s="486">
        <f t="shared" ca="1" si="68"/>
        <v>0</v>
      </c>
    </row>
    <row r="269" spans="1:21" ht="18.75" x14ac:dyDescent="0.25">
      <c r="A269" s="610"/>
      <c r="B269" s="609"/>
      <c r="C269" s="609"/>
      <c r="D269" s="616" t="s">
        <v>22</v>
      </c>
      <c r="E269" s="609"/>
      <c r="F269" s="609"/>
      <c r="G269" s="608"/>
      <c r="H269" s="617" t="s">
        <v>14</v>
      </c>
      <c r="I269" s="601"/>
      <c r="J269" s="601"/>
      <c r="K269" s="599"/>
      <c r="L269" s="606">
        <f ca="1">L270+L271</f>
        <v>0</v>
      </c>
      <c r="M269" s="486">
        <f ca="1">M270+M271</f>
        <v>5000</v>
      </c>
      <c r="N269" s="486">
        <f ca="1">N270+N271</f>
        <v>0</v>
      </c>
      <c r="O269" s="486">
        <f t="shared" ca="1" si="65"/>
        <v>0</v>
      </c>
      <c r="P269" s="486">
        <f t="shared" ca="1" si="66"/>
        <v>0</v>
      </c>
      <c r="Q269" s="486">
        <f ca="1">Q270+Q271</f>
        <v>50660</v>
      </c>
      <c r="R269" s="486">
        <f ca="1">R270+R271</f>
        <v>50660</v>
      </c>
      <c r="S269" s="486">
        <f ca="1">S270+S271</f>
        <v>0</v>
      </c>
      <c r="T269" s="486">
        <f t="shared" ca="1" si="67"/>
        <v>0</v>
      </c>
      <c r="U269" s="486">
        <f t="shared" ca="1" si="68"/>
        <v>0</v>
      </c>
    </row>
    <row r="270" spans="1:21" ht="18.75" hidden="1" x14ac:dyDescent="0.25">
      <c r="A270" s="615"/>
      <c r="B270" s="614"/>
      <c r="C270" s="614"/>
      <c r="D270" s="614"/>
      <c r="E270" s="156" t="s">
        <v>36</v>
      </c>
      <c r="F270" s="614"/>
      <c r="G270" s="613"/>
      <c r="H270" s="159" t="s">
        <v>14</v>
      </c>
      <c r="I270" s="612"/>
      <c r="J270" s="612"/>
      <c r="K270" s="611"/>
      <c r="L270" s="469">
        <v>0</v>
      </c>
      <c r="M270" s="83">
        <v>0</v>
      </c>
      <c r="N270" s="83">
        <v>0</v>
      </c>
      <c r="O270" s="83">
        <f t="shared" si="65"/>
        <v>0</v>
      </c>
      <c r="P270" s="83">
        <f t="shared" si="66"/>
        <v>0</v>
      </c>
      <c r="Q270" s="83">
        <v>0</v>
      </c>
      <c r="R270" s="83">
        <v>0</v>
      </c>
      <c r="S270" s="83">
        <v>0</v>
      </c>
      <c r="T270" s="83">
        <f t="shared" si="67"/>
        <v>0</v>
      </c>
      <c r="U270" s="83">
        <f t="shared" si="68"/>
        <v>0</v>
      </c>
    </row>
    <row r="271" spans="1:21" ht="18.75" hidden="1" x14ac:dyDescent="0.25">
      <c r="A271" s="610"/>
      <c r="B271" s="609"/>
      <c r="C271" s="609"/>
      <c r="D271" s="609"/>
      <c r="E271" s="605" t="s">
        <v>37</v>
      </c>
      <c r="F271" s="609"/>
      <c r="G271" s="608"/>
      <c r="H271" s="617" t="s">
        <v>14</v>
      </c>
      <c r="I271" s="601"/>
      <c r="J271" s="601"/>
      <c r="K271" s="599"/>
      <c r="L271" s="606">
        <f ca="1">IFERROR(__xludf.DUMMYFUNCTION("IMPORTRANGE(""https://docs.google.com/spreadsheets/d/1-uDff_7J0KD5mKrp0Vvzr7lt3OU09vwQwhkpOPPYv2Y/edit?usp=sharing"",""งบพรบ!DE29"")"),0)</f>
        <v>0</v>
      </c>
      <c r="M271" s="486">
        <f ca="1">IFERROR(__xludf.DUMMYFUNCTION("IMPORTRANGE(""https://docs.google.com/spreadsheets/d/1-uDff_7J0KD5mKrp0Vvzr7lt3OU09vwQwhkpOPPYv2Y/edit?usp=sharing"",""งบพรบ!DJ29"")"),5000)</f>
        <v>5000</v>
      </c>
      <c r="N271" s="486">
        <f ca="1">IFERROR(__xludf.DUMMYFUNCTION("IMPORTRANGE(""https://docs.google.com/spreadsheets/d/1-uDff_7J0KD5mKrp0Vvzr7lt3OU09vwQwhkpOPPYv2Y/edit?usp=sharing"",""งบพรบ!DL29"")"),0)</f>
        <v>0</v>
      </c>
      <c r="O271" s="486">
        <f t="shared" ca="1" si="65"/>
        <v>0</v>
      </c>
      <c r="P271" s="486">
        <f t="shared" ca="1" si="66"/>
        <v>0</v>
      </c>
      <c r="Q271" s="486">
        <f ca="1">IFERROR(__xludf.DUMMYFUNCTION("IMPORTRANGE(""https://docs.google.com/spreadsheets/d/1ItG2mGa2ceCfYo0BwxsXqNm01IGEUdYcSSLTEv9YCik/edit?usp=sharing"",""เบิกจ่ายกองทุน!AJ29"")"),50660)</f>
        <v>50660</v>
      </c>
      <c r="R271" s="486">
        <f ca="1">IFERROR(__xludf.DUMMYFUNCTION("IMPORTRANGE(""https://docs.google.com/spreadsheets/d/1ItG2mGa2ceCfYo0BwxsXqNm01IGEUdYcSSLTEv9YCik/edit?usp=sharing"",""เบิกจ่ายกองทุน!AK29"")"),50660)</f>
        <v>50660</v>
      </c>
      <c r="S271" s="486">
        <f ca="1">IFERROR(__xludf.DUMMYFUNCTION("IMPORTRANGE(""https://docs.google.com/spreadsheets/d/1ItG2mGa2ceCfYo0BwxsXqNm01IGEUdYcSSLTEv9YCik/edit?usp=sharing"",""เบิกจ่ายกองทุน!AL29"")"),0)</f>
        <v>0</v>
      </c>
      <c r="T271" s="486">
        <f t="shared" ca="1" si="67"/>
        <v>0</v>
      </c>
      <c r="U271" s="486">
        <f t="shared" ca="1" si="68"/>
        <v>0</v>
      </c>
    </row>
    <row r="272" spans="1:21" ht="18.75" x14ac:dyDescent="0.25">
      <c r="A272" s="610"/>
      <c r="B272" s="609"/>
      <c r="C272" s="609"/>
      <c r="D272" s="616" t="s">
        <v>23</v>
      </c>
      <c r="E272" s="609"/>
      <c r="F272" s="609"/>
      <c r="G272" s="608"/>
      <c r="H272" s="607" t="s">
        <v>14</v>
      </c>
      <c r="I272" s="601"/>
      <c r="J272" s="601"/>
      <c r="K272" s="599"/>
      <c r="L272" s="606">
        <f ca="1">L273+L274</f>
        <v>0</v>
      </c>
      <c r="M272" s="486">
        <f ca="1">M273+M274</f>
        <v>0</v>
      </c>
      <c r="N272" s="486">
        <f ca="1">N273+N274</f>
        <v>0</v>
      </c>
      <c r="O272" s="486">
        <f t="shared" ca="1" si="65"/>
        <v>0</v>
      </c>
      <c r="P272" s="486">
        <f t="shared" ca="1" si="66"/>
        <v>0</v>
      </c>
      <c r="Q272" s="486">
        <f>Q273+Q274</f>
        <v>0</v>
      </c>
      <c r="R272" s="486">
        <f>R273+R274</f>
        <v>0</v>
      </c>
      <c r="S272" s="486">
        <f>S273+S274</f>
        <v>0</v>
      </c>
      <c r="T272" s="486">
        <f t="shared" si="67"/>
        <v>0</v>
      </c>
      <c r="U272" s="486">
        <f t="shared" si="68"/>
        <v>0</v>
      </c>
    </row>
    <row r="273" spans="1:21" ht="18.75" hidden="1" x14ac:dyDescent="0.25">
      <c r="A273" s="615"/>
      <c r="B273" s="614"/>
      <c r="C273" s="614"/>
      <c r="D273" s="614"/>
      <c r="E273" s="156" t="s">
        <v>20</v>
      </c>
      <c r="F273" s="614"/>
      <c r="G273" s="613"/>
      <c r="H273" s="159" t="s">
        <v>14</v>
      </c>
      <c r="I273" s="612"/>
      <c r="J273" s="612"/>
      <c r="K273" s="611"/>
      <c r="L273" s="469">
        <v>0</v>
      </c>
      <c r="M273" s="83">
        <v>0</v>
      </c>
      <c r="N273" s="83">
        <v>0</v>
      </c>
      <c r="O273" s="83">
        <f t="shared" si="65"/>
        <v>0</v>
      </c>
      <c r="P273" s="83">
        <f t="shared" si="66"/>
        <v>0</v>
      </c>
      <c r="Q273" s="83">
        <v>0</v>
      </c>
      <c r="R273" s="83">
        <v>0</v>
      </c>
      <c r="S273" s="83">
        <v>0</v>
      </c>
      <c r="T273" s="83">
        <f t="shared" si="67"/>
        <v>0</v>
      </c>
      <c r="U273" s="83">
        <f t="shared" si="68"/>
        <v>0</v>
      </c>
    </row>
    <row r="274" spans="1:21" ht="18.75" hidden="1" x14ac:dyDescent="0.25">
      <c r="A274" s="610"/>
      <c r="B274" s="609"/>
      <c r="C274" s="609"/>
      <c r="D274" s="609"/>
      <c r="E274" s="605" t="s">
        <v>21</v>
      </c>
      <c r="F274" s="609"/>
      <c r="G274" s="608"/>
      <c r="H274" s="607" t="s">
        <v>14</v>
      </c>
      <c r="I274" s="601"/>
      <c r="J274" s="601"/>
      <c r="K274" s="599"/>
      <c r="L274" s="606">
        <f ca="1">IFERROR(__xludf.DUMMYFUNCTION("IMPORTRANGE(""https://docs.google.com/spreadsheets/d/1-uDff_7J0KD5mKrp0Vvzr7lt3OU09vwQwhkpOPPYv2Y/edit?usp=sharing"",""งบพรบ!DH29"")"),0)</f>
        <v>0</v>
      </c>
      <c r="M274" s="486">
        <f ca="1">IFERROR(__xludf.DUMMYFUNCTION("IMPORTRANGE(""https://docs.google.com/spreadsheets/d/1-uDff_7J0KD5mKrp0Vvzr7lt3OU09vwQwhkpOPPYv2Y/edit?usp=sharing"",""งบพรบ!DK29"")"),0)</f>
        <v>0</v>
      </c>
      <c r="N274" s="486">
        <f ca="1">IFERROR(__xludf.DUMMYFUNCTION("IMPORTRANGE(""https://docs.google.com/spreadsheets/d/1-uDff_7J0KD5mKrp0Vvzr7lt3OU09vwQwhkpOPPYv2Y/edit?usp=sharing"",""งบพรบ!DM29"")"),0)</f>
        <v>0</v>
      </c>
      <c r="O274" s="486">
        <f t="shared" ca="1" si="65"/>
        <v>0</v>
      </c>
      <c r="P274" s="486">
        <f t="shared" ca="1" si="66"/>
        <v>0</v>
      </c>
      <c r="Q274" s="486">
        <v>0</v>
      </c>
      <c r="R274" s="486">
        <v>0</v>
      </c>
      <c r="S274" s="486">
        <v>0</v>
      </c>
      <c r="T274" s="486">
        <f t="shared" si="67"/>
        <v>0</v>
      </c>
      <c r="U274" s="486">
        <f t="shared" si="68"/>
        <v>0</v>
      </c>
    </row>
    <row r="275" spans="1:21" ht="19.5" x14ac:dyDescent="0.3">
      <c r="A275" s="485"/>
      <c r="B275" s="484"/>
      <c r="C275" s="605" t="s">
        <v>18</v>
      </c>
      <c r="D275" s="604" t="s">
        <v>38</v>
      </c>
      <c r="E275" s="603"/>
      <c r="F275" s="603"/>
      <c r="G275" s="602"/>
      <c r="H275" s="481"/>
      <c r="I275" s="601"/>
      <c r="J275" s="601"/>
      <c r="K275" s="599"/>
      <c r="L275" s="600"/>
      <c r="M275" s="599"/>
      <c r="N275" s="599"/>
      <c r="O275" s="599"/>
      <c r="P275" s="599"/>
      <c r="Q275" s="599"/>
      <c r="R275" s="599"/>
      <c r="S275" s="599"/>
      <c r="T275" s="599"/>
      <c r="U275" s="599"/>
    </row>
    <row r="276" spans="1:21" ht="18.75" x14ac:dyDescent="0.25">
      <c r="A276" s="598"/>
      <c r="B276" s="597"/>
      <c r="C276" s="597"/>
      <c r="D276" s="596" t="s">
        <v>115</v>
      </c>
      <c r="E276" s="595"/>
      <c r="F276" s="595"/>
      <c r="G276" s="594"/>
      <c r="H276" s="593" t="s">
        <v>35</v>
      </c>
      <c r="I276" s="592">
        <f ca="1">IFERROR(__xludf.DUMMYFUNCTION("IMPORTRANGE(""https://docs.google.com/spreadsheets/d/1eHaY18a8A9IcSdp1K8H6x8fbOy06t2VsZHhMHf-1x7Y/edit?usp=sharing"",""แผน!EC29"")"),22)</f>
        <v>22</v>
      </c>
      <c r="J276" s="444">
        <v>0</v>
      </c>
      <c r="K276" s="591">
        <f ca="1">IF(I276&gt;0,J276*100/I276,0)</f>
        <v>0</v>
      </c>
      <c r="L276" s="465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590" t="s">
        <v>116</v>
      </c>
      <c r="E277" s="252"/>
      <c r="F277" s="252"/>
      <c r="G277" s="253"/>
      <c r="H277" s="589" t="s">
        <v>35</v>
      </c>
      <c r="I277" s="433">
        <v>0</v>
      </c>
      <c r="J277" s="433">
        <v>0</v>
      </c>
      <c r="K277" s="588">
        <v>0</v>
      </c>
      <c r="L277" s="587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58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585">
        <f ca="1">I293</f>
        <v>20</v>
      </c>
      <c r="J280" s="585">
        <f>J293</f>
        <v>20</v>
      </c>
      <c r="K280" s="584">
        <f ca="1">IF(I280&gt;0,J280*100/I280,0)</f>
        <v>100</v>
      </c>
      <c r="L280" s="583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585">
        <f ca="1">I292</f>
        <v>200</v>
      </c>
      <c r="J281" s="585">
        <f>J292</f>
        <v>200</v>
      </c>
      <c r="K281" s="584">
        <f ca="1">IF(I281&gt;0,J281*100/I281,0)</f>
        <v>100</v>
      </c>
      <c r="L281" s="583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472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471">
        <f ca="1">L283+L284</f>
        <v>71120</v>
      </c>
      <c r="M282" s="470">
        <f ca="1">M283+M284</f>
        <v>71120</v>
      </c>
      <c r="N282" s="470">
        <f ca="1">N283+N284</f>
        <v>61365</v>
      </c>
      <c r="O282" s="470">
        <f t="shared" ref="O282:O290" ca="1" si="71">IF(L282&gt;0,N282*100/L282,0)</f>
        <v>86.283745781777284</v>
      </c>
      <c r="P282" s="470">
        <f t="shared" ref="P282:P290" ca="1" si="72">IF(M282&gt;0,N282*100/M282,0)</f>
        <v>86.283745781777284</v>
      </c>
      <c r="Q282" s="470">
        <f>Q283+Q284</f>
        <v>0</v>
      </c>
      <c r="R282" s="470">
        <f>R283+R284</f>
        <v>0</v>
      </c>
      <c r="S282" s="470">
        <f>S283+S284</f>
        <v>0</v>
      </c>
      <c r="T282" s="470">
        <f t="shared" ref="T282:T290" si="73">IF(Q282&gt;0,S282*100/Q282,0)</f>
        <v>0</v>
      </c>
      <c r="U282" s="470">
        <f t="shared" ref="U282:U290" si="74"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469">
        <f t="shared" ref="L283:N284" si="75">L286+L289</f>
        <v>0</v>
      </c>
      <c r="M283" s="83">
        <f t="shared" si="75"/>
        <v>0</v>
      </c>
      <c r="N283" s="83">
        <f t="shared" si="75"/>
        <v>0</v>
      </c>
      <c r="O283" s="83">
        <f t="shared" si="71"/>
        <v>0</v>
      </c>
      <c r="P283" s="83">
        <f t="shared" si="72"/>
        <v>0</v>
      </c>
      <c r="Q283" s="83">
        <f t="shared" ref="Q283:S284" si="76">Q286+Q289</f>
        <v>0</v>
      </c>
      <c r="R283" s="83">
        <f t="shared" si="76"/>
        <v>0</v>
      </c>
      <c r="S283" s="83">
        <f t="shared" si="76"/>
        <v>0</v>
      </c>
      <c r="T283" s="83">
        <f t="shared" si="73"/>
        <v>0</v>
      </c>
      <c r="U283" s="83">
        <f t="shared" si="74"/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468">
        <f t="shared" ca="1" si="75"/>
        <v>71120</v>
      </c>
      <c r="M284" s="224">
        <f t="shared" ca="1" si="75"/>
        <v>71120</v>
      </c>
      <c r="N284" s="224">
        <f t="shared" ca="1" si="75"/>
        <v>61365</v>
      </c>
      <c r="O284" s="224">
        <f t="shared" ca="1" si="71"/>
        <v>86.283745781777284</v>
      </c>
      <c r="P284" s="224">
        <f t="shared" ca="1" si="72"/>
        <v>86.283745781777284</v>
      </c>
      <c r="Q284" s="224">
        <f t="shared" si="76"/>
        <v>0</v>
      </c>
      <c r="R284" s="224">
        <f t="shared" si="76"/>
        <v>0</v>
      </c>
      <c r="S284" s="224">
        <f t="shared" si="76"/>
        <v>0</v>
      </c>
      <c r="T284" s="224">
        <f t="shared" si="73"/>
        <v>0</v>
      </c>
      <c r="U284" s="224">
        <f t="shared" si="74"/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468">
        <f ca="1">L286+L287</f>
        <v>71120</v>
      </c>
      <c r="M285" s="224">
        <f ca="1">M286+M287</f>
        <v>71120</v>
      </c>
      <c r="N285" s="224">
        <f ca="1">N286+N287</f>
        <v>61365</v>
      </c>
      <c r="O285" s="224">
        <f t="shared" ca="1" si="71"/>
        <v>86.283745781777284</v>
      </c>
      <c r="P285" s="224">
        <f t="shared" ca="1" si="72"/>
        <v>86.283745781777284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 t="shared" si="73"/>
        <v>0</v>
      </c>
      <c r="U285" s="224">
        <f t="shared" si="74"/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469">
        <v>0</v>
      </c>
      <c r="M286" s="83">
        <v>0</v>
      </c>
      <c r="N286" s="83">
        <v>0</v>
      </c>
      <c r="O286" s="83">
        <f t="shared" si="71"/>
        <v>0</v>
      </c>
      <c r="P286" s="83">
        <f t="shared" si="72"/>
        <v>0</v>
      </c>
      <c r="Q286" s="83">
        <v>0</v>
      </c>
      <c r="R286" s="83">
        <v>0</v>
      </c>
      <c r="S286" s="83">
        <v>0</v>
      </c>
      <c r="T286" s="83">
        <f t="shared" si="73"/>
        <v>0</v>
      </c>
      <c r="U286" s="83">
        <f t="shared" si="74"/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468">
        <f ca="1">IFERROR(__xludf.DUMMYFUNCTION("IMPORTRANGE(""https://docs.google.com/spreadsheets/d/1-uDff_7J0KD5mKrp0Vvzr7lt3OU09vwQwhkpOPPYv2Y/edit?usp=sharing"",""งบพรบ!DO29"")"),71120)</f>
        <v>71120</v>
      </c>
      <c r="M287" s="224">
        <f ca="1">IFERROR(__xludf.DUMMYFUNCTION("IMPORTRANGE(""https://docs.google.com/spreadsheets/d/1-uDff_7J0KD5mKrp0Vvzr7lt3OU09vwQwhkpOPPYv2Y/edit?usp=sharing"",""งบพรบ!DT29"")"),71120)</f>
        <v>71120</v>
      </c>
      <c r="N287" s="224">
        <f ca="1">IFERROR(__xludf.DUMMYFUNCTION("IMPORTRANGE(""https://docs.google.com/spreadsheets/d/1-uDff_7J0KD5mKrp0Vvzr7lt3OU09vwQwhkpOPPYv2Y/edit?usp=sharing"",""งบพรบ!DV29"")"),61365)</f>
        <v>61365</v>
      </c>
      <c r="O287" s="224">
        <f t="shared" ca="1" si="71"/>
        <v>86.283745781777284</v>
      </c>
      <c r="P287" s="224">
        <f t="shared" ca="1" si="72"/>
        <v>86.283745781777284</v>
      </c>
      <c r="Q287" s="224">
        <v>0</v>
      </c>
      <c r="R287" s="224">
        <v>0</v>
      </c>
      <c r="S287" s="224">
        <v>0</v>
      </c>
      <c r="T287" s="83">
        <f t="shared" si="73"/>
        <v>0</v>
      </c>
      <c r="U287" s="83">
        <f t="shared" si="74"/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468">
        <f ca="1">L289+L290</f>
        <v>0</v>
      </c>
      <c r="M288" s="224">
        <f ca="1">M289+M290</f>
        <v>0</v>
      </c>
      <c r="N288" s="224">
        <f ca="1">N289+N290</f>
        <v>0</v>
      </c>
      <c r="O288" s="224">
        <f t="shared" ca="1" si="71"/>
        <v>0</v>
      </c>
      <c r="P288" s="224">
        <f t="shared" ca="1" si="72"/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 t="shared" si="73"/>
        <v>0</v>
      </c>
      <c r="U288" s="224">
        <f t="shared" si="74"/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469">
        <v>0</v>
      </c>
      <c r="M289" s="83">
        <v>0</v>
      </c>
      <c r="N289" s="83">
        <v>0</v>
      </c>
      <c r="O289" s="83">
        <f t="shared" si="71"/>
        <v>0</v>
      </c>
      <c r="P289" s="83">
        <f t="shared" si="72"/>
        <v>0</v>
      </c>
      <c r="Q289" s="83">
        <v>0</v>
      </c>
      <c r="R289" s="83">
        <v>0</v>
      </c>
      <c r="S289" s="83">
        <v>0</v>
      </c>
      <c r="T289" s="83">
        <f t="shared" si="73"/>
        <v>0</v>
      </c>
      <c r="U289" s="83">
        <f t="shared" si="74"/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468">
        <f ca="1">IFERROR(__xludf.DUMMYFUNCTION("IMPORTRANGE(""https://docs.google.com/spreadsheets/d/1-uDff_7J0KD5mKrp0Vvzr7lt3OU09vwQwhkpOPPYv2Y/edit?usp=sharing"",""งบพรบ!DR29"")"),0)</f>
        <v>0</v>
      </c>
      <c r="M290" s="224">
        <f ca="1">IFERROR(__xludf.DUMMYFUNCTION("IMPORTRANGE(""https://docs.google.com/spreadsheets/d/1-uDff_7J0KD5mKrp0Vvzr7lt3OU09vwQwhkpOPPYv2Y/edit?usp=sharing"",""งบพรบ!DU29"")"),0)</f>
        <v>0</v>
      </c>
      <c r="N290" s="224">
        <f ca="1">IFERROR(__xludf.DUMMYFUNCTION("IMPORTRANGE(""https://docs.google.com/spreadsheets/d/1-uDff_7J0KD5mKrp0Vvzr7lt3OU09vwQwhkpOPPYv2Y/edit?usp=sharing"",""งบพรบ!DW29"")"),0)</f>
        <v>0</v>
      </c>
      <c r="O290" s="224">
        <f t="shared" ca="1" si="71"/>
        <v>0</v>
      </c>
      <c r="P290" s="224">
        <f t="shared" ca="1" si="72"/>
        <v>0</v>
      </c>
      <c r="Q290" s="224">
        <v>0</v>
      </c>
      <c r="R290" s="224">
        <v>0</v>
      </c>
      <c r="S290" s="224">
        <v>0</v>
      </c>
      <c r="T290" s="224">
        <f t="shared" si="73"/>
        <v>0</v>
      </c>
      <c r="U290" s="224">
        <f t="shared" si="74"/>
        <v>0</v>
      </c>
    </row>
    <row r="291" spans="1:21" ht="19.5" x14ac:dyDescent="0.3">
      <c r="A291" s="138"/>
      <c r="B291" s="139"/>
      <c r="C291" s="129" t="s">
        <v>18</v>
      </c>
      <c r="D291" s="498" t="s">
        <v>38</v>
      </c>
      <c r="E291" s="141"/>
      <c r="F291" s="141"/>
      <c r="G291" s="142"/>
      <c r="H291" s="143"/>
      <c r="I291" s="135"/>
      <c r="J291" s="135"/>
      <c r="K291" s="136"/>
      <c r="L291" s="4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IFERROR(__xludf.DUMMYFUNCTION("IMPORTRANGE(""https://docs.google.com/spreadsheets/d/1eHaY18a8A9IcSdp1K8H6x8fbOy06t2VsZHhMHf-1x7Y/edit?usp=sharing"",""แผน!EE29"")"),200)</f>
        <v>200</v>
      </c>
      <c r="J292" s="466">
        <v>200</v>
      </c>
      <c r="K292" s="497">
        <f ca="1">IF(I292&gt;0,J292*100/I292,0)</f>
        <v>100</v>
      </c>
      <c r="L292" s="4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IFERROR(__xludf.DUMMYFUNCTION("IMPORTRANGE(""https://docs.google.com/spreadsheets/d/1eHaY18a8A9IcSdp1K8H6x8fbOy06t2VsZHhMHf-1x7Y/edit?usp=sharing"",""แผน!ED29"")"),20)</f>
        <v>20</v>
      </c>
      <c r="J293" s="328">
        <f>J296</f>
        <v>20</v>
      </c>
      <c r="K293" s="582">
        <f ca="1">IF(I293&gt;0,J293*100/I293,0)</f>
        <v>100</v>
      </c>
      <c r="L293" s="4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4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581">
        <f ca="1">IFERROR(__xludf.DUMMYFUNCTION("IMPORTRANGE(""https://docs.google.com/spreadsheets/d/1eHaY18a8A9IcSdp1K8H6x8fbOy06t2VsZHhMHf-1x7Y/edit?usp=sharing"",""แผน!ED29"")"),20)</f>
        <v>20</v>
      </c>
      <c r="J295" s="466">
        <v>20</v>
      </c>
      <c r="K295" s="497">
        <f ca="1">IF(I295&gt;0,J295*100/I295,0)</f>
        <v>100</v>
      </c>
      <c r="L295" s="4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581">
        <f ca="1">IFERROR(__xludf.DUMMYFUNCTION("IMPORTRANGE(""https://docs.google.com/spreadsheets/d/1eHaY18a8A9IcSdp1K8H6x8fbOy06t2VsZHhMHf-1x7Y/edit?usp=sharing"",""แผน!ED29"")"),20)</f>
        <v>20</v>
      </c>
      <c r="J296" s="466">
        <v>20</v>
      </c>
      <c r="K296" s="497">
        <f ca="1">IF(I296&gt;0,J296*100/I296,0)</f>
        <v>100</v>
      </c>
      <c r="L296" s="4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571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hidden="1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571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580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57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541">
        <f ca="1">I314</f>
        <v>20</v>
      </c>
      <c r="J302" s="541">
        <f>J314</f>
        <v>20</v>
      </c>
      <c r="K302" s="540">
        <f ca="1">IF(I302&gt;0,J302*100/I302,0)</f>
        <v>100</v>
      </c>
      <c r="L302" s="539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472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471">
        <f ca="1">L304+L305</f>
        <v>184600</v>
      </c>
      <c r="M303" s="470">
        <f ca="1">M304+M305</f>
        <v>184600</v>
      </c>
      <c r="N303" s="470">
        <f ca="1">N304+N305</f>
        <v>119510</v>
      </c>
      <c r="O303" s="470">
        <f t="shared" ref="O303:O311" ca="1" si="77">IF(L303&gt;0,N303*100/L303,0)</f>
        <v>64.739978331527624</v>
      </c>
      <c r="P303" s="470">
        <f t="shared" ref="P303:P311" ca="1" si="78">IF(M303&gt;0,N303*100/M303,0)</f>
        <v>64.739978331527624</v>
      </c>
      <c r="Q303" s="470">
        <f ca="1">Q304+Q305</f>
        <v>144609.24</v>
      </c>
      <c r="R303" s="470">
        <f ca="1">R304+R305</f>
        <v>144609</v>
      </c>
      <c r="S303" s="470">
        <f ca="1">S304+S305</f>
        <v>0</v>
      </c>
      <c r="T303" s="470">
        <f t="shared" ref="T303:T311" ca="1" si="79">IF(Q303&gt;0,S303*100/Q303,0)</f>
        <v>0</v>
      </c>
      <c r="U303" s="470">
        <f t="shared" ref="U303:U311" ca="1" si="80">IF(R303&gt;0,S303*100/R303,0)</f>
        <v>0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469">
        <f t="shared" ref="L304:N305" si="81">L307+L310</f>
        <v>0</v>
      </c>
      <c r="M304" s="83">
        <f t="shared" si="81"/>
        <v>0</v>
      </c>
      <c r="N304" s="83">
        <f t="shared" si="81"/>
        <v>0</v>
      </c>
      <c r="O304" s="83">
        <f t="shared" si="77"/>
        <v>0</v>
      </c>
      <c r="P304" s="83">
        <f t="shared" si="78"/>
        <v>0</v>
      </c>
      <c r="Q304" s="83">
        <f t="shared" ref="Q304:S305" si="82">Q307+Q310</f>
        <v>0</v>
      </c>
      <c r="R304" s="83">
        <f t="shared" si="82"/>
        <v>0</v>
      </c>
      <c r="S304" s="83">
        <f t="shared" si="82"/>
        <v>0</v>
      </c>
      <c r="T304" s="83">
        <f t="shared" si="79"/>
        <v>0</v>
      </c>
      <c r="U304" s="83">
        <f t="shared" si="80"/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468">
        <f t="shared" ca="1" si="81"/>
        <v>184600</v>
      </c>
      <c r="M305" s="224">
        <f t="shared" ca="1" si="81"/>
        <v>184600</v>
      </c>
      <c r="N305" s="224">
        <f t="shared" ca="1" si="81"/>
        <v>119510</v>
      </c>
      <c r="O305" s="224">
        <f t="shared" ca="1" si="77"/>
        <v>64.739978331527624</v>
      </c>
      <c r="P305" s="224">
        <f t="shared" ca="1" si="78"/>
        <v>64.739978331527624</v>
      </c>
      <c r="Q305" s="224">
        <f t="shared" ca="1" si="82"/>
        <v>144609.24</v>
      </c>
      <c r="R305" s="224">
        <f t="shared" ca="1" si="82"/>
        <v>144609</v>
      </c>
      <c r="S305" s="224">
        <f t="shared" ca="1" si="82"/>
        <v>0</v>
      </c>
      <c r="T305" s="224">
        <f t="shared" ca="1" si="79"/>
        <v>0</v>
      </c>
      <c r="U305" s="224">
        <f t="shared" ca="1" si="80"/>
        <v>0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468">
        <f ca="1">L307+L308</f>
        <v>184600</v>
      </c>
      <c r="M306" s="224">
        <f ca="1">M307+M308</f>
        <v>184600</v>
      </c>
      <c r="N306" s="224">
        <f ca="1">N307+N308</f>
        <v>119510</v>
      </c>
      <c r="O306" s="224">
        <f t="shared" ca="1" si="77"/>
        <v>64.739978331527624</v>
      </c>
      <c r="P306" s="224">
        <f t="shared" ca="1" si="78"/>
        <v>64.739978331527624</v>
      </c>
      <c r="Q306" s="224">
        <f ca="1">Q307+Q308</f>
        <v>144609.24</v>
      </c>
      <c r="R306" s="224">
        <f ca="1">R307+R308</f>
        <v>144609</v>
      </c>
      <c r="S306" s="224">
        <f ca="1">S307+S308</f>
        <v>0</v>
      </c>
      <c r="T306" s="224">
        <f t="shared" ca="1" si="79"/>
        <v>0</v>
      </c>
      <c r="U306" s="224">
        <f t="shared" ca="1" si="80"/>
        <v>0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469">
        <v>0</v>
      </c>
      <c r="M307" s="83">
        <v>0</v>
      </c>
      <c r="N307" s="83">
        <v>0</v>
      </c>
      <c r="O307" s="83">
        <f t="shared" si="77"/>
        <v>0</v>
      </c>
      <c r="P307" s="83">
        <f t="shared" si="78"/>
        <v>0</v>
      </c>
      <c r="Q307" s="83">
        <v>0</v>
      </c>
      <c r="R307" s="83">
        <v>0</v>
      </c>
      <c r="S307" s="83">
        <v>0</v>
      </c>
      <c r="T307" s="83">
        <f t="shared" si="79"/>
        <v>0</v>
      </c>
      <c r="U307" s="83">
        <f t="shared" si="80"/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468">
        <f ca="1">IFERROR(__xludf.DUMMYFUNCTION("IMPORTRANGE(""https://docs.google.com/spreadsheets/d/1-uDff_7J0KD5mKrp0Vvzr7lt3OU09vwQwhkpOPPYv2Y/edit?usp=sharing"",""งบพรบ!DY29"")"),184600)</f>
        <v>184600</v>
      </c>
      <c r="M308" s="224">
        <f ca="1">IFERROR(__xludf.DUMMYFUNCTION("IMPORTRANGE(""https://docs.google.com/spreadsheets/d/1-uDff_7J0KD5mKrp0Vvzr7lt3OU09vwQwhkpOPPYv2Y/edit?usp=sharing"",""งบพรบ!ED29"")"),184600)</f>
        <v>184600</v>
      </c>
      <c r="N308" s="224">
        <f ca="1">IFERROR(__xludf.DUMMYFUNCTION("IMPORTRANGE(""https://docs.google.com/spreadsheets/d/1-uDff_7J0KD5mKrp0Vvzr7lt3OU09vwQwhkpOPPYv2Y/edit?usp=sharing"",""งบพรบ!EF29"")"),119510)</f>
        <v>119510</v>
      </c>
      <c r="O308" s="224">
        <f t="shared" ca="1" si="77"/>
        <v>64.739978331527624</v>
      </c>
      <c r="P308" s="224">
        <f t="shared" ca="1" si="78"/>
        <v>64.739978331527624</v>
      </c>
      <c r="Q308" s="224">
        <f ca="1">IFERROR(__xludf.DUMMYFUNCTION("IMPORTRANGE(""https://docs.google.com/spreadsheets/d/1ItG2mGa2ceCfYo0BwxsXqNm01IGEUdYcSSLTEv9YCik/edit?usp=sharing"",""เบิกจ่ายกองทุน!AP29"")"),144609.24)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IFERROR(__xludf.DUMMYFUNCTION("IMPORTRANGE(""https://docs.google.com/spreadsheets/d/1ItG2mGa2ceCfYo0BwxsXqNm01IGEUdYcSSLTEv9YCik/edit?usp=sharing"",""เบิกจ่ายกองทุน!AQ29"")"),144609)</f>
        <v>144609</v>
      </c>
      <c r="S308" s="224">
        <f ca="1">IFERROR(__xludf.DUMMYFUNCTION("IMPORTRANGE(""https://docs.google.com/spreadsheets/d/1ItG2mGa2ceCfYo0BwxsXqNm01IGEUdYcSSLTEv9YCik/edit?usp=sharing"",""เบิกจ่ายกองทุน!AR29"")"),0)</f>
        <v>0</v>
      </c>
      <c r="T308" s="224">
        <f t="shared" ca="1" si="79"/>
        <v>0</v>
      </c>
      <c r="U308" s="224">
        <f t="shared" ca="1" si="80"/>
        <v>0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468">
        <f ca="1">L310+L311</f>
        <v>0</v>
      </c>
      <c r="M309" s="224">
        <f ca="1">M310+M311</f>
        <v>0</v>
      </c>
      <c r="N309" s="224">
        <f ca="1">N310+N311</f>
        <v>0</v>
      </c>
      <c r="O309" s="224">
        <f t="shared" ca="1" si="77"/>
        <v>0</v>
      </c>
      <c r="P309" s="224">
        <f t="shared" ca="1" si="78"/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 t="shared" si="79"/>
        <v>0</v>
      </c>
      <c r="U309" s="224">
        <f t="shared" si="80"/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469">
        <v>0</v>
      </c>
      <c r="M310" s="83">
        <v>0</v>
      </c>
      <c r="N310" s="83">
        <v>0</v>
      </c>
      <c r="O310" s="83">
        <f t="shared" si="77"/>
        <v>0</v>
      </c>
      <c r="P310" s="83">
        <f t="shared" si="78"/>
        <v>0</v>
      </c>
      <c r="Q310" s="83">
        <v>0</v>
      </c>
      <c r="R310" s="83">
        <v>0</v>
      </c>
      <c r="S310" s="83">
        <v>0</v>
      </c>
      <c r="T310" s="83">
        <f t="shared" si="79"/>
        <v>0</v>
      </c>
      <c r="U310" s="83">
        <f t="shared" si="80"/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468">
        <f ca="1">IFERROR(__xludf.DUMMYFUNCTION("IMPORTRANGE(""https://docs.google.com/spreadsheets/d/1-uDff_7J0KD5mKrp0Vvzr7lt3OU09vwQwhkpOPPYv2Y/edit?usp=sharing"",""งบพรบ!EB29"")"),0)</f>
        <v>0</v>
      </c>
      <c r="M311" s="224">
        <f ca="1">IFERROR(__xludf.DUMMYFUNCTION("IMPORTRANGE(""https://docs.google.com/spreadsheets/d/1-uDff_7J0KD5mKrp0Vvzr7lt3OU09vwQwhkpOPPYv2Y/edit?usp=sharing"",""งบพรบ!EE29"")"),0)</f>
        <v>0</v>
      </c>
      <c r="N311" s="224">
        <f ca="1">IFERROR(__xludf.DUMMYFUNCTION("IMPORTRANGE(""https://docs.google.com/spreadsheets/d/1-uDff_7J0KD5mKrp0Vvzr7lt3OU09vwQwhkpOPPYv2Y/edit?usp=sharing"",""งบพรบ!EG29"")"),0)</f>
        <v>0</v>
      </c>
      <c r="O311" s="224">
        <f t="shared" ca="1" si="77"/>
        <v>0</v>
      </c>
      <c r="P311" s="224">
        <f t="shared" ca="1" si="78"/>
        <v>0</v>
      </c>
      <c r="Q311" s="224">
        <v>0</v>
      </c>
      <c r="R311" s="224">
        <v>0</v>
      </c>
      <c r="S311" s="224">
        <v>0</v>
      </c>
      <c r="T311" s="224">
        <f t="shared" si="79"/>
        <v>0</v>
      </c>
      <c r="U311" s="224">
        <f t="shared" si="80"/>
        <v>0</v>
      </c>
    </row>
    <row r="312" spans="1:21" ht="19.5" x14ac:dyDescent="0.3">
      <c r="A312" s="138"/>
      <c r="B312" s="139"/>
      <c r="C312" s="129" t="s">
        <v>18</v>
      </c>
      <c r="D312" s="498" t="s">
        <v>38</v>
      </c>
      <c r="E312" s="141"/>
      <c r="F312" s="141"/>
      <c r="G312" s="142"/>
      <c r="H312" s="143"/>
      <c r="I312" s="44"/>
      <c r="J312" s="44"/>
      <c r="K312" s="45"/>
      <c r="L312" s="465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579"/>
      <c r="E313" s="18"/>
      <c r="F313" s="18"/>
      <c r="G313" s="19"/>
      <c r="H313" s="19"/>
      <c r="I313" s="20"/>
      <c r="J313" s="577"/>
      <c r="K313" s="21"/>
      <c r="L313" s="571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IFERROR(__xludf.DUMMYFUNCTION("IMPORTRANGE(""https://docs.google.com/spreadsheets/d/1eHaY18a8A9IcSdp1K8H6x8fbOy06t2VsZHhMHf-1x7Y/edit?usp=sharing"",""แผน!EF29"")"),20)</f>
        <v>20</v>
      </c>
      <c r="J314" s="466">
        <v>20</v>
      </c>
      <c r="K314" s="224">
        <f ca="1">IF(I314&gt;0,J314*100/I314,0)</f>
        <v>100</v>
      </c>
      <c r="L314" s="465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579"/>
      <c r="E315" s="18"/>
      <c r="F315" s="18"/>
      <c r="G315" s="19"/>
      <c r="H315" s="578"/>
      <c r="I315" s="577"/>
      <c r="J315" s="577"/>
      <c r="K315" s="576"/>
      <c r="L315" s="571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579"/>
      <c r="E316" s="18"/>
      <c r="F316" s="18"/>
      <c r="G316" s="19"/>
      <c r="H316" s="578"/>
      <c r="I316" s="577"/>
      <c r="J316" s="577"/>
      <c r="K316" s="576"/>
      <c r="L316" s="571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575"/>
      <c r="E317" s="18"/>
      <c r="F317" s="18"/>
      <c r="G317" s="19"/>
      <c r="H317" s="574"/>
      <c r="I317" s="573"/>
      <c r="J317" s="573"/>
      <c r="K317" s="572"/>
      <c r="L317" s="571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57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hidden="1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541">
        <f ca="1">I330</f>
        <v>0</v>
      </c>
      <c r="J319" s="541">
        <f>J330</f>
        <v>0</v>
      </c>
      <c r="K319" s="540">
        <f ca="1">IF(I319&gt;0,J319*100/I319,0)</f>
        <v>0</v>
      </c>
      <c r="L319" s="539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hidden="1" x14ac:dyDescent="0.3">
      <c r="A320" s="128"/>
      <c r="B320" s="40"/>
      <c r="C320" s="129" t="s">
        <v>18</v>
      </c>
      <c r="D320" s="472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471">
        <f ca="1">L321+L322</f>
        <v>0</v>
      </c>
      <c r="M320" s="470">
        <f ca="1">M321+M322</f>
        <v>0</v>
      </c>
      <c r="N320" s="470">
        <f ca="1">N321+N322</f>
        <v>0</v>
      </c>
      <c r="O320" s="470">
        <f t="shared" ref="O320:O328" ca="1" si="83">IF(L320&gt;0,N320*100/L320,0)</f>
        <v>0</v>
      </c>
      <c r="P320" s="470">
        <f t="shared" ref="P320:P328" ca="1" si="84">IF(M320&gt;0,N320*100/M320,0)</f>
        <v>0</v>
      </c>
      <c r="Q320" s="470">
        <f>Q321+Q322</f>
        <v>0</v>
      </c>
      <c r="R320" s="470">
        <f>R321+R322</f>
        <v>0</v>
      </c>
      <c r="S320" s="470">
        <f>S321+S322</f>
        <v>0</v>
      </c>
      <c r="T320" s="470">
        <f t="shared" ref="T320:T328" si="85">IF(Q320&gt;0,S320*100/Q320,0)</f>
        <v>0</v>
      </c>
      <c r="U320" s="470">
        <f t="shared" ref="U320:U328" si="86"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469">
        <f t="shared" ref="L321:N322" si="87">L324+L327</f>
        <v>0</v>
      </c>
      <c r="M321" s="83">
        <f t="shared" si="87"/>
        <v>0</v>
      </c>
      <c r="N321" s="83">
        <f t="shared" si="87"/>
        <v>0</v>
      </c>
      <c r="O321" s="83">
        <f t="shared" si="83"/>
        <v>0</v>
      </c>
      <c r="P321" s="83">
        <f t="shared" si="84"/>
        <v>0</v>
      </c>
      <c r="Q321" s="83">
        <f t="shared" ref="Q321:S322" si="88">Q324+Q327</f>
        <v>0</v>
      </c>
      <c r="R321" s="83">
        <f t="shared" si="88"/>
        <v>0</v>
      </c>
      <c r="S321" s="83">
        <f t="shared" si="88"/>
        <v>0</v>
      </c>
      <c r="T321" s="83">
        <f t="shared" si="85"/>
        <v>0</v>
      </c>
      <c r="U321" s="83">
        <f t="shared" si="86"/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468">
        <f t="shared" ca="1" si="87"/>
        <v>0</v>
      </c>
      <c r="M322" s="224">
        <f t="shared" ca="1" si="87"/>
        <v>0</v>
      </c>
      <c r="N322" s="224">
        <f t="shared" ca="1" si="87"/>
        <v>0</v>
      </c>
      <c r="O322" s="224">
        <f t="shared" ca="1" si="83"/>
        <v>0</v>
      </c>
      <c r="P322" s="224">
        <f t="shared" ca="1" si="84"/>
        <v>0</v>
      </c>
      <c r="Q322" s="224">
        <f t="shared" si="88"/>
        <v>0</v>
      </c>
      <c r="R322" s="224">
        <f t="shared" si="88"/>
        <v>0</v>
      </c>
      <c r="S322" s="224">
        <f t="shared" si="88"/>
        <v>0</v>
      </c>
      <c r="T322" s="224">
        <f t="shared" si="85"/>
        <v>0</v>
      </c>
      <c r="U322" s="224">
        <f t="shared" si="86"/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468">
        <f ca="1">L324+L325</f>
        <v>0</v>
      </c>
      <c r="M323" s="224">
        <f ca="1">M324+M325</f>
        <v>0</v>
      </c>
      <c r="N323" s="224">
        <f ca="1">N324+N325</f>
        <v>0</v>
      </c>
      <c r="O323" s="224">
        <f t="shared" ca="1" si="83"/>
        <v>0</v>
      </c>
      <c r="P323" s="224">
        <f t="shared" ca="1" si="84"/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 t="shared" si="85"/>
        <v>0</v>
      </c>
      <c r="U323" s="224">
        <f t="shared" si="86"/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469">
        <v>0</v>
      </c>
      <c r="M324" s="83">
        <v>0</v>
      </c>
      <c r="N324" s="83">
        <v>0</v>
      </c>
      <c r="O324" s="83">
        <f t="shared" si="83"/>
        <v>0</v>
      </c>
      <c r="P324" s="83">
        <f t="shared" si="84"/>
        <v>0</v>
      </c>
      <c r="Q324" s="83">
        <v>0</v>
      </c>
      <c r="R324" s="83">
        <v>0</v>
      </c>
      <c r="S324" s="83">
        <v>0</v>
      </c>
      <c r="T324" s="83">
        <f t="shared" si="85"/>
        <v>0</v>
      </c>
      <c r="U324" s="83">
        <f t="shared" si="86"/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468">
        <f ca="1">IFERROR(__xludf.DUMMYFUNCTION("IMPORTRANGE(""https://docs.google.com/spreadsheets/d/1-uDff_7J0KD5mKrp0Vvzr7lt3OU09vwQwhkpOPPYv2Y/edit?usp=sharing"",""งบพรบ!EI29"")"),0)</f>
        <v>0</v>
      </c>
      <c r="M325" s="224">
        <f ca="1">IFERROR(__xludf.DUMMYFUNCTION("IMPORTRANGE(""https://docs.google.com/spreadsheets/d/1-uDff_7J0KD5mKrp0Vvzr7lt3OU09vwQwhkpOPPYv2Y/edit?usp=sharing"",""งบพรบ!EN29"")"),0)</f>
        <v>0</v>
      </c>
      <c r="N325" s="224">
        <f ca="1">IFERROR(__xludf.DUMMYFUNCTION("IMPORTRANGE(""https://docs.google.com/spreadsheets/d/1-uDff_7J0KD5mKrp0Vvzr7lt3OU09vwQwhkpOPPYv2Y/edit?usp=sharing"",""งบพรบ!EP29"")"),0)</f>
        <v>0</v>
      </c>
      <c r="O325" s="224">
        <f t="shared" ca="1" si="83"/>
        <v>0</v>
      </c>
      <c r="P325" s="224">
        <f t="shared" ca="1" si="84"/>
        <v>0</v>
      </c>
      <c r="Q325" s="224">
        <v>0</v>
      </c>
      <c r="R325" s="224">
        <v>0</v>
      </c>
      <c r="S325" s="224">
        <v>0</v>
      </c>
      <c r="T325" s="224">
        <f t="shared" si="85"/>
        <v>0</v>
      </c>
      <c r="U325" s="224">
        <f t="shared" si="86"/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468">
        <f ca="1">L327+L328</f>
        <v>0</v>
      </c>
      <c r="M326" s="224">
        <f ca="1">M327+M328</f>
        <v>0</v>
      </c>
      <c r="N326" s="224">
        <f ca="1">N327+N328</f>
        <v>0</v>
      </c>
      <c r="O326" s="224">
        <f t="shared" ca="1" si="83"/>
        <v>0</v>
      </c>
      <c r="P326" s="224">
        <f t="shared" ca="1" si="84"/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 t="shared" si="85"/>
        <v>0</v>
      </c>
      <c r="U326" s="224">
        <f t="shared" si="86"/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469">
        <v>0</v>
      </c>
      <c r="M327" s="83">
        <v>0</v>
      </c>
      <c r="N327" s="83">
        <v>0</v>
      </c>
      <c r="O327" s="83">
        <f t="shared" si="83"/>
        <v>0</v>
      </c>
      <c r="P327" s="83">
        <f t="shared" si="84"/>
        <v>0</v>
      </c>
      <c r="Q327" s="83">
        <v>0</v>
      </c>
      <c r="R327" s="83">
        <v>0</v>
      </c>
      <c r="S327" s="83">
        <v>0</v>
      </c>
      <c r="T327" s="83">
        <f t="shared" si="85"/>
        <v>0</v>
      </c>
      <c r="U327" s="83">
        <f t="shared" si="86"/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468">
        <f ca="1">IFERROR(__xludf.DUMMYFUNCTION("IMPORTRANGE(""https://docs.google.com/spreadsheets/d/1-uDff_7J0KD5mKrp0Vvzr7lt3OU09vwQwhkpOPPYv2Y/edit?usp=sharing"",""งบพรบ!EL29"")"),0)</f>
        <v>0</v>
      </c>
      <c r="M328" s="224">
        <f ca="1">IFERROR(__xludf.DUMMYFUNCTION("IMPORTRANGE(""https://docs.google.com/spreadsheets/d/1-uDff_7J0KD5mKrp0Vvzr7lt3OU09vwQwhkpOPPYv2Y/edit?usp=sharing"",""งบพรบ!EO29"")"),0)</f>
        <v>0</v>
      </c>
      <c r="N328" s="224">
        <f ca="1">IFERROR(__xludf.DUMMYFUNCTION("IMPORTRANGE(""https://docs.google.com/spreadsheets/d/1-uDff_7J0KD5mKrp0Vvzr7lt3OU09vwQwhkpOPPYv2Y/edit?usp=sharing"",""งบพรบ!EQ29"")"),0)</f>
        <v>0</v>
      </c>
      <c r="O328" s="224">
        <f t="shared" ca="1" si="83"/>
        <v>0</v>
      </c>
      <c r="P328" s="224">
        <f t="shared" ca="1" si="84"/>
        <v>0</v>
      </c>
      <c r="Q328" s="224">
        <v>0</v>
      </c>
      <c r="R328" s="224">
        <v>0</v>
      </c>
      <c r="S328" s="224">
        <v>0</v>
      </c>
      <c r="T328" s="224">
        <f t="shared" si="85"/>
        <v>0</v>
      </c>
      <c r="U328" s="224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8" t="s">
        <v>38</v>
      </c>
      <c r="E329" s="141"/>
      <c r="F329" s="141"/>
      <c r="G329" s="142"/>
      <c r="H329" s="143"/>
      <c r="I329" s="135"/>
      <c r="J329" s="44"/>
      <c r="K329" s="45"/>
      <c r="L329" s="465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IFERROR(__xludf.DUMMYFUNCTION("IMPORTRANGE(""https://docs.google.com/spreadsheets/d/1eHaY18a8A9IcSdp1K8H6x8fbOy06t2VsZHhMHf-1x7Y/edit?usp=sharing"",""แผน!EJ29"")"),0)</f>
        <v>0</v>
      </c>
      <c r="J330" s="466">
        <v>0</v>
      </c>
      <c r="K330" s="224">
        <f ca="1">IF(I330&gt;0,J330*100/I330,0)</f>
        <v>0</v>
      </c>
      <c r="L330" s="465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57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569">
        <f ca="1">I344</f>
        <v>1200</v>
      </c>
      <c r="J332" s="568">
        <f ca="1">J344+J347+J348+J349+J353</f>
        <v>3952</v>
      </c>
      <c r="K332" s="567">
        <f ca="1">IF(I332&gt;0,J332*100/I332,0)</f>
        <v>329.33333333333331</v>
      </c>
      <c r="L332" s="539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472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471">
        <f ca="1">L334+L335</f>
        <v>111000</v>
      </c>
      <c r="M333" s="470">
        <f ca="1">M334+M335</f>
        <v>116000</v>
      </c>
      <c r="N333" s="470">
        <f ca="1">N334+N335</f>
        <v>87256</v>
      </c>
      <c r="O333" s="470">
        <f t="shared" ref="O333:O341" ca="1" si="89">IF(L333&gt;0,N333*100/L333,0)</f>
        <v>78.609009009009014</v>
      </c>
      <c r="P333" s="470">
        <f t="shared" ref="P333:P341" ca="1" si="90">IF(M333&gt;0,N333*100/M333,0)</f>
        <v>75.220689655172407</v>
      </c>
      <c r="Q333" s="470">
        <f>Q334+Q335</f>
        <v>0</v>
      </c>
      <c r="R333" s="470">
        <f>R334+R335</f>
        <v>0</v>
      </c>
      <c r="S333" s="470">
        <f>S334+S335</f>
        <v>0</v>
      </c>
      <c r="T333" s="470">
        <f t="shared" ref="T333:T341" si="91">IF(Q333&gt;0,S333*100/Q333,0)</f>
        <v>0</v>
      </c>
      <c r="U333" s="470">
        <f t="shared" ref="U333:U341" si="92"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469">
        <f t="shared" ref="L334:N335" si="93">L337+L340</f>
        <v>0</v>
      </c>
      <c r="M334" s="83">
        <f t="shared" si="93"/>
        <v>0</v>
      </c>
      <c r="N334" s="83">
        <f t="shared" si="93"/>
        <v>0</v>
      </c>
      <c r="O334" s="83">
        <f t="shared" si="89"/>
        <v>0</v>
      </c>
      <c r="P334" s="83">
        <f t="shared" si="90"/>
        <v>0</v>
      </c>
      <c r="Q334" s="83">
        <f t="shared" ref="Q334:S335" si="94">Q337+Q340</f>
        <v>0</v>
      </c>
      <c r="R334" s="83">
        <f t="shared" si="94"/>
        <v>0</v>
      </c>
      <c r="S334" s="83">
        <f t="shared" si="94"/>
        <v>0</v>
      </c>
      <c r="T334" s="83">
        <f t="shared" si="91"/>
        <v>0</v>
      </c>
      <c r="U334" s="83">
        <f t="shared" si="92"/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468">
        <f t="shared" ca="1" si="93"/>
        <v>111000</v>
      </c>
      <c r="M335" s="224">
        <f t="shared" ca="1" si="93"/>
        <v>116000</v>
      </c>
      <c r="N335" s="224">
        <f t="shared" ca="1" si="93"/>
        <v>87256</v>
      </c>
      <c r="O335" s="224">
        <f t="shared" ca="1" si="89"/>
        <v>78.609009009009014</v>
      </c>
      <c r="P335" s="224">
        <f t="shared" ca="1" si="90"/>
        <v>75.220689655172407</v>
      </c>
      <c r="Q335" s="224">
        <f t="shared" si="94"/>
        <v>0</v>
      </c>
      <c r="R335" s="224">
        <f t="shared" si="94"/>
        <v>0</v>
      </c>
      <c r="S335" s="224">
        <f t="shared" si="94"/>
        <v>0</v>
      </c>
      <c r="T335" s="224">
        <f t="shared" si="91"/>
        <v>0</v>
      </c>
      <c r="U335" s="224">
        <f t="shared" si="92"/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468">
        <f ca="1">L337+L338</f>
        <v>111000</v>
      </c>
      <c r="M336" s="224">
        <f ca="1">M337+M338</f>
        <v>116000</v>
      </c>
      <c r="N336" s="224">
        <f ca="1">N337+N338</f>
        <v>87256</v>
      </c>
      <c r="O336" s="224">
        <f t="shared" ca="1" si="89"/>
        <v>78.609009009009014</v>
      </c>
      <c r="P336" s="224">
        <f t="shared" ca="1" si="90"/>
        <v>75.220689655172407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 t="shared" si="91"/>
        <v>0</v>
      </c>
      <c r="U336" s="224">
        <f t="shared" si="92"/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469">
        <v>0</v>
      </c>
      <c r="M337" s="83">
        <v>0</v>
      </c>
      <c r="N337" s="83">
        <v>0</v>
      </c>
      <c r="O337" s="83">
        <f t="shared" si="89"/>
        <v>0</v>
      </c>
      <c r="P337" s="83">
        <f t="shared" si="90"/>
        <v>0</v>
      </c>
      <c r="Q337" s="83">
        <v>0</v>
      </c>
      <c r="R337" s="83">
        <v>0</v>
      </c>
      <c r="S337" s="83">
        <v>0</v>
      </c>
      <c r="T337" s="83">
        <f t="shared" si="91"/>
        <v>0</v>
      </c>
      <c r="U337" s="83">
        <f t="shared" si="92"/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468">
        <f ca="1">IFERROR(__xludf.DUMMYFUNCTION("IMPORTRANGE(""https://docs.google.com/spreadsheets/d/1-uDff_7J0KD5mKrp0Vvzr7lt3OU09vwQwhkpOPPYv2Y/edit?usp=sharing"",""งบพรบ!ES29"")"),111000)</f>
        <v>111000</v>
      </c>
      <c r="M338" s="224">
        <f ca="1">IFERROR(__xludf.DUMMYFUNCTION("IMPORTRANGE(""https://docs.google.com/spreadsheets/d/1-uDff_7J0KD5mKrp0Vvzr7lt3OU09vwQwhkpOPPYv2Y/edit?usp=sharing"",""งบพรบ!EX29"")"),116000)</f>
        <v>116000</v>
      </c>
      <c r="N338" s="224">
        <f ca="1">IFERROR(__xludf.DUMMYFUNCTION("IMPORTRANGE(""https://docs.google.com/spreadsheets/d/1-uDff_7J0KD5mKrp0Vvzr7lt3OU09vwQwhkpOPPYv2Y/edit?usp=sharing"",""งบพรบ!EZ29"")"),87256)</f>
        <v>87256</v>
      </c>
      <c r="O338" s="224">
        <f t="shared" ca="1" si="89"/>
        <v>78.609009009009014</v>
      </c>
      <c r="P338" s="224">
        <f t="shared" ca="1" si="90"/>
        <v>75.220689655172407</v>
      </c>
      <c r="Q338" s="224">
        <v>0</v>
      </c>
      <c r="R338" s="224">
        <v>0</v>
      </c>
      <c r="S338" s="224">
        <v>0</v>
      </c>
      <c r="T338" s="224">
        <f t="shared" si="91"/>
        <v>0</v>
      </c>
      <c r="U338" s="224">
        <f t="shared" si="92"/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468">
        <f ca="1">L340+L341</f>
        <v>0</v>
      </c>
      <c r="M339" s="224">
        <f ca="1">M340+M341</f>
        <v>0</v>
      </c>
      <c r="N339" s="224">
        <f ca="1">N340+N341</f>
        <v>0</v>
      </c>
      <c r="O339" s="224">
        <f t="shared" ca="1" si="89"/>
        <v>0</v>
      </c>
      <c r="P339" s="224">
        <f t="shared" ca="1" si="90"/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 t="shared" si="91"/>
        <v>0</v>
      </c>
      <c r="U339" s="224">
        <f t="shared" si="92"/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469">
        <v>0</v>
      </c>
      <c r="M340" s="83">
        <v>0</v>
      </c>
      <c r="N340" s="83">
        <v>0</v>
      </c>
      <c r="O340" s="83">
        <f t="shared" si="89"/>
        <v>0</v>
      </c>
      <c r="P340" s="83">
        <f t="shared" si="90"/>
        <v>0</v>
      </c>
      <c r="Q340" s="83">
        <v>0</v>
      </c>
      <c r="R340" s="83">
        <v>0</v>
      </c>
      <c r="S340" s="83">
        <v>0</v>
      </c>
      <c r="T340" s="83">
        <f t="shared" si="91"/>
        <v>0</v>
      </c>
      <c r="U340" s="83">
        <f t="shared" si="92"/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468">
        <f ca="1">IFERROR(__xludf.DUMMYFUNCTION("IMPORTRANGE(""https://docs.google.com/spreadsheets/d/1-uDff_7J0KD5mKrp0Vvzr7lt3OU09vwQwhkpOPPYv2Y/edit?usp=sharing"",""งบพรบ!EV29"")"),0)</f>
        <v>0</v>
      </c>
      <c r="M341" s="224">
        <f ca="1">IFERROR(__xludf.DUMMYFUNCTION("IMPORTRANGE(""https://docs.google.com/spreadsheets/d/1-uDff_7J0KD5mKrp0Vvzr7lt3OU09vwQwhkpOPPYv2Y/edit?usp=sharing"",""งบพรบ!EY29"")"),0)</f>
        <v>0</v>
      </c>
      <c r="N341" s="224">
        <f ca="1">IFERROR(__xludf.DUMMYFUNCTION("IMPORTRANGE(""https://docs.google.com/spreadsheets/d/1-uDff_7J0KD5mKrp0Vvzr7lt3OU09vwQwhkpOPPYv2Y/edit?usp=sharing"",""งบพรบ!FA29"")"),0)</f>
        <v>0</v>
      </c>
      <c r="O341" s="224">
        <f t="shared" ca="1" si="89"/>
        <v>0</v>
      </c>
      <c r="P341" s="224">
        <f t="shared" ca="1" si="90"/>
        <v>0</v>
      </c>
      <c r="Q341" s="224">
        <v>0</v>
      </c>
      <c r="R341" s="224">
        <v>0</v>
      </c>
      <c r="S341" s="224">
        <v>0</v>
      </c>
      <c r="T341" s="224">
        <f t="shared" si="91"/>
        <v>0</v>
      </c>
      <c r="U341" s="224">
        <f t="shared" si="92"/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465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566"/>
      <c r="B343" s="563"/>
      <c r="C343" s="565"/>
      <c r="D343" s="563"/>
      <c r="E343" s="564" t="s">
        <v>137</v>
      </c>
      <c r="F343" s="563"/>
      <c r="G343" s="562"/>
      <c r="H343" s="561" t="s">
        <v>35</v>
      </c>
      <c r="I343" s="560">
        <v>0</v>
      </c>
      <c r="J343" s="560">
        <f ca="1">J344+J347+J348+J349</f>
        <v>955</v>
      </c>
      <c r="K343" s="559">
        <v>0</v>
      </c>
      <c r="L343" s="557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IFERROR(__xludf.DUMMYFUNCTION("IMPORTRANGE(""https://docs.google.com/spreadsheets/d/1eHaY18a8A9IcSdp1K8H6x8fbOy06t2VsZHhMHf-1x7Y/edit?usp=sharing"",""แผน!EK29"")"),1200)</f>
        <v>1200</v>
      </c>
      <c r="J344" s="184">
        <f ca="1">IFERROR(__xludf.DUMMYFUNCTION("IMPORTRANGE(""https://docs.google.com/spreadsheets/d/1awYsYK3VOup2i3Pq_Yjnu8DRu_mYwSBnCR2QPthd0rU/edit?usp=sharing"",""ศูนย์ยกเว้นโฉนด!D29"")"),903)</f>
        <v>903</v>
      </c>
      <c r="K344" s="224">
        <f ca="1">IF(I344&gt;0,J344*100/I344,0)</f>
        <v>75.25</v>
      </c>
      <c r="L344" s="465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465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IFERROR(__xludf.DUMMYFUNCTION("IMPORTRANGE(""https://docs.google.com/spreadsheets/d/1eHaY18a8A9IcSdp1K8H6x8fbOy06t2VsZHhMHf-1x7Y/edit?usp=sharing"",""แผน!EL29"")"),4)</f>
        <v>4</v>
      </c>
      <c r="J346" s="184">
        <f ca="1">IFERROR(__xludf.DUMMYFUNCTION("IMPORTRANGE(""https://docs.google.com/spreadsheets/d/1awYsYK3VOup2i3Pq_Yjnu8DRu_mYwSBnCR2QPthd0rU/edit?usp=sharing"",""ศูนย์รวม!E29"")"),4)</f>
        <v>4</v>
      </c>
      <c r="K346" s="224">
        <f ca="1">IF(I346&gt;0,J346*100/I346,0)</f>
        <v>100</v>
      </c>
      <c r="L346" s="465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IFERROR(__xludf.DUMMYFUNCTION("IMPORTRANGE(""https://docs.google.com/spreadsheets/d/1awYsYK3VOup2i3Pq_Yjnu8DRu_mYwSBnCR2QPthd0rU/edit?usp=sharing"",""ศูนย์ยกเว้นโฉนด!F29"")"),52)</f>
        <v>52</v>
      </c>
      <c r="K347" s="45"/>
      <c r="L347" s="465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IFERROR(__xludf.DUMMYFUNCTION("IMPORTRANGE(""https://docs.google.com/spreadsheets/d/1awYsYK3VOup2i3Pq_Yjnu8DRu_mYwSBnCR2QPthd0rU/edit?usp=sharing"",""ศูนย์ยกเว้นโฉนด!G29"")"),0)</f>
        <v>0</v>
      </c>
      <c r="K348" s="45"/>
      <c r="L348" s="465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IFERROR(__xludf.DUMMYFUNCTION("IMPORTRANGE(""https://docs.google.com/spreadsheets/d/1awYsYK3VOup2i3Pq_Yjnu8DRu_mYwSBnCR2QPthd0rU/edit?usp=sharing"",""ศูนย์ยกเว้นโฉนด!H29"")"),0)</f>
        <v>0</v>
      </c>
      <c r="K349" s="45"/>
      <c r="L349" s="465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0"/>
      <c r="F350" s="40"/>
      <c r="G350" s="42"/>
      <c r="H350" s="180"/>
      <c r="I350" s="44"/>
      <c r="J350" s="44"/>
      <c r="K350" s="45"/>
      <c r="L350" s="465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558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3877</v>
      </c>
      <c r="K351" s="304">
        <v>0</v>
      </c>
      <c r="L351" s="557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IFERROR(__xludf.DUMMYFUNCTION("IMPORTRANGE(""https://docs.google.com/spreadsheets/d/1awYsYK3VOup2i3Pq_Yjnu8DRu_mYwSBnCR2QPthd0rU/edit?usp=sharing"",""โฉนดM3!G29"")"),880)</f>
        <v>880</v>
      </c>
      <c r="K352" s="45"/>
      <c r="L352" s="465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IFERROR(__xludf.DUMMYFUNCTION("IMPORTRANGE(""https://docs.google.com/spreadsheets/d/1awYsYK3VOup2i3Pq_Yjnu8DRu_mYwSBnCR2QPthd0rU/edit?usp=sharing"",""โฉนดM3!H29"")"),2997)</f>
        <v>2997</v>
      </c>
      <c r="K353" s="45"/>
      <c r="L353" s="465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0"/>
      <c r="F354" s="40"/>
      <c r="G354" s="42"/>
      <c r="H354" s="180"/>
      <c r="I354" s="44"/>
      <c r="J354" s="44"/>
      <c r="K354" s="45"/>
      <c r="L354" s="465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539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472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471">
        <f ca="1">L357+L358</f>
        <v>452160</v>
      </c>
      <c r="M356" s="470">
        <f ca="1">M357+M358</f>
        <v>452160</v>
      </c>
      <c r="N356" s="470">
        <f ca="1">N357+N358</f>
        <v>374829</v>
      </c>
      <c r="O356" s="470">
        <f t="shared" ref="O356:O364" ca="1" si="95">IF(L356&gt;0,N356*100/L356,0)</f>
        <v>82.897425690021237</v>
      </c>
      <c r="P356" s="470">
        <f t="shared" ref="P356:P364" ca="1" si="96">IF(M356&gt;0,N356*100/M356,0)</f>
        <v>82.897425690021237</v>
      </c>
      <c r="Q356" s="470">
        <f>Q357+Q358</f>
        <v>0</v>
      </c>
      <c r="R356" s="470">
        <f>R357+R358</f>
        <v>0</v>
      </c>
      <c r="S356" s="470">
        <f>S357+S358</f>
        <v>0</v>
      </c>
      <c r="T356" s="470">
        <f t="shared" ref="T356:T364" si="97">IF(Q356&gt;0,S356*100/Q356,0)</f>
        <v>0</v>
      </c>
      <c r="U356" s="470">
        <f t="shared" ref="U356:U364" si="98"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469">
        <f t="shared" ref="L357:N358" si="99">L360+L363</f>
        <v>0</v>
      </c>
      <c r="M357" s="83">
        <f t="shared" si="99"/>
        <v>0</v>
      </c>
      <c r="N357" s="83">
        <f t="shared" si="99"/>
        <v>0</v>
      </c>
      <c r="O357" s="83">
        <f t="shared" si="95"/>
        <v>0</v>
      </c>
      <c r="P357" s="83">
        <f t="shared" si="96"/>
        <v>0</v>
      </c>
      <c r="Q357" s="83">
        <f t="shared" ref="Q357:S358" si="100">Q360+Q363</f>
        <v>0</v>
      </c>
      <c r="R357" s="83">
        <f t="shared" si="100"/>
        <v>0</v>
      </c>
      <c r="S357" s="83">
        <f t="shared" si="100"/>
        <v>0</v>
      </c>
      <c r="T357" s="83">
        <f t="shared" si="97"/>
        <v>0</v>
      </c>
      <c r="U357" s="83">
        <f t="shared" si="98"/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468">
        <f t="shared" ca="1" si="99"/>
        <v>452160</v>
      </c>
      <c r="M358" s="224">
        <f t="shared" ca="1" si="99"/>
        <v>452160</v>
      </c>
      <c r="N358" s="224">
        <f t="shared" ca="1" si="99"/>
        <v>374829</v>
      </c>
      <c r="O358" s="224">
        <f t="shared" ca="1" si="95"/>
        <v>82.897425690021237</v>
      </c>
      <c r="P358" s="224">
        <f t="shared" ca="1" si="96"/>
        <v>82.897425690021237</v>
      </c>
      <c r="Q358" s="224">
        <f t="shared" si="100"/>
        <v>0</v>
      </c>
      <c r="R358" s="224">
        <f t="shared" si="100"/>
        <v>0</v>
      </c>
      <c r="S358" s="224">
        <f t="shared" si="100"/>
        <v>0</v>
      </c>
      <c r="T358" s="224">
        <f t="shared" si="97"/>
        <v>0</v>
      </c>
      <c r="U358" s="224">
        <f t="shared" si="98"/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468">
        <f ca="1">L360+L361</f>
        <v>452160</v>
      </c>
      <c r="M359" s="224">
        <f ca="1">M360+M361</f>
        <v>452160</v>
      </c>
      <c r="N359" s="224">
        <f ca="1">N360+N361</f>
        <v>374829</v>
      </c>
      <c r="O359" s="224">
        <f t="shared" ca="1" si="95"/>
        <v>82.897425690021237</v>
      </c>
      <c r="P359" s="224">
        <f t="shared" ca="1" si="96"/>
        <v>82.897425690021237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 t="shared" si="97"/>
        <v>0</v>
      </c>
      <c r="U359" s="224">
        <f t="shared" si="98"/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469">
        <v>0</v>
      </c>
      <c r="M360" s="83">
        <v>0</v>
      </c>
      <c r="N360" s="83">
        <v>0</v>
      </c>
      <c r="O360" s="83">
        <f t="shared" si="95"/>
        <v>0</v>
      </c>
      <c r="P360" s="83">
        <f t="shared" si="96"/>
        <v>0</v>
      </c>
      <c r="Q360" s="83">
        <v>0</v>
      </c>
      <c r="R360" s="83">
        <v>0</v>
      </c>
      <c r="S360" s="83">
        <v>0</v>
      </c>
      <c r="T360" s="83">
        <f t="shared" si="97"/>
        <v>0</v>
      </c>
      <c r="U360" s="83">
        <f t="shared" si="98"/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468">
        <f ca="1">IFERROR(__xludf.DUMMYFUNCTION("IMPORTRANGE(""https://docs.google.com/spreadsheets/d/1-uDff_7J0KD5mKrp0Vvzr7lt3OU09vwQwhkpOPPYv2Y/edit?usp=sharing"",""งบพรบ!FC29"")"),452160)</f>
        <v>452160</v>
      </c>
      <c r="M361" s="224">
        <f ca="1">IFERROR(__xludf.DUMMYFUNCTION("IMPORTRANGE(""https://docs.google.com/spreadsheets/d/1-uDff_7J0KD5mKrp0Vvzr7lt3OU09vwQwhkpOPPYv2Y/edit?usp=sharing"",""งบพรบ!FH29"")"),452160)</f>
        <v>452160</v>
      </c>
      <c r="N361" s="224">
        <f ca="1">IFERROR(__xludf.DUMMYFUNCTION("IMPORTRANGE(""https://docs.google.com/spreadsheets/d/1-uDff_7J0KD5mKrp0Vvzr7lt3OU09vwQwhkpOPPYv2Y/edit?usp=sharing"",""งบพรบ!FJ29"")"),374829)</f>
        <v>374829</v>
      </c>
      <c r="O361" s="224">
        <f t="shared" ca="1" si="95"/>
        <v>82.897425690021237</v>
      </c>
      <c r="P361" s="224">
        <f t="shared" ca="1" si="96"/>
        <v>82.897425690021237</v>
      </c>
      <c r="Q361" s="224">
        <v>0</v>
      </c>
      <c r="R361" s="224">
        <v>0</v>
      </c>
      <c r="S361" s="224">
        <v>0</v>
      </c>
      <c r="T361" s="224">
        <f t="shared" si="97"/>
        <v>0</v>
      </c>
      <c r="U361" s="224">
        <f t="shared" si="98"/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468">
        <f ca="1">L363+L364</f>
        <v>0</v>
      </c>
      <c r="M362" s="224">
        <f ca="1">M363+M364</f>
        <v>0</v>
      </c>
      <c r="N362" s="224">
        <f ca="1">N363+N364</f>
        <v>0</v>
      </c>
      <c r="O362" s="224">
        <f t="shared" ca="1" si="95"/>
        <v>0</v>
      </c>
      <c r="P362" s="224">
        <f t="shared" ca="1" si="96"/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 t="shared" si="97"/>
        <v>0</v>
      </c>
      <c r="U362" s="224">
        <f t="shared" si="98"/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469">
        <v>0</v>
      </c>
      <c r="M363" s="83">
        <v>0</v>
      </c>
      <c r="N363" s="83">
        <v>0</v>
      </c>
      <c r="O363" s="83">
        <f t="shared" si="95"/>
        <v>0</v>
      </c>
      <c r="P363" s="83">
        <f t="shared" si="96"/>
        <v>0</v>
      </c>
      <c r="Q363" s="83">
        <v>0</v>
      </c>
      <c r="R363" s="83">
        <v>0</v>
      </c>
      <c r="S363" s="83">
        <v>0</v>
      </c>
      <c r="T363" s="83">
        <f t="shared" si="97"/>
        <v>0</v>
      </c>
      <c r="U363" s="83">
        <f t="shared" si="98"/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468">
        <f ca="1">IFERROR(__xludf.DUMMYFUNCTION("IMPORTRANGE(""https://docs.google.com/spreadsheets/d/1-uDff_7J0KD5mKrp0Vvzr7lt3OU09vwQwhkpOPPYv2Y/edit?usp=sharing"",""งบพรบ!FF29"")"),0)</f>
        <v>0</v>
      </c>
      <c r="M364" s="224">
        <f ca="1">IFERROR(__xludf.DUMMYFUNCTION("IMPORTRANGE(""https://docs.google.com/spreadsheets/d/1-uDff_7J0KD5mKrp0Vvzr7lt3OU09vwQwhkpOPPYv2Y/edit?usp=sharing"",""งบพรบ!FI29"")"),0)</f>
        <v>0</v>
      </c>
      <c r="N364" s="224">
        <f ca="1">IFERROR(__xludf.DUMMYFUNCTION("IMPORTRANGE(""https://docs.google.com/spreadsheets/d/1-uDff_7J0KD5mKrp0Vvzr7lt3OU09vwQwhkpOPPYv2Y/edit?usp=sharing"",""งบพรบ!FK29"")"),0)</f>
        <v>0</v>
      </c>
      <c r="O364" s="224">
        <f t="shared" ca="1" si="95"/>
        <v>0</v>
      </c>
      <c r="P364" s="224">
        <f t="shared" ca="1" si="96"/>
        <v>0</v>
      </c>
      <c r="Q364" s="224">
        <v>0</v>
      </c>
      <c r="R364" s="224">
        <v>0</v>
      </c>
      <c r="S364" s="224">
        <v>0</v>
      </c>
      <c r="T364" s="224">
        <f t="shared" si="97"/>
        <v>0</v>
      </c>
      <c r="U364" s="224">
        <f t="shared" si="98"/>
        <v>0</v>
      </c>
    </row>
    <row r="365" spans="1:21" ht="19.5" x14ac:dyDescent="0.3">
      <c r="A365" s="211"/>
      <c r="B365" s="212"/>
      <c r="C365" s="214"/>
      <c r="D365" s="558" t="s">
        <v>149</v>
      </c>
      <c r="E365" s="214"/>
      <c r="F365" s="214"/>
      <c r="G365" s="215"/>
      <c r="H365" s="223" t="s">
        <v>35</v>
      </c>
      <c r="I365" s="303">
        <f ca="1">I371</f>
        <v>223</v>
      </c>
      <c r="J365" s="303">
        <f ca="1">J371</f>
        <v>219</v>
      </c>
      <c r="K365" s="304">
        <f ca="1">IF(I365&gt;0,J365*100/I365,0)</f>
        <v>98.206278026905835</v>
      </c>
      <c r="L365" s="557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498" t="s">
        <v>38</v>
      </c>
      <c r="E366" s="141"/>
      <c r="F366" s="141"/>
      <c r="G366" s="142"/>
      <c r="H366" s="143"/>
      <c r="I366" s="44"/>
      <c r="J366" s="44"/>
      <c r="K366" s="45"/>
      <c r="L366" s="4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IFERROR(__xludf.DUMMYFUNCTION("IMPORTRANGE(""https://docs.google.com/spreadsheets/d/1tdoBKaGub7dwA3U6UFTqxio9LNnvDCQjHKmttSEBsFQ/edit?usp=sharing"",""จัดที่ดิน!AB29"")"),152)</f>
        <v>152</v>
      </c>
      <c r="K367" s="224">
        <f t="shared" ref="K367:K372" si="101">IF(I367&gt;0,J367*100/I367,0)</f>
        <v>0</v>
      </c>
      <c r="L367" s="4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IFERROR(__xludf.DUMMYFUNCTION("IMPORTRANGE(""https://docs.google.com/spreadsheets/d/1eHaY18a8A9IcSdp1K8H6x8fbOy06t2VsZHhMHf-1x7Y/edit?usp=sharing"",""แผน!EW29"")"),440)</f>
        <v>440</v>
      </c>
      <c r="J368" s="556">
        <f ca="1">IFERROR(__xludf.DUMMYFUNCTION("IMPORTRANGE(""https://docs.google.com/spreadsheets/d/1tdoBKaGub7dwA3U6UFTqxio9LNnvDCQjHKmttSEBsFQ/edit?usp=sharing"",""จัดที่ดิน!AC29"")"),859.54)</f>
        <v>859.54</v>
      </c>
      <c r="K368" s="224">
        <f t="shared" ca="1" si="101"/>
        <v>195.35</v>
      </c>
      <c r="L368" s="4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IFERROR(__xludf.DUMMYFUNCTION("IMPORTRANGE(""https://docs.google.com/spreadsheets/d/1eHaY18a8A9IcSdp1K8H6x8fbOy06t2VsZHhMHf-1x7Y/edit?usp=sharing"",""แผน!EX29"")"),223)</f>
        <v>223</v>
      </c>
      <c r="J369" s="184">
        <f ca="1">IFERROR(__xludf.DUMMYFUNCTION("IMPORTRANGE(""https://docs.google.com/spreadsheets/d/1tdoBKaGub7dwA3U6UFTqxio9LNnvDCQjHKmttSEBsFQ/edit?usp=sharing"",""จัดที่ดิน!AD29"")"),280)</f>
        <v>280</v>
      </c>
      <c r="K369" s="224">
        <f t="shared" ca="1" si="101"/>
        <v>125.56053811659193</v>
      </c>
      <c r="L369" s="4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556">
        <f ca="1">IFERROR(__xludf.DUMMYFUNCTION("IMPORTRANGE(""https://docs.google.com/spreadsheets/d/1tdoBKaGub7dwA3U6UFTqxio9LNnvDCQjHKmttSEBsFQ/edit?usp=sharing"",""จัดที่ดิน!AE29"")"),2837.45)</f>
        <v>2837.45</v>
      </c>
      <c r="K370" s="224">
        <f t="shared" si="101"/>
        <v>0</v>
      </c>
      <c r="L370" s="4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IFERROR(__xludf.DUMMYFUNCTION("IMPORTRANGE(""https://docs.google.com/spreadsheets/d/1eHaY18a8A9IcSdp1K8H6x8fbOy06t2VsZHhMHf-1x7Y/edit?usp=sharing"",""แผน!EY29"")"),223)</f>
        <v>223</v>
      </c>
      <c r="J371" s="184">
        <f ca="1">IFERROR(__xludf.DUMMYFUNCTION("IMPORTRANGE(""https://docs.google.com/spreadsheets/d/1tdoBKaGub7dwA3U6UFTqxio9LNnvDCQjHKmttSEBsFQ/edit?usp=sharing"",""จัดที่ดิน!AF29"")"),219)</f>
        <v>219</v>
      </c>
      <c r="K371" s="224">
        <f t="shared" ca="1" si="101"/>
        <v>98.206278026905835</v>
      </c>
      <c r="L371" s="4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556">
        <f ca="1">IFERROR(__xludf.DUMMYFUNCTION("IMPORTRANGE(""https://docs.google.com/spreadsheets/d/1tdoBKaGub7dwA3U6UFTqxio9LNnvDCQjHKmttSEBsFQ/edit?usp=sharing"",""จัดที่ดิน!AG29"")"),2598.42)</f>
        <v>2598.42</v>
      </c>
      <c r="K372" s="224">
        <f t="shared" si="101"/>
        <v>0</v>
      </c>
      <c r="L372" s="4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2"/>
      <c r="H373" s="52"/>
      <c r="I373" s="54"/>
      <c r="J373" s="54"/>
      <c r="K373" s="3"/>
      <c r="L373" s="46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555"/>
      <c r="B374" s="554" t="s">
        <v>153</v>
      </c>
      <c r="C374" s="553"/>
      <c r="D374" s="552"/>
      <c r="E374" s="551"/>
      <c r="F374" s="551"/>
      <c r="G374" s="550"/>
      <c r="H374" s="549" t="s">
        <v>46</v>
      </c>
      <c r="I374" s="548">
        <f ca="1">I386+I388</f>
        <v>5000</v>
      </c>
      <c r="J374" s="548">
        <f ca="1">J386+J388</f>
        <v>0</v>
      </c>
      <c r="K374" s="547">
        <f ca="1">IF(I374&gt;0,J374*100/I374,0)</f>
        <v>0</v>
      </c>
      <c r="L374" s="539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128"/>
      <c r="B375" s="158"/>
      <c r="C375" s="161" t="s">
        <v>18</v>
      </c>
      <c r="D375" s="544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471">
        <f>L376+L377</f>
        <v>0</v>
      </c>
      <c r="M375" s="470">
        <f>M376+M377</f>
        <v>0</v>
      </c>
      <c r="N375" s="470">
        <f>N376+N377</f>
        <v>0</v>
      </c>
      <c r="O375" s="470">
        <f t="shared" ref="O375:O383" si="102">IF(L375&gt;0,N375*100/L375,0)</f>
        <v>0</v>
      </c>
      <c r="P375" s="470">
        <f t="shared" ref="P375:P383" si="103">IF(M375&gt;0,N375*100/M375,0)</f>
        <v>0</v>
      </c>
      <c r="Q375" s="470">
        <f ca="1">Q376+Q377</f>
        <v>312500</v>
      </c>
      <c r="R375" s="470">
        <f ca="1">R376+R377</f>
        <v>312500</v>
      </c>
      <c r="S375" s="470">
        <f ca="1">S376+S377</f>
        <v>0</v>
      </c>
      <c r="T375" s="470">
        <f t="shared" ref="T375:T383" ca="1" si="104">IF(Q375&gt;0,S375*100/Q375,0)</f>
        <v>0</v>
      </c>
      <c r="U375" s="470">
        <f t="shared" ref="U375:U383" ca="1" si="105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469">
        <f t="shared" ref="L376:N377" si="106">L379+L382</f>
        <v>0</v>
      </c>
      <c r="M376" s="83">
        <f t="shared" si="106"/>
        <v>0</v>
      </c>
      <c r="N376" s="83">
        <f t="shared" si="106"/>
        <v>0</v>
      </c>
      <c r="O376" s="83">
        <f t="shared" si="102"/>
        <v>0</v>
      </c>
      <c r="P376" s="83">
        <f t="shared" si="103"/>
        <v>0</v>
      </c>
      <c r="Q376" s="83">
        <f t="shared" ref="Q376:S377" si="107">Q379+Q382</f>
        <v>0</v>
      </c>
      <c r="R376" s="83">
        <f t="shared" si="107"/>
        <v>0</v>
      </c>
      <c r="S376" s="83">
        <f t="shared" si="107"/>
        <v>0</v>
      </c>
      <c r="T376" s="83">
        <f t="shared" si="104"/>
        <v>0</v>
      </c>
      <c r="U376" s="83">
        <f t="shared" si="105"/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468">
        <f t="shared" si="106"/>
        <v>0</v>
      </c>
      <c r="M377" s="224">
        <f t="shared" si="106"/>
        <v>0</v>
      </c>
      <c r="N377" s="224">
        <f t="shared" si="106"/>
        <v>0</v>
      </c>
      <c r="O377" s="224">
        <f t="shared" si="102"/>
        <v>0</v>
      </c>
      <c r="P377" s="224">
        <f t="shared" si="103"/>
        <v>0</v>
      </c>
      <c r="Q377" s="224">
        <f t="shared" ca="1" si="107"/>
        <v>312500</v>
      </c>
      <c r="R377" s="224">
        <f t="shared" ca="1" si="107"/>
        <v>312500</v>
      </c>
      <c r="S377" s="224">
        <f t="shared" ca="1" si="107"/>
        <v>0</v>
      </c>
      <c r="T377" s="224">
        <f t="shared" ca="1" si="104"/>
        <v>0</v>
      </c>
      <c r="U377" s="224">
        <f t="shared" ca="1" si="105"/>
        <v>0</v>
      </c>
    </row>
    <row r="378" spans="1:21" ht="18.75" x14ac:dyDescent="0.25">
      <c r="A378" s="128"/>
      <c r="B378" s="158"/>
      <c r="C378" s="158"/>
      <c r="D378" s="53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468">
        <f>L379+L380</f>
        <v>0</v>
      </c>
      <c r="M378" s="224">
        <f>M379+M380</f>
        <v>0</v>
      </c>
      <c r="N378" s="224">
        <f>N379+N380</f>
        <v>0</v>
      </c>
      <c r="O378" s="224">
        <f t="shared" si="102"/>
        <v>0</v>
      </c>
      <c r="P378" s="224">
        <f t="shared" si="103"/>
        <v>0</v>
      </c>
      <c r="Q378" s="224">
        <f ca="1">Q379+Q380</f>
        <v>312500</v>
      </c>
      <c r="R378" s="224">
        <f ca="1">R379+R380</f>
        <v>312500</v>
      </c>
      <c r="S378" s="224">
        <f ca="1">S379+S380</f>
        <v>0</v>
      </c>
      <c r="T378" s="224">
        <f t="shared" ca="1" si="104"/>
        <v>0</v>
      </c>
      <c r="U378" s="224">
        <f t="shared" ca="1" si="105"/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469">
        <v>0</v>
      </c>
      <c r="M379" s="83">
        <v>0</v>
      </c>
      <c r="N379" s="83">
        <v>0</v>
      </c>
      <c r="O379" s="83">
        <f t="shared" si="102"/>
        <v>0</v>
      </c>
      <c r="P379" s="83">
        <f t="shared" si="103"/>
        <v>0</v>
      </c>
      <c r="Q379" s="83">
        <v>0</v>
      </c>
      <c r="R379" s="83">
        <v>0</v>
      </c>
      <c r="S379" s="83">
        <v>0</v>
      </c>
      <c r="T379" s="83">
        <f t="shared" si="104"/>
        <v>0</v>
      </c>
      <c r="U379" s="83">
        <f t="shared" si="105"/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468">
        <v>0</v>
      </c>
      <c r="M380" s="224">
        <v>0</v>
      </c>
      <c r="N380" s="224">
        <v>0</v>
      </c>
      <c r="O380" s="224">
        <f t="shared" si="102"/>
        <v>0</v>
      </c>
      <c r="P380" s="224">
        <f t="shared" si="103"/>
        <v>0</v>
      </c>
      <c r="Q380" s="224">
        <f ca="1">IFERROR(__xludf.DUMMYFUNCTION("IMPORTRANGE(""https://docs.google.com/spreadsheets/d/1ItG2mGa2ceCfYo0BwxsXqNm01IGEUdYcSSLTEv9YCik/edit?usp=sharing"",""เบิกจ่ายกองทุน!AY29"")"),312500)</f>
        <v>312500</v>
      </c>
      <c r="R380" s="224">
        <f ca="1">IFERROR(__xludf.DUMMYFUNCTION("IMPORTRANGE(""https://docs.google.com/spreadsheets/d/1ItG2mGa2ceCfYo0BwxsXqNm01IGEUdYcSSLTEv9YCik/edit?usp=sharing"",""เบิกจ่ายกองทุน!AZ29"")"),312500)</f>
        <v>312500</v>
      </c>
      <c r="S380" s="224">
        <f ca="1">IFERROR(__xludf.DUMMYFUNCTION("IMPORTRANGE(""https://docs.google.com/spreadsheets/d/1ItG2mGa2ceCfYo0BwxsXqNm01IGEUdYcSSLTEv9YCik/edit?usp=sharing"",""เบิกจ่ายกองทุน!BA29"")"),0)</f>
        <v>0</v>
      </c>
      <c r="T380" s="224">
        <f t="shared" ca="1" si="104"/>
        <v>0</v>
      </c>
      <c r="U380" s="224">
        <f t="shared" ca="1" si="105"/>
        <v>0</v>
      </c>
    </row>
    <row r="381" spans="1:21" ht="18.75" x14ac:dyDescent="0.25">
      <c r="A381" s="128"/>
      <c r="B381" s="158"/>
      <c r="C381" s="158"/>
      <c r="D381" s="53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468">
        <f>L382+L383</f>
        <v>0</v>
      </c>
      <c r="M381" s="224">
        <f>M382+M383</f>
        <v>0</v>
      </c>
      <c r="N381" s="224">
        <f>N382+N383</f>
        <v>0</v>
      </c>
      <c r="O381" s="224">
        <f t="shared" si="102"/>
        <v>0</v>
      </c>
      <c r="P381" s="224">
        <f t="shared" si="103"/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 t="shared" si="104"/>
        <v>0</v>
      </c>
      <c r="U381" s="224">
        <f t="shared" si="105"/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469">
        <v>0</v>
      </c>
      <c r="M382" s="83">
        <v>0</v>
      </c>
      <c r="N382" s="83">
        <v>0</v>
      </c>
      <c r="O382" s="83">
        <f t="shared" si="102"/>
        <v>0</v>
      </c>
      <c r="P382" s="83">
        <f t="shared" si="103"/>
        <v>0</v>
      </c>
      <c r="Q382" s="83">
        <v>0</v>
      </c>
      <c r="R382" s="83">
        <v>0</v>
      </c>
      <c r="S382" s="83">
        <v>0</v>
      </c>
      <c r="T382" s="83">
        <f t="shared" si="104"/>
        <v>0</v>
      </c>
      <c r="U382" s="83">
        <f t="shared" si="105"/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468">
        <v>0</v>
      </c>
      <c r="M383" s="224">
        <v>0</v>
      </c>
      <c r="N383" s="224">
        <v>0</v>
      </c>
      <c r="O383" s="224">
        <f t="shared" si="102"/>
        <v>0</v>
      </c>
      <c r="P383" s="224">
        <f t="shared" si="103"/>
        <v>0</v>
      </c>
      <c r="Q383" s="224">
        <v>0</v>
      </c>
      <c r="R383" s="224">
        <v>0</v>
      </c>
      <c r="S383" s="224">
        <v>0</v>
      </c>
      <c r="T383" s="224">
        <f t="shared" si="104"/>
        <v>0</v>
      </c>
      <c r="U383" s="224">
        <f t="shared" si="105"/>
        <v>0</v>
      </c>
    </row>
    <row r="384" spans="1:21" ht="19.5" x14ac:dyDescent="0.3">
      <c r="A384" s="138"/>
      <c r="B384" s="139"/>
      <c r="C384" s="161" t="s">
        <v>18</v>
      </c>
      <c r="D384" s="491" t="s">
        <v>38</v>
      </c>
      <c r="E384" s="141"/>
      <c r="F384" s="141"/>
      <c r="G384" s="142"/>
      <c r="H384" s="178"/>
      <c r="I384" s="135"/>
      <c r="J384" s="44"/>
      <c r="K384" s="45"/>
      <c r="L384" s="465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IFERROR(__xludf.DUMMYFUNCTION("IMPORTRANGE(""https://docs.google.com/spreadsheets/d/1w5rwWK1o49a35cNtocGL0gxDwhFSTZUQu90BiH9_zqM/edit?usp=sharing"",""RTK!H29"")"),0)</f>
        <v>0</v>
      </c>
      <c r="K385" s="224">
        <f>IF(I385&gt;0,J385*100/I385,0)</f>
        <v>0</v>
      </c>
      <c r="L385" s="465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IFERROR(__xludf.DUMMYFUNCTION("IMPORTRANGE(""https://docs.google.com/spreadsheets/d/1w5rwWK1o49a35cNtocGL0gxDwhFSTZUQu90BiH9_zqM/edit?usp=sharing"",""RTK!G29"")"),5000)</f>
        <v>5000</v>
      </c>
      <c r="J386" s="184">
        <f ca="1">IFERROR(__xludf.DUMMYFUNCTION("IMPORTRANGE(""https://docs.google.com/spreadsheets/d/1w5rwWK1o49a35cNtocGL0gxDwhFSTZUQu90BiH9_zqM/edit?usp=sharing"",""RTK!I29"")"),0)</f>
        <v>0</v>
      </c>
      <c r="K386" s="224">
        <f ca="1">IF(I386&gt;0,J386*100/I386,0)</f>
        <v>0</v>
      </c>
      <c r="L386" s="465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545"/>
      <c r="B387" s="545"/>
      <c r="C387" s="545"/>
      <c r="D387" s="545"/>
      <c r="E387" s="546" t="s">
        <v>155</v>
      </c>
      <c r="F387" s="545"/>
      <c r="G387" s="488"/>
      <c r="H387" s="480" t="s">
        <v>34</v>
      </c>
      <c r="I387" s="487">
        <v>0</v>
      </c>
      <c r="J387" s="487">
        <f ca="1">IFERROR(__xludf.DUMMYFUNCTION("IMPORTRANGE(""https://docs.google.com/spreadsheets/d/1w5rwWK1o49a35cNtocGL0gxDwhFSTZUQu90BiH9_zqM/edit?usp=sharing"",""RTK!L29"")"),0)</f>
        <v>0</v>
      </c>
      <c r="K387" s="486">
        <f>IF(I387&gt;0,J387*100/I387,0)</f>
        <v>0</v>
      </c>
      <c r="L387" s="477"/>
      <c r="M387" s="476"/>
      <c r="N387" s="476"/>
      <c r="O387" s="476"/>
      <c r="P387" s="476"/>
      <c r="Q387" s="476"/>
      <c r="R387" s="476"/>
      <c r="S387" s="476"/>
      <c r="T387" s="476"/>
      <c r="U387" s="476"/>
    </row>
    <row r="388" spans="1:21" ht="18.75" x14ac:dyDescent="0.25">
      <c r="A388" s="545"/>
      <c r="B388" s="545"/>
      <c r="C388" s="545"/>
      <c r="D388" s="545"/>
      <c r="E388" s="545"/>
      <c r="F388" s="545"/>
      <c r="G388" s="488"/>
      <c r="H388" s="480" t="s">
        <v>46</v>
      </c>
      <c r="I388" s="487">
        <f ca="1">IFERROR(__xludf.DUMMYFUNCTION("IMPORTRANGE(""https://docs.google.com/spreadsheets/d/1w5rwWK1o49a35cNtocGL0gxDwhFSTZUQu90BiH9_zqM/edit?usp=sharing"",""RTK!K29"")"),0)</f>
        <v>0</v>
      </c>
      <c r="J388" s="487">
        <f ca="1">IFERROR(__xludf.DUMMYFUNCTION("IMPORTRANGE(""https://docs.google.com/spreadsheets/d/1w5rwWK1o49a35cNtocGL0gxDwhFSTZUQu90BiH9_zqM/edit?usp=sharing"",""RTK!M29"")"),0)</f>
        <v>0</v>
      </c>
      <c r="K388" s="486">
        <f ca="1">IF(I388&gt;0,J388*100/I388,0)</f>
        <v>0</v>
      </c>
      <c r="L388" s="477"/>
      <c r="M388" s="476"/>
      <c r="N388" s="476"/>
      <c r="O388" s="476"/>
      <c r="P388" s="476"/>
      <c r="Q388" s="476"/>
      <c r="R388" s="476"/>
      <c r="S388" s="476"/>
      <c r="T388" s="476"/>
      <c r="U388" s="476"/>
    </row>
    <row r="389" spans="1:21" ht="12.75" hidden="1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11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16"/>
      <c r="B390" s="316"/>
      <c r="C390" s="316"/>
      <c r="D390" s="316"/>
      <c r="E390" s="316"/>
      <c r="F390" s="316"/>
      <c r="G390" s="317"/>
      <c r="H390" s="317"/>
      <c r="I390" s="318"/>
      <c r="J390" s="318"/>
      <c r="K390" s="319"/>
      <c r="L390" s="496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hidden="1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>I402</f>
        <v>0</v>
      </c>
      <c r="J391" s="307">
        <f>J402</f>
        <v>0</v>
      </c>
      <c r="K391" s="540">
        <f>IF(I391&gt;0,J391*100/I391,0)</f>
        <v>0</v>
      </c>
      <c r="L391" s="539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hidden="1" x14ac:dyDescent="0.3">
      <c r="A392" s="128"/>
      <c r="B392" s="158"/>
      <c r="C392" s="161" t="s">
        <v>18</v>
      </c>
      <c r="D392" s="54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471">
        <f>L393+L394</f>
        <v>0</v>
      </c>
      <c r="M392" s="470">
        <f>M393+M394</f>
        <v>0</v>
      </c>
      <c r="N392" s="470">
        <f>N393+N394</f>
        <v>0</v>
      </c>
      <c r="O392" s="470">
        <f t="shared" ref="O392:O400" si="108">IF(L392&gt;0,N392*100/L392,0)</f>
        <v>0</v>
      </c>
      <c r="P392" s="470">
        <f t="shared" ref="P392:P400" si="109">IF(M392&gt;0,N392*100/M392,0)</f>
        <v>0</v>
      </c>
      <c r="Q392" s="470">
        <f>Q393+Q394</f>
        <v>0</v>
      </c>
      <c r="R392" s="470">
        <f>R393+R394</f>
        <v>0</v>
      </c>
      <c r="S392" s="470">
        <f>S393+S394</f>
        <v>0</v>
      </c>
      <c r="T392" s="470">
        <f t="shared" ref="T392:T400" si="110">IF(Q392&gt;0,S392*100/Q392,0)</f>
        <v>0</v>
      </c>
      <c r="U392" s="470">
        <f t="shared" ref="U392:U400" si="11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469">
        <f t="shared" ref="L393:N394" si="112">L396+L399</f>
        <v>0</v>
      </c>
      <c r="M393" s="83">
        <f t="shared" si="112"/>
        <v>0</v>
      </c>
      <c r="N393" s="83">
        <f t="shared" si="112"/>
        <v>0</v>
      </c>
      <c r="O393" s="83">
        <f t="shared" si="108"/>
        <v>0</v>
      </c>
      <c r="P393" s="83">
        <f t="shared" si="109"/>
        <v>0</v>
      </c>
      <c r="Q393" s="83">
        <f t="shared" ref="Q393:S394" si="113">Q396+Q399</f>
        <v>0</v>
      </c>
      <c r="R393" s="83">
        <f t="shared" si="113"/>
        <v>0</v>
      </c>
      <c r="S393" s="83">
        <f t="shared" si="113"/>
        <v>0</v>
      </c>
      <c r="T393" s="83">
        <f t="shared" si="110"/>
        <v>0</v>
      </c>
      <c r="U393" s="83">
        <f t="shared" si="111"/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468">
        <f t="shared" si="112"/>
        <v>0</v>
      </c>
      <c r="M394" s="224">
        <f t="shared" si="112"/>
        <v>0</v>
      </c>
      <c r="N394" s="224">
        <f t="shared" si="112"/>
        <v>0</v>
      </c>
      <c r="O394" s="224">
        <f t="shared" si="108"/>
        <v>0</v>
      </c>
      <c r="P394" s="224">
        <f t="shared" si="109"/>
        <v>0</v>
      </c>
      <c r="Q394" s="224">
        <f t="shared" si="113"/>
        <v>0</v>
      </c>
      <c r="R394" s="224">
        <f t="shared" si="113"/>
        <v>0</v>
      </c>
      <c r="S394" s="224">
        <f t="shared" si="113"/>
        <v>0</v>
      </c>
      <c r="T394" s="224">
        <f t="shared" si="110"/>
        <v>0</v>
      </c>
      <c r="U394" s="224">
        <f t="shared" si="111"/>
        <v>0</v>
      </c>
    </row>
    <row r="395" spans="1:21" ht="18.75" hidden="1" x14ac:dyDescent="0.25">
      <c r="A395" s="128"/>
      <c r="B395" s="158"/>
      <c r="C395" s="158"/>
      <c r="D395" s="53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468">
        <f>L396+L397</f>
        <v>0</v>
      </c>
      <c r="M395" s="224">
        <f>M396+M397</f>
        <v>0</v>
      </c>
      <c r="N395" s="224">
        <f>N396+N397</f>
        <v>0</v>
      </c>
      <c r="O395" s="224">
        <f t="shared" si="108"/>
        <v>0</v>
      </c>
      <c r="P395" s="224">
        <f t="shared" si="109"/>
        <v>0</v>
      </c>
      <c r="Q395" s="224">
        <f>Q396+Q397</f>
        <v>0</v>
      </c>
      <c r="R395" s="224">
        <f>R396+R397</f>
        <v>0</v>
      </c>
      <c r="S395" s="224">
        <f>S396+S397</f>
        <v>0</v>
      </c>
      <c r="T395" s="224">
        <f t="shared" si="110"/>
        <v>0</v>
      </c>
      <c r="U395" s="224">
        <f t="shared" si="111"/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469">
        <v>0</v>
      </c>
      <c r="M396" s="83">
        <v>0</v>
      </c>
      <c r="N396" s="83">
        <v>0</v>
      </c>
      <c r="O396" s="83">
        <f t="shared" si="108"/>
        <v>0</v>
      </c>
      <c r="P396" s="83">
        <f t="shared" si="109"/>
        <v>0</v>
      </c>
      <c r="Q396" s="83">
        <v>0</v>
      </c>
      <c r="R396" s="83">
        <v>0</v>
      </c>
      <c r="S396" s="83">
        <v>0</v>
      </c>
      <c r="T396" s="83">
        <f t="shared" si="110"/>
        <v>0</v>
      </c>
      <c r="U396" s="83">
        <f t="shared" si="111"/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468">
        <v>0</v>
      </c>
      <c r="M397" s="224">
        <v>0</v>
      </c>
      <c r="N397" s="224">
        <v>0</v>
      </c>
      <c r="O397" s="224">
        <f t="shared" si="108"/>
        <v>0</v>
      </c>
      <c r="P397" s="224">
        <f t="shared" si="109"/>
        <v>0</v>
      </c>
      <c r="Q397" s="224">
        <v>0</v>
      </c>
      <c r="R397" s="224">
        <v>0</v>
      </c>
      <c r="S397" s="224">
        <v>0</v>
      </c>
      <c r="T397" s="224">
        <f t="shared" si="110"/>
        <v>0</v>
      </c>
      <c r="U397" s="224">
        <f t="shared" si="111"/>
        <v>0</v>
      </c>
    </row>
    <row r="398" spans="1:21" ht="18.75" hidden="1" x14ac:dyDescent="0.25">
      <c r="A398" s="128"/>
      <c r="B398" s="158"/>
      <c r="C398" s="158"/>
      <c r="D398" s="53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468">
        <f>L399+L400</f>
        <v>0</v>
      </c>
      <c r="M398" s="224">
        <f>M399+M400</f>
        <v>0</v>
      </c>
      <c r="N398" s="224">
        <f>N399+N400</f>
        <v>0</v>
      </c>
      <c r="O398" s="224">
        <f t="shared" si="108"/>
        <v>0</v>
      </c>
      <c r="P398" s="224">
        <f t="shared" si="109"/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 t="shared" si="110"/>
        <v>0</v>
      </c>
      <c r="U398" s="224">
        <f t="shared" si="111"/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469">
        <v>0</v>
      </c>
      <c r="M399" s="83">
        <v>0</v>
      </c>
      <c r="N399" s="83">
        <v>0</v>
      </c>
      <c r="O399" s="83">
        <f t="shared" si="108"/>
        <v>0</v>
      </c>
      <c r="P399" s="83">
        <f t="shared" si="109"/>
        <v>0</v>
      </c>
      <c r="Q399" s="83">
        <v>0</v>
      </c>
      <c r="R399" s="83">
        <v>0</v>
      </c>
      <c r="S399" s="83">
        <v>0</v>
      </c>
      <c r="T399" s="83">
        <f t="shared" si="110"/>
        <v>0</v>
      </c>
      <c r="U399" s="83">
        <f t="shared" si="111"/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468">
        <v>0</v>
      </c>
      <c r="M400" s="224">
        <v>0</v>
      </c>
      <c r="N400" s="224">
        <v>0</v>
      </c>
      <c r="O400" s="224">
        <f t="shared" si="108"/>
        <v>0</v>
      </c>
      <c r="P400" s="224">
        <f t="shared" si="109"/>
        <v>0</v>
      </c>
      <c r="Q400" s="224">
        <v>0</v>
      </c>
      <c r="R400" s="224">
        <v>0</v>
      </c>
      <c r="S400" s="224">
        <v>0</v>
      </c>
      <c r="T400" s="224">
        <f t="shared" si="110"/>
        <v>0</v>
      </c>
      <c r="U400" s="224">
        <f t="shared" si="111"/>
        <v>0</v>
      </c>
    </row>
    <row r="401" spans="1:21" ht="19.5" hidden="1" x14ac:dyDescent="0.3">
      <c r="A401" s="138"/>
      <c r="B401" s="139"/>
      <c r="C401" s="161" t="s">
        <v>18</v>
      </c>
      <c r="D401" s="491" t="s">
        <v>38</v>
      </c>
      <c r="E401" s="141"/>
      <c r="F401" s="141"/>
      <c r="G401" s="142"/>
      <c r="H401" s="178"/>
      <c r="I401" s="135"/>
      <c r="J401" s="44"/>
      <c r="K401" s="45"/>
      <c r="L401" s="465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11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11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11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11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11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11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11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11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11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496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hidden="1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541">
        <f ca="1">I423</f>
        <v>0</v>
      </c>
      <c r="J412" s="541">
        <f>J423</f>
        <v>0</v>
      </c>
      <c r="K412" s="540">
        <f ca="1">IF(I412&gt;0,J412*100/I412,0)</f>
        <v>0</v>
      </c>
      <c r="L412" s="539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hidden="1" x14ac:dyDescent="0.3">
      <c r="A413" s="128"/>
      <c r="B413" s="158"/>
      <c r="C413" s="322" t="s">
        <v>18</v>
      </c>
      <c r="D413" s="819" t="s">
        <v>19</v>
      </c>
      <c r="E413" s="800"/>
      <c r="F413" s="800"/>
      <c r="G413" s="801"/>
      <c r="H413" s="323" t="s">
        <v>14</v>
      </c>
      <c r="I413" s="44"/>
      <c r="J413" s="44"/>
      <c r="K413" s="45"/>
      <c r="L413" s="471">
        <f>L414+L415</f>
        <v>0</v>
      </c>
      <c r="M413" s="470">
        <f>M414+M415</f>
        <v>0</v>
      </c>
      <c r="N413" s="470">
        <f>N414+N415</f>
        <v>0</v>
      </c>
      <c r="O413" s="470">
        <f t="shared" ref="O413:O421" si="114">IF(L413&gt;0,N413*100/L413,0)</f>
        <v>0</v>
      </c>
      <c r="P413" s="470">
        <f t="shared" ref="P413:P421" si="115">IF(M413&gt;0,N413*100/M413,0)</f>
        <v>0</v>
      </c>
      <c r="Q413" s="470">
        <f ca="1">Q414+Q415</f>
        <v>0</v>
      </c>
      <c r="R413" s="470">
        <f ca="1">R414+R415</f>
        <v>0</v>
      </c>
      <c r="S413" s="470">
        <f ca="1">S414+S415</f>
        <v>0</v>
      </c>
      <c r="T413" s="470">
        <f t="shared" ref="T413:T421" ca="1" si="116">IF(Q413&gt;0,S413*100/Q413,0)</f>
        <v>0</v>
      </c>
      <c r="U413" s="470">
        <f t="shared" ref="U413:U421" ca="1" si="117">IF(R413&gt;0,S413*100/R413,0)</f>
        <v>0</v>
      </c>
    </row>
    <row r="414" spans="1:21" ht="18.75" hidden="1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469">
        <f t="shared" ref="L414:N415" si="118">L417+L420</f>
        <v>0</v>
      </c>
      <c r="M414" s="83">
        <f t="shared" si="118"/>
        <v>0</v>
      </c>
      <c r="N414" s="83">
        <f t="shared" si="118"/>
        <v>0</v>
      </c>
      <c r="O414" s="83">
        <f t="shared" si="114"/>
        <v>0</v>
      </c>
      <c r="P414" s="83">
        <f t="shared" si="115"/>
        <v>0</v>
      </c>
      <c r="Q414" s="83">
        <f t="shared" ref="Q414:S415" si="119">Q417+Q420</f>
        <v>0</v>
      </c>
      <c r="R414" s="83">
        <f t="shared" si="119"/>
        <v>0</v>
      </c>
      <c r="S414" s="83">
        <f t="shared" si="119"/>
        <v>0</v>
      </c>
      <c r="T414" s="83">
        <f t="shared" si="116"/>
        <v>0</v>
      </c>
      <c r="U414" s="83">
        <f t="shared" si="117"/>
        <v>0</v>
      </c>
    </row>
    <row r="415" spans="1:21" ht="18.75" hidden="1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468">
        <f t="shared" si="118"/>
        <v>0</v>
      </c>
      <c r="M415" s="224">
        <f t="shared" si="118"/>
        <v>0</v>
      </c>
      <c r="N415" s="224">
        <f t="shared" si="118"/>
        <v>0</v>
      </c>
      <c r="O415" s="224">
        <f t="shared" si="114"/>
        <v>0</v>
      </c>
      <c r="P415" s="224">
        <f t="shared" si="115"/>
        <v>0</v>
      </c>
      <c r="Q415" s="224">
        <f t="shared" ca="1" si="119"/>
        <v>0</v>
      </c>
      <c r="R415" s="224">
        <f t="shared" ca="1" si="119"/>
        <v>0</v>
      </c>
      <c r="S415" s="224">
        <f t="shared" ca="1" si="119"/>
        <v>0</v>
      </c>
      <c r="T415" s="224">
        <f t="shared" ca="1" si="116"/>
        <v>0</v>
      </c>
      <c r="U415" s="224">
        <f t="shared" ca="1" si="117"/>
        <v>0</v>
      </c>
    </row>
    <row r="416" spans="1:21" ht="19.5" hidden="1" x14ac:dyDescent="0.3">
      <c r="A416" s="128"/>
      <c r="B416" s="158"/>
      <c r="C416" s="158"/>
      <c r="D416" s="54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468">
        <f>L417+L418</f>
        <v>0</v>
      </c>
      <c r="M416" s="224">
        <f>M417+M418</f>
        <v>0</v>
      </c>
      <c r="N416" s="224">
        <f>N417+N418</f>
        <v>0</v>
      </c>
      <c r="O416" s="224">
        <f t="shared" si="114"/>
        <v>0</v>
      </c>
      <c r="P416" s="224">
        <f t="shared" si="115"/>
        <v>0</v>
      </c>
      <c r="Q416" s="224">
        <f ca="1">Q417+Q418</f>
        <v>0</v>
      </c>
      <c r="R416" s="224">
        <f ca="1">R417+R418</f>
        <v>0</v>
      </c>
      <c r="S416" s="224">
        <f ca="1">S417+S418</f>
        <v>0</v>
      </c>
      <c r="T416" s="224">
        <f t="shared" ca="1" si="116"/>
        <v>0</v>
      </c>
      <c r="U416" s="224">
        <f t="shared" ca="1" si="117"/>
        <v>0</v>
      </c>
    </row>
    <row r="417" spans="1:21" ht="18.75" hidden="1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469">
        <v>0</v>
      </c>
      <c r="M417" s="83">
        <v>0</v>
      </c>
      <c r="N417" s="83">
        <v>0</v>
      </c>
      <c r="O417" s="83">
        <f t="shared" si="114"/>
        <v>0</v>
      </c>
      <c r="P417" s="83">
        <f t="shared" si="115"/>
        <v>0</v>
      </c>
      <c r="Q417" s="83">
        <v>0</v>
      </c>
      <c r="R417" s="83">
        <v>0</v>
      </c>
      <c r="S417" s="83">
        <v>0</v>
      </c>
      <c r="T417" s="83">
        <f t="shared" si="116"/>
        <v>0</v>
      </c>
      <c r="U417" s="83">
        <f t="shared" si="117"/>
        <v>0</v>
      </c>
    </row>
    <row r="418" spans="1:21" ht="18.75" hidden="1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468">
        <v>0</v>
      </c>
      <c r="M418" s="224">
        <v>0</v>
      </c>
      <c r="N418" s="224">
        <v>0</v>
      </c>
      <c r="O418" s="224">
        <f t="shared" si="114"/>
        <v>0</v>
      </c>
      <c r="P418" s="224">
        <f t="shared" si="115"/>
        <v>0</v>
      </c>
      <c r="Q418" s="224">
        <f ca="1">IFERROR(__xludf.DUMMYFUNCTION("IMPORTRANGE(""https://docs.google.com/spreadsheets/d/1ItG2mGa2ceCfYo0BwxsXqNm01IGEUdYcSSLTEv9YCik/edit?usp=sharing"",""เบิกจ่ายกองทุน!BH29"")"),0)</f>
        <v>0</v>
      </c>
      <c r="R418" s="224">
        <f ca="1">IFERROR(__xludf.DUMMYFUNCTION("IMPORTRANGE(""https://docs.google.com/spreadsheets/d/1ItG2mGa2ceCfYo0BwxsXqNm01IGEUdYcSSLTEv9YCik/edit?usp=sharing"",""เบิกจ่ายกองทุน!BI29"")"),0)</f>
        <v>0</v>
      </c>
      <c r="S418" s="224">
        <f ca="1">IFERROR(__xludf.DUMMYFUNCTION("IMPORTRANGE(""https://docs.google.com/spreadsheets/d/1ItG2mGa2ceCfYo0BwxsXqNm01IGEUdYcSSLTEv9YCik/edit?usp=sharing"",""เบิกจ่ายกองทุน!BJ29"")"),0)</f>
        <v>0</v>
      </c>
      <c r="T418" s="224">
        <f t="shared" ca="1" si="116"/>
        <v>0</v>
      </c>
      <c r="U418" s="224">
        <f t="shared" ca="1" si="117"/>
        <v>0</v>
      </c>
    </row>
    <row r="419" spans="1:21" ht="19.5" hidden="1" x14ac:dyDescent="0.3">
      <c r="A419" s="128"/>
      <c r="B419" s="158"/>
      <c r="C419" s="158"/>
      <c r="D419" s="54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468">
        <f>L420+L421</f>
        <v>0</v>
      </c>
      <c r="M419" s="224">
        <f>M420+M421</f>
        <v>0</v>
      </c>
      <c r="N419" s="224">
        <f>N420+N421</f>
        <v>0</v>
      </c>
      <c r="O419" s="224">
        <f t="shared" si="114"/>
        <v>0</v>
      </c>
      <c r="P419" s="224">
        <f t="shared" si="115"/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 t="shared" si="116"/>
        <v>0</v>
      </c>
      <c r="U419" s="224">
        <f t="shared" si="117"/>
        <v>0</v>
      </c>
    </row>
    <row r="420" spans="1:21" ht="18.75" hidden="1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469">
        <v>0</v>
      </c>
      <c r="M420" s="83">
        <v>0</v>
      </c>
      <c r="N420" s="83">
        <v>0</v>
      </c>
      <c r="O420" s="83">
        <f t="shared" si="114"/>
        <v>0</v>
      </c>
      <c r="P420" s="83">
        <f t="shared" si="115"/>
        <v>0</v>
      </c>
      <c r="Q420" s="83">
        <v>0</v>
      </c>
      <c r="R420" s="83">
        <v>0</v>
      </c>
      <c r="S420" s="83">
        <v>0</v>
      </c>
      <c r="T420" s="83">
        <f t="shared" si="116"/>
        <v>0</v>
      </c>
      <c r="U420" s="83">
        <f t="shared" si="117"/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468">
        <v>0</v>
      </c>
      <c r="M421" s="224">
        <v>0</v>
      </c>
      <c r="N421" s="224">
        <v>0</v>
      </c>
      <c r="O421" s="224">
        <f t="shared" si="114"/>
        <v>0</v>
      </c>
      <c r="P421" s="224">
        <f t="shared" si="115"/>
        <v>0</v>
      </c>
      <c r="Q421" s="224">
        <v>0</v>
      </c>
      <c r="R421" s="224">
        <v>0</v>
      </c>
      <c r="S421" s="224">
        <v>0</v>
      </c>
      <c r="T421" s="224">
        <f t="shared" si="116"/>
        <v>0</v>
      </c>
      <c r="U421" s="224">
        <f t="shared" si="117"/>
        <v>0</v>
      </c>
    </row>
    <row r="422" spans="1:21" ht="19.5" hidden="1" x14ac:dyDescent="0.3">
      <c r="A422" s="208"/>
      <c r="B422" s="158"/>
      <c r="C422" s="322" t="s">
        <v>18</v>
      </c>
      <c r="D422" s="543" t="s">
        <v>38</v>
      </c>
      <c r="E422" s="158"/>
      <c r="F422" s="158"/>
      <c r="G422" s="180"/>
      <c r="H422" s="180"/>
      <c r="I422" s="44"/>
      <c r="J422" s="44"/>
      <c r="K422" s="45"/>
      <c r="L422" s="465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ca="1">I440</f>
        <v>0</v>
      </c>
      <c r="J423" s="328">
        <f>J440</f>
        <v>0</v>
      </c>
      <c r="K423" s="470">
        <f ca="1">IF(I423&gt;0,J423*100/I423,0)</f>
        <v>0</v>
      </c>
      <c r="L423" s="465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IFERROR(__xludf.DUMMYFUNCTION("IMPORTRANGE(""https://docs.google.com/spreadsheets/d/1eHaY18a8A9IcSdp1K8H6x8fbOy06t2VsZHhMHf-1x7Y/edit?usp=sharing"",""แผน!HJ29"")"),0)</f>
        <v>0</v>
      </c>
      <c r="J424" s="328">
        <f>J426+J428+J430</f>
        <v>0</v>
      </c>
      <c r="K424" s="470">
        <f ca="1">IF(I424&gt;0,J424*100/I424,0)</f>
        <v>0</v>
      </c>
      <c r="L424" s="465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IFERROR(__xludf.DUMMYFUNCTION("IMPORTRANGE(""https://docs.google.com/spreadsheets/d/1eHaY18a8A9IcSdp1K8H6x8fbOy06t2VsZHhMHf-1x7Y/edit?usp=sharing"",""แผน!HK29"")"),0)</f>
        <v>0</v>
      </c>
      <c r="J425" s="328">
        <f>J427+J429+J431</f>
        <v>0</v>
      </c>
      <c r="K425" s="470">
        <f ca="1">IF(I425&gt;0,J425*100/I425,0)</f>
        <v>0</v>
      </c>
      <c r="L425" s="465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465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465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465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465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465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465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IFERROR(__xludf.DUMMYFUNCTION("IMPORTRANGE(""https://docs.google.com/spreadsheets/d/1eHaY18a8A9IcSdp1K8H6x8fbOy06t2VsZHhMHf-1x7Y/edit?usp=sharing"",""แผน!HJ29"")"),0)</f>
        <v>0</v>
      </c>
      <c r="J432" s="328">
        <f>J434+J436+J438</f>
        <v>0</v>
      </c>
      <c r="K432" s="470">
        <f ca="1">IF(I432&gt;0,J432*100/I432,0)</f>
        <v>0</v>
      </c>
      <c r="L432" s="465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IFERROR(__xludf.DUMMYFUNCTION("IMPORTRANGE(""https://docs.google.com/spreadsheets/d/1eHaY18a8A9IcSdp1K8H6x8fbOy06t2VsZHhMHf-1x7Y/edit?usp=sharing"",""แผน!HK29"")"),0)</f>
        <v>0</v>
      </c>
      <c r="J433" s="328">
        <f>J435+J437+J439</f>
        <v>0</v>
      </c>
      <c r="K433" s="470">
        <f ca="1">IF(I433&gt;0,J433*100/I433,0)</f>
        <v>0</v>
      </c>
      <c r="L433" s="465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465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465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465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465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465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465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IFERROR(__xludf.DUMMYFUNCTION("IMPORTRANGE(""https://docs.google.com/spreadsheets/d/1eHaY18a8A9IcSdp1K8H6x8fbOy06t2VsZHhMHf-1x7Y/edit?usp=sharing"",""แผน!HJ29"")"),0)</f>
        <v>0</v>
      </c>
      <c r="J440" s="328">
        <f>J442+J444+J446+J452+J454</f>
        <v>0</v>
      </c>
      <c r="K440" s="470">
        <f ca="1">IF(I440&gt;0,J440*100/I440,0)</f>
        <v>0</v>
      </c>
      <c r="L440" s="465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IFERROR(__xludf.DUMMYFUNCTION("IMPORTRANGE(""https://docs.google.com/spreadsheets/d/1eHaY18a8A9IcSdp1K8H6x8fbOy06t2VsZHhMHf-1x7Y/edit?usp=sharing"",""แผน!HK29"")"),0)</f>
        <v>0</v>
      </c>
      <c r="J441" s="328">
        <f>J443+J445+J447+J453+J455</f>
        <v>0</v>
      </c>
      <c r="K441" s="470">
        <f ca="1">IF(I441&gt;0,J441*100/I441,0)</f>
        <v>0</v>
      </c>
      <c r="L441" s="465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465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465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465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465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>J448+J450</f>
        <v>0</v>
      </c>
      <c r="K446" s="45"/>
      <c r="L446" s="465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>J449+J451</f>
        <v>0</v>
      </c>
      <c r="K447" s="45"/>
      <c r="L447" s="465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465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465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465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465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465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465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542"/>
      <c r="K454" s="45"/>
      <c r="L454" s="465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465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hidden="1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ca="1">I457</f>
        <v>0</v>
      </c>
      <c r="J456" s="328">
        <f>J457</f>
        <v>0</v>
      </c>
      <c r="K456" s="470">
        <f ca="1">IF(I456&gt;0,J456*100/I456,0)</f>
        <v>0</v>
      </c>
      <c r="L456" s="465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IFERROR(__xludf.DUMMYFUNCTION("IMPORTRANGE(""https://docs.google.com/spreadsheets/d/1eHaY18a8A9IcSdp1K8H6x8fbOy06t2VsZHhMHf-1x7Y/edit?usp=sharing"",""แผน!HL29"")"),0)</f>
        <v>0</v>
      </c>
      <c r="J457" s="328">
        <f>J459+J467+J473</f>
        <v>0</v>
      </c>
      <c r="K457" s="470">
        <f ca="1">IF(I457&gt;0,J457*100/I457,0)</f>
        <v>0</v>
      </c>
      <c r="L457" s="465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IFERROR(__xludf.DUMMYFUNCTION("IMPORTRANGE(""https://docs.google.com/spreadsheets/d/1eHaY18a8A9IcSdp1K8H6x8fbOy06t2VsZHhMHf-1x7Y/edit?usp=sharing"",""แผน!HM29"")"),0)</f>
        <v>0</v>
      </c>
      <c r="J458" s="328">
        <f>J460+J468+J474</f>
        <v>0</v>
      </c>
      <c r="K458" s="470">
        <f ca="1">IF(I458&gt;0,J458*100/I458,0)</f>
        <v>0</v>
      </c>
      <c r="L458" s="465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hidden="1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>J461+J463</f>
        <v>0</v>
      </c>
      <c r="K459" s="45"/>
      <c r="L459" s="465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>J462+J464</f>
        <v>0</v>
      </c>
      <c r="K460" s="45"/>
      <c r="L460" s="465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465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465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465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465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465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465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>J469+J471</f>
        <v>0</v>
      </c>
      <c r="K467" s="45"/>
      <c r="L467" s="465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>J470+J472</f>
        <v>0</v>
      </c>
      <c r="K468" s="45"/>
      <c r="L468" s="465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465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465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465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465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465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465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470">
        <f>IF(I475&gt;0,J475*100/I475,0)</f>
        <v>0</v>
      </c>
      <c r="L475" s="465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>J478+J480</f>
        <v>0</v>
      </c>
      <c r="K476" s="470">
        <f>IF(I476&gt;0,J476*100/I476,0)</f>
        <v>0</v>
      </c>
      <c r="L476" s="465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>J479+J481</f>
        <v>0</v>
      </c>
      <c r="K477" s="470">
        <f>IF(I477&gt;0,J477*100/I477,0)</f>
        <v>0</v>
      </c>
      <c r="L477" s="465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hidden="1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465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465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465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465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IFERROR(__xludf.DUMMYFUNCTION("IMPORTRANGE(""https://docs.google.com/spreadsheets/d/1eHaY18a8A9IcSdp1K8H6x8fbOy06t2VsZHhMHf-1x7Y/edit?usp=sharing"",""แผน!HN29"")"),0)</f>
        <v>0</v>
      </c>
      <c r="K482" s="45"/>
      <c r="L482" s="465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IFERROR(__xludf.DUMMYFUNCTION("IMPORTRANGE(""https://docs.google.com/spreadsheets/d/1eHaY18a8A9IcSdp1K8H6x8fbOy06t2VsZHhMHf-1x7Y/edit?usp=sharing"",""แผน!HO29"")"),0)</f>
        <v>0</v>
      </c>
      <c r="K483" s="45"/>
      <c r="L483" s="465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>J480</f>
        <v>0</v>
      </c>
      <c r="J484" s="328">
        <f>J486+J488+J490</f>
        <v>0</v>
      </c>
      <c r="K484" s="470">
        <f>IF(I484&gt;0,J484*100/I484,0)</f>
        <v>0</v>
      </c>
      <c r="L484" s="465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>J481</f>
        <v>0</v>
      </c>
      <c r="J485" s="328">
        <f>J487+J489+J491</f>
        <v>0</v>
      </c>
      <c r="K485" s="470">
        <f>IF(I485&gt;0,J485*100/I485,0)</f>
        <v>0</v>
      </c>
      <c r="L485" s="465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hidden="1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465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465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465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465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465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46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541">
        <f ca="1">I503</f>
        <v>0</v>
      </c>
      <c r="J492" s="541">
        <f ca="1">J503</f>
        <v>0</v>
      </c>
      <c r="K492" s="540">
        <f ca="1">IF(I492&gt;0,J492*100/I492,0)</f>
        <v>0</v>
      </c>
      <c r="L492" s="539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hidden="1" x14ac:dyDescent="0.3">
      <c r="A493" s="128"/>
      <c r="B493" s="158"/>
      <c r="C493" s="177" t="s">
        <v>18</v>
      </c>
      <c r="D493" s="819" t="s">
        <v>19</v>
      </c>
      <c r="E493" s="800"/>
      <c r="F493" s="800"/>
      <c r="G493" s="42"/>
      <c r="H493" s="221" t="s">
        <v>14</v>
      </c>
      <c r="I493" s="44"/>
      <c r="J493" s="44"/>
      <c r="K493" s="45"/>
      <c r="L493" s="471">
        <f>L494+L495</f>
        <v>0</v>
      </c>
      <c r="M493" s="470">
        <f>M494+M495</f>
        <v>0</v>
      </c>
      <c r="N493" s="470">
        <f>N494+N495</f>
        <v>0</v>
      </c>
      <c r="O493" s="470">
        <f t="shared" ref="O493:O501" si="120">IF(L493&gt;0,N493*100/L493,0)</f>
        <v>0</v>
      </c>
      <c r="P493" s="470">
        <f t="shared" ref="P493:P501" si="121">IF(M493&gt;0,N493*100/M493,0)</f>
        <v>0</v>
      </c>
      <c r="Q493" s="470">
        <f ca="1">Q494+Q495</f>
        <v>0</v>
      </c>
      <c r="R493" s="470">
        <f ca="1">R494+R495</f>
        <v>0</v>
      </c>
      <c r="S493" s="470">
        <f ca="1">S494+S495</f>
        <v>0</v>
      </c>
      <c r="T493" s="470">
        <f t="shared" ref="T493:T501" ca="1" si="122">IF(Q493&gt;0,S493*100/Q493,0)</f>
        <v>0</v>
      </c>
      <c r="U493" s="470">
        <f t="shared" ref="U493:U501" ca="1" si="123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469">
        <f t="shared" ref="L494:N495" si="124">L497+L500</f>
        <v>0</v>
      </c>
      <c r="M494" s="83">
        <f t="shared" si="124"/>
        <v>0</v>
      </c>
      <c r="N494" s="83">
        <f t="shared" si="124"/>
        <v>0</v>
      </c>
      <c r="O494" s="83">
        <f t="shared" si="120"/>
        <v>0</v>
      </c>
      <c r="P494" s="83">
        <f t="shared" si="121"/>
        <v>0</v>
      </c>
      <c r="Q494" s="83">
        <f t="shared" ref="Q494:S495" si="125">Q497+Q500</f>
        <v>0</v>
      </c>
      <c r="R494" s="83">
        <f t="shared" si="125"/>
        <v>0</v>
      </c>
      <c r="S494" s="83">
        <f t="shared" si="125"/>
        <v>0</v>
      </c>
      <c r="T494" s="83">
        <f t="shared" si="122"/>
        <v>0</v>
      </c>
      <c r="U494" s="83">
        <f t="shared" si="123"/>
        <v>0</v>
      </c>
    </row>
    <row r="495" spans="1:21" ht="18.75" hidden="1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468">
        <f t="shared" si="124"/>
        <v>0</v>
      </c>
      <c r="M495" s="224">
        <f t="shared" si="124"/>
        <v>0</v>
      </c>
      <c r="N495" s="224">
        <f t="shared" si="124"/>
        <v>0</v>
      </c>
      <c r="O495" s="224">
        <f t="shared" si="120"/>
        <v>0</v>
      </c>
      <c r="P495" s="224">
        <f t="shared" si="121"/>
        <v>0</v>
      </c>
      <c r="Q495" s="224">
        <f t="shared" ca="1" si="125"/>
        <v>0</v>
      </c>
      <c r="R495" s="224">
        <f t="shared" ca="1" si="125"/>
        <v>0</v>
      </c>
      <c r="S495" s="224">
        <f t="shared" ca="1" si="125"/>
        <v>0</v>
      </c>
      <c r="T495" s="224">
        <f t="shared" ca="1" si="122"/>
        <v>0</v>
      </c>
      <c r="U495" s="224">
        <f t="shared" ca="1" si="123"/>
        <v>0</v>
      </c>
    </row>
    <row r="496" spans="1:21" ht="18.75" hidden="1" x14ac:dyDescent="0.25">
      <c r="A496" s="128"/>
      <c r="B496" s="158"/>
      <c r="C496" s="158"/>
      <c r="D496" s="53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468">
        <f>L497+L498</f>
        <v>0</v>
      </c>
      <c r="M496" s="224">
        <f>M497+M498</f>
        <v>0</v>
      </c>
      <c r="N496" s="224">
        <f>N497+N498</f>
        <v>0</v>
      </c>
      <c r="O496" s="224">
        <f t="shared" si="120"/>
        <v>0</v>
      </c>
      <c r="P496" s="224">
        <f t="shared" si="121"/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t="shared" ca="1" si="122"/>
        <v>0</v>
      </c>
      <c r="U496" s="224">
        <f t="shared" ca="1" si="123"/>
        <v>0</v>
      </c>
    </row>
    <row r="497" spans="1:21" ht="18.75" hidden="1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469">
        <v>0</v>
      </c>
      <c r="M497" s="83">
        <v>0</v>
      </c>
      <c r="N497" s="83">
        <v>0</v>
      </c>
      <c r="O497" s="83">
        <f t="shared" si="120"/>
        <v>0</v>
      </c>
      <c r="P497" s="83">
        <f t="shared" si="121"/>
        <v>0</v>
      </c>
      <c r="Q497" s="83">
        <v>0</v>
      </c>
      <c r="R497" s="83">
        <v>0</v>
      </c>
      <c r="S497" s="83">
        <v>0</v>
      </c>
      <c r="T497" s="83">
        <f t="shared" si="122"/>
        <v>0</v>
      </c>
      <c r="U497" s="83">
        <f t="shared" si="123"/>
        <v>0</v>
      </c>
    </row>
    <row r="498" spans="1:21" ht="18.75" hidden="1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468">
        <v>0</v>
      </c>
      <c r="M498" s="224">
        <v>0</v>
      </c>
      <c r="N498" s="224">
        <v>0</v>
      </c>
      <c r="O498" s="224">
        <f t="shared" si="120"/>
        <v>0</v>
      </c>
      <c r="P498" s="224">
        <f t="shared" si="121"/>
        <v>0</v>
      </c>
      <c r="Q498" s="224">
        <f ca="1">IFERROR(__xludf.DUMMYFUNCTION("IMPORTRANGE(""https://docs.google.com/spreadsheets/d/1ItG2mGa2ceCfYo0BwxsXqNm01IGEUdYcSSLTEv9YCik/edit?usp=sharing"",""เบิกจ่ายกองทุน!X29"")"),0)</f>
        <v>0</v>
      </c>
      <c r="R498" s="224">
        <f ca="1">IFERROR(__xludf.DUMMYFUNCTION("IMPORTRANGE(""https://docs.google.com/spreadsheets/d/1ItG2mGa2ceCfYo0BwxsXqNm01IGEUdYcSSLTEv9YCik/edit?usp=sharing"",""เบิกจ่ายกองทุน!Y29"")"),0)</f>
        <v>0</v>
      </c>
      <c r="S498" s="224">
        <f ca="1">IFERROR(__xludf.DUMMYFUNCTION("IMPORTRANGE(""https://docs.google.com/spreadsheets/d/1ItG2mGa2ceCfYo0BwxsXqNm01IGEUdYcSSLTEv9YCik/edit?usp=sharing"",""เบิกจ่ายกองทุน!Z29"")"),0)</f>
        <v>0</v>
      </c>
      <c r="T498" s="224">
        <f t="shared" ca="1" si="122"/>
        <v>0</v>
      </c>
      <c r="U498" s="224">
        <f t="shared" ca="1" si="123"/>
        <v>0</v>
      </c>
    </row>
    <row r="499" spans="1:21" ht="18.75" hidden="1" x14ac:dyDescent="0.25">
      <c r="A499" s="128"/>
      <c r="B499" s="158"/>
      <c r="C499" s="158"/>
      <c r="D499" s="53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468">
        <f>L500+L501</f>
        <v>0</v>
      </c>
      <c r="M499" s="224">
        <f>M500+M501</f>
        <v>0</v>
      </c>
      <c r="N499" s="224">
        <f>N500+N501</f>
        <v>0</v>
      </c>
      <c r="O499" s="224">
        <f t="shared" si="120"/>
        <v>0</v>
      </c>
      <c r="P499" s="224">
        <f t="shared" si="121"/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 t="shared" si="122"/>
        <v>0</v>
      </c>
      <c r="U499" s="224">
        <f t="shared" si="123"/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469">
        <v>0</v>
      </c>
      <c r="M500" s="83">
        <v>0</v>
      </c>
      <c r="N500" s="83">
        <v>0</v>
      </c>
      <c r="O500" s="83">
        <f t="shared" si="120"/>
        <v>0</v>
      </c>
      <c r="P500" s="83">
        <f t="shared" si="121"/>
        <v>0</v>
      </c>
      <c r="Q500" s="83">
        <v>0</v>
      </c>
      <c r="R500" s="83">
        <v>0</v>
      </c>
      <c r="S500" s="83">
        <v>0</v>
      </c>
      <c r="T500" s="83">
        <f t="shared" si="122"/>
        <v>0</v>
      </c>
      <c r="U500" s="83">
        <f t="shared" si="123"/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468">
        <v>0</v>
      </c>
      <c r="M501" s="224">
        <v>0</v>
      </c>
      <c r="N501" s="224">
        <v>0</v>
      </c>
      <c r="O501" s="224">
        <f t="shared" si="120"/>
        <v>0</v>
      </c>
      <c r="P501" s="224">
        <f t="shared" si="121"/>
        <v>0</v>
      </c>
      <c r="Q501" s="224">
        <v>0</v>
      </c>
      <c r="R501" s="224">
        <v>0</v>
      </c>
      <c r="S501" s="224">
        <v>0</v>
      </c>
      <c r="T501" s="224">
        <f t="shared" si="122"/>
        <v>0</v>
      </c>
      <c r="U501" s="224">
        <f t="shared" si="123"/>
        <v>0</v>
      </c>
    </row>
    <row r="502" spans="1:21" ht="19.5" hidden="1" x14ac:dyDescent="0.3">
      <c r="A502" s="138"/>
      <c r="B502" s="139"/>
      <c r="C502" s="177" t="s">
        <v>18</v>
      </c>
      <c r="D502" s="491" t="s">
        <v>38</v>
      </c>
      <c r="E502" s="141"/>
      <c r="F502" s="141"/>
      <c r="G502" s="142"/>
      <c r="H502" s="178"/>
      <c r="I502" s="135"/>
      <c r="J502" s="135"/>
      <c r="K502" s="136"/>
      <c r="L502" s="4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IFERROR(__xludf.DUMMYFUNCTION("IMPORTRANGE(""https://docs.google.com/spreadsheets/d/1eHaY18a8A9IcSdp1K8H6x8fbOy06t2VsZHhMHf-1x7Y/edit?usp=sharing"",""แผน!GX29"")"),0)</f>
        <v>0</v>
      </c>
      <c r="J503" s="328">
        <f ca="1">IF(AND(J504=I504,J505=I505,J506=I506,J507=I507),I503,0)</f>
        <v>0</v>
      </c>
      <c r="K503" s="470">
        <f t="shared" ref="K503:K509" ca="1" si="126">IF(I503&gt;0,J503*100/I503,0)</f>
        <v>0</v>
      </c>
      <c r="L503" s="465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IFERROR(__xludf.DUMMYFUNCTION("IMPORTRANGE(""https://docs.google.com/spreadsheets/d/1eHaY18a8A9IcSdp1K8H6x8fbOy06t2VsZHhMHf-1x7Y/edit?usp=sharing"",""แผน!GY29"")"),0)</f>
        <v>0</v>
      </c>
      <c r="J504" s="466">
        <v>0</v>
      </c>
      <c r="K504" s="224">
        <f t="shared" ca="1" si="126"/>
        <v>0</v>
      </c>
      <c r="L504" s="465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IFERROR(__xludf.DUMMYFUNCTION("IMPORTRANGE(""https://docs.google.com/spreadsheets/d/1eHaY18a8A9IcSdp1K8H6x8fbOy06t2VsZHhMHf-1x7Y/edit?usp=sharing"",""แผน!GZ29"")"),0)</f>
        <v>0</v>
      </c>
      <c r="J505" s="466">
        <v>0</v>
      </c>
      <c r="K505" s="224">
        <f t="shared" ca="1" si="126"/>
        <v>0</v>
      </c>
      <c r="L505" s="465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IFERROR(__xludf.DUMMYFUNCTION("IMPORTRANGE(""https://docs.google.com/spreadsheets/d/1eHaY18a8A9IcSdp1K8H6x8fbOy06t2VsZHhMHf-1x7Y/edit?usp=sharing"",""แผน!HA29"")"),0)</f>
        <v>0</v>
      </c>
      <c r="J506" s="466">
        <v>0</v>
      </c>
      <c r="K506" s="224">
        <f t="shared" ca="1" si="126"/>
        <v>0</v>
      </c>
      <c r="L506" s="465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IFERROR(__xludf.DUMMYFUNCTION("IMPORTRANGE(""https://docs.google.com/spreadsheets/d/1eHaY18a8A9IcSdp1K8H6x8fbOy06t2VsZHhMHf-1x7Y/edit?usp=sharing"",""แผน!HB29"")"),0)</f>
        <v>0</v>
      </c>
      <c r="J507" s="466">
        <v>0</v>
      </c>
      <c r="K507" s="224">
        <f t="shared" ca="1" si="126"/>
        <v>0</v>
      </c>
      <c r="L507" s="465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 t="shared" si="126"/>
        <v>0</v>
      </c>
      <c r="L508" s="465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IFERROR(__xludf.DUMMYFUNCTION("IMPORTRANGE(""https://docs.google.com/spreadsheets/d/1eHaY18a8A9IcSdp1K8H6x8fbOy06t2VsZHhMHf-1x7Y/edit?usp=sharing"",""แผน!HC29"")"),0)</f>
        <v>0</v>
      </c>
      <c r="J509" s="464">
        <v>0</v>
      </c>
      <c r="K509" s="455">
        <f t="shared" ca="1" si="126"/>
        <v>0</v>
      </c>
      <c r="L509" s="46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537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536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hidden="1" x14ac:dyDescent="0.3">
      <c r="A511" s="535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534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hidden="1" x14ac:dyDescent="0.3">
      <c r="A512" s="349"/>
      <c r="B512" s="533" t="s">
        <v>207</v>
      </c>
      <c r="C512" s="351"/>
      <c r="D512" s="352"/>
      <c r="E512" s="352"/>
      <c r="F512" s="352"/>
      <c r="G512" s="353"/>
      <c r="H512" s="532" t="s">
        <v>61</v>
      </c>
      <c r="I512" s="531">
        <f>I524</f>
        <v>0</v>
      </c>
      <c r="J512" s="531">
        <f>J524</f>
        <v>0</v>
      </c>
      <c r="K512" s="530">
        <f>IF(I512&gt;0,J512*100/I512,0)</f>
        <v>0</v>
      </c>
      <c r="L512" s="512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hidden="1" x14ac:dyDescent="0.3">
      <c r="A513" s="128"/>
      <c r="B513" s="40"/>
      <c r="C513" s="527" t="s">
        <v>18</v>
      </c>
      <c r="D513" s="494" t="s">
        <v>19</v>
      </c>
      <c r="E513" s="40"/>
      <c r="F513" s="40"/>
      <c r="G513" s="42"/>
      <c r="H513" s="529" t="s">
        <v>14</v>
      </c>
      <c r="I513" s="44"/>
      <c r="J513" s="44"/>
      <c r="K513" s="45"/>
      <c r="L513" s="471">
        <f ca="1">L514+L515</f>
        <v>0</v>
      </c>
      <c r="M513" s="470">
        <f ca="1">M514+M515</f>
        <v>0</v>
      </c>
      <c r="N513" s="470">
        <f ca="1">N514+N515</f>
        <v>0</v>
      </c>
      <c r="O513" s="470">
        <f t="shared" ref="O513:O521" ca="1" si="127">IF(L513&gt;0,N513*100/L513,0)</f>
        <v>0</v>
      </c>
      <c r="P513" s="470">
        <f t="shared" ref="P513:P521" ca="1" si="128">IF(M513&gt;0,N513*100/M513,0)</f>
        <v>0</v>
      </c>
      <c r="Q513" s="470">
        <f>Q514+Q515</f>
        <v>0</v>
      </c>
      <c r="R513" s="470">
        <f>R514+R515</f>
        <v>0</v>
      </c>
      <c r="S513" s="470">
        <f>S514+S515</f>
        <v>0</v>
      </c>
      <c r="T513" s="470">
        <f t="shared" ref="T513:T521" si="129">IF(Q513&gt;0,S513*100/Q513,0)</f>
        <v>0</v>
      </c>
      <c r="U513" s="470">
        <f t="shared" ref="U513:U521" si="130"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469">
        <f t="shared" ref="L514:N515" si="131">L517+L520</f>
        <v>0</v>
      </c>
      <c r="M514" s="83">
        <f t="shared" si="131"/>
        <v>0</v>
      </c>
      <c r="N514" s="83">
        <f t="shared" si="131"/>
        <v>0</v>
      </c>
      <c r="O514" s="83">
        <f t="shared" si="127"/>
        <v>0</v>
      </c>
      <c r="P514" s="83">
        <f t="shared" si="128"/>
        <v>0</v>
      </c>
      <c r="Q514" s="83">
        <f t="shared" ref="Q514:S515" si="132">Q517+Q520</f>
        <v>0</v>
      </c>
      <c r="R514" s="83">
        <f t="shared" si="132"/>
        <v>0</v>
      </c>
      <c r="S514" s="83">
        <f t="shared" si="132"/>
        <v>0</v>
      </c>
      <c r="T514" s="83">
        <f t="shared" si="129"/>
        <v>0</v>
      </c>
      <c r="U514" s="83">
        <f t="shared" si="130"/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468">
        <f t="shared" ca="1" si="131"/>
        <v>0</v>
      </c>
      <c r="M515" s="224">
        <f t="shared" ca="1" si="131"/>
        <v>0</v>
      </c>
      <c r="N515" s="224">
        <f t="shared" ca="1" si="131"/>
        <v>0</v>
      </c>
      <c r="O515" s="224">
        <f t="shared" ca="1" si="127"/>
        <v>0</v>
      </c>
      <c r="P515" s="224">
        <f t="shared" ca="1" si="128"/>
        <v>0</v>
      </c>
      <c r="Q515" s="224">
        <f t="shared" si="132"/>
        <v>0</v>
      </c>
      <c r="R515" s="224">
        <f t="shared" si="132"/>
        <v>0</v>
      </c>
      <c r="S515" s="224">
        <f t="shared" si="132"/>
        <v>0</v>
      </c>
      <c r="T515" s="224">
        <f t="shared" si="129"/>
        <v>0</v>
      </c>
      <c r="U515" s="224">
        <f t="shared" si="130"/>
        <v>0</v>
      </c>
    </row>
    <row r="516" spans="1:21" ht="18.75" hidden="1" x14ac:dyDescent="0.25">
      <c r="A516" s="128"/>
      <c r="B516" s="40"/>
      <c r="C516" s="40"/>
      <c r="D516" s="52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468">
        <f ca="1">L517+L518</f>
        <v>0</v>
      </c>
      <c r="M516" s="224">
        <f ca="1">M517+M518</f>
        <v>0</v>
      </c>
      <c r="N516" s="224">
        <f ca="1">N517+N518</f>
        <v>0</v>
      </c>
      <c r="O516" s="224">
        <f t="shared" ca="1" si="127"/>
        <v>0</v>
      </c>
      <c r="P516" s="224">
        <f t="shared" ca="1" si="128"/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 t="shared" si="129"/>
        <v>0</v>
      </c>
      <c r="U516" s="224">
        <f t="shared" si="130"/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469">
        <v>0</v>
      </c>
      <c r="M517" s="83">
        <v>0</v>
      </c>
      <c r="N517" s="83">
        <v>0</v>
      </c>
      <c r="O517" s="83">
        <f t="shared" si="127"/>
        <v>0</v>
      </c>
      <c r="P517" s="83">
        <f t="shared" si="128"/>
        <v>0</v>
      </c>
      <c r="Q517" s="83">
        <v>0</v>
      </c>
      <c r="R517" s="83">
        <v>0</v>
      </c>
      <c r="S517" s="83">
        <v>0</v>
      </c>
      <c r="T517" s="83">
        <f t="shared" si="129"/>
        <v>0</v>
      </c>
      <c r="U517" s="83">
        <f t="shared" si="130"/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468">
        <f ca="1">IFERROR(__xludf.DUMMYFUNCTION("IMPORTRANGE(""https://docs.google.com/spreadsheets/d/1-uDff_7J0KD5mKrp0Vvzr7lt3OU09vwQwhkpOPPYv2Y/edit?usp=sharing"",""งบพรบ!FM29"")"),0)</f>
        <v>0</v>
      </c>
      <c r="M518" s="224">
        <f ca="1">IFERROR(__xludf.DUMMYFUNCTION("IMPORTRANGE(""https://docs.google.com/spreadsheets/d/1-uDff_7J0KD5mKrp0Vvzr7lt3OU09vwQwhkpOPPYv2Y/edit?usp=sharing"",""งบพรบ!FR29"")"),0)</f>
        <v>0</v>
      </c>
      <c r="N518" s="224">
        <f ca="1">IFERROR(__xludf.DUMMYFUNCTION("IMPORTRANGE(""https://docs.google.com/spreadsheets/d/1-uDff_7J0KD5mKrp0Vvzr7lt3OU09vwQwhkpOPPYv2Y/edit?usp=sharing"",""งบพรบ!FT29"")"),0)</f>
        <v>0</v>
      </c>
      <c r="O518" s="224">
        <f t="shared" ca="1" si="127"/>
        <v>0</v>
      </c>
      <c r="P518" s="224">
        <f t="shared" ca="1" si="128"/>
        <v>0</v>
      </c>
      <c r="Q518" s="224">
        <v>0</v>
      </c>
      <c r="R518" s="224">
        <v>0</v>
      </c>
      <c r="S518" s="224">
        <v>0</v>
      </c>
      <c r="T518" s="224">
        <f t="shared" si="129"/>
        <v>0</v>
      </c>
      <c r="U518" s="224">
        <f t="shared" si="130"/>
        <v>0</v>
      </c>
    </row>
    <row r="519" spans="1:21" ht="18.75" hidden="1" x14ac:dyDescent="0.25">
      <c r="A519" s="128"/>
      <c r="B519" s="40"/>
      <c r="C519" s="40"/>
      <c r="D519" s="528" t="s">
        <v>23</v>
      </c>
      <c r="E519" s="40"/>
      <c r="F519" s="40"/>
      <c r="G519" s="42"/>
      <c r="H519" s="375" t="s">
        <v>14</v>
      </c>
      <c r="I519" s="135"/>
      <c r="J519" s="135"/>
      <c r="K519" s="136"/>
      <c r="L519" s="468">
        <f ca="1">L520+L521</f>
        <v>0</v>
      </c>
      <c r="M519" s="224">
        <f ca="1">M520+M521</f>
        <v>0</v>
      </c>
      <c r="N519" s="224">
        <f ca="1">N520+N521</f>
        <v>0</v>
      </c>
      <c r="O519" s="224">
        <f t="shared" ca="1" si="127"/>
        <v>0</v>
      </c>
      <c r="P519" s="224">
        <f t="shared" ca="1" si="128"/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 t="shared" si="129"/>
        <v>0</v>
      </c>
      <c r="U519" s="224">
        <f t="shared" si="130"/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469">
        <v>0</v>
      </c>
      <c r="M520" s="83">
        <v>0</v>
      </c>
      <c r="N520" s="83">
        <v>0</v>
      </c>
      <c r="O520" s="83">
        <f t="shared" si="127"/>
        <v>0</v>
      </c>
      <c r="P520" s="83">
        <f t="shared" si="128"/>
        <v>0</v>
      </c>
      <c r="Q520" s="83">
        <v>0</v>
      </c>
      <c r="R520" s="83">
        <v>0</v>
      </c>
      <c r="S520" s="83">
        <v>0</v>
      </c>
      <c r="T520" s="83">
        <f t="shared" si="129"/>
        <v>0</v>
      </c>
      <c r="U520" s="83">
        <f t="shared" si="130"/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375" t="s">
        <v>14</v>
      </c>
      <c r="I521" s="135"/>
      <c r="J521" s="135"/>
      <c r="K521" s="136"/>
      <c r="L521" s="468">
        <f ca="1">IFERROR(__xludf.DUMMYFUNCTION("IMPORTRANGE(""https://docs.google.com/spreadsheets/d/1-uDff_7J0KD5mKrp0Vvzr7lt3OU09vwQwhkpOPPYv2Y/edit?usp=sharing"",""งบพรบ!FP29"")"),0)</f>
        <v>0</v>
      </c>
      <c r="M521" s="224">
        <f ca="1">IFERROR(__xludf.DUMMYFUNCTION("IMPORTRANGE(""https://docs.google.com/spreadsheets/d/1-uDff_7J0KD5mKrp0Vvzr7lt3OU09vwQwhkpOPPYv2Y/edit?usp=sharing"",""งบพรบ!FS29"")"),0)</f>
        <v>0</v>
      </c>
      <c r="N521" s="224">
        <f ca="1">IFERROR(__xludf.DUMMYFUNCTION("IMPORTRANGE(""https://docs.google.com/spreadsheets/d/1-uDff_7J0KD5mKrp0Vvzr7lt3OU09vwQwhkpOPPYv2Y/edit?usp=sharing"",""งบพรบ!FU29"")"),0)</f>
        <v>0</v>
      </c>
      <c r="O521" s="224">
        <f t="shared" ca="1" si="127"/>
        <v>0</v>
      </c>
      <c r="P521" s="224">
        <f t="shared" ca="1" si="128"/>
        <v>0</v>
      </c>
      <c r="Q521" s="224">
        <v>0</v>
      </c>
      <c r="R521" s="224">
        <v>0</v>
      </c>
      <c r="S521" s="224">
        <v>0</v>
      </c>
      <c r="T521" s="224">
        <f t="shared" si="129"/>
        <v>0</v>
      </c>
      <c r="U521" s="224">
        <f t="shared" si="130"/>
        <v>0</v>
      </c>
    </row>
    <row r="522" spans="1:21" ht="19.5" hidden="1" x14ac:dyDescent="0.3">
      <c r="A522" s="138"/>
      <c r="B522" s="139"/>
      <c r="C522" s="527" t="s">
        <v>18</v>
      </c>
      <c r="D522" s="509" t="s">
        <v>38</v>
      </c>
      <c r="E522" s="141"/>
      <c r="F522" s="141"/>
      <c r="G522" s="142"/>
      <c r="H522" s="143"/>
      <c r="I522" s="135"/>
      <c r="J522" s="44"/>
      <c r="K522" s="45"/>
      <c r="L522" s="465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208</v>
      </c>
      <c r="E523" s="139"/>
      <c r="F523" s="40"/>
      <c r="G523" s="42"/>
      <c r="H523" s="526" t="s">
        <v>11</v>
      </c>
      <c r="I523" s="430">
        <v>0</v>
      </c>
      <c r="J523" s="525">
        <v>0</v>
      </c>
      <c r="K523" s="83">
        <f>IF(I523&gt;0,J523*100/I523,0)</f>
        <v>0</v>
      </c>
      <c r="L523" s="465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29"/>
      <c r="B524" s="1"/>
      <c r="C524" s="2"/>
      <c r="D524" s="524" t="s">
        <v>209</v>
      </c>
      <c r="E524" s="250"/>
      <c r="F524" s="1"/>
      <c r="G524" s="52"/>
      <c r="H524" s="523" t="s">
        <v>61</v>
      </c>
      <c r="I524" s="433">
        <v>0</v>
      </c>
      <c r="J524" s="522">
        <v>0</v>
      </c>
      <c r="K524" s="521">
        <f>IF(I524&gt;0,J524*100/I524,0)</f>
        <v>0</v>
      </c>
      <c r="L524" s="465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520"/>
      <c r="B525" s="519"/>
      <c r="C525" s="519"/>
      <c r="D525" s="518"/>
      <c r="E525" s="518"/>
      <c r="F525" s="518"/>
      <c r="G525" s="517"/>
      <c r="H525" s="516"/>
      <c r="I525" s="515"/>
      <c r="J525" s="515"/>
      <c r="K525" s="514"/>
      <c r="L525" s="511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11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11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11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11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11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11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496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hidden="1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64">
        <f>I545</f>
        <v>0</v>
      </c>
      <c r="J533" s="364">
        <f>J545</f>
        <v>0</v>
      </c>
      <c r="K533" s="513">
        <f>IF(I533&gt;0,J533*100/I533,0)</f>
        <v>0</v>
      </c>
      <c r="L533" s="512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hidden="1" x14ac:dyDescent="0.3">
      <c r="A534" s="128"/>
      <c r="B534" s="40"/>
      <c r="C534" s="129" t="s">
        <v>18</v>
      </c>
      <c r="D534" s="472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471">
        <f>L535+L536</f>
        <v>0</v>
      </c>
      <c r="M534" s="470">
        <f>M535+M536</f>
        <v>0</v>
      </c>
      <c r="N534" s="470">
        <f>N535+N536</f>
        <v>0</v>
      </c>
      <c r="O534" s="470">
        <f t="shared" ref="O534:O542" si="133">IF(L534&gt;0,N534*100/L534,0)</f>
        <v>0</v>
      </c>
      <c r="P534" s="470">
        <f t="shared" ref="P534:P542" si="134">IF(M534&gt;0,N534*100/M534,0)</f>
        <v>0</v>
      </c>
      <c r="Q534" s="470">
        <f>Q535+Q536</f>
        <v>0</v>
      </c>
      <c r="R534" s="470">
        <f>R535+R536</f>
        <v>0</v>
      </c>
      <c r="S534" s="470">
        <f>S535+S536</f>
        <v>0</v>
      </c>
      <c r="T534" s="470">
        <f t="shared" ref="T534:T542" si="135">IF(Q534&gt;0,S534*100/Q534,0)</f>
        <v>0</v>
      </c>
      <c r="U534" s="470">
        <f t="shared" ref="U534:U542" si="136"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469">
        <f t="shared" ref="L535:N536" si="137">L538+L541</f>
        <v>0</v>
      </c>
      <c r="M535" s="83">
        <f t="shared" si="137"/>
        <v>0</v>
      </c>
      <c r="N535" s="83">
        <f t="shared" si="137"/>
        <v>0</v>
      </c>
      <c r="O535" s="83">
        <f t="shared" si="133"/>
        <v>0</v>
      </c>
      <c r="P535" s="83">
        <f t="shared" si="134"/>
        <v>0</v>
      </c>
      <c r="Q535" s="83">
        <f t="shared" ref="Q535:S536" si="138">Q538+Q541</f>
        <v>0</v>
      </c>
      <c r="R535" s="83">
        <f t="shared" si="138"/>
        <v>0</v>
      </c>
      <c r="S535" s="83">
        <f t="shared" si="138"/>
        <v>0</v>
      </c>
      <c r="T535" s="83">
        <f t="shared" si="135"/>
        <v>0</v>
      </c>
      <c r="U535" s="83">
        <f t="shared" si="136"/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468">
        <f t="shared" si="137"/>
        <v>0</v>
      </c>
      <c r="M536" s="224">
        <f t="shared" si="137"/>
        <v>0</v>
      </c>
      <c r="N536" s="224">
        <f t="shared" si="137"/>
        <v>0</v>
      </c>
      <c r="O536" s="224">
        <f t="shared" si="133"/>
        <v>0</v>
      </c>
      <c r="P536" s="224">
        <f t="shared" si="134"/>
        <v>0</v>
      </c>
      <c r="Q536" s="224">
        <f t="shared" si="138"/>
        <v>0</v>
      </c>
      <c r="R536" s="224">
        <f t="shared" si="138"/>
        <v>0</v>
      </c>
      <c r="S536" s="224">
        <f t="shared" si="138"/>
        <v>0</v>
      </c>
      <c r="T536" s="224">
        <f t="shared" si="135"/>
        <v>0</v>
      </c>
      <c r="U536" s="224">
        <f t="shared" si="136"/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468">
        <f>L538+L539</f>
        <v>0</v>
      </c>
      <c r="M537" s="224">
        <f>M538+M539</f>
        <v>0</v>
      </c>
      <c r="N537" s="224">
        <f>N538+N539</f>
        <v>0</v>
      </c>
      <c r="O537" s="224">
        <f t="shared" si="133"/>
        <v>0</v>
      </c>
      <c r="P537" s="224">
        <f t="shared" si="134"/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 t="shared" si="135"/>
        <v>0</v>
      </c>
      <c r="U537" s="224">
        <f t="shared" si="136"/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469">
        <v>0</v>
      </c>
      <c r="M538" s="83">
        <v>0</v>
      </c>
      <c r="N538" s="83">
        <v>0</v>
      </c>
      <c r="O538" s="83">
        <f t="shared" si="133"/>
        <v>0</v>
      </c>
      <c r="P538" s="83">
        <f t="shared" si="134"/>
        <v>0</v>
      </c>
      <c r="Q538" s="83">
        <v>0</v>
      </c>
      <c r="R538" s="83">
        <v>0</v>
      </c>
      <c r="S538" s="83">
        <v>0</v>
      </c>
      <c r="T538" s="83">
        <f t="shared" si="135"/>
        <v>0</v>
      </c>
      <c r="U538" s="83">
        <f t="shared" si="136"/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468">
        <v>0</v>
      </c>
      <c r="M539" s="224">
        <v>0</v>
      </c>
      <c r="N539" s="224">
        <v>0</v>
      </c>
      <c r="O539" s="224">
        <f t="shared" si="133"/>
        <v>0</v>
      </c>
      <c r="P539" s="224">
        <f t="shared" si="134"/>
        <v>0</v>
      </c>
      <c r="Q539" s="224">
        <v>0</v>
      </c>
      <c r="R539" s="224">
        <v>0</v>
      </c>
      <c r="S539" s="224">
        <v>0</v>
      </c>
      <c r="T539" s="224">
        <f t="shared" si="135"/>
        <v>0</v>
      </c>
      <c r="U539" s="224">
        <f t="shared" si="136"/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468">
        <f>L541+L542</f>
        <v>0</v>
      </c>
      <c r="M540" s="224">
        <f>M541+M542</f>
        <v>0</v>
      </c>
      <c r="N540" s="224">
        <f>N541+N542</f>
        <v>0</v>
      </c>
      <c r="O540" s="224">
        <f t="shared" si="133"/>
        <v>0</v>
      </c>
      <c r="P540" s="224">
        <f t="shared" si="134"/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 t="shared" si="135"/>
        <v>0</v>
      </c>
      <c r="U540" s="224">
        <f t="shared" si="136"/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469">
        <v>0</v>
      </c>
      <c r="M541" s="83">
        <v>0</v>
      </c>
      <c r="N541" s="83">
        <v>0</v>
      </c>
      <c r="O541" s="83">
        <f t="shared" si="133"/>
        <v>0</v>
      </c>
      <c r="P541" s="83">
        <f t="shared" si="134"/>
        <v>0</v>
      </c>
      <c r="Q541" s="83">
        <v>0</v>
      </c>
      <c r="R541" s="83">
        <v>0</v>
      </c>
      <c r="S541" s="83">
        <v>0</v>
      </c>
      <c r="T541" s="83">
        <f t="shared" si="135"/>
        <v>0</v>
      </c>
      <c r="U541" s="83">
        <f t="shared" si="136"/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468">
        <v>0</v>
      </c>
      <c r="M542" s="224">
        <v>0</v>
      </c>
      <c r="N542" s="224">
        <v>0</v>
      </c>
      <c r="O542" s="224">
        <f t="shared" si="133"/>
        <v>0</v>
      </c>
      <c r="P542" s="224">
        <f t="shared" si="134"/>
        <v>0</v>
      </c>
      <c r="Q542" s="224">
        <v>0</v>
      </c>
      <c r="R542" s="224">
        <v>0</v>
      </c>
      <c r="S542" s="224">
        <v>0</v>
      </c>
      <c r="T542" s="224">
        <f t="shared" si="135"/>
        <v>0</v>
      </c>
      <c r="U542" s="224">
        <f t="shared" si="136"/>
        <v>0</v>
      </c>
    </row>
    <row r="543" spans="1:21" ht="19.5" hidden="1" x14ac:dyDescent="0.3">
      <c r="A543" s="138"/>
      <c r="B543" s="139"/>
      <c r="C543" s="365" t="s">
        <v>18</v>
      </c>
      <c r="D543" s="498" t="s">
        <v>38</v>
      </c>
      <c r="E543" s="141"/>
      <c r="F543" s="141"/>
      <c r="G543" s="142"/>
      <c r="H543" s="143"/>
      <c r="I543" s="135"/>
      <c r="J543" s="44"/>
      <c r="K543" s="45"/>
      <c r="L543" s="465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11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11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11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11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11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11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11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11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11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496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hidden="1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64">
        <f>I566</f>
        <v>0</v>
      </c>
      <c r="J554" s="364">
        <f>J566</f>
        <v>0</v>
      </c>
      <c r="K554" s="513">
        <f>IF(I554&gt;0,J554*100/I554,0)</f>
        <v>0</v>
      </c>
      <c r="L554" s="512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hidden="1" x14ac:dyDescent="0.3">
      <c r="A555" s="128"/>
      <c r="B555" s="40"/>
      <c r="C555" s="129" t="s">
        <v>18</v>
      </c>
      <c r="D555" s="472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471">
        <f>L556+L557</f>
        <v>0</v>
      </c>
      <c r="M555" s="470">
        <f>M556+M557</f>
        <v>0</v>
      </c>
      <c r="N555" s="470">
        <f>N556+N557</f>
        <v>0</v>
      </c>
      <c r="O555" s="470">
        <f t="shared" ref="O555:O563" si="139">IF(L555&gt;0,N555*100/L555,0)</f>
        <v>0</v>
      </c>
      <c r="P555" s="470">
        <f t="shared" ref="P555:P563" si="140">IF(M555&gt;0,N555*100/M555,0)</f>
        <v>0</v>
      </c>
      <c r="Q555" s="470">
        <f>Q556+Q557</f>
        <v>0</v>
      </c>
      <c r="R555" s="470">
        <f>R556+R557</f>
        <v>0</v>
      </c>
      <c r="S555" s="470">
        <f>S556+S557</f>
        <v>0</v>
      </c>
      <c r="T555" s="470">
        <f t="shared" ref="T555:T563" si="141">IF(Q555&gt;0,S555*100/Q555,0)</f>
        <v>0</v>
      </c>
      <c r="U555" s="470">
        <f t="shared" ref="U555:U563" si="142"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469">
        <f t="shared" ref="L556:N557" si="143">L559+L562</f>
        <v>0</v>
      </c>
      <c r="M556" s="83">
        <f t="shared" si="143"/>
        <v>0</v>
      </c>
      <c r="N556" s="83">
        <f t="shared" si="143"/>
        <v>0</v>
      </c>
      <c r="O556" s="83">
        <f t="shared" si="139"/>
        <v>0</v>
      </c>
      <c r="P556" s="83">
        <f t="shared" si="140"/>
        <v>0</v>
      </c>
      <c r="Q556" s="83">
        <f t="shared" ref="Q556:S557" si="144">Q559+Q562</f>
        <v>0</v>
      </c>
      <c r="R556" s="83">
        <f t="shared" si="144"/>
        <v>0</v>
      </c>
      <c r="S556" s="83">
        <f t="shared" si="144"/>
        <v>0</v>
      </c>
      <c r="T556" s="83">
        <f t="shared" si="141"/>
        <v>0</v>
      </c>
      <c r="U556" s="83">
        <f t="shared" si="142"/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468">
        <f t="shared" si="143"/>
        <v>0</v>
      </c>
      <c r="M557" s="224">
        <f t="shared" si="143"/>
        <v>0</v>
      </c>
      <c r="N557" s="224">
        <f t="shared" si="143"/>
        <v>0</v>
      </c>
      <c r="O557" s="224">
        <f t="shared" si="139"/>
        <v>0</v>
      </c>
      <c r="P557" s="224">
        <f t="shared" si="140"/>
        <v>0</v>
      </c>
      <c r="Q557" s="224">
        <f t="shared" si="144"/>
        <v>0</v>
      </c>
      <c r="R557" s="224">
        <f t="shared" si="144"/>
        <v>0</v>
      </c>
      <c r="S557" s="224">
        <f t="shared" si="144"/>
        <v>0</v>
      </c>
      <c r="T557" s="224">
        <f t="shared" si="141"/>
        <v>0</v>
      </c>
      <c r="U557" s="224">
        <f t="shared" si="142"/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468">
        <f>L559+L560</f>
        <v>0</v>
      </c>
      <c r="M558" s="224">
        <f>M559+M560</f>
        <v>0</v>
      </c>
      <c r="N558" s="224">
        <f>N559+N560</f>
        <v>0</v>
      </c>
      <c r="O558" s="224">
        <f t="shared" si="139"/>
        <v>0</v>
      </c>
      <c r="P558" s="224">
        <f t="shared" si="140"/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 t="shared" si="141"/>
        <v>0</v>
      </c>
      <c r="U558" s="224">
        <f t="shared" si="142"/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469">
        <v>0</v>
      </c>
      <c r="M559" s="83">
        <v>0</v>
      </c>
      <c r="N559" s="83">
        <v>0</v>
      </c>
      <c r="O559" s="83">
        <f t="shared" si="139"/>
        <v>0</v>
      </c>
      <c r="P559" s="83">
        <f t="shared" si="140"/>
        <v>0</v>
      </c>
      <c r="Q559" s="83">
        <v>0</v>
      </c>
      <c r="R559" s="83">
        <v>0</v>
      </c>
      <c r="S559" s="83">
        <v>0</v>
      </c>
      <c r="T559" s="83">
        <f t="shared" si="141"/>
        <v>0</v>
      </c>
      <c r="U559" s="83">
        <f t="shared" si="142"/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468">
        <v>0</v>
      </c>
      <c r="M560" s="224">
        <v>0</v>
      </c>
      <c r="N560" s="224">
        <v>0</v>
      </c>
      <c r="O560" s="224">
        <f t="shared" si="139"/>
        <v>0</v>
      </c>
      <c r="P560" s="224">
        <f t="shared" si="140"/>
        <v>0</v>
      </c>
      <c r="Q560" s="224">
        <v>0</v>
      </c>
      <c r="R560" s="224">
        <v>0</v>
      </c>
      <c r="S560" s="224">
        <v>0</v>
      </c>
      <c r="T560" s="224">
        <f t="shared" si="141"/>
        <v>0</v>
      </c>
      <c r="U560" s="224">
        <f t="shared" si="142"/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468">
        <f>L562+L563</f>
        <v>0</v>
      </c>
      <c r="M561" s="224">
        <f>M562+M563</f>
        <v>0</v>
      </c>
      <c r="N561" s="224">
        <f>N562+N563</f>
        <v>0</v>
      </c>
      <c r="O561" s="224">
        <f t="shared" si="139"/>
        <v>0</v>
      </c>
      <c r="P561" s="224">
        <f t="shared" si="140"/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 t="shared" si="141"/>
        <v>0</v>
      </c>
      <c r="U561" s="224">
        <f t="shared" si="142"/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469">
        <v>0</v>
      </c>
      <c r="M562" s="83">
        <v>0</v>
      </c>
      <c r="N562" s="83">
        <v>0</v>
      </c>
      <c r="O562" s="83">
        <f t="shared" si="139"/>
        <v>0</v>
      </c>
      <c r="P562" s="83">
        <f t="shared" si="140"/>
        <v>0</v>
      </c>
      <c r="Q562" s="83">
        <v>0</v>
      </c>
      <c r="R562" s="83">
        <v>0</v>
      </c>
      <c r="S562" s="83">
        <v>0</v>
      </c>
      <c r="T562" s="83">
        <f t="shared" si="141"/>
        <v>0</v>
      </c>
      <c r="U562" s="83">
        <f t="shared" si="142"/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468">
        <v>0</v>
      </c>
      <c r="M563" s="224">
        <v>0</v>
      </c>
      <c r="N563" s="224">
        <v>0</v>
      </c>
      <c r="O563" s="224">
        <f t="shared" si="139"/>
        <v>0</v>
      </c>
      <c r="P563" s="224">
        <f t="shared" si="140"/>
        <v>0</v>
      </c>
      <c r="Q563" s="224">
        <v>0</v>
      </c>
      <c r="R563" s="224">
        <v>0</v>
      </c>
      <c r="S563" s="224">
        <v>0</v>
      </c>
      <c r="T563" s="224">
        <f t="shared" si="141"/>
        <v>0</v>
      </c>
      <c r="U563" s="224">
        <f t="shared" si="142"/>
        <v>0</v>
      </c>
    </row>
    <row r="564" spans="1:21" ht="19.5" hidden="1" x14ac:dyDescent="0.3">
      <c r="A564" s="138"/>
      <c r="B564" s="139"/>
      <c r="C564" s="365" t="s">
        <v>18</v>
      </c>
      <c r="D564" s="498" t="s">
        <v>38</v>
      </c>
      <c r="E564" s="141"/>
      <c r="F564" s="141"/>
      <c r="G564" s="142"/>
      <c r="H564" s="143"/>
      <c r="I564" s="135"/>
      <c r="J564" s="44"/>
      <c r="K564" s="45"/>
      <c r="L564" s="465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11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11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11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11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11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11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11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11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11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496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hidden="1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64">
        <f>I587</f>
        <v>0</v>
      </c>
      <c r="J575" s="364">
        <f>J587</f>
        <v>0</v>
      </c>
      <c r="K575" s="513">
        <f>IF(I575&gt;0,J575*100/I575,0)</f>
        <v>0</v>
      </c>
      <c r="L575" s="512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hidden="1" x14ac:dyDescent="0.3">
      <c r="A576" s="128"/>
      <c r="B576" s="40"/>
      <c r="C576" s="129" t="s">
        <v>18</v>
      </c>
      <c r="D576" s="472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471">
        <f>L577+L578</f>
        <v>0</v>
      </c>
      <c r="M576" s="470">
        <f>M577+M578</f>
        <v>0</v>
      </c>
      <c r="N576" s="470">
        <f>N577+N578</f>
        <v>0</v>
      </c>
      <c r="O576" s="470">
        <f t="shared" ref="O576:O584" si="145">IF(L576&gt;0,N576*100/L576,0)</f>
        <v>0</v>
      </c>
      <c r="P576" s="470">
        <f t="shared" ref="P576:P584" si="146">IF(M576&gt;0,N576*100/M576,0)</f>
        <v>0</v>
      </c>
      <c r="Q576" s="470">
        <f>Q577+Q578</f>
        <v>0</v>
      </c>
      <c r="R576" s="470">
        <f>R577+R578</f>
        <v>0</v>
      </c>
      <c r="S576" s="470">
        <f>S577+S578</f>
        <v>0</v>
      </c>
      <c r="T576" s="470">
        <f t="shared" ref="T576:T584" si="147">IF(Q576&gt;0,S576*100/Q576,0)</f>
        <v>0</v>
      </c>
      <c r="U576" s="470">
        <f t="shared" ref="U576:U584" si="148"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469">
        <f t="shared" ref="L577:N578" si="149">L580+L583</f>
        <v>0</v>
      </c>
      <c r="M577" s="83">
        <f t="shared" si="149"/>
        <v>0</v>
      </c>
      <c r="N577" s="83">
        <f t="shared" si="149"/>
        <v>0</v>
      </c>
      <c r="O577" s="83">
        <f t="shared" si="145"/>
        <v>0</v>
      </c>
      <c r="P577" s="83">
        <f t="shared" si="146"/>
        <v>0</v>
      </c>
      <c r="Q577" s="83">
        <f t="shared" ref="Q577:S578" si="150">Q580+Q583</f>
        <v>0</v>
      </c>
      <c r="R577" s="83">
        <f t="shared" si="150"/>
        <v>0</v>
      </c>
      <c r="S577" s="83">
        <f t="shared" si="150"/>
        <v>0</v>
      </c>
      <c r="T577" s="83">
        <f t="shared" si="147"/>
        <v>0</v>
      </c>
      <c r="U577" s="83">
        <f t="shared" si="148"/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468">
        <f t="shared" si="149"/>
        <v>0</v>
      </c>
      <c r="M578" s="224">
        <f t="shared" si="149"/>
        <v>0</v>
      </c>
      <c r="N578" s="224">
        <f t="shared" si="149"/>
        <v>0</v>
      </c>
      <c r="O578" s="224">
        <f t="shared" si="145"/>
        <v>0</v>
      </c>
      <c r="P578" s="224">
        <f t="shared" si="146"/>
        <v>0</v>
      </c>
      <c r="Q578" s="224">
        <f t="shared" si="150"/>
        <v>0</v>
      </c>
      <c r="R578" s="224">
        <f t="shared" si="150"/>
        <v>0</v>
      </c>
      <c r="S578" s="224">
        <f t="shared" si="150"/>
        <v>0</v>
      </c>
      <c r="T578" s="224">
        <f t="shared" si="147"/>
        <v>0</v>
      </c>
      <c r="U578" s="224">
        <f t="shared" si="148"/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468">
        <f>L580+L581</f>
        <v>0</v>
      </c>
      <c r="M579" s="224">
        <f>M580+M581</f>
        <v>0</v>
      </c>
      <c r="N579" s="224">
        <f>N580+N581</f>
        <v>0</v>
      </c>
      <c r="O579" s="224">
        <f t="shared" si="145"/>
        <v>0</v>
      </c>
      <c r="P579" s="224">
        <f t="shared" si="146"/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 t="shared" si="147"/>
        <v>0</v>
      </c>
      <c r="U579" s="224">
        <f t="shared" si="148"/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469">
        <v>0</v>
      </c>
      <c r="M580" s="83">
        <v>0</v>
      </c>
      <c r="N580" s="83">
        <v>0</v>
      </c>
      <c r="O580" s="83">
        <f t="shared" si="145"/>
        <v>0</v>
      </c>
      <c r="P580" s="83">
        <f t="shared" si="146"/>
        <v>0</v>
      </c>
      <c r="Q580" s="83">
        <v>0</v>
      </c>
      <c r="R580" s="83">
        <v>0</v>
      </c>
      <c r="S580" s="83">
        <v>0</v>
      </c>
      <c r="T580" s="83">
        <f t="shared" si="147"/>
        <v>0</v>
      </c>
      <c r="U580" s="83">
        <f t="shared" si="148"/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468">
        <v>0</v>
      </c>
      <c r="M581" s="224">
        <v>0</v>
      </c>
      <c r="N581" s="224">
        <v>0</v>
      </c>
      <c r="O581" s="224">
        <f t="shared" si="145"/>
        <v>0</v>
      </c>
      <c r="P581" s="224">
        <f t="shared" si="146"/>
        <v>0</v>
      </c>
      <c r="Q581" s="224">
        <v>0</v>
      </c>
      <c r="R581" s="224">
        <v>0</v>
      </c>
      <c r="S581" s="224">
        <v>0</v>
      </c>
      <c r="T581" s="224">
        <f t="shared" si="147"/>
        <v>0</v>
      </c>
      <c r="U581" s="224">
        <f t="shared" si="148"/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468">
        <f>L583+L584</f>
        <v>0</v>
      </c>
      <c r="M582" s="224">
        <f>M583+M584</f>
        <v>0</v>
      </c>
      <c r="N582" s="224">
        <f>N583+N584</f>
        <v>0</v>
      </c>
      <c r="O582" s="224">
        <f t="shared" si="145"/>
        <v>0</v>
      </c>
      <c r="P582" s="224">
        <f t="shared" si="146"/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 t="shared" si="147"/>
        <v>0</v>
      </c>
      <c r="U582" s="224">
        <f t="shared" si="148"/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469">
        <v>0</v>
      </c>
      <c r="M583" s="83">
        <v>0</v>
      </c>
      <c r="N583" s="83">
        <v>0</v>
      </c>
      <c r="O583" s="83">
        <f t="shared" si="145"/>
        <v>0</v>
      </c>
      <c r="P583" s="83">
        <f t="shared" si="146"/>
        <v>0</v>
      </c>
      <c r="Q583" s="83">
        <v>0</v>
      </c>
      <c r="R583" s="83">
        <v>0</v>
      </c>
      <c r="S583" s="83">
        <v>0</v>
      </c>
      <c r="T583" s="83">
        <f t="shared" si="147"/>
        <v>0</v>
      </c>
      <c r="U583" s="83">
        <f t="shared" si="148"/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468">
        <v>0</v>
      </c>
      <c r="M584" s="224">
        <v>0</v>
      </c>
      <c r="N584" s="224">
        <v>0</v>
      </c>
      <c r="O584" s="224">
        <f t="shared" si="145"/>
        <v>0</v>
      </c>
      <c r="P584" s="224">
        <f t="shared" si="146"/>
        <v>0</v>
      </c>
      <c r="Q584" s="224">
        <v>0</v>
      </c>
      <c r="R584" s="224">
        <v>0</v>
      </c>
      <c r="S584" s="224">
        <v>0</v>
      </c>
      <c r="T584" s="224">
        <f t="shared" si="147"/>
        <v>0</v>
      </c>
      <c r="U584" s="224">
        <f t="shared" si="148"/>
        <v>0</v>
      </c>
    </row>
    <row r="585" spans="1:21" ht="19.5" hidden="1" x14ac:dyDescent="0.3">
      <c r="A585" s="138"/>
      <c r="B585" s="139"/>
      <c r="C585" s="365" t="s">
        <v>18</v>
      </c>
      <c r="D585" s="498" t="s">
        <v>38</v>
      </c>
      <c r="E585" s="141"/>
      <c r="F585" s="141"/>
      <c r="G585" s="142"/>
      <c r="H585" s="143"/>
      <c r="I585" s="135"/>
      <c r="J585" s="44"/>
      <c r="K585" s="45"/>
      <c r="L585" s="465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11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11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11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11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11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11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11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11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11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496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hidden="1" x14ac:dyDescent="0.3">
      <c r="A596" s="366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67" t="s">
        <v>214</v>
      </c>
      <c r="C597" s="172"/>
      <c r="D597" s="125"/>
      <c r="E597" s="27"/>
      <c r="F597" s="27"/>
      <c r="G597" s="27"/>
      <c r="H597" s="368" t="s">
        <v>99</v>
      </c>
      <c r="I597" s="182"/>
      <c r="J597" s="32"/>
      <c r="K597" s="33"/>
      <c r="L597" s="510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369"/>
      <c r="B598" s="370" t="s">
        <v>215</v>
      </c>
      <c r="C598" s="125"/>
      <c r="D598" s="27"/>
      <c r="E598" s="27"/>
      <c r="F598" s="27"/>
      <c r="G598" s="30"/>
      <c r="H598" s="371" t="s">
        <v>35</v>
      </c>
      <c r="I598" s="32"/>
      <c r="J598" s="32"/>
      <c r="K598" s="33"/>
      <c r="L598" s="510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820" t="s">
        <v>19</v>
      </c>
      <c r="E599" s="793"/>
      <c r="F599" s="793"/>
      <c r="G599" s="794"/>
      <c r="H599" s="372" t="s">
        <v>14</v>
      </c>
      <c r="I599" s="44"/>
      <c r="J599" s="44"/>
      <c r="K599" s="45"/>
      <c r="L599" s="471">
        <f>L600+L601</f>
        <v>0</v>
      </c>
      <c r="M599" s="470">
        <f>M600+M601</f>
        <v>0</v>
      </c>
      <c r="N599" s="470">
        <f>N600+N601</f>
        <v>0</v>
      </c>
      <c r="O599" s="470">
        <f t="shared" ref="O599:O607" si="151">IF(L599&gt;0,N599*100/L599,0)</f>
        <v>0</v>
      </c>
      <c r="P599" s="470">
        <f t="shared" ref="P599:P607" si="152">IF(M599&gt;0,N599*100/M599,0)</f>
        <v>0</v>
      </c>
      <c r="Q599" s="470">
        <f>Q600+Q601</f>
        <v>0</v>
      </c>
      <c r="R599" s="470">
        <f>R600+R601</f>
        <v>0</v>
      </c>
      <c r="S599" s="470">
        <f>S600+S601</f>
        <v>0</v>
      </c>
      <c r="T599" s="470">
        <f t="shared" ref="T599:T607" si="153">IF(Q599&gt;0,S599*100/Q599,0)</f>
        <v>0</v>
      </c>
      <c r="U599" s="470">
        <f t="shared" ref="U599:U607" si="154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469">
        <f t="shared" ref="L600:N601" si="155">L603+L606</f>
        <v>0</v>
      </c>
      <c r="M600" s="83">
        <f t="shared" si="155"/>
        <v>0</v>
      </c>
      <c r="N600" s="83">
        <f t="shared" si="155"/>
        <v>0</v>
      </c>
      <c r="O600" s="83">
        <f t="shared" si="151"/>
        <v>0</v>
      </c>
      <c r="P600" s="83">
        <f t="shared" si="152"/>
        <v>0</v>
      </c>
      <c r="Q600" s="83">
        <f t="shared" ref="Q600:S601" si="156">Q603+Q606</f>
        <v>0</v>
      </c>
      <c r="R600" s="83">
        <f t="shared" si="156"/>
        <v>0</v>
      </c>
      <c r="S600" s="83">
        <f t="shared" si="156"/>
        <v>0</v>
      </c>
      <c r="T600" s="83">
        <f t="shared" si="153"/>
        <v>0</v>
      </c>
      <c r="U600" s="83">
        <f t="shared" si="154"/>
        <v>0</v>
      </c>
    </row>
    <row r="601" spans="1:21" ht="18.75" hidden="1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468">
        <f t="shared" si="155"/>
        <v>0</v>
      </c>
      <c r="M601" s="224">
        <f t="shared" si="155"/>
        <v>0</v>
      </c>
      <c r="N601" s="224">
        <f t="shared" si="155"/>
        <v>0</v>
      </c>
      <c r="O601" s="224">
        <f t="shared" si="151"/>
        <v>0</v>
      </c>
      <c r="P601" s="224">
        <f t="shared" si="152"/>
        <v>0</v>
      </c>
      <c r="Q601" s="224">
        <f t="shared" si="156"/>
        <v>0</v>
      </c>
      <c r="R601" s="224">
        <f t="shared" si="156"/>
        <v>0</v>
      </c>
      <c r="S601" s="224">
        <f t="shared" si="156"/>
        <v>0</v>
      </c>
      <c r="T601" s="224">
        <f t="shared" si="153"/>
        <v>0</v>
      </c>
      <c r="U601" s="224">
        <f t="shared" si="154"/>
        <v>0</v>
      </c>
    </row>
    <row r="602" spans="1:21" ht="19.5" hidden="1" x14ac:dyDescent="0.3">
      <c r="A602" s="128"/>
      <c r="B602" s="158"/>
      <c r="C602" s="158"/>
      <c r="D602" s="494" t="s">
        <v>22</v>
      </c>
      <c r="E602" s="40"/>
      <c r="F602" s="40"/>
      <c r="G602" s="42"/>
      <c r="H602" s="372" t="s">
        <v>14</v>
      </c>
      <c r="I602" s="135"/>
      <c r="J602" s="135"/>
      <c r="K602" s="136"/>
      <c r="L602" s="468">
        <f>L603+L604</f>
        <v>0</v>
      </c>
      <c r="M602" s="224">
        <f>M603+M604</f>
        <v>0</v>
      </c>
      <c r="N602" s="224">
        <f>N603+N604</f>
        <v>0</v>
      </c>
      <c r="O602" s="224">
        <f t="shared" si="151"/>
        <v>0</v>
      </c>
      <c r="P602" s="224">
        <f t="shared" si="152"/>
        <v>0</v>
      </c>
      <c r="Q602" s="224">
        <f>Q603+Q604</f>
        <v>0</v>
      </c>
      <c r="R602" s="224">
        <f>R603+R604</f>
        <v>0</v>
      </c>
      <c r="S602" s="224">
        <f>S603+S604</f>
        <v>0</v>
      </c>
      <c r="T602" s="224">
        <f t="shared" si="153"/>
        <v>0</v>
      </c>
      <c r="U602" s="224">
        <f t="shared" si="154"/>
        <v>0</v>
      </c>
    </row>
    <row r="603" spans="1:21" ht="18.75" hidden="1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469">
        <v>0</v>
      </c>
      <c r="M603" s="83">
        <v>0</v>
      </c>
      <c r="N603" s="83">
        <v>0</v>
      </c>
      <c r="O603" s="83">
        <f t="shared" si="151"/>
        <v>0</v>
      </c>
      <c r="P603" s="83">
        <f t="shared" si="152"/>
        <v>0</v>
      </c>
      <c r="Q603" s="83">
        <v>0</v>
      </c>
      <c r="R603" s="83">
        <v>0</v>
      </c>
      <c r="S603" s="83">
        <v>0</v>
      </c>
      <c r="T603" s="83">
        <f t="shared" si="153"/>
        <v>0</v>
      </c>
      <c r="U603" s="83">
        <f t="shared" si="154"/>
        <v>0</v>
      </c>
    </row>
    <row r="604" spans="1:21" ht="18.75" hidden="1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468">
        <v>0</v>
      </c>
      <c r="M604" s="224">
        <v>0</v>
      </c>
      <c r="N604" s="224">
        <v>0</v>
      </c>
      <c r="O604" s="224">
        <f t="shared" si="151"/>
        <v>0</v>
      </c>
      <c r="P604" s="224">
        <f t="shared" si="152"/>
        <v>0</v>
      </c>
      <c r="Q604" s="224">
        <v>0</v>
      </c>
      <c r="R604" s="224">
        <v>0</v>
      </c>
      <c r="S604" s="224">
        <v>0</v>
      </c>
      <c r="T604" s="224">
        <f t="shared" si="153"/>
        <v>0</v>
      </c>
      <c r="U604" s="224">
        <f t="shared" si="154"/>
        <v>0</v>
      </c>
    </row>
    <row r="605" spans="1:21" ht="19.5" hidden="1" x14ac:dyDescent="0.3">
      <c r="A605" s="128"/>
      <c r="B605" s="158"/>
      <c r="C605" s="158"/>
      <c r="D605" s="494" t="s">
        <v>23</v>
      </c>
      <c r="E605" s="158"/>
      <c r="F605" s="40"/>
      <c r="G605" s="42"/>
      <c r="H605" s="374" t="s">
        <v>14</v>
      </c>
      <c r="I605" s="135"/>
      <c r="J605" s="135"/>
      <c r="K605" s="136"/>
      <c r="L605" s="468">
        <f>L606+L607</f>
        <v>0</v>
      </c>
      <c r="M605" s="224">
        <f>M606+M607</f>
        <v>0</v>
      </c>
      <c r="N605" s="224">
        <f>N606+N607</f>
        <v>0</v>
      </c>
      <c r="O605" s="224">
        <f t="shared" si="151"/>
        <v>0</v>
      </c>
      <c r="P605" s="224">
        <f t="shared" si="152"/>
        <v>0</v>
      </c>
      <c r="Q605" s="224">
        <f>Q606+Q607</f>
        <v>0</v>
      </c>
      <c r="R605" s="224">
        <f>R606+R607</f>
        <v>0</v>
      </c>
      <c r="S605" s="224">
        <f>S606+S607</f>
        <v>0</v>
      </c>
      <c r="T605" s="224">
        <f t="shared" si="153"/>
        <v>0</v>
      </c>
      <c r="U605" s="224">
        <f t="shared" si="154"/>
        <v>0</v>
      </c>
    </row>
    <row r="606" spans="1:21" ht="18.75" hidden="1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469">
        <v>0</v>
      </c>
      <c r="M606" s="83">
        <v>0</v>
      </c>
      <c r="N606" s="83">
        <v>0</v>
      </c>
      <c r="O606" s="83">
        <f t="shared" si="151"/>
        <v>0</v>
      </c>
      <c r="P606" s="83">
        <f t="shared" si="152"/>
        <v>0</v>
      </c>
      <c r="Q606" s="83">
        <v>0</v>
      </c>
      <c r="R606" s="83">
        <v>0</v>
      </c>
      <c r="S606" s="83">
        <v>0</v>
      </c>
      <c r="T606" s="83">
        <f t="shared" si="153"/>
        <v>0</v>
      </c>
      <c r="U606" s="83">
        <f t="shared" si="154"/>
        <v>0</v>
      </c>
    </row>
    <row r="607" spans="1:21" ht="18.75" hidden="1" x14ac:dyDescent="0.25">
      <c r="A607" s="128"/>
      <c r="B607" s="158"/>
      <c r="C607" s="158"/>
      <c r="D607" s="40"/>
      <c r="E607" s="314" t="s">
        <v>21</v>
      </c>
      <c r="F607" s="40"/>
      <c r="G607" s="42"/>
      <c r="H607" s="375" t="s">
        <v>14</v>
      </c>
      <c r="I607" s="135"/>
      <c r="J607" s="135"/>
      <c r="K607" s="136"/>
      <c r="L607" s="468">
        <v>0</v>
      </c>
      <c r="M607" s="224">
        <v>0</v>
      </c>
      <c r="N607" s="224">
        <v>0</v>
      </c>
      <c r="O607" s="224">
        <f t="shared" si="151"/>
        <v>0</v>
      </c>
      <c r="P607" s="224">
        <f t="shared" si="152"/>
        <v>0</v>
      </c>
      <c r="Q607" s="224">
        <v>0</v>
      </c>
      <c r="R607" s="224">
        <v>0</v>
      </c>
      <c r="S607" s="224">
        <v>0</v>
      </c>
      <c r="T607" s="224">
        <f t="shared" si="153"/>
        <v>0</v>
      </c>
      <c r="U607" s="224">
        <f t="shared" si="154"/>
        <v>0</v>
      </c>
    </row>
    <row r="608" spans="1:21" ht="19.5" hidden="1" x14ac:dyDescent="0.3">
      <c r="A608" s="138"/>
      <c r="B608" s="139"/>
      <c r="C608" s="177" t="s">
        <v>18</v>
      </c>
      <c r="D608" s="509" t="s">
        <v>38</v>
      </c>
      <c r="E608" s="141"/>
      <c r="F608" s="141"/>
      <c r="G608" s="142"/>
      <c r="H608" s="178"/>
      <c r="I608" s="135"/>
      <c r="J608" s="135"/>
      <c r="K608" s="136"/>
      <c r="L608" s="465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377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465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377" t="s">
        <v>217</v>
      </c>
      <c r="E610" s="145"/>
      <c r="F610" s="145"/>
      <c r="G610" s="143"/>
      <c r="H610" s="372" t="s">
        <v>35</v>
      </c>
      <c r="I610" s="44"/>
      <c r="J610" s="44"/>
      <c r="K610" s="136"/>
      <c r="L610" s="465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377" t="s">
        <v>218</v>
      </c>
      <c r="F611" s="145"/>
      <c r="G611" s="143"/>
      <c r="H611" s="375" t="s">
        <v>35</v>
      </c>
      <c r="I611" s="44"/>
      <c r="J611" s="44"/>
      <c r="K611" s="136"/>
      <c r="L611" s="465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378"/>
      <c r="B612" s="379"/>
      <c r="C612" s="379"/>
      <c r="D612" s="379"/>
      <c r="E612" s="380" t="s">
        <v>219</v>
      </c>
      <c r="F612" s="381"/>
      <c r="G612" s="382"/>
      <c r="H612" s="383" t="s">
        <v>35</v>
      </c>
      <c r="I612" s="384"/>
      <c r="J612" s="384"/>
      <c r="K612" s="385"/>
      <c r="L612" s="508"/>
      <c r="M612" s="386"/>
      <c r="N612" s="386"/>
      <c r="O612" s="386"/>
      <c r="P612" s="386"/>
      <c r="Q612" s="386"/>
      <c r="R612" s="386"/>
      <c r="S612" s="386"/>
      <c r="T612" s="386"/>
      <c r="U612" s="386"/>
    </row>
    <row r="613" spans="1:21" ht="19.5" hidden="1" x14ac:dyDescent="0.3">
      <c r="A613" s="387" t="s">
        <v>220</v>
      </c>
      <c r="B613" s="388"/>
      <c r="C613" s="388"/>
      <c r="D613" s="389"/>
      <c r="E613" s="389"/>
      <c r="F613" s="389"/>
      <c r="G613" s="390"/>
      <c r="H613" s="391"/>
      <c r="I613" s="392"/>
      <c r="J613" s="392"/>
      <c r="K613" s="393"/>
      <c r="L613" s="507"/>
      <c r="M613" s="393"/>
      <c r="N613" s="393"/>
      <c r="O613" s="393"/>
      <c r="P613" s="393"/>
      <c r="Q613" s="393"/>
      <c r="R613" s="393"/>
      <c r="S613" s="393"/>
      <c r="T613" s="393"/>
      <c r="U613" s="393"/>
    </row>
    <row r="614" spans="1:21" ht="19.5" x14ac:dyDescent="0.3">
      <c r="A614" s="394"/>
      <c r="B614" s="395" t="s">
        <v>221</v>
      </c>
      <c r="C614" s="394"/>
      <c r="D614" s="396"/>
      <c r="E614" s="396"/>
      <c r="F614" s="396"/>
      <c r="G614" s="397"/>
      <c r="H614" s="398"/>
      <c r="I614" s="399"/>
      <c r="J614" s="399"/>
      <c r="K614" s="400"/>
      <c r="L614" s="473"/>
      <c r="M614" s="400"/>
      <c r="N614" s="400"/>
      <c r="O614" s="400"/>
      <c r="P614" s="400"/>
      <c r="Q614" s="400"/>
      <c r="R614" s="400"/>
      <c r="S614" s="400"/>
      <c r="T614" s="400"/>
      <c r="U614" s="400"/>
    </row>
    <row r="615" spans="1:21" ht="19.5" x14ac:dyDescent="0.3">
      <c r="A615" s="401"/>
      <c r="B615" s="402" t="s">
        <v>222</v>
      </c>
      <c r="C615" s="401"/>
      <c r="D615" s="403"/>
      <c r="E615" s="403"/>
      <c r="F615" s="403"/>
      <c r="G615" s="404"/>
      <c r="H615" s="405" t="s">
        <v>46</v>
      </c>
      <c r="I615" s="506">
        <f ca="1">I626</f>
        <v>50</v>
      </c>
      <c r="J615" s="506">
        <f>J626</f>
        <v>0</v>
      </c>
      <c r="K615" s="505">
        <f ca="1">IF(I615&gt;0,J615*100/I615,0)</f>
        <v>0</v>
      </c>
      <c r="L615" s="504"/>
      <c r="M615" s="408"/>
      <c r="N615" s="408"/>
      <c r="O615" s="408"/>
      <c r="P615" s="408"/>
      <c r="Q615" s="408"/>
      <c r="R615" s="408"/>
      <c r="S615" s="408"/>
      <c r="T615" s="408"/>
      <c r="U615" s="408"/>
    </row>
    <row r="616" spans="1:21" ht="19.5" x14ac:dyDescent="0.3">
      <c r="A616" s="128"/>
      <c r="B616" s="158"/>
      <c r="C616" s="177" t="s">
        <v>18</v>
      </c>
      <c r="D616" s="821" t="s">
        <v>19</v>
      </c>
      <c r="E616" s="793"/>
      <c r="F616" s="793"/>
      <c r="G616" s="794"/>
      <c r="H616" s="221" t="s">
        <v>14</v>
      </c>
      <c r="I616" s="44"/>
      <c r="J616" s="44"/>
      <c r="K616" s="45"/>
      <c r="L616" s="471">
        <f>L617+L618</f>
        <v>0</v>
      </c>
      <c r="M616" s="470">
        <f>M617+M618</f>
        <v>0</v>
      </c>
      <c r="N616" s="470">
        <f>N617+N618</f>
        <v>0</v>
      </c>
      <c r="O616" s="470">
        <f t="shared" ref="O616:O624" si="157">IF(L616&gt;0,N616*100/L616,0)</f>
        <v>0</v>
      </c>
      <c r="P616" s="470">
        <f t="shared" ref="P616:P624" si="158">IF(M616&gt;0,N616*100/M616,0)</f>
        <v>0</v>
      </c>
      <c r="Q616" s="470">
        <f ca="1">Q617+Q618</f>
        <v>6725</v>
      </c>
      <c r="R616" s="470">
        <f ca="1">R617+R618</f>
        <v>6725</v>
      </c>
      <c r="S616" s="470">
        <f ca="1">S617+S618</f>
        <v>1210</v>
      </c>
      <c r="T616" s="470">
        <f t="shared" ref="T616:T624" ca="1" si="159">IF(Q616&gt;0,S616*100/Q616,0)</f>
        <v>17.992565055762082</v>
      </c>
      <c r="U616" s="470">
        <f t="shared" ref="U616:U624" ca="1" si="160">IF(R616&gt;0,S616*100/R616,0)</f>
        <v>17.992565055762082</v>
      </c>
    </row>
    <row r="617" spans="1:21" ht="18.75" hidden="1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469">
        <f t="shared" ref="L617:N618" si="161">L620+L623</f>
        <v>0</v>
      </c>
      <c r="M617" s="83">
        <f t="shared" si="161"/>
        <v>0</v>
      </c>
      <c r="N617" s="83">
        <f t="shared" si="161"/>
        <v>0</v>
      </c>
      <c r="O617" s="83">
        <f t="shared" si="157"/>
        <v>0</v>
      </c>
      <c r="P617" s="83">
        <f t="shared" si="158"/>
        <v>0</v>
      </c>
      <c r="Q617" s="83">
        <f t="shared" ref="Q617:S618" si="162">Q620+Q623</f>
        <v>0</v>
      </c>
      <c r="R617" s="83">
        <f t="shared" si="162"/>
        <v>0</v>
      </c>
      <c r="S617" s="83">
        <f t="shared" si="162"/>
        <v>0</v>
      </c>
      <c r="T617" s="83">
        <f t="shared" si="159"/>
        <v>0</v>
      </c>
      <c r="U617" s="83">
        <f t="shared" si="160"/>
        <v>0</v>
      </c>
    </row>
    <row r="618" spans="1:21" ht="18.75" hidden="1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468">
        <f t="shared" si="161"/>
        <v>0</v>
      </c>
      <c r="M618" s="224">
        <f t="shared" si="161"/>
        <v>0</v>
      </c>
      <c r="N618" s="224">
        <f t="shared" si="161"/>
        <v>0</v>
      </c>
      <c r="O618" s="224">
        <f t="shared" si="157"/>
        <v>0</v>
      </c>
      <c r="P618" s="224">
        <f t="shared" si="158"/>
        <v>0</v>
      </c>
      <c r="Q618" s="224">
        <f t="shared" ca="1" si="162"/>
        <v>6725</v>
      </c>
      <c r="R618" s="224">
        <f t="shared" ca="1" si="162"/>
        <v>6725</v>
      </c>
      <c r="S618" s="224">
        <f t="shared" ca="1" si="162"/>
        <v>1210</v>
      </c>
      <c r="T618" s="224">
        <f t="shared" ca="1" si="159"/>
        <v>17.992565055762082</v>
      </c>
      <c r="U618" s="224">
        <f t="shared" ca="1" si="160"/>
        <v>17.992565055762082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468">
        <f>L620+L621</f>
        <v>0</v>
      </c>
      <c r="M619" s="224">
        <f>M620+M621</f>
        <v>0</v>
      </c>
      <c r="N619" s="224">
        <f>N620+N621</f>
        <v>0</v>
      </c>
      <c r="O619" s="224">
        <f t="shared" si="157"/>
        <v>0</v>
      </c>
      <c r="P619" s="224">
        <f t="shared" si="158"/>
        <v>0</v>
      </c>
      <c r="Q619" s="224">
        <f ca="1">Q620+Q621</f>
        <v>6725</v>
      </c>
      <c r="R619" s="224">
        <f ca="1">R620+R621</f>
        <v>6725</v>
      </c>
      <c r="S619" s="224">
        <f ca="1">S620+S621</f>
        <v>1210</v>
      </c>
      <c r="T619" s="224">
        <f t="shared" ca="1" si="159"/>
        <v>17.992565055762082</v>
      </c>
      <c r="U619" s="224">
        <f t="shared" ca="1" si="160"/>
        <v>17.992565055762082</v>
      </c>
    </row>
    <row r="620" spans="1:21" ht="18.75" hidden="1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469">
        <v>0</v>
      </c>
      <c r="M620" s="83">
        <v>0</v>
      </c>
      <c r="N620" s="83">
        <v>0</v>
      </c>
      <c r="O620" s="83">
        <f t="shared" si="157"/>
        <v>0</v>
      </c>
      <c r="P620" s="83">
        <f t="shared" si="158"/>
        <v>0</v>
      </c>
      <c r="Q620" s="83">
        <v>0</v>
      </c>
      <c r="R620" s="83">
        <v>0</v>
      </c>
      <c r="S620" s="83">
        <v>0</v>
      </c>
      <c r="T620" s="83">
        <f t="shared" si="159"/>
        <v>0</v>
      </c>
      <c r="U620" s="83">
        <f t="shared" si="160"/>
        <v>0</v>
      </c>
    </row>
    <row r="621" spans="1:21" ht="18.75" hidden="1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468">
        <v>0</v>
      </c>
      <c r="M621" s="224">
        <v>0</v>
      </c>
      <c r="N621" s="224">
        <v>0</v>
      </c>
      <c r="O621" s="224">
        <f t="shared" si="157"/>
        <v>0</v>
      </c>
      <c r="P621" s="224">
        <f t="shared" si="158"/>
        <v>0</v>
      </c>
      <c r="Q621" s="224">
        <f ca="1">IFERROR(__xludf.DUMMYFUNCTION("IMPORTRANGE(""https://docs.google.com/spreadsheets/d/1ItG2mGa2ceCfYo0BwxsXqNm01IGEUdYcSSLTEv9YCik/edit?usp=sharing"",""เบิกจ่ายกองทุน!F29"")"),6725)</f>
        <v>6725</v>
      </c>
      <c r="R621" s="224">
        <f ca="1">IFERROR(__xludf.DUMMYFUNCTION("IMPORTRANGE(""https://docs.google.com/spreadsheets/d/1ItG2mGa2ceCfYo0BwxsXqNm01IGEUdYcSSLTEv9YCik/edit?usp=sharing"",""เบิกจ่ายกองทุน!G29"")"),6725)</f>
        <v>6725</v>
      </c>
      <c r="S621" s="224">
        <f ca="1">IFERROR(__xludf.DUMMYFUNCTION("IMPORTRANGE(""https://docs.google.com/spreadsheets/d/1ItG2mGa2ceCfYo0BwxsXqNm01IGEUdYcSSLTEv9YCik/edit?usp=sharing"",""เบิกจ่ายกองทุน!H29"")"),1210)</f>
        <v>1210</v>
      </c>
      <c r="T621" s="224">
        <f t="shared" ca="1" si="159"/>
        <v>17.992565055762082</v>
      </c>
      <c r="U621" s="224">
        <f t="shared" ca="1" si="160"/>
        <v>17.992565055762082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468">
        <f>L623+L624</f>
        <v>0</v>
      </c>
      <c r="M622" s="224">
        <f>M623+M624</f>
        <v>0</v>
      </c>
      <c r="N622" s="224">
        <f>N623+N624</f>
        <v>0</v>
      </c>
      <c r="O622" s="224">
        <f t="shared" si="157"/>
        <v>0</v>
      </c>
      <c r="P622" s="224">
        <f t="shared" si="158"/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 t="shared" si="159"/>
        <v>0</v>
      </c>
      <c r="U622" s="224">
        <f t="shared" si="160"/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469">
        <v>0</v>
      </c>
      <c r="M623" s="83">
        <v>0</v>
      </c>
      <c r="N623" s="83">
        <v>0</v>
      </c>
      <c r="O623" s="83">
        <f t="shared" si="157"/>
        <v>0</v>
      </c>
      <c r="P623" s="83">
        <f t="shared" si="158"/>
        <v>0</v>
      </c>
      <c r="Q623" s="83">
        <v>0</v>
      </c>
      <c r="R623" s="83">
        <v>0</v>
      </c>
      <c r="S623" s="83">
        <v>0</v>
      </c>
      <c r="T623" s="83">
        <f t="shared" si="159"/>
        <v>0</v>
      </c>
      <c r="U623" s="83">
        <f t="shared" si="160"/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468">
        <v>0</v>
      </c>
      <c r="M624" s="224">
        <v>0</v>
      </c>
      <c r="N624" s="224">
        <v>0</v>
      </c>
      <c r="O624" s="224">
        <f t="shared" si="157"/>
        <v>0</v>
      </c>
      <c r="P624" s="224">
        <f t="shared" si="158"/>
        <v>0</v>
      </c>
      <c r="Q624" s="224">
        <v>0</v>
      </c>
      <c r="R624" s="224">
        <v>0</v>
      </c>
      <c r="S624" s="224">
        <v>0</v>
      </c>
      <c r="T624" s="224">
        <f t="shared" si="159"/>
        <v>0</v>
      </c>
      <c r="U624" s="224">
        <f t="shared" si="160"/>
        <v>0</v>
      </c>
    </row>
    <row r="625" spans="1:21" ht="19.5" x14ac:dyDescent="0.3">
      <c r="A625" s="138"/>
      <c r="B625" s="139"/>
      <c r="C625" s="177" t="s">
        <v>18</v>
      </c>
      <c r="D625" s="467" t="s">
        <v>38</v>
      </c>
      <c r="E625" s="141"/>
      <c r="F625" s="141"/>
      <c r="G625" s="142"/>
      <c r="H625" s="178"/>
      <c r="I625" s="135"/>
      <c r="J625" s="135"/>
      <c r="K625" s="136"/>
      <c r="L625" s="4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10" t="s">
        <v>223</v>
      </c>
      <c r="E626" s="145"/>
      <c r="F626" s="145"/>
      <c r="G626" s="143"/>
      <c r="H626" s="411" t="s">
        <v>46</v>
      </c>
      <c r="I626" s="328">
        <f ca="1">IFERROR(__xludf.DUMMYFUNCTION("IMPORTRANGE(""https://docs.google.com/spreadsheets/d/1eHaY18a8A9IcSdp1K8H6x8fbOy06t2VsZHhMHf-1x7Y/edit?usp=sharing"",""แผน!ID29"")"),50)</f>
        <v>50</v>
      </c>
      <c r="J626" s="328">
        <f>J632</f>
        <v>0</v>
      </c>
      <c r="K626" s="470">
        <f ca="1">IF(I626&gt;0,J626*100/I626,0)</f>
        <v>0</v>
      </c>
      <c r="L626" s="4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IFERROR(__xludf.DUMMYFUNCTION("IMPORTRANGE(""https://docs.google.com/spreadsheets/d/1eHaY18a8A9IcSdp1K8H6x8fbOy06t2VsZHhMHf-1x7Y/edit?usp=sharing"",""แผน!IC29"")"),0)</f>
        <v>0</v>
      </c>
      <c r="J627" s="466">
        <v>0</v>
      </c>
      <c r="K627" s="224">
        <f ca="1">IF(I627&gt;0,(J627*100)/I627,0)</f>
        <v>0</v>
      </c>
      <c r="L627" s="4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IFERROR(__xludf.DUMMYFUNCTION("IMPORTRANGE(""https://docs.google.com/spreadsheets/d/1eHaY18a8A9IcSdp1K8H6x8fbOy06t2VsZHhMHf-1x7Y/edit?usp=sharing"",""แผน!IC29"")"),0)</f>
        <v>0</v>
      </c>
      <c r="J628" s="466">
        <v>0</v>
      </c>
      <c r="K628" s="224">
        <f ca="1">IF(I628&gt;0,(J628*100)/I628,0)</f>
        <v>0</v>
      </c>
      <c r="L628" s="4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466">
        <v>0</v>
      </c>
      <c r="K629" s="224">
        <f ca="1">IF(I$626&gt;0,J629*100/I$626,0)</f>
        <v>0</v>
      </c>
      <c r="L629" s="4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466">
        <v>0</v>
      </c>
      <c r="K630" s="224">
        <f ca="1">IF(I$626&gt;0,J630*100/I$626,0)</f>
        <v>0</v>
      </c>
      <c r="L630" s="4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466">
        <v>0</v>
      </c>
      <c r="K631" s="224">
        <f ca="1">IF(I$626&gt;0,J631*100/I$626,0)</f>
        <v>0</v>
      </c>
      <c r="L631" s="4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470">
        <f ca="1">IF(I626&gt;0,J632*100/I626,0)</f>
        <v>0</v>
      </c>
      <c r="L632" s="4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466">
        <v>0</v>
      </c>
      <c r="K633" s="45"/>
      <c r="L633" s="4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466">
        <v>0</v>
      </c>
      <c r="K634" s="45"/>
      <c r="L634" s="4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10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IFERROR(__xludf.DUMMYFUNCTION("IMPORTRANGE(""https://docs.google.com/spreadsheets/d/1eHaY18a8A9IcSdp1K8H6x8fbOy06t2VsZHhMHf-1x7Y/edit?usp=sharing"",""แผน!IE29"")"),0)</f>
        <v>0</v>
      </c>
      <c r="J635" s="328">
        <f>J636</f>
        <v>0</v>
      </c>
      <c r="K635" s="470">
        <f ca="1">IF(I635&gt;0,J635*100/I635,0)</f>
        <v>0</v>
      </c>
      <c r="L635" s="4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4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466">
        <v>0</v>
      </c>
      <c r="K637" s="45"/>
      <c r="L637" s="4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466">
        <v>0</v>
      </c>
      <c r="K638" s="45"/>
      <c r="L638" s="4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466">
        <v>0</v>
      </c>
      <c r="K639" s="45"/>
      <c r="L639" s="4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466">
        <v>0</v>
      </c>
      <c r="K640" s="45"/>
      <c r="L640" s="4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01"/>
      <c r="B641" s="402" t="s">
        <v>236</v>
      </c>
      <c r="C641" s="401"/>
      <c r="D641" s="403"/>
      <c r="E641" s="403"/>
      <c r="F641" s="403"/>
      <c r="G641" s="404"/>
      <c r="H641" s="412"/>
      <c r="I641" s="413"/>
      <c r="J641" s="413"/>
      <c r="K641" s="408"/>
      <c r="L641" s="504"/>
      <c r="M641" s="408"/>
      <c r="N641" s="408"/>
      <c r="O641" s="408"/>
      <c r="P641" s="408"/>
      <c r="Q641" s="408"/>
      <c r="R641" s="408"/>
      <c r="S641" s="408"/>
      <c r="T641" s="408"/>
      <c r="U641" s="408"/>
    </row>
    <row r="642" spans="1:21" ht="19.5" x14ac:dyDescent="0.3">
      <c r="A642" s="128"/>
      <c r="B642" s="158"/>
      <c r="C642" s="209" t="s">
        <v>18</v>
      </c>
      <c r="D642" s="821" t="s">
        <v>19</v>
      </c>
      <c r="E642" s="793"/>
      <c r="F642" s="793"/>
      <c r="G642" s="794"/>
      <c r="H642" s="221" t="s">
        <v>14</v>
      </c>
      <c r="I642" s="44"/>
      <c r="J642" s="44"/>
      <c r="K642" s="45"/>
      <c r="L642" s="471">
        <f>L643+L644</f>
        <v>0</v>
      </c>
      <c r="M642" s="470">
        <f>M643+M644</f>
        <v>0</v>
      </c>
      <c r="N642" s="470">
        <f>N643+N644</f>
        <v>0</v>
      </c>
      <c r="O642" s="470">
        <f t="shared" ref="O642:O650" si="163">IF(L642&gt;0,N642*100/L642,0)</f>
        <v>0</v>
      </c>
      <c r="P642" s="470">
        <f t="shared" ref="P642:P650" si="164">IF(M642&gt;0,N642*100/M642,0)</f>
        <v>0</v>
      </c>
      <c r="Q642" s="470">
        <f ca="1">Q643+Q644</f>
        <v>5600</v>
      </c>
      <c r="R642" s="470">
        <f ca="1">R643+R644</f>
        <v>5600</v>
      </c>
      <c r="S642" s="470">
        <f ca="1">S643+S644</f>
        <v>0</v>
      </c>
      <c r="T642" s="470">
        <f t="shared" ref="T642:T650" ca="1" si="165">IF(Q642&gt;0,S642*100/Q642,0)</f>
        <v>0</v>
      </c>
      <c r="U642" s="470">
        <f t="shared" ref="U642:U650" ca="1" si="166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469">
        <f t="shared" ref="L643:N644" si="167">L646+L649</f>
        <v>0</v>
      </c>
      <c r="M643" s="83">
        <f t="shared" si="167"/>
        <v>0</v>
      </c>
      <c r="N643" s="83">
        <f t="shared" si="167"/>
        <v>0</v>
      </c>
      <c r="O643" s="83">
        <f t="shared" si="163"/>
        <v>0</v>
      </c>
      <c r="P643" s="83">
        <f t="shared" si="164"/>
        <v>0</v>
      </c>
      <c r="Q643" s="83">
        <f t="shared" ref="Q643:S644" si="168">Q646+Q649</f>
        <v>0</v>
      </c>
      <c r="R643" s="83">
        <f t="shared" si="168"/>
        <v>0</v>
      </c>
      <c r="S643" s="83">
        <f t="shared" si="168"/>
        <v>0</v>
      </c>
      <c r="T643" s="83">
        <f t="shared" si="165"/>
        <v>0</v>
      </c>
      <c r="U643" s="83">
        <f t="shared" si="166"/>
        <v>0</v>
      </c>
    </row>
    <row r="644" spans="1:21" ht="18.75" hidden="1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468">
        <f t="shared" si="167"/>
        <v>0</v>
      </c>
      <c r="M644" s="224">
        <f t="shared" si="167"/>
        <v>0</v>
      </c>
      <c r="N644" s="224">
        <f t="shared" si="167"/>
        <v>0</v>
      </c>
      <c r="O644" s="224">
        <f t="shared" si="163"/>
        <v>0</v>
      </c>
      <c r="P644" s="224">
        <f t="shared" si="164"/>
        <v>0</v>
      </c>
      <c r="Q644" s="224">
        <f t="shared" ca="1" si="168"/>
        <v>5600</v>
      </c>
      <c r="R644" s="224">
        <f t="shared" ca="1" si="168"/>
        <v>5600</v>
      </c>
      <c r="S644" s="224">
        <f t="shared" ca="1" si="168"/>
        <v>0</v>
      </c>
      <c r="T644" s="224">
        <f t="shared" ca="1" si="165"/>
        <v>0</v>
      </c>
      <c r="U644" s="224">
        <f t="shared" ca="1" si="166"/>
        <v>0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468">
        <f>L646+L647</f>
        <v>0</v>
      </c>
      <c r="M645" s="224">
        <f>M646+M647</f>
        <v>0</v>
      </c>
      <c r="N645" s="224">
        <f>N646+N647</f>
        <v>0</v>
      </c>
      <c r="O645" s="224">
        <f t="shared" si="163"/>
        <v>0</v>
      </c>
      <c r="P645" s="224">
        <f t="shared" si="164"/>
        <v>0</v>
      </c>
      <c r="Q645" s="224">
        <f ca="1">Q646+Q647</f>
        <v>5600</v>
      </c>
      <c r="R645" s="224">
        <f ca="1">R646+R647</f>
        <v>5600</v>
      </c>
      <c r="S645" s="224">
        <f ca="1">S646+S647</f>
        <v>0</v>
      </c>
      <c r="T645" s="224">
        <f t="shared" ca="1" si="165"/>
        <v>0</v>
      </c>
      <c r="U645" s="224">
        <f t="shared" ca="1" si="166"/>
        <v>0</v>
      </c>
    </row>
    <row r="646" spans="1:21" ht="18.75" hidden="1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469">
        <v>0</v>
      </c>
      <c r="M646" s="83">
        <v>0</v>
      </c>
      <c r="N646" s="83">
        <v>0</v>
      </c>
      <c r="O646" s="83">
        <f t="shared" si="163"/>
        <v>0</v>
      </c>
      <c r="P646" s="83">
        <f t="shared" si="164"/>
        <v>0</v>
      </c>
      <c r="Q646" s="83">
        <v>0</v>
      </c>
      <c r="R646" s="83">
        <v>0</v>
      </c>
      <c r="S646" s="83">
        <v>0</v>
      </c>
      <c r="T646" s="83">
        <f t="shared" si="165"/>
        <v>0</v>
      </c>
      <c r="U646" s="83">
        <f t="shared" si="166"/>
        <v>0</v>
      </c>
    </row>
    <row r="647" spans="1:21" ht="18.75" hidden="1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468">
        <v>0</v>
      </c>
      <c r="M647" s="224">
        <v>0</v>
      </c>
      <c r="N647" s="224">
        <v>0</v>
      </c>
      <c r="O647" s="224">
        <f t="shared" si="163"/>
        <v>0</v>
      </c>
      <c r="P647" s="224">
        <f t="shared" si="164"/>
        <v>0</v>
      </c>
      <c r="Q647" s="224">
        <f ca="1">IFERROR(__xludf.DUMMYFUNCTION("IMPORTRANGE(""https://docs.google.com/spreadsheets/d/1ItG2mGa2ceCfYo0BwxsXqNm01IGEUdYcSSLTEv9YCik/edit?usp=sharing"",""เบิกจ่ายกองทุน!I29"")"),5600)</f>
        <v>5600</v>
      </c>
      <c r="R647" s="224">
        <f ca="1">IFERROR(__xludf.DUMMYFUNCTION("IMPORTRANGE(""https://docs.google.com/spreadsheets/d/1ItG2mGa2ceCfYo0BwxsXqNm01IGEUdYcSSLTEv9YCik/edit?usp=sharing"",""เบิกจ่ายกองทุน!J29"")"),5600)</f>
        <v>5600</v>
      </c>
      <c r="S647" s="224">
        <f ca="1">IFERROR(__xludf.DUMMYFUNCTION("IMPORTRANGE(""https://docs.google.com/spreadsheets/d/1ItG2mGa2ceCfYo0BwxsXqNm01IGEUdYcSSLTEv9YCik/edit?usp=sharing"",""เบิกจ่ายกองทุน!K29"")"),0)</f>
        <v>0</v>
      </c>
      <c r="T647" s="224">
        <f t="shared" ca="1" si="165"/>
        <v>0</v>
      </c>
      <c r="U647" s="224">
        <f t="shared" ca="1" si="166"/>
        <v>0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468">
        <f>L649+L650</f>
        <v>0</v>
      </c>
      <c r="M648" s="224">
        <f>M649+M650</f>
        <v>0</v>
      </c>
      <c r="N648" s="224">
        <f>N649+N650</f>
        <v>0</v>
      </c>
      <c r="O648" s="224">
        <f t="shared" si="163"/>
        <v>0</v>
      </c>
      <c r="P648" s="224">
        <f t="shared" si="164"/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 t="shared" si="165"/>
        <v>0</v>
      </c>
      <c r="U648" s="224">
        <f t="shared" si="166"/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469">
        <v>0</v>
      </c>
      <c r="M649" s="83">
        <v>0</v>
      </c>
      <c r="N649" s="83">
        <v>0</v>
      </c>
      <c r="O649" s="83">
        <f t="shared" si="163"/>
        <v>0</v>
      </c>
      <c r="P649" s="83">
        <f t="shared" si="164"/>
        <v>0</v>
      </c>
      <c r="Q649" s="83">
        <v>0</v>
      </c>
      <c r="R649" s="83">
        <v>0</v>
      </c>
      <c r="S649" s="83">
        <v>0</v>
      </c>
      <c r="T649" s="83">
        <f t="shared" si="165"/>
        <v>0</v>
      </c>
      <c r="U649" s="83">
        <f t="shared" si="166"/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468">
        <v>0</v>
      </c>
      <c r="M650" s="224">
        <v>0</v>
      </c>
      <c r="N650" s="224">
        <v>0</v>
      </c>
      <c r="O650" s="224">
        <f t="shared" si="163"/>
        <v>0</v>
      </c>
      <c r="P650" s="224">
        <f t="shared" si="164"/>
        <v>0</v>
      </c>
      <c r="Q650" s="224">
        <v>0</v>
      </c>
      <c r="R650" s="224">
        <v>0</v>
      </c>
      <c r="S650" s="224">
        <v>0</v>
      </c>
      <c r="T650" s="224">
        <f t="shared" si="165"/>
        <v>0</v>
      </c>
      <c r="U650" s="224">
        <f t="shared" si="166"/>
        <v>0</v>
      </c>
    </row>
    <row r="651" spans="1:21" ht="19.5" x14ac:dyDescent="0.3">
      <c r="A651" s="138"/>
      <c r="B651" s="139"/>
      <c r="C651" s="209" t="s">
        <v>18</v>
      </c>
      <c r="D651" s="503" t="s">
        <v>38</v>
      </c>
      <c r="E651" s="141"/>
      <c r="F651" s="141"/>
      <c r="G651" s="142"/>
      <c r="H651" s="178"/>
      <c r="I651" s="135"/>
      <c r="J651" s="135"/>
      <c r="K651" s="136"/>
      <c r="L651" s="4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502">
        <f ca="1">IFERROR(__xludf.DUMMYFUNCTION("IMPORTRANGE(""https://docs.google.com/spreadsheets/d/1eHaY18a8A9IcSdp1K8H6x8fbOy06t2VsZHhMHf-1x7Y/edit?usp=sharing"",""แผน!IF29"")"),0)</f>
        <v>0</v>
      </c>
      <c r="J652" s="184">
        <f ca="1">IFERROR(__xludf.DUMMYFUNCTION("IMPORTRANGE(""https://docs.google.com/spreadsheets/d/1tdoBKaGub7dwA3U6UFTqxio9LNnvDCQjHKmttSEBsFQ/edit?usp=sharing"",""จัดที่ดิน!AU29"")"),0)</f>
        <v>0</v>
      </c>
      <c r="K652" s="224">
        <f ca="1">IF(I652&gt;0,J652*100/I652,0)</f>
        <v>0</v>
      </c>
      <c r="L652" s="465"/>
      <c r="M652" s="45"/>
      <c r="N652" s="416"/>
      <c r="O652" s="45"/>
      <c r="P652" s="45"/>
      <c r="Q652" s="45"/>
      <c r="R652" s="45"/>
      <c r="S652" s="416"/>
      <c r="T652" s="45"/>
      <c r="U652" s="45"/>
    </row>
    <row r="653" spans="1:21" ht="18.75" hidden="1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502">
        <f ca="1">IFERROR(__xludf.DUMMYFUNCTION("IMPORTRANGE(""https://docs.google.com/spreadsheets/d/1eHaY18a8A9IcSdp1K8H6x8fbOy06t2VsZHhMHf-1x7Y/edit?usp=sharing"",""แผน!IG29"")"),0)</f>
        <v>0</v>
      </c>
      <c r="J653" s="184">
        <f ca="1">IFERROR(__xludf.DUMMYFUNCTION("IMPORTRANGE(""https://docs.google.com/spreadsheets/d/1tdoBKaGub7dwA3U6UFTqxio9LNnvDCQjHKmttSEBsFQ/edit?usp=sharing"",""จัดที่ดิน!AW29"")"),0)</f>
        <v>0</v>
      </c>
      <c r="K653" s="224">
        <f ca="1">IF(I653&gt;0,J653*100/I653,0)</f>
        <v>0</v>
      </c>
      <c r="L653" s="465"/>
      <c r="M653" s="45"/>
      <c r="N653" s="416"/>
      <c r="O653" s="45"/>
      <c r="P653" s="45"/>
      <c r="Q653" s="45"/>
      <c r="R653" s="45"/>
      <c r="S653" s="416"/>
      <c r="T653" s="45"/>
      <c r="U653" s="45"/>
    </row>
    <row r="654" spans="1:21" ht="19.5" x14ac:dyDescent="0.3">
      <c r="A654" s="208"/>
      <c r="B654" s="158"/>
      <c r="C654" s="158"/>
      <c r="D654" s="47" t="s">
        <v>239</v>
      </c>
      <c r="E654" s="40"/>
      <c r="F654" s="40"/>
      <c r="G654" s="42"/>
      <c r="H654" s="411" t="s">
        <v>46</v>
      </c>
      <c r="I654" s="501">
        <f ca="1">IFERROR(__xludf.DUMMYFUNCTION("IMPORTRANGE(""https://docs.google.com/spreadsheets/d/1eHaY18a8A9IcSdp1K8H6x8fbOy06t2VsZHhMHf-1x7Y/edit?usp=sharing"",""แผน!IH29"")"),8)</f>
        <v>8</v>
      </c>
      <c r="J654" s="328">
        <f>J657+J660</f>
        <v>0</v>
      </c>
      <c r="K654" s="470">
        <f ca="1">IF(I654&gt;0,J654*100/I654,0)</f>
        <v>0</v>
      </c>
      <c r="L654" s="465"/>
      <c r="M654" s="45"/>
      <c r="N654" s="416"/>
      <c r="O654" s="45"/>
      <c r="P654" s="45"/>
      <c r="Q654" s="45"/>
      <c r="R654" s="45"/>
      <c r="S654" s="416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466">
        <v>0</v>
      </c>
      <c r="K655" s="45"/>
      <c r="L655" s="465"/>
      <c r="M655" s="45"/>
      <c r="N655" s="416"/>
      <c r="O655" s="45"/>
      <c r="P655" s="45"/>
      <c r="Q655" s="45"/>
      <c r="R655" s="45"/>
      <c r="S655" s="416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466">
        <v>0</v>
      </c>
      <c r="K656" s="45"/>
      <c r="L656" s="465"/>
      <c r="M656" s="45"/>
      <c r="N656" s="416"/>
      <c r="O656" s="45"/>
      <c r="P656" s="45"/>
      <c r="Q656" s="45"/>
      <c r="R656" s="45"/>
      <c r="S656" s="416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02">
        <f ca="1">IFERROR(__xludf.DUMMYFUNCTION("IMPORTRANGE(""https://docs.google.com/spreadsheets/d/1eHaY18a8A9IcSdp1K8H6x8fbOy06t2VsZHhMHf-1x7Y/edit?usp=sharing"",""แผน!II29"")"),4)</f>
        <v>4</v>
      </c>
      <c r="J657" s="466">
        <v>0</v>
      </c>
      <c r="K657" s="45"/>
      <c r="L657" s="465"/>
      <c r="M657" s="45"/>
      <c r="N657" s="416"/>
      <c r="O657" s="45"/>
      <c r="P657" s="45"/>
      <c r="Q657" s="45"/>
      <c r="R657" s="45"/>
      <c r="S657" s="416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466">
        <v>0</v>
      </c>
      <c r="K658" s="45"/>
      <c r="L658" s="465"/>
      <c r="M658" s="45"/>
      <c r="N658" s="416"/>
      <c r="O658" s="45"/>
      <c r="P658" s="45"/>
      <c r="Q658" s="45"/>
      <c r="R658" s="45"/>
      <c r="S658" s="416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466">
        <v>0</v>
      </c>
      <c r="K659" s="45"/>
      <c r="L659" s="465"/>
      <c r="M659" s="45"/>
      <c r="N659" s="416"/>
      <c r="O659" s="45"/>
      <c r="P659" s="45"/>
      <c r="Q659" s="45"/>
      <c r="R659" s="45"/>
      <c r="S659" s="416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02">
        <f ca="1">IFERROR(__xludf.DUMMYFUNCTION("IMPORTRANGE(""https://docs.google.com/spreadsheets/d/1eHaY18a8A9IcSdp1K8H6x8fbOy06t2VsZHhMHf-1x7Y/edit?usp=sharing"",""แผน!IJ29"")"),4)</f>
        <v>4</v>
      </c>
      <c r="J660" s="466">
        <v>0</v>
      </c>
      <c r="K660" s="45"/>
      <c r="L660" s="465"/>
      <c r="M660" s="45"/>
      <c r="N660" s="416"/>
      <c r="O660" s="45"/>
      <c r="P660" s="45"/>
      <c r="Q660" s="45"/>
      <c r="R660" s="45"/>
      <c r="S660" s="416"/>
      <c r="T660" s="45"/>
      <c r="U660" s="45"/>
    </row>
    <row r="661" spans="1:21" ht="19.5" hidden="1" x14ac:dyDescent="0.3">
      <c r="A661" s="208"/>
      <c r="B661" s="158"/>
      <c r="C661" s="158"/>
      <c r="D661" s="332" t="s">
        <v>242</v>
      </c>
      <c r="E661" s="40"/>
      <c r="F661" s="40"/>
      <c r="G661" s="42"/>
      <c r="H661" s="411" t="s">
        <v>46</v>
      </c>
      <c r="I661" s="501">
        <f ca="1">IFERROR(__xludf.DUMMYFUNCTION("IMPORTRANGE(""https://docs.google.com/spreadsheets/d/1eHaY18a8A9IcSdp1K8H6x8fbOy06t2VsZHhMHf-1x7Y/edit?usp=sharing"",""แผน!IK29"")"),0)</f>
        <v>0</v>
      </c>
      <c r="J661" s="328">
        <f>J667+J670</f>
        <v>0</v>
      </c>
      <c r="K661" s="470">
        <f ca="1">IF(I661&gt;0,J661*100/I661,0)</f>
        <v>0</v>
      </c>
      <c r="L661" s="465"/>
      <c r="M661" s="45"/>
      <c r="N661" s="416"/>
      <c r="O661" s="45"/>
      <c r="P661" s="45"/>
      <c r="Q661" s="45"/>
      <c r="R661" s="45"/>
      <c r="S661" s="416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466">
        <v>0</v>
      </c>
      <c r="K662" s="45"/>
      <c r="L662" s="500"/>
      <c r="M662" s="45"/>
      <c r="N662" s="416"/>
      <c r="O662" s="45"/>
      <c r="P662" s="45"/>
      <c r="Q662" s="416"/>
      <c r="R662" s="45"/>
      <c r="S662" s="416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466">
        <v>0</v>
      </c>
      <c r="K663" s="45"/>
      <c r="L663" s="500"/>
      <c r="M663" s="45"/>
      <c r="N663" s="416"/>
      <c r="O663" s="45"/>
      <c r="P663" s="45"/>
      <c r="Q663" s="416"/>
      <c r="R663" s="45"/>
      <c r="S663" s="416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500"/>
      <c r="M664" s="45"/>
      <c r="N664" s="416"/>
      <c r="O664" s="45"/>
      <c r="P664" s="45"/>
      <c r="Q664" s="416"/>
      <c r="R664" s="45"/>
      <c r="S664" s="416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466">
        <v>0</v>
      </c>
      <c r="K665" s="45"/>
      <c r="L665" s="500"/>
      <c r="M665" s="45"/>
      <c r="N665" s="416"/>
      <c r="O665" s="45"/>
      <c r="P665" s="45"/>
      <c r="Q665" s="416"/>
      <c r="R665" s="45"/>
      <c r="S665" s="416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466">
        <v>0</v>
      </c>
      <c r="K666" s="45"/>
      <c r="L666" s="500"/>
      <c r="M666" s="45"/>
      <c r="N666" s="416"/>
      <c r="O666" s="45"/>
      <c r="P666" s="45"/>
      <c r="Q666" s="416"/>
      <c r="R666" s="45"/>
      <c r="S666" s="416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466">
        <v>0</v>
      </c>
      <c r="K667" s="45"/>
      <c r="L667" s="500"/>
      <c r="M667" s="45"/>
      <c r="N667" s="416"/>
      <c r="O667" s="45"/>
      <c r="P667" s="45"/>
      <c r="Q667" s="416"/>
      <c r="R667" s="45"/>
      <c r="S667" s="416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466">
        <v>0</v>
      </c>
      <c r="K668" s="45"/>
      <c r="L668" s="500"/>
      <c r="M668" s="45"/>
      <c r="N668" s="416"/>
      <c r="O668" s="45"/>
      <c r="P668" s="45"/>
      <c r="Q668" s="416"/>
      <c r="R668" s="45"/>
      <c r="S668" s="416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466">
        <v>0</v>
      </c>
      <c r="K669" s="45"/>
      <c r="L669" s="500"/>
      <c r="M669" s="45"/>
      <c r="N669" s="416"/>
      <c r="O669" s="45"/>
      <c r="P669" s="45"/>
      <c r="Q669" s="416"/>
      <c r="R669" s="45"/>
      <c r="S669" s="416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466">
        <v>0</v>
      </c>
      <c r="K670" s="45"/>
      <c r="L670" s="500"/>
      <c r="M670" s="45"/>
      <c r="N670" s="416"/>
      <c r="O670" s="45"/>
      <c r="P670" s="45"/>
      <c r="Q670" s="416"/>
      <c r="R670" s="45"/>
      <c r="S670" s="416"/>
      <c r="T670" s="45"/>
      <c r="U670" s="45"/>
    </row>
    <row r="671" spans="1:21" ht="18.75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IFERROR(__xludf.DUMMYFUNCTION("IMPORTRANGE(""https://docs.google.com/spreadsheets/d/1tdoBKaGub7dwA3U6UFTqxio9LNnvDCQjHKmttSEBsFQ/edit?usp=sharing"",""จัดที่ดิน!AY29"")"),0)</f>
        <v>0</v>
      </c>
      <c r="K671" s="45"/>
      <c r="L671" s="465"/>
      <c r="M671" s="45"/>
      <c r="N671" s="416"/>
      <c r="O671" s="45"/>
      <c r="P671" s="45"/>
      <c r="Q671" s="45"/>
      <c r="R671" s="45"/>
      <c r="S671" s="416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IFERROR(__xludf.DUMMYFUNCTION("IMPORTRANGE(""https://docs.google.com/spreadsheets/d/1tdoBKaGub7dwA3U6UFTqxio9LNnvDCQjHKmttSEBsFQ/edit?usp=sharing"",""จัดที่ดิน!AZ29"")"),0)</f>
        <v>0</v>
      </c>
      <c r="K672" s="45"/>
      <c r="L672" s="500"/>
      <c r="M672" s="45"/>
      <c r="N672" s="416"/>
      <c r="O672" s="45"/>
      <c r="P672" s="45"/>
      <c r="Q672" s="416"/>
      <c r="R672" s="45"/>
      <c r="S672" s="416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02">
        <f ca="1">IFERROR(__xludf.DUMMYFUNCTION("IMPORTRANGE(""https://docs.google.com/spreadsheets/d/1eHaY18a8A9IcSdp1K8H6x8fbOy06t2VsZHhMHf-1x7Y/edit?usp=sharing"",""แผน!IL29"")"),72)</f>
        <v>72</v>
      </c>
      <c r="J673" s="184">
        <f ca="1">IFERROR(__xludf.DUMMYFUNCTION("IMPORTRANGE(""https://docs.google.com/spreadsheets/d/1tdoBKaGub7dwA3U6UFTqxio9LNnvDCQjHKmttSEBsFQ/edit?usp=sharing"",""จัดที่ดิน!BA29"")"),0)</f>
        <v>0</v>
      </c>
      <c r="K673" s="224">
        <f ca="1">IF(I673&gt;0,J673*100/I673,0)</f>
        <v>0</v>
      </c>
      <c r="L673" s="500"/>
      <c r="M673" s="45"/>
      <c r="N673" s="416"/>
      <c r="O673" s="45"/>
      <c r="P673" s="45"/>
      <c r="Q673" s="416"/>
      <c r="R673" s="45"/>
      <c r="S673" s="416"/>
      <c r="T673" s="45"/>
      <c r="U673" s="45"/>
    </row>
    <row r="674" spans="1:21" ht="19.5" x14ac:dyDescent="0.3">
      <c r="A674" s="208"/>
      <c r="B674" s="158"/>
      <c r="C674" s="158"/>
      <c r="D674" s="47" t="s">
        <v>248</v>
      </c>
      <c r="E674" s="40"/>
      <c r="F674" s="40"/>
      <c r="G674" s="42"/>
      <c r="H674" s="411" t="s">
        <v>35</v>
      </c>
      <c r="I674" s="501">
        <f ca="1">IFERROR(__xludf.DUMMYFUNCTION("IMPORTRANGE(""https://docs.google.com/spreadsheets/d/1eHaY18a8A9IcSdp1K8H6x8fbOy06t2VsZHhMHf-1x7Y/edit?usp=sharing"",""แผน!IM29"")"),1)</f>
        <v>1</v>
      </c>
      <c r="J674" s="328">
        <f ca="1">J676+J679</f>
        <v>0</v>
      </c>
      <c r="K674" s="470">
        <f ca="1">IF(I674&gt;0,J674*100/I674,0)</f>
        <v>0</v>
      </c>
      <c r="L674" s="500"/>
      <c r="M674" s="45"/>
      <c r="N674" s="416"/>
      <c r="O674" s="45"/>
      <c r="P674" s="45"/>
      <c r="Q674" s="416"/>
      <c r="R674" s="45"/>
      <c r="S674" s="416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11" t="s">
        <v>46</v>
      </c>
      <c r="I675" s="501">
        <f ca="1">IFERROR(__xludf.DUMMYFUNCTION("IMPORTRANGE(""https://docs.google.com/spreadsheets/d/1eHaY18a8A9IcSdp1K8H6x8fbOy06t2VsZHhMHf-1x7Y/edit?usp=sharing"",""แผน!IN29"")"),5)</f>
        <v>5</v>
      </c>
      <c r="J675" s="328">
        <f ca="1">J678+J681</f>
        <v>0</v>
      </c>
      <c r="K675" s="470">
        <f ca="1">IF(I675&gt;0,J675*100/I675,0)</f>
        <v>0</v>
      </c>
      <c r="L675" s="465"/>
      <c r="M675" s="45"/>
      <c r="N675" s="416"/>
      <c r="O675" s="45"/>
      <c r="P675" s="45"/>
      <c r="Q675" s="45"/>
      <c r="R675" s="45"/>
      <c r="S675" s="416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502">
        <f ca="1">IFERROR(__xludf.DUMMYFUNCTION("IMPORTRANGE(""https://docs.google.com/spreadsheets/d/1eHaY18a8A9IcSdp1K8H6x8fbOy06t2VsZHhMHf-1x7Y/edit?usp=sharing"",""แผน!IO29"")"),1)</f>
        <v>1</v>
      </c>
      <c r="J676" s="184">
        <f ca="1">IFERROR(__xludf.DUMMYFUNCTION("IMPORTRANGE(""https://docs.google.com/spreadsheets/d/1tdoBKaGub7dwA3U6UFTqxio9LNnvDCQjHKmttSEBsFQ/edit?usp=sharing"",""จัดที่ดิน!BF29"")"),0)</f>
        <v>0</v>
      </c>
      <c r="K676" s="224">
        <f ca="1">IF(I676&gt;0,J676*100/I676,0)</f>
        <v>0</v>
      </c>
      <c r="L676" s="465"/>
      <c r="M676" s="45"/>
      <c r="N676" s="416"/>
      <c r="O676" s="45"/>
      <c r="P676" s="45"/>
      <c r="Q676" s="45"/>
      <c r="R676" s="45"/>
      <c r="S676" s="416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IFERROR(__xludf.DUMMYFUNCTION("IMPORTRANGE(""https://docs.google.com/spreadsheets/d/1tdoBKaGub7dwA3U6UFTqxio9LNnvDCQjHKmttSEBsFQ/edit?usp=sharing"",""จัดที่ดิน!BG29"")"),0)</f>
        <v>0</v>
      </c>
      <c r="K677" s="45"/>
      <c r="L677" s="500"/>
      <c r="M677" s="45"/>
      <c r="N677" s="416"/>
      <c r="O677" s="45"/>
      <c r="P677" s="45"/>
      <c r="Q677" s="416"/>
      <c r="R677" s="45"/>
      <c r="S677" s="416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02">
        <f ca="1">IFERROR(__xludf.DUMMYFUNCTION("IMPORTRANGE(""https://docs.google.com/spreadsheets/d/1eHaY18a8A9IcSdp1K8H6x8fbOy06t2VsZHhMHf-1x7Y/edit?usp=sharing"",""แผน!IP29"")"),5)</f>
        <v>5</v>
      </c>
      <c r="J678" s="184">
        <f ca="1">IFERROR(__xludf.DUMMYFUNCTION("IMPORTRANGE(""https://docs.google.com/spreadsheets/d/1tdoBKaGub7dwA3U6UFTqxio9LNnvDCQjHKmttSEBsFQ/edit?usp=sharing"",""จัดที่ดิน!BH29"")"),0)</f>
        <v>0</v>
      </c>
      <c r="K678" s="224">
        <f ca="1">IF(I678&gt;0,J678*100/I678,0)</f>
        <v>0</v>
      </c>
      <c r="L678" s="500"/>
      <c r="M678" s="45"/>
      <c r="N678" s="416"/>
      <c r="O678" s="45"/>
      <c r="P678" s="45"/>
      <c r="Q678" s="416"/>
      <c r="R678" s="45"/>
      <c r="S678" s="416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502">
        <f ca="1">IFERROR(__xludf.DUMMYFUNCTION("IMPORTRANGE(""https://docs.google.com/spreadsheets/d/1eHaY18a8A9IcSdp1K8H6x8fbOy06t2VsZHhMHf-1x7Y/edit?usp=sharing"",""แผน!IQ29"")"),0)</f>
        <v>0</v>
      </c>
      <c r="J679" s="184">
        <f ca="1">IFERROR(__xludf.DUMMYFUNCTION("IMPORTRANGE(""https://docs.google.com/spreadsheets/d/1tdoBKaGub7dwA3U6UFTqxio9LNnvDCQjHKmttSEBsFQ/edit?usp=sharing"",""จัดที่ดิน!BK29"")"),0)</f>
        <v>0</v>
      </c>
      <c r="K679" s="224">
        <f ca="1">IF(I679&gt;0,J679*100/I679,0)</f>
        <v>0</v>
      </c>
      <c r="L679" s="465"/>
      <c r="M679" s="45"/>
      <c r="N679" s="416"/>
      <c r="O679" s="45"/>
      <c r="P679" s="45"/>
      <c r="Q679" s="45"/>
      <c r="R679" s="45"/>
      <c r="S679" s="416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IFERROR(__xludf.DUMMYFUNCTION("IMPORTRANGE(""https://docs.google.com/spreadsheets/d/1tdoBKaGub7dwA3U6UFTqxio9LNnvDCQjHKmttSEBsFQ/edit?usp=sharing"",""จัดที่ดิน!BL29"")"),0)</f>
        <v>0</v>
      </c>
      <c r="K680" s="45"/>
      <c r="L680" s="500"/>
      <c r="M680" s="45"/>
      <c r="N680" s="416"/>
      <c r="O680" s="45"/>
      <c r="P680" s="45"/>
      <c r="Q680" s="416"/>
      <c r="R680" s="45"/>
      <c r="S680" s="416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02">
        <f ca="1">IFERROR(__xludf.DUMMYFUNCTION("IMPORTRANGE(""https://docs.google.com/spreadsheets/d/1eHaY18a8A9IcSdp1K8H6x8fbOy06t2VsZHhMHf-1x7Y/edit?usp=sharing"",""แผน!IR29"")"),0)</f>
        <v>0</v>
      </c>
      <c r="J681" s="184">
        <f ca="1">IFERROR(__xludf.DUMMYFUNCTION("IMPORTRANGE(""https://docs.google.com/spreadsheets/d/1tdoBKaGub7dwA3U6UFTqxio9LNnvDCQjHKmttSEBsFQ/edit?usp=sharing"",""จัดที่ดิน!BM29"")"),0)</f>
        <v>0</v>
      </c>
      <c r="K681" s="224">
        <f ca="1">IF(I681&gt;0,J681*100/I681,0)</f>
        <v>0</v>
      </c>
      <c r="L681" s="500"/>
      <c r="M681" s="45"/>
      <c r="N681" s="416"/>
      <c r="O681" s="45"/>
      <c r="P681" s="45"/>
      <c r="Q681" s="416"/>
      <c r="R681" s="45"/>
      <c r="S681" s="416"/>
      <c r="T681" s="45"/>
      <c r="U681" s="45"/>
    </row>
    <row r="682" spans="1:21" ht="19.5" hidden="1" x14ac:dyDescent="0.3">
      <c r="A682" s="208"/>
      <c r="B682" s="158"/>
      <c r="C682" s="158"/>
      <c r="D682" s="47" t="s">
        <v>251</v>
      </c>
      <c r="E682" s="40"/>
      <c r="F682" s="40"/>
      <c r="G682" s="42"/>
      <c r="H682" s="411" t="s">
        <v>46</v>
      </c>
      <c r="I682" s="501">
        <f ca="1">IFERROR(__xludf.DUMMYFUNCTION("IMPORTRANGE(""https://docs.google.com/spreadsheets/d/1eHaY18a8A9IcSdp1K8H6x8fbOy06t2VsZHhMHf-1x7Y/edit?usp=sharing"",""แผน!IS29"")"),0)</f>
        <v>0</v>
      </c>
      <c r="J682" s="328">
        <f>J685+J688</f>
        <v>0</v>
      </c>
      <c r="K682" s="470">
        <f ca="1">IF(I682&gt;0,J682*100/I682,0)</f>
        <v>0</v>
      </c>
      <c r="L682" s="465"/>
      <c r="M682" s="45"/>
      <c r="N682" s="416"/>
      <c r="O682" s="45"/>
      <c r="P682" s="45"/>
      <c r="Q682" s="45"/>
      <c r="R682" s="45"/>
      <c r="S682" s="416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466">
        <v>0</v>
      </c>
      <c r="K683" s="45"/>
      <c r="L683" s="500"/>
      <c r="M683" s="45"/>
      <c r="N683" s="416"/>
      <c r="O683" s="45"/>
      <c r="P683" s="45"/>
      <c r="Q683" s="416"/>
      <c r="R683" s="45"/>
      <c r="S683" s="416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466">
        <v>0</v>
      </c>
      <c r="K684" s="45"/>
      <c r="L684" s="500"/>
      <c r="M684" s="45"/>
      <c r="N684" s="416"/>
      <c r="O684" s="45"/>
      <c r="P684" s="45"/>
      <c r="Q684" s="416"/>
      <c r="R684" s="45"/>
      <c r="S684" s="416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466">
        <v>0</v>
      </c>
      <c r="K685" s="45"/>
      <c r="L685" s="500"/>
      <c r="M685" s="45"/>
      <c r="N685" s="416"/>
      <c r="O685" s="45"/>
      <c r="P685" s="45"/>
      <c r="Q685" s="416"/>
      <c r="R685" s="45"/>
      <c r="S685" s="416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466">
        <v>0</v>
      </c>
      <c r="K686" s="45"/>
      <c r="L686" s="500"/>
      <c r="M686" s="45"/>
      <c r="N686" s="416"/>
      <c r="O686" s="45"/>
      <c r="P686" s="45"/>
      <c r="Q686" s="416"/>
      <c r="R686" s="45"/>
      <c r="S686" s="416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466">
        <v>0</v>
      </c>
      <c r="K687" s="45"/>
      <c r="L687" s="500"/>
      <c r="M687" s="45"/>
      <c r="N687" s="416"/>
      <c r="O687" s="45"/>
      <c r="P687" s="45"/>
      <c r="Q687" s="416"/>
      <c r="R687" s="45"/>
      <c r="S687" s="416"/>
      <c r="T687" s="45"/>
      <c r="U687" s="45"/>
    </row>
    <row r="688" spans="1:21" ht="19.5" hidden="1" x14ac:dyDescent="0.3">
      <c r="A688" s="249"/>
      <c r="B688" s="419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464">
        <v>0</v>
      </c>
      <c r="K688" s="3"/>
      <c r="L688" s="499"/>
      <c r="M688" s="3"/>
      <c r="N688" s="420"/>
      <c r="O688" s="3"/>
      <c r="P688" s="3"/>
      <c r="Q688" s="420"/>
      <c r="R688" s="3"/>
      <c r="S688" s="420"/>
      <c r="T688" s="3"/>
      <c r="U688" s="3"/>
    </row>
    <row r="689" spans="1:21" ht="19.5" x14ac:dyDescent="0.3">
      <c r="A689" s="394"/>
      <c r="B689" s="395" t="s">
        <v>255</v>
      </c>
      <c r="C689" s="394"/>
      <c r="D689" s="396"/>
      <c r="E689" s="396"/>
      <c r="F689" s="396"/>
      <c r="G689" s="397"/>
      <c r="H689" s="421" t="s">
        <v>35</v>
      </c>
      <c r="I689" s="750">
        <f ca="1">I707</f>
        <v>0</v>
      </c>
      <c r="J689" s="750">
        <f ca="1">J707</f>
        <v>0</v>
      </c>
      <c r="K689" s="474">
        <f ca="1">IF(I689&gt;0,J689*100/I689,0)</f>
        <v>0</v>
      </c>
      <c r="L689" s="473"/>
      <c r="M689" s="400"/>
      <c r="N689" s="400"/>
      <c r="O689" s="400"/>
      <c r="P689" s="400"/>
      <c r="Q689" s="400"/>
      <c r="R689" s="400"/>
      <c r="S689" s="400"/>
      <c r="T689" s="400"/>
      <c r="U689" s="400"/>
    </row>
    <row r="690" spans="1:21" ht="19.5" x14ac:dyDescent="0.3">
      <c r="A690" s="128"/>
      <c r="B690" s="158"/>
      <c r="C690" s="177" t="s">
        <v>18</v>
      </c>
      <c r="D690" s="821" t="s">
        <v>19</v>
      </c>
      <c r="E690" s="793"/>
      <c r="F690" s="793"/>
      <c r="G690" s="794"/>
      <c r="H690" s="221" t="s">
        <v>14</v>
      </c>
      <c r="I690" s="44"/>
      <c r="J690" s="44"/>
      <c r="K690" s="45"/>
      <c r="L690" s="471">
        <f>L691+L692</f>
        <v>0</v>
      </c>
      <c r="M690" s="470">
        <f>M691+M692</f>
        <v>0</v>
      </c>
      <c r="N690" s="470">
        <f>N691+N692</f>
        <v>0</v>
      </c>
      <c r="O690" s="470">
        <f t="shared" ref="O690:O698" si="169">IF(L690&gt;0,N690*100/L690,0)</f>
        <v>0</v>
      </c>
      <c r="P690" s="470">
        <f t="shared" ref="P690:P698" si="170">IF(M690&gt;0,N690*100/M690,0)</f>
        <v>0</v>
      </c>
      <c r="Q690" s="470">
        <f ca="1">Q691+Q692</f>
        <v>66220</v>
      </c>
      <c r="R690" s="470">
        <f ca="1">R691+R692</f>
        <v>66220</v>
      </c>
      <c r="S690" s="470">
        <f ca="1">S691+S692</f>
        <v>0</v>
      </c>
      <c r="T690" s="470">
        <f t="shared" ref="T690:T698" ca="1" si="171">IF(Q690&gt;0,S690*100/Q690,0)</f>
        <v>0</v>
      </c>
      <c r="U690" s="470">
        <f t="shared" ref="U690:U698" ca="1" si="172">IF(R690&gt;0,S690*100/R690,0)</f>
        <v>0</v>
      </c>
    </row>
    <row r="691" spans="1:21" ht="18.75" hidden="1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469">
        <f t="shared" ref="L691:N692" si="173">L694+L697</f>
        <v>0</v>
      </c>
      <c r="M691" s="83">
        <f t="shared" si="173"/>
        <v>0</v>
      </c>
      <c r="N691" s="83">
        <f t="shared" si="173"/>
        <v>0</v>
      </c>
      <c r="O691" s="83">
        <f t="shared" si="169"/>
        <v>0</v>
      </c>
      <c r="P691" s="83">
        <f t="shared" si="170"/>
        <v>0</v>
      </c>
      <c r="Q691" s="83">
        <f t="shared" ref="Q691:S692" si="174">Q694+Q697</f>
        <v>0</v>
      </c>
      <c r="R691" s="83">
        <f t="shared" si="174"/>
        <v>0</v>
      </c>
      <c r="S691" s="83">
        <f t="shared" si="174"/>
        <v>0</v>
      </c>
      <c r="T691" s="83">
        <f t="shared" si="171"/>
        <v>0</v>
      </c>
      <c r="U691" s="83">
        <f t="shared" si="172"/>
        <v>0</v>
      </c>
    </row>
    <row r="692" spans="1:21" ht="18.75" hidden="1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468">
        <f t="shared" si="173"/>
        <v>0</v>
      </c>
      <c r="M692" s="224">
        <f t="shared" si="173"/>
        <v>0</v>
      </c>
      <c r="N692" s="224">
        <f t="shared" si="173"/>
        <v>0</v>
      </c>
      <c r="O692" s="224">
        <f t="shared" si="169"/>
        <v>0</v>
      </c>
      <c r="P692" s="224">
        <f t="shared" si="170"/>
        <v>0</v>
      </c>
      <c r="Q692" s="224">
        <f t="shared" ca="1" si="174"/>
        <v>66220</v>
      </c>
      <c r="R692" s="224">
        <f t="shared" ca="1" si="174"/>
        <v>66220</v>
      </c>
      <c r="S692" s="224">
        <f t="shared" ca="1" si="174"/>
        <v>0</v>
      </c>
      <c r="T692" s="224">
        <f t="shared" ca="1" si="171"/>
        <v>0</v>
      </c>
      <c r="U692" s="224">
        <f t="shared" ca="1" si="172"/>
        <v>0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468">
        <f>L694+L695</f>
        <v>0</v>
      </c>
      <c r="M693" s="224">
        <f>M694+M695</f>
        <v>0</v>
      </c>
      <c r="N693" s="224">
        <f>N694+N695</f>
        <v>0</v>
      </c>
      <c r="O693" s="224">
        <f t="shared" si="169"/>
        <v>0</v>
      </c>
      <c r="P693" s="224">
        <f t="shared" si="170"/>
        <v>0</v>
      </c>
      <c r="Q693" s="224">
        <f ca="1">Q694+Q695</f>
        <v>66220</v>
      </c>
      <c r="R693" s="224">
        <f ca="1">R694+R695</f>
        <v>66220</v>
      </c>
      <c r="S693" s="224">
        <f ca="1">S694+S695</f>
        <v>0</v>
      </c>
      <c r="T693" s="224">
        <f t="shared" ca="1" si="171"/>
        <v>0</v>
      </c>
      <c r="U693" s="224">
        <f t="shared" ca="1" si="172"/>
        <v>0</v>
      </c>
    </row>
    <row r="694" spans="1:21" ht="18.75" hidden="1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469">
        <v>0</v>
      </c>
      <c r="M694" s="83">
        <v>0</v>
      </c>
      <c r="N694" s="83">
        <v>0</v>
      </c>
      <c r="O694" s="83">
        <f t="shared" si="169"/>
        <v>0</v>
      </c>
      <c r="P694" s="83">
        <f t="shared" si="170"/>
        <v>0</v>
      </c>
      <c r="Q694" s="83">
        <v>0</v>
      </c>
      <c r="R694" s="83">
        <v>0</v>
      </c>
      <c r="S694" s="83">
        <v>0</v>
      </c>
      <c r="T694" s="83">
        <f t="shared" si="171"/>
        <v>0</v>
      </c>
      <c r="U694" s="83">
        <f t="shared" si="172"/>
        <v>0</v>
      </c>
    </row>
    <row r="695" spans="1:21" ht="18.75" hidden="1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468">
        <v>0</v>
      </c>
      <c r="M695" s="224">
        <v>0</v>
      </c>
      <c r="N695" s="224">
        <v>0</v>
      </c>
      <c r="O695" s="224">
        <f t="shared" si="169"/>
        <v>0</v>
      </c>
      <c r="P695" s="224">
        <f t="shared" si="170"/>
        <v>0</v>
      </c>
      <c r="Q695" s="224">
        <f ca="1">IFERROR(__xludf.DUMMYFUNCTION("IMPORTRANGE(""https://docs.google.com/spreadsheets/d/1ItG2mGa2ceCfYo0BwxsXqNm01IGEUdYcSSLTEv9YCik/edit?usp=sharing"",""เบิกจ่ายกองทุน!L29"")"),66220)</f>
        <v>66220</v>
      </c>
      <c r="R695" s="224">
        <f ca="1">IFERROR(__xludf.DUMMYFUNCTION("IMPORTRANGE(""https://docs.google.com/spreadsheets/d/1ItG2mGa2ceCfYo0BwxsXqNm01IGEUdYcSSLTEv9YCik/edit?usp=sharing"",""เบิกจ่ายกองทุน!M29"")"),66220)</f>
        <v>66220</v>
      </c>
      <c r="S695" s="224">
        <f ca="1">IFERROR(__xludf.DUMMYFUNCTION("IMPORTRANGE(""https://docs.google.com/spreadsheets/d/1ItG2mGa2ceCfYo0BwxsXqNm01IGEUdYcSSLTEv9YCik/edit?usp=sharing"",""เบิกจ่ายกองทุน!N29"")"),0)</f>
        <v>0</v>
      </c>
      <c r="T695" s="224">
        <f t="shared" ca="1" si="171"/>
        <v>0</v>
      </c>
      <c r="U695" s="224">
        <f t="shared" ca="1" si="172"/>
        <v>0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468">
        <f>L697+L698</f>
        <v>0</v>
      </c>
      <c r="M696" s="224">
        <f>M697+M698</f>
        <v>0</v>
      </c>
      <c r="N696" s="224">
        <f>N697+N698</f>
        <v>0</v>
      </c>
      <c r="O696" s="224">
        <f t="shared" si="169"/>
        <v>0</v>
      </c>
      <c r="P696" s="224">
        <f t="shared" si="170"/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 t="shared" si="171"/>
        <v>0</v>
      </c>
      <c r="U696" s="224">
        <f t="shared" si="172"/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469">
        <v>0</v>
      </c>
      <c r="M697" s="83">
        <v>0</v>
      </c>
      <c r="N697" s="83">
        <v>0</v>
      </c>
      <c r="O697" s="83">
        <f t="shared" si="169"/>
        <v>0</v>
      </c>
      <c r="P697" s="83">
        <f t="shared" si="170"/>
        <v>0</v>
      </c>
      <c r="Q697" s="83">
        <v>0</v>
      </c>
      <c r="R697" s="83">
        <v>0</v>
      </c>
      <c r="S697" s="83">
        <v>0</v>
      </c>
      <c r="T697" s="83">
        <f t="shared" si="171"/>
        <v>0</v>
      </c>
      <c r="U697" s="83">
        <f t="shared" si="172"/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468">
        <v>0</v>
      </c>
      <c r="M698" s="224">
        <v>0</v>
      </c>
      <c r="N698" s="224">
        <v>0</v>
      </c>
      <c r="O698" s="224">
        <f t="shared" si="169"/>
        <v>0</v>
      </c>
      <c r="P698" s="224">
        <f t="shared" si="170"/>
        <v>0</v>
      </c>
      <c r="Q698" s="224">
        <v>0</v>
      </c>
      <c r="R698" s="224">
        <v>0</v>
      </c>
      <c r="S698" s="224">
        <v>0</v>
      </c>
      <c r="T698" s="224">
        <f t="shared" si="171"/>
        <v>0</v>
      </c>
      <c r="U698" s="224">
        <f t="shared" si="172"/>
        <v>0</v>
      </c>
    </row>
    <row r="699" spans="1:21" ht="19.5" x14ac:dyDescent="0.3">
      <c r="A699" s="138"/>
      <c r="B699" s="139"/>
      <c r="C699" s="177" t="s">
        <v>18</v>
      </c>
      <c r="D699" s="498" t="s">
        <v>38</v>
      </c>
      <c r="E699" s="141"/>
      <c r="F699" s="141"/>
      <c r="G699" s="141"/>
      <c r="H699" s="178"/>
      <c r="I699" s="135"/>
      <c r="J699" s="135"/>
      <c r="K699" s="136"/>
      <c r="L699" s="465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IFERROR(__xludf.DUMMYFUNCTION("IMPORTRANGE(""https://docs.google.com/spreadsheets/d/1eHaY18a8A9IcSdp1K8H6x8fbOy06t2VsZHhMHf-1x7Y/edit?usp=sharing"",""แผน!LC29"")"),0)</f>
        <v>0</v>
      </c>
      <c r="J700" s="466">
        <v>0</v>
      </c>
      <c r="K700" s="497">
        <f t="shared" ref="K700:K710" ca="1" si="175">IF(I700&gt;0,J700*100/I700,0)</f>
        <v>0</v>
      </c>
      <c r="L700" s="4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24" t="s">
        <v>258</v>
      </c>
      <c r="F701" s="145"/>
      <c r="G701" s="143"/>
      <c r="H701" s="131" t="s">
        <v>35</v>
      </c>
      <c r="I701" s="328">
        <f ca="1">I703+I705</f>
        <v>3</v>
      </c>
      <c r="J701" s="328">
        <f ca="1">J703+J705</f>
        <v>0</v>
      </c>
      <c r="K701" s="470">
        <f t="shared" ca="1" si="175"/>
        <v>0</v>
      </c>
      <c r="L701" s="4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0</v>
      </c>
      <c r="K702" s="470">
        <f t="shared" si="175"/>
        <v>0</v>
      </c>
      <c r="L702" s="4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IFERROR(__xludf.DUMMYFUNCTION("IMPORTRANGE(""https://docs.google.com/spreadsheets/d/1eHaY18a8A9IcSdp1K8H6x8fbOy06t2VsZHhMHf-1x7Y/edit?usp=sharing"",""แผน!LJ29"")"),0)</f>
        <v>0</v>
      </c>
      <c r="J703" s="184">
        <f ca="1">IFERROR(__xludf.DUMMYFUNCTION("IMPORTRANGE(""https://docs.google.com/spreadsheets/d/1tdoBKaGub7dwA3U6UFTqxio9LNnvDCQjHKmttSEBsFQ/edit?usp=sharing"",""จัดที่ดิน!AP29"")"),0)</f>
        <v>0</v>
      </c>
      <c r="K703" s="224">
        <f t="shared" ca="1" si="175"/>
        <v>0</v>
      </c>
      <c r="L703" s="4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IFERROR(__xludf.DUMMYFUNCTION("IMPORTRANGE(""https://docs.google.com/spreadsheets/d/1tdoBKaGub7dwA3U6UFTqxio9LNnvDCQjHKmttSEBsFQ/edit?usp=sharing"",""จัดที่ดิน!AQ29"")"),0)</f>
        <v>0</v>
      </c>
      <c r="K704" s="224">
        <f t="shared" si="175"/>
        <v>0</v>
      </c>
      <c r="L704" s="4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IFERROR(__xludf.DUMMYFUNCTION("IMPORTRANGE(""https://docs.google.com/spreadsheets/d/1eHaY18a8A9IcSdp1K8H6x8fbOy06t2VsZHhMHf-1x7Y/edit?usp=sharing"",""แผน!LK29"")"),3)</f>
        <v>3</v>
      </c>
      <c r="J705" s="184">
        <f ca="1">IFERROR(__xludf.DUMMYFUNCTION("IMPORTRANGE(""https://docs.google.com/spreadsheets/d/1tdoBKaGub7dwA3U6UFTqxio9LNnvDCQjHKmttSEBsFQ/edit?usp=sharing"",""จัดที่ดิน!AR29"")"),0)</f>
        <v>0</v>
      </c>
      <c r="K705" s="497">
        <f t="shared" ca="1" si="175"/>
        <v>0</v>
      </c>
      <c r="L705" s="4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IFERROR(__xludf.DUMMYFUNCTION("IMPORTRANGE(""https://docs.google.com/spreadsheets/d/1tdoBKaGub7dwA3U6UFTqxio9LNnvDCQjHKmttSEBsFQ/edit?usp=sharing"",""จัดที่ดิน!AS29"")"),0)</f>
        <v>0</v>
      </c>
      <c r="K706" s="224">
        <f t="shared" si="175"/>
        <v>0</v>
      </c>
      <c r="L706" s="4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IFERROR(__xludf.DUMMYFUNCTION("IMPORTRANGE(""https://docs.google.com/spreadsheets/d/1eHaY18a8A9IcSdp1K8H6x8fbOy06t2VsZHhMHf-1x7Y/edit?usp=sharing"",""แผน!LJ29"")"),0)</f>
        <v>0</v>
      </c>
      <c r="J707" s="184">
        <f ca="1">IFERROR(__xludf.DUMMYFUNCTION("IMPORTRANGE(""https://docs.google.com/spreadsheets/d/1tdoBKaGub7dwA3U6UFTqxio9LNnvDCQjHKmttSEBsFQ/edit?usp=sharing"",""จัดที่ดิน!BN29"")"),0)</f>
        <v>0</v>
      </c>
      <c r="K707" s="224">
        <f t="shared" ca="1" si="175"/>
        <v>0</v>
      </c>
      <c r="L707" s="4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25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IFERROR(__xludf.DUMMYFUNCTION("IMPORTRANGE(""https://docs.google.com/spreadsheets/d/1tdoBKaGub7dwA3U6UFTqxio9LNnvDCQjHKmttSEBsFQ/edit?usp=sharing"",""จัดที่ดิน!BO29"")"),0)</f>
        <v>0</v>
      </c>
      <c r="K708" s="224">
        <f t="shared" si="175"/>
        <v>0</v>
      </c>
      <c r="L708" s="4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IFERROR(__xludf.DUMMYFUNCTION("IMPORTRANGE(""https://docs.google.com/spreadsheets/d/1eHaY18a8A9IcSdp1K8H6x8fbOy06t2VsZHhMHf-1x7Y/edit?usp=sharing"",""แผน!LK29"")"),3)</f>
        <v>3</v>
      </c>
      <c r="J709" s="184">
        <f ca="1">IFERROR(__xludf.DUMMYFUNCTION("IMPORTRANGE(""https://docs.google.com/spreadsheets/d/1tdoBKaGub7dwA3U6UFTqxio9LNnvDCQjHKmttSEBsFQ/edit?usp=sharing"",""จัดที่ดิน!BP29"")"),2)</f>
        <v>2</v>
      </c>
      <c r="K709" s="224">
        <f t="shared" ca="1" si="175"/>
        <v>66.666666666666671</v>
      </c>
      <c r="L709" s="465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25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IFERROR(__xludf.DUMMYFUNCTION("IMPORTRANGE(""https://docs.google.com/spreadsheets/d/1tdoBKaGub7dwA3U6UFTqxio9LNnvDCQjHKmttSEBsFQ/edit?usp=sharing"",""จัดที่ดิน!BQ29"")"),0)</f>
        <v>0</v>
      </c>
      <c r="K710" s="224">
        <f t="shared" si="175"/>
        <v>0</v>
      </c>
      <c r="L710" s="465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496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hidden="1" x14ac:dyDescent="0.3">
      <c r="A712" s="394"/>
      <c r="B712" s="426" t="s">
        <v>265</v>
      </c>
      <c r="C712" s="394"/>
      <c r="D712" s="396"/>
      <c r="E712" s="396"/>
      <c r="F712" s="396"/>
      <c r="G712" s="397"/>
      <c r="H712" s="427" t="s">
        <v>46</v>
      </c>
      <c r="I712" s="399"/>
      <c r="J712" s="399">
        <f>J724</f>
        <v>0</v>
      </c>
      <c r="K712" s="495">
        <f>IF(I712&gt;0,J712*100/I712,0)</f>
        <v>0</v>
      </c>
      <c r="L712" s="473"/>
      <c r="M712" s="400"/>
      <c r="N712" s="400"/>
      <c r="O712" s="400"/>
      <c r="P712" s="400"/>
      <c r="Q712" s="400"/>
      <c r="R712" s="400"/>
      <c r="S712" s="400"/>
      <c r="T712" s="400"/>
      <c r="U712" s="400"/>
    </row>
    <row r="713" spans="1:21" ht="19.5" hidden="1" x14ac:dyDescent="0.3">
      <c r="A713" s="394"/>
      <c r="B713" s="426" t="s">
        <v>266</v>
      </c>
      <c r="C713" s="394"/>
      <c r="D713" s="396"/>
      <c r="E713" s="396"/>
      <c r="F713" s="396"/>
      <c r="G713" s="397"/>
      <c r="H713" s="398"/>
      <c r="I713" s="399"/>
      <c r="J713" s="399"/>
      <c r="K713" s="400"/>
      <c r="L713" s="47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128"/>
      <c r="B714" s="158"/>
      <c r="C714" s="314" t="s">
        <v>18</v>
      </c>
      <c r="D714" s="820" t="s">
        <v>19</v>
      </c>
      <c r="E714" s="793"/>
      <c r="F714" s="793"/>
      <c r="G714" s="794"/>
      <c r="H714" s="372" t="s">
        <v>14</v>
      </c>
      <c r="I714" s="44"/>
      <c r="J714" s="44"/>
      <c r="K714" s="45"/>
      <c r="L714" s="471">
        <f>L715+L716</f>
        <v>0</v>
      </c>
      <c r="M714" s="470">
        <f>M715+M716</f>
        <v>0</v>
      </c>
      <c r="N714" s="470">
        <f>N715+N716</f>
        <v>0</v>
      </c>
      <c r="O714" s="470">
        <f t="shared" ref="O714:O722" si="176">IF(L714&gt;0,N714*100/L714,0)</f>
        <v>0</v>
      </c>
      <c r="P714" s="470">
        <f t="shared" ref="P714:P722" si="177">IF(M714&gt;0,N714*100/M714,0)</f>
        <v>0</v>
      </c>
      <c r="Q714" s="470">
        <f>Q715+Q716</f>
        <v>0</v>
      </c>
      <c r="R714" s="470">
        <f>R715+R716</f>
        <v>0</v>
      </c>
      <c r="S714" s="470">
        <f>S715+S716</f>
        <v>0</v>
      </c>
      <c r="T714" s="470">
        <f t="shared" ref="T714:T722" si="178">IF(Q714&gt;0,S714*100/Q714,0)</f>
        <v>0</v>
      </c>
      <c r="U714" s="470">
        <f t="shared" ref="U714:U722" si="179"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469">
        <f t="shared" ref="L715:N716" si="180">L718+L721</f>
        <v>0</v>
      </c>
      <c r="M715" s="83">
        <f t="shared" si="180"/>
        <v>0</v>
      </c>
      <c r="N715" s="83">
        <f t="shared" si="180"/>
        <v>0</v>
      </c>
      <c r="O715" s="83">
        <f t="shared" si="176"/>
        <v>0</v>
      </c>
      <c r="P715" s="83">
        <f t="shared" si="177"/>
        <v>0</v>
      </c>
      <c r="Q715" s="83">
        <f t="shared" ref="Q715:S716" si="181">Q718+Q721</f>
        <v>0</v>
      </c>
      <c r="R715" s="83">
        <f t="shared" si="181"/>
        <v>0</v>
      </c>
      <c r="S715" s="83">
        <f t="shared" si="181"/>
        <v>0</v>
      </c>
      <c r="T715" s="83">
        <f t="shared" si="178"/>
        <v>0</v>
      </c>
      <c r="U715" s="83">
        <f t="shared" si="179"/>
        <v>0</v>
      </c>
    </row>
    <row r="716" spans="1:21" ht="18.75" hidden="1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468">
        <f t="shared" si="180"/>
        <v>0</v>
      </c>
      <c r="M716" s="224">
        <f t="shared" si="180"/>
        <v>0</v>
      </c>
      <c r="N716" s="224">
        <f t="shared" si="180"/>
        <v>0</v>
      </c>
      <c r="O716" s="224">
        <f t="shared" si="176"/>
        <v>0</v>
      </c>
      <c r="P716" s="224">
        <f t="shared" si="177"/>
        <v>0</v>
      </c>
      <c r="Q716" s="224">
        <f t="shared" si="181"/>
        <v>0</v>
      </c>
      <c r="R716" s="224">
        <f t="shared" si="181"/>
        <v>0</v>
      </c>
      <c r="S716" s="224">
        <f t="shared" si="181"/>
        <v>0</v>
      </c>
      <c r="T716" s="224">
        <f t="shared" si="178"/>
        <v>0</v>
      </c>
      <c r="U716" s="224">
        <f t="shared" si="179"/>
        <v>0</v>
      </c>
    </row>
    <row r="717" spans="1:21" ht="19.5" hidden="1" x14ac:dyDescent="0.3">
      <c r="A717" s="128"/>
      <c r="B717" s="158"/>
      <c r="C717" s="158"/>
      <c r="D717" s="494" t="s">
        <v>22</v>
      </c>
      <c r="E717" s="40"/>
      <c r="F717" s="40"/>
      <c r="G717" s="42"/>
      <c r="H717" s="372" t="s">
        <v>14</v>
      </c>
      <c r="I717" s="135"/>
      <c r="J717" s="135"/>
      <c r="K717" s="136"/>
      <c r="L717" s="468">
        <f>L718+L719</f>
        <v>0</v>
      </c>
      <c r="M717" s="224">
        <f>M718+M719</f>
        <v>0</v>
      </c>
      <c r="N717" s="224">
        <f>N718+N719</f>
        <v>0</v>
      </c>
      <c r="O717" s="224">
        <f t="shared" si="176"/>
        <v>0</v>
      </c>
      <c r="P717" s="224">
        <f t="shared" si="177"/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 t="shared" si="178"/>
        <v>0</v>
      </c>
      <c r="U717" s="224">
        <f t="shared" si="179"/>
        <v>0</v>
      </c>
    </row>
    <row r="718" spans="1:21" ht="18.75" hidden="1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469">
        <v>0</v>
      </c>
      <c r="M718" s="83">
        <v>0</v>
      </c>
      <c r="N718" s="83">
        <v>0</v>
      </c>
      <c r="O718" s="83">
        <f t="shared" si="176"/>
        <v>0</v>
      </c>
      <c r="P718" s="83">
        <f t="shared" si="177"/>
        <v>0</v>
      </c>
      <c r="Q718" s="83">
        <v>0</v>
      </c>
      <c r="R718" s="83">
        <v>0</v>
      </c>
      <c r="S718" s="83">
        <v>0</v>
      </c>
      <c r="T718" s="83">
        <f t="shared" si="178"/>
        <v>0</v>
      </c>
      <c r="U718" s="83">
        <f t="shared" si="179"/>
        <v>0</v>
      </c>
    </row>
    <row r="719" spans="1:21" ht="18.75" hidden="1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468">
        <v>0</v>
      </c>
      <c r="M719" s="224">
        <v>0</v>
      </c>
      <c r="N719" s="224">
        <v>0</v>
      </c>
      <c r="O719" s="224">
        <f t="shared" si="176"/>
        <v>0</v>
      </c>
      <c r="P719" s="224">
        <f t="shared" si="177"/>
        <v>0</v>
      </c>
      <c r="Q719" s="224">
        <v>0</v>
      </c>
      <c r="R719" s="224">
        <v>0</v>
      </c>
      <c r="S719" s="224">
        <v>0</v>
      </c>
      <c r="T719" s="224">
        <f t="shared" si="178"/>
        <v>0</v>
      </c>
      <c r="U719" s="224">
        <f t="shared" si="179"/>
        <v>0</v>
      </c>
    </row>
    <row r="720" spans="1:21" ht="19.5" hidden="1" x14ac:dyDescent="0.3">
      <c r="A720" s="128"/>
      <c r="B720" s="158"/>
      <c r="C720" s="158"/>
      <c r="D720" s="494" t="s">
        <v>23</v>
      </c>
      <c r="E720" s="40"/>
      <c r="F720" s="40"/>
      <c r="G720" s="42"/>
      <c r="H720" s="374" t="s">
        <v>14</v>
      </c>
      <c r="I720" s="135"/>
      <c r="J720" s="135"/>
      <c r="K720" s="136"/>
      <c r="L720" s="468">
        <f>L721+L722</f>
        <v>0</v>
      </c>
      <c r="M720" s="224">
        <f>M721+M722</f>
        <v>0</v>
      </c>
      <c r="N720" s="224">
        <f>N721+N722</f>
        <v>0</v>
      </c>
      <c r="O720" s="224">
        <f t="shared" si="176"/>
        <v>0</v>
      </c>
      <c r="P720" s="224">
        <f t="shared" si="177"/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 t="shared" si="178"/>
        <v>0</v>
      </c>
      <c r="U720" s="224">
        <f t="shared" si="179"/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469">
        <v>0</v>
      </c>
      <c r="M721" s="83">
        <v>0</v>
      </c>
      <c r="N721" s="83">
        <v>0</v>
      </c>
      <c r="O721" s="83">
        <f t="shared" si="176"/>
        <v>0</v>
      </c>
      <c r="P721" s="83">
        <f t="shared" si="177"/>
        <v>0</v>
      </c>
      <c r="Q721" s="83">
        <v>0</v>
      </c>
      <c r="R721" s="83">
        <v>0</v>
      </c>
      <c r="S721" s="83">
        <v>0</v>
      </c>
      <c r="T721" s="83">
        <f t="shared" si="178"/>
        <v>0</v>
      </c>
      <c r="U721" s="83">
        <f t="shared" si="179"/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375" t="s">
        <v>14</v>
      </c>
      <c r="I722" s="135"/>
      <c r="J722" s="135"/>
      <c r="K722" s="136"/>
      <c r="L722" s="468">
        <v>0</v>
      </c>
      <c r="M722" s="224">
        <v>0</v>
      </c>
      <c r="N722" s="224">
        <v>0</v>
      </c>
      <c r="O722" s="224">
        <f t="shared" si="176"/>
        <v>0</v>
      </c>
      <c r="P722" s="224">
        <f t="shared" si="177"/>
        <v>0</v>
      </c>
      <c r="Q722" s="224">
        <v>0</v>
      </c>
      <c r="R722" s="224">
        <v>0</v>
      </c>
      <c r="S722" s="224">
        <v>0</v>
      </c>
      <c r="T722" s="224">
        <f t="shared" si="178"/>
        <v>0</v>
      </c>
      <c r="U722" s="224">
        <f t="shared" si="179"/>
        <v>0</v>
      </c>
    </row>
    <row r="723" spans="1:21" ht="19.5" hidden="1" x14ac:dyDescent="0.3">
      <c r="A723" s="138"/>
      <c r="B723" s="139"/>
      <c r="C723" s="314" t="s">
        <v>18</v>
      </c>
      <c r="D723" s="493" t="s">
        <v>38</v>
      </c>
      <c r="E723" s="141"/>
      <c r="F723" s="141"/>
      <c r="G723" s="142"/>
      <c r="H723" s="178"/>
      <c r="I723" s="135"/>
      <c r="J723" s="135"/>
      <c r="K723" s="136"/>
      <c r="L723" s="4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30">
        <v>0</v>
      </c>
      <c r="J724" s="44"/>
      <c r="K724" s="45"/>
      <c r="L724" s="465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29"/>
      <c r="B725" s="2"/>
      <c r="C725" s="2"/>
      <c r="D725" s="1"/>
      <c r="E725" s="431" t="s">
        <v>268</v>
      </c>
      <c r="F725" s="1"/>
      <c r="G725" s="52"/>
      <c r="H725" s="432" t="s">
        <v>46</v>
      </c>
      <c r="I725" s="433">
        <v>0</v>
      </c>
      <c r="J725" s="54"/>
      <c r="K725" s="3"/>
      <c r="L725" s="46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94"/>
      <c r="B726" s="395" t="s">
        <v>269</v>
      </c>
      <c r="C726" s="394"/>
      <c r="D726" s="396"/>
      <c r="E726" s="396"/>
      <c r="F726" s="396"/>
      <c r="G726" s="397"/>
      <c r="H726" s="434" t="s">
        <v>35</v>
      </c>
      <c r="I726" s="475">
        <f ca="1">IFERROR(__xludf.DUMMYFUNCTION("IMPORTRANGE(""https://docs.google.com/spreadsheets/d/1eHaY18a8A9IcSdp1K8H6x8fbOy06t2VsZHhMHf-1x7Y/edit?usp=sharing"",""แผน!GA29"")"),128)</f>
        <v>128</v>
      </c>
      <c r="J726" s="475">
        <f>J742+J746+J749</f>
        <v>0</v>
      </c>
      <c r="K726" s="474">
        <f ca="1">IF(I726&gt;0,J726*100/I726,0)</f>
        <v>0</v>
      </c>
      <c r="L726" s="473"/>
      <c r="M726" s="400"/>
      <c r="N726" s="400"/>
      <c r="O726" s="400"/>
      <c r="P726" s="400"/>
      <c r="Q726" s="400"/>
      <c r="R726" s="400"/>
      <c r="S726" s="400"/>
      <c r="T726" s="400"/>
      <c r="U726" s="400"/>
    </row>
    <row r="727" spans="1:21" ht="19.5" x14ac:dyDescent="0.3">
      <c r="A727" s="436"/>
      <c r="B727" s="394"/>
      <c r="C727" s="394"/>
      <c r="D727" s="396"/>
      <c r="E727" s="396"/>
      <c r="F727" s="396"/>
      <c r="G727" s="397"/>
      <c r="H727" s="434" t="s">
        <v>46</v>
      </c>
      <c r="I727" s="475">
        <f ca="1">IFERROR(__xludf.DUMMYFUNCTION("IMPORTRANGE(""https://docs.google.com/spreadsheets/d/1eHaY18a8A9IcSdp1K8H6x8fbOy06t2VsZHhMHf-1x7Y/edit?usp=sharing"",""แผน!FZ29"")"),1250)</f>
        <v>1250</v>
      </c>
      <c r="J727" s="475">
        <f>J752+J755</f>
        <v>0</v>
      </c>
      <c r="K727" s="474">
        <f ca="1">IF(I727&gt;0,J727*100/I727,0)</f>
        <v>0</v>
      </c>
      <c r="L727" s="47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128"/>
      <c r="B728" s="158"/>
      <c r="C728" s="177" t="s">
        <v>18</v>
      </c>
      <c r="D728" s="821" t="s">
        <v>19</v>
      </c>
      <c r="E728" s="793"/>
      <c r="F728" s="793"/>
      <c r="G728" s="794"/>
      <c r="H728" s="221" t="s">
        <v>14</v>
      </c>
      <c r="I728" s="44"/>
      <c r="J728" s="44"/>
      <c r="K728" s="45"/>
      <c r="L728" s="471">
        <f>L729+L730</f>
        <v>0</v>
      </c>
      <c r="M728" s="470">
        <f>M729+M730</f>
        <v>0</v>
      </c>
      <c r="N728" s="470">
        <f>N729+N730</f>
        <v>0</v>
      </c>
      <c r="O728" s="470">
        <f t="shared" ref="O728:O736" si="182">IF(L728&gt;0,N728*100/L728,0)</f>
        <v>0</v>
      </c>
      <c r="P728" s="470">
        <f t="shared" ref="P728:P736" si="183">IF(M728&gt;0,N728*100/M728,0)</f>
        <v>0</v>
      </c>
      <c r="Q728" s="470">
        <f ca="1">Q729+Q730</f>
        <v>1008470</v>
      </c>
      <c r="R728" s="470">
        <f ca="1">R729+R730</f>
        <v>1008470</v>
      </c>
      <c r="S728" s="470">
        <f ca="1">S729+S730</f>
        <v>66151</v>
      </c>
      <c r="T728" s="470">
        <f t="shared" ref="T728:T736" ca="1" si="184">IF(Q728&gt;0,S728*100/Q728,0)</f>
        <v>6.5595406903527129</v>
      </c>
      <c r="U728" s="470">
        <f t="shared" ref="U728:U736" ca="1" si="185">IF(R728&gt;0,S728*100/R728,0)</f>
        <v>6.5595406903527129</v>
      </c>
    </row>
    <row r="729" spans="1:21" ht="18.75" hidden="1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469">
        <f t="shared" ref="L729:N730" si="186">L732+L735</f>
        <v>0</v>
      </c>
      <c r="M729" s="83">
        <f t="shared" si="186"/>
        <v>0</v>
      </c>
      <c r="N729" s="83">
        <f t="shared" si="186"/>
        <v>0</v>
      </c>
      <c r="O729" s="83">
        <f t="shared" si="182"/>
        <v>0</v>
      </c>
      <c r="P729" s="83">
        <f t="shared" si="183"/>
        <v>0</v>
      </c>
      <c r="Q729" s="83">
        <f t="shared" ref="Q729:S730" si="187">Q732+Q735</f>
        <v>0</v>
      </c>
      <c r="R729" s="83">
        <f t="shared" si="187"/>
        <v>0</v>
      </c>
      <c r="S729" s="83">
        <f t="shared" si="187"/>
        <v>0</v>
      </c>
      <c r="T729" s="83">
        <f t="shared" si="184"/>
        <v>0</v>
      </c>
      <c r="U729" s="83">
        <f t="shared" si="185"/>
        <v>0</v>
      </c>
    </row>
    <row r="730" spans="1:21" ht="18.75" hidden="1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468">
        <f t="shared" si="186"/>
        <v>0</v>
      </c>
      <c r="M730" s="224">
        <f t="shared" si="186"/>
        <v>0</v>
      </c>
      <c r="N730" s="224">
        <f t="shared" si="186"/>
        <v>0</v>
      </c>
      <c r="O730" s="224">
        <f t="shared" si="182"/>
        <v>0</v>
      </c>
      <c r="P730" s="224">
        <f t="shared" si="183"/>
        <v>0</v>
      </c>
      <c r="Q730" s="224">
        <f t="shared" ca="1" si="187"/>
        <v>1008470</v>
      </c>
      <c r="R730" s="224">
        <f t="shared" ca="1" si="187"/>
        <v>1008470</v>
      </c>
      <c r="S730" s="224">
        <f t="shared" ca="1" si="187"/>
        <v>66151</v>
      </c>
      <c r="T730" s="224">
        <f t="shared" ca="1" si="184"/>
        <v>6.5595406903527129</v>
      </c>
      <c r="U730" s="224">
        <f t="shared" ca="1" si="185"/>
        <v>6.5595406903527129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468">
        <f>L732+L733</f>
        <v>0</v>
      </c>
      <c r="M731" s="224">
        <f>M732+M733</f>
        <v>0</v>
      </c>
      <c r="N731" s="224">
        <f>N732+N733</f>
        <v>0</v>
      </c>
      <c r="O731" s="224">
        <f t="shared" si="182"/>
        <v>0</v>
      </c>
      <c r="P731" s="224">
        <f t="shared" si="183"/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66151</v>
      </c>
      <c r="T731" s="224">
        <f t="shared" ca="1" si="184"/>
        <v>6.5595406903527129</v>
      </c>
      <c r="U731" s="224">
        <f t="shared" ca="1" si="185"/>
        <v>6.5595406903527129</v>
      </c>
    </row>
    <row r="732" spans="1:21" ht="18.75" hidden="1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469">
        <v>0</v>
      </c>
      <c r="M732" s="83">
        <v>0</v>
      </c>
      <c r="N732" s="83">
        <v>0</v>
      </c>
      <c r="O732" s="83">
        <f t="shared" si="182"/>
        <v>0</v>
      </c>
      <c r="P732" s="83">
        <f t="shared" si="183"/>
        <v>0</v>
      </c>
      <c r="Q732" s="83">
        <v>0</v>
      </c>
      <c r="R732" s="83">
        <v>0</v>
      </c>
      <c r="S732" s="83">
        <v>0</v>
      </c>
      <c r="T732" s="83">
        <f t="shared" si="184"/>
        <v>0</v>
      </c>
      <c r="U732" s="83">
        <f t="shared" si="185"/>
        <v>0</v>
      </c>
    </row>
    <row r="733" spans="1:21" ht="18.75" hidden="1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468">
        <v>0</v>
      </c>
      <c r="M733" s="224">
        <v>0</v>
      </c>
      <c r="N733" s="224">
        <v>0</v>
      </c>
      <c r="O733" s="224">
        <f t="shared" si="182"/>
        <v>0</v>
      </c>
      <c r="P733" s="224">
        <f t="shared" si="183"/>
        <v>0</v>
      </c>
      <c r="Q733" s="224">
        <f ca="1">IFERROR(__xludf.DUMMYFUNCTION("IMPORTRANGE(""https://docs.google.com/spreadsheets/d/1ItG2mGa2ceCfYo0BwxsXqNm01IGEUdYcSSLTEv9YCik/edit?usp=sharing"",""เบิกจ่ายกองทุน!O29"")"),1008470)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IFERROR(__xludf.DUMMYFUNCTION("IMPORTRANGE(""https://docs.google.com/spreadsheets/d/1ItG2mGa2ceCfYo0BwxsXqNm01IGEUdYcSSLTEv9YCik/edit?usp=sharing"",""เบิกจ่ายกองทุน!P29"")"),1008470)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IFERROR(__xludf.DUMMYFUNCTION("IMPORTRANGE(""https://docs.google.com/spreadsheets/d/1ItG2mGa2ceCfYo0BwxsXqNm01IGEUdYcSSLTEv9YCik/edit?usp=sharing"",""เบิกจ่ายกองทุน!Q29"")"),66151)</f>
        <v>66151</v>
      </c>
      <c r="T733" s="224">
        <f t="shared" ca="1" si="184"/>
        <v>6.5595406903527129</v>
      </c>
      <c r="U733" s="224">
        <f t="shared" ca="1" si="185"/>
        <v>6.5595406903527129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468">
        <f>L735+L736</f>
        <v>0</v>
      </c>
      <c r="M734" s="224">
        <f>M735+M736</f>
        <v>0</v>
      </c>
      <c r="N734" s="224">
        <f>N735+N736</f>
        <v>0</v>
      </c>
      <c r="O734" s="224">
        <f t="shared" si="182"/>
        <v>0</v>
      </c>
      <c r="P734" s="224">
        <f t="shared" si="183"/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 t="shared" si="184"/>
        <v>0</v>
      </c>
      <c r="U734" s="224">
        <f t="shared" si="185"/>
        <v>0</v>
      </c>
    </row>
    <row r="735" spans="1:21" ht="18.75" hidden="1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469">
        <v>0</v>
      </c>
      <c r="M735" s="83">
        <v>0</v>
      </c>
      <c r="N735" s="83">
        <v>0</v>
      </c>
      <c r="O735" s="83">
        <f t="shared" si="182"/>
        <v>0</v>
      </c>
      <c r="P735" s="83">
        <f t="shared" si="183"/>
        <v>0</v>
      </c>
      <c r="Q735" s="83">
        <v>0</v>
      </c>
      <c r="R735" s="83">
        <v>0</v>
      </c>
      <c r="S735" s="83">
        <v>0</v>
      </c>
      <c r="T735" s="83">
        <f t="shared" si="184"/>
        <v>0</v>
      </c>
      <c r="U735" s="83">
        <f t="shared" si="185"/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468">
        <v>0</v>
      </c>
      <c r="M736" s="224">
        <v>0</v>
      </c>
      <c r="N736" s="224">
        <v>0</v>
      </c>
      <c r="O736" s="224">
        <f t="shared" si="182"/>
        <v>0</v>
      </c>
      <c r="P736" s="224">
        <f t="shared" si="183"/>
        <v>0</v>
      </c>
      <c r="Q736" s="224">
        <v>0</v>
      </c>
      <c r="R736" s="224">
        <v>0</v>
      </c>
      <c r="S736" s="224">
        <v>0</v>
      </c>
      <c r="T736" s="224">
        <f t="shared" si="184"/>
        <v>0</v>
      </c>
      <c r="U736" s="224">
        <f t="shared" si="185"/>
        <v>0</v>
      </c>
    </row>
    <row r="737" spans="1:21" ht="19.5" x14ac:dyDescent="0.3">
      <c r="A737" s="138"/>
      <c r="B737" s="139"/>
      <c r="C737" s="177" t="s">
        <v>18</v>
      </c>
      <c r="D737" s="491" t="s">
        <v>38</v>
      </c>
      <c r="E737" s="203"/>
      <c r="F737" s="141"/>
      <c r="G737" s="142"/>
      <c r="H737" s="178"/>
      <c r="I737" s="44"/>
      <c r="J737" s="44"/>
      <c r="K737" s="45"/>
      <c r="L737" s="465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7" t="s">
        <v>121</v>
      </c>
      <c r="E738" s="139"/>
      <c r="F738" s="139"/>
      <c r="G738" s="143"/>
      <c r="H738" s="180"/>
      <c r="I738" s="44"/>
      <c r="J738" s="44"/>
      <c r="K738" s="45"/>
      <c r="L738" s="465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10" t="s">
        <v>270</v>
      </c>
      <c r="F739" s="139"/>
      <c r="G739" s="143"/>
      <c r="H739" s="180"/>
      <c r="I739" s="44"/>
      <c r="J739" s="44"/>
      <c r="K739" s="45"/>
      <c r="L739" s="465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10" t="s">
        <v>271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IFERROR(__xludf.DUMMYFUNCTION("IMPORTRANGE(""https://docs.google.com/spreadsheets/d/1eHaY18a8A9IcSdp1K8H6x8fbOy06t2VsZHhMHf-1x7Y/edit?usp=sharing"",""แผน!GB29"")"),1000)</f>
        <v>1000</v>
      </c>
      <c r="J740" s="466">
        <v>0</v>
      </c>
      <c r="K740" s="224">
        <f ca="1">IF(I740&gt;0,J740*100/I740,0)</f>
        <v>0</v>
      </c>
      <c r="L740" s="465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485"/>
      <c r="B741" s="484"/>
      <c r="C741" s="484"/>
      <c r="D741" s="484"/>
      <c r="E741" s="484"/>
      <c r="F741" s="489" t="s">
        <v>306</v>
      </c>
      <c r="G741" s="481"/>
      <c r="H741" s="480" t="s">
        <v>35</v>
      </c>
      <c r="I741" s="479"/>
      <c r="J741" s="478">
        <v>0</v>
      </c>
      <c r="K741" s="476"/>
      <c r="L741" s="477"/>
      <c r="M741" s="476"/>
      <c r="N741" s="476"/>
      <c r="O741" s="476"/>
      <c r="P741" s="476"/>
      <c r="Q741" s="476"/>
      <c r="R741" s="476"/>
      <c r="S741" s="476"/>
      <c r="T741" s="476"/>
      <c r="U741" s="476"/>
    </row>
    <row r="742" spans="1:21" ht="18.75" x14ac:dyDescent="0.25">
      <c r="A742" s="485"/>
      <c r="B742" s="484"/>
      <c r="C742" s="484"/>
      <c r="D742" s="484"/>
      <c r="E742" s="484"/>
      <c r="F742" s="489" t="s">
        <v>305</v>
      </c>
      <c r="G742" s="481"/>
      <c r="H742" s="480" t="s">
        <v>35</v>
      </c>
      <c r="I742" s="487">
        <f ca="1">IFERROR(__xludf.DUMMYFUNCTION("IMPORTRANGE(""https://docs.google.com/spreadsheets/d/1eHaY18a8A9IcSdp1K8H6x8fbOy06t2VsZHhMHf-1x7Y/edit?usp=sharing"",""แผน!GC29"")"),100)</f>
        <v>100</v>
      </c>
      <c r="J742" s="478">
        <v>0</v>
      </c>
      <c r="K742" s="486">
        <f ca="1">IF(I742&gt;0,J742*100/I742,0)</f>
        <v>0</v>
      </c>
      <c r="L742" s="477"/>
      <c r="M742" s="476"/>
      <c r="N742" s="476"/>
      <c r="O742" s="476"/>
      <c r="P742" s="476"/>
      <c r="Q742" s="476"/>
      <c r="R742" s="476"/>
      <c r="S742" s="476"/>
      <c r="T742" s="476"/>
      <c r="U742" s="476"/>
    </row>
    <row r="743" spans="1:21" ht="18.75" x14ac:dyDescent="0.25">
      <c r="A743" s="485"/>
      <c r="B743" s="484"/>
      <c r="C743" s="484"/>
      <c r="D743" s="484"/>
      <c r="E743" s="489" t="s">
        <v>274</v>
      </c>
      <c r="F743" s="484"/>
      <c r="G743" s="481"/>
      <c r="H743" s="488"/>
      <c r="I743" s="479"/>
      <c r="J743" s="479"/>
      <c r="K743" s="476"/>
      <c r="L743" s="477"/>
      <c r="M743" s="476"/>
      <c r="N743" s="476"/>
      <c r="O743" s="476"/>
      <c r="P743" s="476"/>
      <c r="Q743" s="476"/>
      <c r="R743" s="476"/>
      <c r="S743" s="476"/>
      <c r="T743" s="476"/>
      <c r="U743" s="476"/>
    </row>
    <row r="744" spans="1:21" ht="18.75" x14ac:dyDescent="0.25">
      <c r="A744" s="485"/>
      <c r="B744" s="484"/>
      <c r="C744" s="484"/>
      <c r="D744" s="484"/>
      <c r="E744" s="484"/>
      <c r="F744" s="489" t="s">
        <v>271</v>
      </c>
      <c r="G744" s="481"/>
      <c r="H744" s="480" t="s">
        <v>46</v>
      </c>
      <c r="I744" s="487">
        <f ca="1">IFERROR(__xludf.DUMMYFUNCTION("IMPORTRANGE(""https://docs.google.com/spreadsheets/d/1eHaY18a8A9IcSdp1K8H6x8fbOy06t2VsZHhMHf-1x7Y/edit?usp=sharing"",""แผน!GD29"")"),250)</f>
        <v>250</v>
      </c>
      <c r="J744" s="478">
        <v>0</v>
      </c>
      <c r="K744" s="486">
        <f ca="1">IF(I744&gt;0,J744*100/I744,0)</f>
        <v>0</v>
      </c>
      <c r="L744" s="477"/>
      <c r="M744" s="476"/>
      <c r="N744" s="476"/>
      <c r="O744" s="476"/>
      <c r="P744" s="476"/>
      <c r="Q744" s="476"/>
      <c r="R744" s="476"/>
      <c r="S744" s="476"/>
      <c r="T744" s="476"/>
      <c r="U744" s="476"/>
    </row>
    <row r="745" spans="1:21" ht="18.75" x14ac:dyDescent="0.25">
      <c r="A745" s="485"/>
      <c r="B745" s="484"/>
      <c r="C745" s="484"/>
      <c r="D745" s="484"/>
      <c r="E745" s="484"/>
      <c r="F745" s="489" t="s">
        <v>304</v>
      </c>
      <c r="G745" s="481"/>
      <c r="H745" s="480" t="s">
        <v>35</v>
      </c>
      <c r="I745" s="479"/>
      <c r="J745" s="478">
        <v>0</v>
      </c>
      <c r="K745" s="476"/>
      <c r="L745" s="477"/>
      <c r="M745" s="476"/>
      <c r="N745" s="476"/>
      <c r="O745" s="476"/>
      <c r="P745" s="476"/>
      <c r="Q745" s="476"/>
      <c r="R745" s="476"/>
      <c r="S745" s="476"/>
      <c r="T745" s="476"/>
      <c r="U745" s="476"/>
    </row>
    <row r="746" spans="1:21" ht="18.75" x14ac:dyDescent="0.25">
      <c r="A746" s="485"/>
      <c r="B746" s="484"/>
      <c r="C746" s="484"/>
      <c r="D746" s="484"/>
      <c r="E746" s="484"/>
      <c r="F746" s="489" t="s">
        <v>303</v>
      </c>
      <c r="G746" s="481"/>
      <c r="H746" s="480" t="s">
        <v>35</v>
      </c>
      <c r="I746" s="487">
        <f ca="1">IFERROR(__xludf.DUMMYFUNCTION("IMPORTRANGE(""https://docs.google.com/spreadsheets/d/1eHaY18a8A9IcSdp1K8H6x8fbOy06t2VsZHhMHf-1x7Y/edit?usp=sharing"",""แผน!GE29"")"),25)</f>
        <v>25</v>
      </c>
      <c r="J746" s="478">
        <v>0</v>
      </c>
      <c r="K746" s="486">
        <f ca="1">IF(I746&gt;0,J746*100/I746,0)</f>
        <v>0</v>
      </c>
      <c r="L746" s="477"/>
      <c r="M746" s="476"/>
      <c r="N746" s="476"/>
      <c r="O746" s="476"/>
      <c r="P746" s="476"/>
      <c r="Q746" s="476"/>
      <c r="R746" s="476"/>
      <c r="S746" s="476"/>
      <c r="T746" s="476"/>
      <c r="U746" s="476"/>
    </row>
    <row r="747" spans="1:21" ht="18.75" x14ac:dyDescent="0.25">
      <c r="A747" s="485"/>
      <c r="B747" s="484"/>
      <c r="C747" s="484"/>
      <c r="D747" s="484"/>
      <c r="E747" s="489" t="s">
        <v>277</v>
      </c>
      <c r="F747" s="483"/>
      <c r="G747" s="481"/>
      <c r="H747" s="488"/>
      <c r="I747" s="479"/>
      <c r="J747" s="479"/>
      <c r="K747" s="476"/>
      <c r="L747" s="477"/>
      <c r="M747" s="476"/>
      <c r="N747" s="476"/>
      <c r="O747" s="476"/>
      <c r="P747" s="476"/>
      <c r="Q747" s="476"/>
      <c r="R747" s="476"/>
      <c r="S747" s="476"/>
      <c r="T747" s="476"/>
      <c r="U747" s="476"/>
    </row>
    <row r="748" spans="1:21" ht="18.75" x14ac:dyDescent="0.25">
      <c r="A748" s="485"/>
      <c r="B748" s="484"/>
      <c r="C748" s="484"/>
      <c r="D748" s="484"/>
      <c r="E748" s="484"/>
      <c r="F748" s="489" t="s">
        <v>302</v>
      </c>
      <c r="G748" s="481"/>
      <c r="H748" s="480" t="s">
        <v>35</v>
      </c>
      <c r="I748" s="479"/>
      <c r="J748" s="478">
        <v>0</v>
      </c>
      <c r="K748" s="476"/>
      <c r="L748" s="477"/>
      <c r="M748" s="476"/>
      <c r="N748" s="476"/>
      <c r="O748" s="476"/>
      <c r="P748" s="476"/>
      <c r="Q748" s="476"/>
      <c r="R748" s="476"/>
      <c r="S748" s="476"/>
      <c r="T748" s="476"/>
      <c r="U748" s="476"/>
    </row>
    <row r="749" spans="1:21" ht="18.75" x14ac:dyDescent="0.25">
      <c r="A749" s="485"/>
      <c r="B749" s="484"/>
      <c r="C749" s="484"/>
      <c r="D749" s="484"/>
      <c r="E749" s="484"/>
      <c r="F749" s="489" t="s">
        <v>301</v>
      </c>
      <c r="G749" s="481"/>
      <c r="H749" s="480" t="s">
        <v>35</v>
      </c>
      <c r="I749" s="487">
        <f ca="1">IFERROR(__xludf.DUMMYFUNCTION("IMPORTRANGE(""https://docs.google.com/spreadsheets/d/1eHaY18a8A9IcSdp1K8H6x8fbOy06t2VsZHhMHf-1x7Y/edit?usp=sharing"",""แผน!GF29"")"),3)</f>
        <v>3</v>
      </c>
      <c r="J749" s="478">
        <v>0</v>
      </c>
      <c r="K749" s="486">
        <f ca="1">IF(I749&gt;0,J749*100/I749,0)</f>
        <v>0</v>
      </c>
      <c r="L749" s="477"/>
      <c r="M749" s="476"/>
      <c r="N749" s="476"/>
      <c r="O749" s="476"/>
      <c r="P749" s="476"/>
      <c r="Q749" s="476"/>
      <c r="R749" s="476"/>
      <c r="S749" s="476"/>
      <c r="T749" s="476"/>
      <c r="U749" s="476"/>
    </row>
    <row r="750" spans="1:21" ht="19.5" x14ac:dyDescent="0.3">
      <c r="A750" s="485"/>
      <c r="B750" s="484"/>
      <c r="C750" s="484"/>
      <c r="D750" s="490" t="s">
        <v>50</v>
      </c>
      <c r="E750" s="484"/>
      <c r="F750" s="483"/>
      <c r="G750" s="481"/>
      <c r="H750" s="488"/>
      <c r="I750" s="479"/>
      <c r="J750" s="479"/>
      <c r="K750" s="476"/>
      <c r="L750" s="477"/>
      <c r="M750" s="476"/>
      <c r="N750" s="476"/>
      <c r="O750" s="476"/>
      <c r="P750" s="476"/>
      <c r="Q750" s="476"/>
      <c r="R750" s="476"/>
      <c r="S750" s="476"/>
      <c r="T750" s="476"/>
      <c r="U750" s="476"/>
    </row>
    <row r="751" spans="1:21" ht="18.75" x14ac:dyDescent="0.25">
      <c r="A751" s="485"/>
      <c r="B751" s="484"/>
      <c r="C751" s="484"/>
      <c r="D751" s="484"/>
      <c r="E751" s="489" t="s">
        <v>270</v>
      </c>
      <c r="F751" s="483"/>
      <c r="G751" s="481"/>
      <c r="H751" s="488"/>
      <c r="I751" s="479"/>
      <c r="J751" s="479"/>
      <c r="K751" s="476"/>
      <c r="L751" s="477"/>
      <c r="M751" s="476"/>
      <c r="N751" s="476"/>
      <c r="O751" s="476"/>
      <c r="P751" s="476"/>
      <c r="Q751" s="476"/>
      <c r="R751" s="476"/>
      <c r="S751" s="476"/>
      <c r="T751" s="476"/>
      <c r="U751" s="476"/>
    </row>
    <row r="752" spans="1:21" ht="18.75" x14ac:dyDescent="0.25">
      <c r="A752" s="485"/>
      <c r="B752" s="484"/>
      <c r="C752" s="484"/>
      <c r="D752" s="484"/>
      <c r="E752" s="484"/>
      <c r="F752" s="482" t="s">
        <v>300</v>
      </c>
      <c r="G752" s="481"/>
      <c r="H752" s="480" t="s">
        <v>46</v>
      </c>
      <c r="I752" s="487">
        <f ca="1">IFERROR(__xludf.DUMMYFUNCTION("IMPORTRANGE(""https://docs.google.com/spreadsheets/d/1eHaY18a8A9IcSdp1K8H6x8fbOy06t2VsZHhMHf-1x7Y/edit?usp=sharing"",""แผน!GB29"")"),1000)</f>
        <v>1000</v>
      </c>
      <c r="J752" s="478">
        <v>0</v>
      </c>
      <c r="K752" s="486">
        <f ca="1">IF(I752&gt;0,J752*100/I752,0)</f>
        <v>0</v>
      </c>
      <c r="L752" s="477"/>
      <c r="M752" s="476"/>
      <c r="N752" s="476"/>
      <c r="O752" s="476"/>
      <c r="P752" s="476"/>
      <c r="Q752" s="476"/>
      <c r="R752" s="476"/>
      <c r="S752" s="476"/>
      <c r="T752" s="476"/>
      <c r="U752" s="476"/>
    </row>
    <row r="753" spans="1:21" ht="18.75" x14ac:dyDescent="0.25">
      <c r="A753" s="485"/>
      <c r="B753" s="484"/>
      <c r="C753" s="484"/>
      <c r="D753" s="484"/>
      <c r="E753" s="484"/>
      <c r="F753" s="482" t="s">
        <v>299</v>
      </c>
      <c r="G753" s="481"/>
      <c r="H753" s="480" t="s">
        <v>46</v>
      </c>
      <c r="I753" s="479"/>
      <c r="J753" s="478">
        <v>0</v>
      </c>
      <c r="K753" s="476"/>
      <c r="L753" s="477"/>
      <c r="M753" s="476"/>
      <c r="N753" s="476"/>
      <c r="O753" s="476"/>
      <c r="P753" s="476"/>
      <c r="Q753" s="476"/>
      <c r="R753" s="476"/>
      <c r="S753" s="476"/>
      <c r="T753" s="476"/>
      <c r="U753" s="476"/>
    </row>
    <row r="754" spans="1:21" ht="18.75" x14ac:dyDescent="0.25">
      <c r="A754" s="485"/>
      <c r="B754" s="484"/>
      <c r="C754" s="484"/>
      <c r="D754" s="484"/>
      <c r="E754" s="489" t="s">
        <v>274</v>
      </c>
      <c r="F754" s="483"/>
      <c r="G754" s="481"/>
      <c r="H754" s="488"/>
      <c r="I754" s="479"/>
      <c r="J754" s="479"/>
      <c r="K754" s="476"/>
      <c r="L754" s="477"/>
      <c r="M754" s="476"/>
      <c r="N754" s="476"/>
      <c r="O754" s="476"/>
      <c r="P754" s="476"/>
      <c r="Q754" s="476"/>
      <c r="R754" s="476"/>
      <c r="S754" s="476"/>
      <c r="T754" s="476"/>
      <c r="U754" s="476"/>
    </row>
    <row r="755" spans="1:21" ht="18.75" x14ac:dyDescent="0.25">
      <c r="A755" s="485"/>
      <c r="B755" s="484"/>
      <c r="C755" s="484"/>
      <c r="D755" s="484"/>
      <c r="E755" s="483"/>
      <c r="F755" s="482" t="s">
        <v>298</v>
      </c>
      <c r="G755" s="481"/>
      <c r="H755" s="480" t="s">
        <v>46</v>
      </c>
      <c r="I755" s="487">
        <f ca="1">IFERROR(__xludf.DUMMYFUNCTION("IMPORTRANGE(""https://docs.google.com/spreadsheets/d/1eHaY18a8A9IcSdp1K8H6x8fbOy06t2VsZHhMHf-1x7Y/edit?usp=sharing"",""แผน!GD29"")"),250)</f>
        <v>250</v>
      </c>
      <c r="J755" s="478">
        <v>0</v>
      </c>
      <c r="K755" s="486">
        <f ca="1">IF(I755&gt;0,J755*100/I755,0)</f>
        <v>0</v>
      </c>
      <c r="L755" s="477"/>
      <c r="M755" s="476"/>
      <c r="N755" s="476"/>
      <c r="O755" s="476"/>
      <c r="P755" s="476"/>
      <c r="Q755" s="476"/>
      <c r="R755" s="476"/>
      <c r="S755" s="476"/>
      <c r="T755" s="476"/>
      <c r="U755" s="476"/>
    </row>
    <row r="756" spans="1:21" ht="18.75" x14ac:dyDescent="0.25">
      <c r="A756" s="485"/>
      <c r="B756" s="484"/>
      <c r="C756" s="484"/>
      <c r="D756" s="484"/>
      <c r="E756" s="483"/>
      <c r="F756" s="482" t="s">
        <v>297</v>
      </c>
      <c r="G756" s="481"/>
      <c r="H756" s="480" t="s">
        <v>46</v>
      </c>
      <c r="I756" s="479"/>
      <c r="J756" s="478">
        <v>0</v>
      </c>
      <c r="K756" s="476"/>
      <c r="L756" s="477"/>
      <c r="M756" s="476"/>
      <c r="N756" s="476"/>
      <c r="O756" s="476"/>
      <c r="P756" s="476"/>
      <c r="Q756" s="476"/>
      <c r="R756" s="476"/>
      <c r="S756" s="476"/>
      <c r="T756" s="476"/>
      <c r="U756" s="476"/>
    </row>
    <row r="757" spans="1:21" ht="18.75" x14ac:dyDescent="0.25">
      <c r="A757" s="438"/>
      <c r="B757" s="438"/>
      <c r="C757" s="438"/>
      <c r="D757" s="438"/>
      <c r="E757" s="439" t="s">
        <v>284</v>
      </c>
      <c r="F757" s="440"/>
      <c r="G757" s="441"/>
      <c r="H757" s="442" t="s">
        <v>35</v>
      </c>
      <c r="I757" s="443"/>
      <c r="J757" s="444">
        <v>0</v>
      </c>
      <c r="K757" s="445"/>
      <c r="L757" s="445"/>
      <c r="M757" s="445"/>
      <c r="N757" s="445"/>
      <c r="O757" s="445"/>
      <c r="P757" s="445"/>
      <c r="Q757" s="445"/>
      <c r="R757" s="445"/>
      <c r="S757" s="445"/>
      <c r="T757" s="445"/>
      <c r="U757" s="445"/>
    </row>
    <row r="758" spans="1:21" ht="19.5" x14ac:dyDescent="0.3">
      <c r="A758" s="394"/>
      <c r="B758" s="395" t="s">
        <v>285</v>
      </c>
      <c r="C758" s="394"/>
      <c r="D758" s="396"/>
      <c r="E758" s="396"/>
      <c r="F758" s="396"/>
      <c r="G758" s="397"/>
      <c r="H758" s="434" t="s">
        <v>35</v>
      </c>
      <c r="I758" s="475">
        <f ca="1">I772</f>
        <v>50</v>
      </c>
      <c r="J758" s="475">
        <f>J772</f>
        <v>50</v>
      </c>
      <c r="K758" s="474">
        <f ca="1">IF(I758&gt;0,J758*100/I758,0)</f>
        <v>100</v>
      </c>
      <c r="L758" s="47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6"/>
      <c r="B759" s="394"/>
      <c r="C759" s="394"/>
      <c r="D759" s="396"/>
      <c r="E759" s="396"/>
      <c r="F759" s="396"/>
      <c r="G759" s="397"/>
      <c r="H759" s="434" t="s">
        <v>46</v>
      </c>
      <c r="I759" s="475">
        <f ca="1">I774</f>
        <v>100</v>
      </c>
      <c r="J759" s="475">
        <f>J774</f>
        <v>100</v>
      </c>
      <c r="K759" s="474">
        <f ca="1">IF(I759&gt;0,J759*100/I759,0)</f>
        <v>100</v>
      </c>
      <c r="L759" s="47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8"/>
      <c r="C760" s="177" t="s">
        <v>18</v>
      </c>
      <c r="D760" s="821" t="s">
        <v>19</v>
      </c>
      <c r="E760" s="793"/>
      <c r="F760" s="793"/>
      <c r="G760" s="794"/>
      <c r="H760" s="221" t="s">
        <v>14</v>
      </c>
      <c r="I760" s="44"/>
      <c r="J760" s="44"/>
      <c r="K760" s="45"/>
      <c r="L760" s="471">
        <f>L761+L762</f>
        <v>0</v>
      </c>
      <c r="M760" s="470">
        <f>M761+M762</f>
        <v>0</v>
      </c>
      <c r="N760" s="470">
        <f>N761+N762</f>
        <v>0</v>
      </c>
      <c r="O760" s="470">
        <f t="shared" ref="O760:O768" si="188">IF(L760&gt;0,N760*100/L760,0)</f>
        <v>0</v>
      </c>
      <c r="P760" s="470">
        <f t="shared" ref="P760:P768" si="189">IF(M760&gt;0,N760*100/M760,0)</f>
        <v>0</v>
      </c>
      <c r="Q760" s="470">
        <f ca="1">Q761+Q762</f>
        <v>398800</v>
      </c>
      <c r="R760" s="470">
        <f ca="1">R761+R762</f>
        <v>398800</v>
      </c>
      <c r="S760" s="470">
        <f ca="1">S761+S762</f>
        <v>105155.5</v>
      </c>
      <c r="T760" s="470">
        <f t="shared" ref="T760:T768" ca="1" si="190">IF(Q760&gt;0,S760*100/Q760,0)</f>
        <v>26.367978936810431</v>
      </c>
      <c r="U760" s="470">
        <f t="shared" ref="U760:U768" ca="1" si="191">IF(R760&gt;0,S760*100/R760,0)</f>
        <v>26.367978936810431</v>
      </c>
    </row>
    <row r="761" spans="1:21" ht="18.75" hidden="1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469">
        <f t="shared" ref="L761:N762" si="192">L764+L767</f>
        <v>0</v>
      </c>
      <c r="M761" s="83">
        <f t="shared" si="192"/>
        <v>0</v>
      </c>
      <c r="N761" s="83">
        <f t="shared" si="192"/>
        <v>0</v>
      </c>
      <c r="O761" s="83">
        <f t="shared" si="188"/>
        <v>0</v>
      </c>
      <c r="P761" s="83">
        <f t="shared" si="189"/>
        <v>0</v>
      </c>
      <c r="Q761" s="83">
        <f t="shared" ref="Q761:S762" si="193">Q764+Q767</f>
        <v>0</v>
      </c>
      <c r="R761" s="83">
        <f t="shared" si="193"/>
        <v>0</v>
      </c>
      <c r="S761" s="83">
        <f t="shared" si="193"/>
        <v>0</v>
      </c>
      <c r="T761" s="83">
        <f t="shared" si="190"/>
        <v>0</v>
      </c>
      <c r="U761" s="83">
        <f t="shared" si="191"/>
        <v>0</v>
      </c>
    </row>
    <row r="762" spans="1:21" ht="18.75" hidden="1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468">
        <f t="shared" si="192"/>
        <v>0</v>
      </c>
      <c r="M762" s="224">
        <f t="shared" si="192"/>
        <v>0</v>
      </c>
      <c r="N762" s="224">
        <f t="shared" si="192"/>
        <v>0</v>
      </c>
      <c r="O762" s="224">
        <f t="shared" si="188"/>
        <v>0</v>
      </c>
      <c r="P762" s="224">
        <f t="shared" si="189"/>
        <v>0</v>
      </c>
      <c r="Q762" s="224">
        <f t="shared" ca="1" si="193"/>
        <v>398800</v>
      </c>
      <c r="R762" s="224">
        <f t="shared" ca="1" si="193"/>
        <v>398800</v>
      </c>
      <c r="S762" s="224">
        <f t="shared" ca="1" si="193"/>
        <v>105155.5</v>
      </c>
      <c r="T762" s="224">
        <f t="shared" ca="1" si="190"/>
        <v>26.367978936810431</v>
      </c>
      <c r="U762" s="224">
        <f t="shared" ca="1" si="191"/>
        <v>26.367978936810431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468">
        <f>L764+L765</f>
        <v>0</v>
      </c>
      <c r="M763" s="224">
        <f>M764+M765</f>
        <v>0</v>
      </c>
      <c r="N763" s="224">
        <f>N764+N765</f>
        <v>0</v>
      </c>
      <c r="O763" s="224">
        <f t="shared" si="188"/>
        <v>0</v>
      </c>
      <c r="P763" s="224">
        <f t="shared" si="189"/>
        <v>0</v>
      </c>
      <c r="Q763" s="224">
        <f ca="1">Q764+Q765</f>
        <v>398800</v>
      </c>
      <c r="R763" s="224">
        <f ca="1">R764+R765</f>
        <v>398800</v>
      </c>
      <c r="S763" s="224">
        <f ca="1">S764+S765</f>
        <v>105155.5</v>
      </c>
      <c r="T763" s="224">
        <f t="shared" ca="1" si="190"/>
        <v>26.367978936810431</v>
      </c>
      <c r="U763" s="224">
        <f t="shared" ca="1" si="191"/>
        <v>26.367978936810431</v>
      </c>
    </row>
    <row r="764" spans="1:21" ht="18.75" hidden="1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469">
        <v>0</v>
      </c>
      <c r="M764" s="83">
        <v>0</v>
      </c>
      <c r="N764" s="83">
        <v>0</v>
      </c>
      <c r="O764" s="83">
        <f t="shared" si="188"/>
        <v>0</v>
      </c>
      <c r="P764" s="83">
        <f t="shared" si="189"/>
        <v>0</v>
      </c>
      <c r="Q764" s="83">
        <v>0</v>
      </c>
      <c r="R764" s="83">
        <v>0</v>
      </c>
      <c r="S764" s="83">
        <v>0</v>
      </c>
      <c r="T764" s="83">
        <f t="shared" si="190"/>
        <v>0</v>
      </c>
      <c r="U764" s="83">
        <f t="shared" si="191"/>
        <v>0</v>
      </c>
    </row>
    <row r="765" spans="1:21" ht="18.75" hidden="1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468">
        <v>0</v>
      </c>
      <c r="M765" s="224">
        <v>0</v>
      </c>
      <c r="N765" s="224">
        <v>0</v>
      </c>
      <c r="O765" s="224">
        <f t="shared" si="188"/>
        <v>0</v>
      </c>
      <c r="P765" s="224">
        <f t="shared" si="189"/>
        <v>0</v>
      </c>
      <c r="Q765" s="224">
        <f ca="1">IFERROR(__xludf.DUMMYFUNCTION("IMPORTRANGE(""https://docs.google.com/spreadsheets/d/1ItG2mGa2ceCfYo0BwxsXqNm01IGEUdYcSSLTEv9YCik/edit?usp=sharing"",""เบิกจ่ายกองทุน!U29"")"),398800)</f>
        <v>398800</v>
      </c>
      <c r="R765" s="224">
        <f ca="1">IFERROR(__xludf.DUMMYFUNCTION("IMPORTRANGE(""https://docs.google.com/spreadsheets/d/1ItG2mGa2ceCfYo0BwxsXqNm01IGEUdYcSSLTEv9YCik/edit?usp=sharing"",""เบิกจ่ายกองทุน!V29"")"),398800)</f>
        <v>398800</v>
      </c>
      <c r="S765" s="224">
        <f ca="1">IFERROR(__xludf.DUMMYFUNCTION("IMPORTRANGE(""https://docs.google.com/spreadsheets/d/1ItG2mGa2ceCfYo0BwxsXqNm01IGEUdYcSSLTEv9YCik/edit?usp=sharing"",""เบิกจ่ายกองทุน!W29"")"),105155.5)</f>
        <v>105155.5</v>
      </c>
      <c r="T765" s="224">
        <f t="shared" ca="1" si="190"/>
        <v>26.367978936810431</v>
      </c>
      <c r="U765" s="224">
        <f t="shared" ca="1" si="191"/>
        <v>26.367978936810431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468">
        <f>L767+L768</f>
        <v>0</v>
      </c>
      <c r="M766" s="224">
        <f>M767+M768</f>
        <v>0</v>
      </c>
      <c r="N766" s="224">
        <f>N767+N768</f>
        <v>0</v>
      </c>
      <c r="O766" s="224">
        <f t="shared" si="188"/>
        <v>0</v>
      </c>
      <c r="P766" s="224">
        <f t="shared" si="189"/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 t="shared" si="190"/>
        <v>0</v>
      </c>
      <c r="U766" s="224">
        <f t="shared" si="191"/>
        <v>0</v>
      </c>
    </row>
    <row r="767" spans="1:21" ht="18.75" hidden="1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469">
        <v>0</v>
      </c>
      <c r="M767" s="83">
        <v>0</v>
      </c>
      <c r="N767" s="83">
        <v>0</v>
      </c>
      <c r="O767" s="83">
        <f t="shared" si="188"/>
        <v>0</v>
      </c>
      <c r="P767" s="83">
        <f t="shared" si="189"/>
        <v>0</v>
      </c>
      <c r="Q767" s="83">
        <v>0</v>
      </c>
      <c r="R767" s="83">
        <v>0</v>
      </c>
      <c r="S767" s="83">
        <v>0</v>
      </c>
      <c r="T767" s="83">
        <f t="shared" si="190"/>
        <v>0</v>
      </c>
      <c r="U767" s="83">
        <f t="shared" si="191"/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468">
        <v>0</v>
      </c>
      <c r="M768" s="224">
        <v>0</v>
      </c>
      <c r="N768" s="224">
        <v>0</v>
      </c>
      <c r="O768" s="224">
        <f t="shared" si="188"/>
        <v>0</v>
      </c>
      <c r="P768" s="224">
        <f t="shared" si="189"/>
        <v>0</v>
      </c>
      <c r="Q768" s="224">
        <v>0</v>
      </c>
      <c r="R768" s="224">
        <v>0</v>
      </c>
      <c r="S768" s="224">
        <v>0</v>
      </c>
      <c r="T768" s="224">
        <f t="shared" si="190"/>
        <v>0</v>
      </c>
      <c r="U768" s="224">
        <f t="shared" si="191"/>
        <v>0</v>
      </c>
    </row>
    <row r="769" spans="1:21" ht="19.5" x14ac:dyDescent="0.3">
      <c r="A769" s="138"/>
      <c r="B769" s="139"/>
      <c r="C769" s="446" t="s">
        <v>18</v>
      </c>
      <c r="D769" s="467" t="s">
        <v>38</v>
      </c>
      <c r="E769" s="203"/>
      <c r="F769" s="141"/>
      <c r="G769" s="142"/>
      <c r="H769" s="178"/>
      <c r="I769" s="44"/>
      <c r="J769" s="44"/>
      <c r="K769" s="45"/>
      <c r="L769" s="465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377" t="s">
        <v>286</v>
      </c>
      <c r="E770" s="139"/>
      <c r="F770" s="145"/>
      <c r="G770" s="143"/>
      <c r="H770" s="375" t="s">
        <v>35</v>
      </c>
      <c r="I770" s="430">
        <f ca="1">IFERROR(__xludf.DUMMYFUNCTION("IMPORTRANGE(""https://docs.google.com/spreadsheets/d/1eHaY18a8A9IcSdp1K8H6x8fbOy06t2VsZHhMHf-1x7Y/edit?usp=sharing"",""แผน!FI29"")"),0)</f>
        <v>0</v>
      </c>
      <c r="J770" s="430">
        <v>0</v>
      </c>
      <c r="K770" s="83">
        <f ca="1">IF(I770&gt;0,J770*100/I770,0)</f>
        <v>0</v>
      </c>
      <c r="L770" s="465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377" t="s">
        <v>287</v>
      </c>
      <c r="E771" s="139"/>
      <c r="F771" s="145"/>
      <c r="G771" s="143"/>
      <c r="H771" s="178"/>
      <c r="I771" s="44"/>
      <c r="J771" s="44"/>
      <c r="K771" s="45"/>
      <c r="L771" s="465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10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IFERROR(__xludf.DUMMYFUNCTION("IMPORTRANGE(""https://docs.google.com/spreadsheets/d/1eHaY18a8A9IcSdp1K8H6x8fbOy06t2VsZHhMHf-1x7Y/edit?usp=sharing"",""แผน!FQ29"")"),50)</f>
        <v>50</v>
      </c>
      <c r="J772" s="466">
        <v>50</v>
      </c>
      <c r="K772" s="224">
        <f ca="1">IF(I772&gt;0,J772*100/I772,0)</f>
        <v>100</v>
      </c>
      <c r="L772" s="465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10" t="s">
        <v>289</v>
      </c>
      <c r="E773" s="139"/>
      <c r="F773" s="145"/>
      <c r="G773" s="143"/>
      <c r="H773" s="178"/>
      <c r="I773" s="44"/>
      <c r="J773" s="44"/>
      <c r="K773" s="45"/>
      <c r="L773" s="465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10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IFERROR(__xludf.DUMMYFUNCTION("IMPORTRANGE(""https://docs.google.com/spreadsheets/d/1eHaY18a8A9IcSdp1K8H6x8fbOy06t2VsZHhMHf-1x7Y/edit?usp=sharing"",""แผน!FR29"")"),100)</f>
        <v>100</v>
      </c>
      <c r="J774" s="466">
        <v>100</v>
      </c>
      <c r="K774" s="224">
        <f ca="1">IF(I774&gt;0,J774*100/I774,0)</f>
        <v>100</v>
      </c>
      <c r="L774" s="465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10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IFERROR(__xludf.DUMMYFUNCTION("IMPORTRANGE(""https://docs.google.com/spreadsheets/d/1eHaY18a8A9IcSdp1K8H6x8fbOy06t2VsZHhMHf-1x7Y/edit?usp=sharing"",""แผน!FS29"")"),100)</f>
        <v>100</v>
      </c>
      <c r="J775" s="466">
        <v>0</v>
      </c>
      <c r="K775" s="45"/>
      <c r="L775" s="465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IFERROR(__xludf.DUMMYFUNCTION("IMPORTRANGE(""https://docs.google.com/spreadsheets/d/1eHaY18a8A9IcSdp1K8H6x8fbOy06t2VsZHhMHf-1x7Y/edit?usp=sharing"",""แผน!FT29"")"),50)</f>
        <v>50</v>
      </c>
      <c r="J776" s="464">
        <v>0</v>
      </c>
      <c r="K776" s="3"/>
      <c r="L776" s="46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462" t="s">
        <v>291</v>
      </c>
      <c r="B777" s="449"/>
      <c r="C777" s="449"/>
      <c r="D777" s="448"/>
      <c r="E777" s="449"/>
      <c r="F777" s="449"/>
      <c r="G777" s="450"/>
      <c r="H777" s="461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2"/>
      <c r="J777" s="453"/>
      <c r="K777" s="454"/>
      <c r="L777" s="454"/>
      <c r="M777" s="454"/>
      <c r="N777" s="454"/>
      <c r="O777" s="454"/>
      <c r="P777" s="454"/>
      <c r="Q777" s="454"/>
      <c r="R777" s="454"/>
      <c r="S777" s="454"/>
      <c r="T777" s="454"/>
      <c r="U777" s="454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IFERROR(__xludf.DUMMYFUNCTION("IMPORTRANGE(""https://docs.google.com/spreadsheets/d/10OvvATaaLtwErnr3qtWFcTmtbfpFEt5Bsqel9sXx0uE/edit?usp=sharing"",""งานกองทุน!D29"")"),3157209.19)</f>
        <v>3157209.19</v>
      </c>
      <c r="J778" s="184">
        <f ca="1">IFERROR(__xludf.DUMMYFUNCTION("IMPORTRANGE(""https://docs.google.com/spreadsheets/d/10OvvATaaLtwErnr3qtWFcTmtbfpFEt5Bsqel9sXx0uE/edit?usp=sharing"",""งานกองทุน!F29"")"),1408416.58)</f>
        <v>1408416.58</v>
      </c>
      <c r="K778" s="224">
        <f t="shared" ref="K778:K785" ca="1" si="194">IF(I778&gt;0,J778*100/I778,0)</f>
        <v>44.60954264484451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IFERROR(__xludf.DUMMYFUNCTION("IMPORTRANGE(""https://docs.google.com/spreadsheets/d/10OvvATaaLtwErnr3qtWFcTmtbfpFEt5Bsqel9sXx0uE/edit?usp=sharing"",""งานกองทุน!C29"")"),136)</f>
        <v>136</v>
      </c>
      <c r="J779" s="184">
        <f ca="1">IFERROR(__xludf.DUMMYFUNCTION("IMPORTRANGE(""https://docs.google.com/spreadsheets/d/10OvvATaaLtwErnr3qtWFcTmtbfpFEt5Bsqel9sXx0uE/edit?usp=sharing"",""งานกองทุน!E29"")"),99)</f>
        <v>99</v>
      </c>
      <c r="K779" s="224">
        <f t="shared" ca="1" si="194"/>
        <v>72.794117647058826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IFERROR(__xludf.DUMMYFUNCTION("IMPORTRANGE(""https://docs.google.com/spreadsheets/d/10OvvATaaLtwErnr3qtWFcTmtbfpFEt5Bsqel9sXx0uE/edit?usp=sharing"",""งานกองทุน!I29"")"),19061839.05)</f>
        <v>19061839.050000001</v>
      </c>
      <c r="J780" s="184">
        <f ca="1">IFERROR(__xludf.DUMMYFUNCTION("IMPORTRANGE(""https://docs.google.com/spreadsheets/d/10OvvATaaLtwErnr3qtWFcTmtbfpFEt5Bsqel9sXx0uE/edit?usp=sharing"",""งานกองทุน!K29"")"),886484.09)</f>
        <v>886484.09</v>
      </c>
      <c r="K780" s="224">
        <f t="shared" ca="1" si="194"/>
        <v>4.6505695891918677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IFERROR(__xludf.DUMMYFUNCTION("IMPORTRANGE(""https://docs.google.com/spreadsheets/d/10OvvATaaLtwErnr3qtWFcTmtbfpFEt5Bsqel9sXx0uE/edit?usp=sharing"",""งานกองทุน!H29"")"),683)</f>
        <v>683</v>
      </c>
      <c r="J781" s="184">
        <f ca="1">IFERROR(__xludf.DUMMYFUNCTION("IMPORTRANGE(""https://docs.google.com/spreadsheets/d/10OvvATaaLtwErnr3qtWFcTmtbfpFEt5Bsqel9sXx0uE/edit?usp=sharing"",""งานกองทุน!J29"")"),179)</f>
        <v>179</v>
      </c>
      <c r="K781" s="224">
        <f t="shared" ca="1" si="194"/>
        <v>26.207906295754025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IFERROR(__xludf.DUMMYFUNCTION("IMPORTRANGE(""https://docs.google.com/spreadsheets/d/10OvvATaaLtwErnr3qtWFcTmtbfpFEt5Bsqel9sXx0uE/edit?usp=sharing"",""งานกองทุน!N29"")"),1073177.07)</f>
        <v>1073177.07</v>
      </c>
      <c r="J782" s="184">
        <f ca="1">IFERROR(__xludf.DUMMYFUNCTION("IMPORTRANGE(""https://docs.google.com/spreadsheets/d/10OvvATaaLtwErnr3qtWFcTmtbfpFEt5Bsqel9sXx0uE/edit?usp=sharing"",""งานกองทุน!P29"")"),66085.45)</f>
        <v>66085.45</v>
      </c>
      <c r="K782" s="224">
        <f t="shared" ca="1" si="194"/>
        <v>6.1579260168128638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IFERROR(__xludf.DUMMYFUNCTION("IMPORTRANGE(""https://docs.google.com/spreadsheets/d/10OvvATaaLtwErnr3qtWFcTmtbfpFEt5Bsqel9sXx0uE/edit?usp=sharing"",""งานกองทุน!M29"")"),63)</f>
        <v>63</v>
      </c>
      <c r="J783" s="184">
        <f ca="1">IFERROR(__xludf.DUMMYFUNCTION("IMPORTRANGE(""https://docs.google.com/spreadsheets/d/10OvvATaaLtwErnr3qtWFcTmtbfpFEt5Bsqel9sXx0uE/edit?usp=sharing"",""งานกองทุน!O29"")"),17)</f>
        <v>17</v>
      </c>
      <c r="K783" s="224">
        <f t="shared" ca="1" si="194"/>
        <v>26.984126984126984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IFERROR(__xludf.DUMMYFUNCTION("IMPORTRANGE(""https://docs.google.com/spreadsheets/d/10OvvATaaLtwErnr3qtWFcTmtbfpFEt5Bsqel9sXx0uE/edit?usp=sharing"",""งานกองทุน!S29"")"),14980000)</f>
        <v>14980000</v>
      </c>
      <c r="J784" s="184">
        <f ca="1">IFERROR(__xludf.DUMMYFUNCTION("IMPORTRANGE(""https://docs.google.com/spreadsheets/d/10OvvATaaLtwErnr3qtWFcTmtbfpFEt5Bsqel9sXx0uE/edit?usp=sharing"",""งานกองทุน!U29"")"),4030000)</f>
        <v>4030000</v>
      </c>
      <c r="K784" s="224">
        <f t="shared" ca="1" si="194"/>
        <v>26.902536715620826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IFERROR(__xludf.DUMMYFUNCTION("IMPORTRANGE(""https://docs.google.com/spreadsheets/d/10OvvATaaLtwErnr3qtWFcTmtbfpFEt5Bsqel9sXx0uE/edit?usp=sharing"",""งานกองทุน!R29"")"),535)</f>
        <v>535</v>
      </c>
      <c r="J785" s="188">
        <f ca="1">IFERROR(__xludf.DUMMYFUNCTION("IMPORTRANGE(""https://docs.google.com/spreadsheets/d/10OvvATaaLtwErnr3qtWFcTmtbfpFEt5Bsqel9sXx0uE/edit?usp=sharing"",""งานกองทุน!T29"")"),98)</f>
        <v>98</v>
      </c>
      <c r="K785" s="455">
        <f t="shared" ca="1" si="194"/>
        <v>18.317757009345794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460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4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4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horizontalDpi="4294967293" verticalDpi="4294967293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3F6AA-36FB-4BC8-AF8D-0F6CF15525DF}">
  <sheetPr>
    <outlinePr summaryBelow="0" summaryRight="0"/>
  </sheetPr>
  <dimension ref="A1:U789"/>
  <sheetViews>
    <sheetView view="pageBreakPreview" zoomScale="60" zoomScaleNormal="70" workbookViewId="0">
      <pane xSplit="8" ySplit="6" topLeftCell="I17" activePane="bottomRight" state="frozen"/>
      <selection activeCell="N28" sqref="N28"/>
      <selection pane="topRight" activeCell="N28" sqref="N28"/>
      <selection pane="bottomLeft" activeCell="N28" sqref="N28"/>
      <selection pane="bottomRight" activeCell="N28" sqref="N2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7109375" bestFit="1" customWidth="1"/>
    <col min="11" max="11" width="12.42578125" bestFit="1" customWidth="1"/>
    <col min="12" max="14" width="21" bestFit="1" customWidth="1"/>
    <col min="15" max="15" width="20.140625" bestFit="1" customWidth="1"/>
    <col min="16" max="16" width="22" bestFit="1" customWidth="1"/>
    <col min="17" max="18" width="21" bestFit="1" customWidth="1"/>
    <col min="19" max="19" width="18.57031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815" t="s">
        <v>0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5"/>
      <c r="T1" s="815"/>
      <c r="U1" s="815"/>
    </row>
    <row r="2" spans="1:21" ht="19.5" x14ac:dyDescent="0.3">
      <c r="A2" s="815" t="s">
        <v>334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</row>
    <row r="3" spans="1:21" ht="19.5" x14ac:dyDescent="0.3">
      <c r="A3" s="815" t="s">
        <v>335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709"/>
      <c r="L4" s="816" t="s">
        <v>2</v>
      </c>
      <c r="M4" s="800"/>
      <c r="N4" s="800"/>
      <c r="O4" s="800"/>
      <c r="P4" s="801"/>
      <c r="Q4" s="817" t="s">
        <v>3</v>
      </c>
      <c r="R4" s="800"/>
      <c r="S4" s="800"/>
      <c r="T4" s="800"/>
      <c r="U4" s="801"/>
    </row>
    <row r="5" spans="1:21" ht="19.5" x14ac:dyDescent="0.3">
      <c r="A5" s="822" t="s">
        <v>4</v>
      </c>
      <c r="B5" s="797"/>
      <c r="C5" s="797"/>
      <c r="D5" s="797"/>
      <c r="E5" s="797"/>
      <c r="F5" s="797"/>
      <c r="G5" s="798"/>
      <c r="H5" s="789" t="s">
        <v>5</v>
      </c>
      <c r="I5" s="814" t="s">
        <v>6</v>
      </c>
      <c r="J5" s="800"/>
      <c r="K5" s="801"/>
      <c r="L5" s="818" t="s">
        <v>7</v>
      </c>
      <c r="M5" s="801"/>
      <c r="N5" s="807" t="s">
        <v>8</v>
      </c>
      <c r="O5" s="800"/>
      <c r="P5" s="801"/>
      <c r="Q5" s="808" t="s">
        <v>7</v>
      </c>
      <c r="R5" s="801"/>
      <c r="S5" s="807" t="s">
        <v>8</v>
      </c>
      <c r="T5" s="800"/>
      <c r="U5" s="801"/>
    </row>
    <row r="6" spans="1:21" ht="19.5" x14ac:dyDescent="0.3">
      <c r="A6" s="799"/>
      <c r="B6" s="800"/>
      <c r="C6" s="800"/>
      <c r="D6" s="800"/>
      <c r="E6" s="800"/>
      <c r="F6" s="800"/>
      <c r="G6" s="801"/>
      <c r="H6" s="788"/>
      <c r="I6" s="6" t="s">
        <v>9</v>
      </c>
      <c r="J6" s="7" t="s">
        <v>10</v>
      </c>
      <c r="K6" s="6" t="s">
        <v>11</v>
      </c>
      <c r="L6" s="706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823"/>
      <c r="B7" s="800"/>
      <c r="C7" s="800"/>
      <c r="D7" s="800"/>
      <c r="E7" s="800"/>
      <c r="F7" s="800"/>
      <c r="G7" s="801"/>
      <c r="H7" s="14"/>
      <c r="I7" s="15"/>
      <c r="J7" s="15"/>
      <c r="K7" s="16"/>
      <c r="L7" s="580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571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71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71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71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71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71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71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71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580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803" t="s">
        <v>309</v>
      </c>
      <c r="B17" s="800"/>
      <c r="C17" s="800"/>
      <c r="D17" s="800"/>
      <c r="E17" s="800"/>
      <c r="F17" s="800"/>
      <c r="G17" s="801"/>
      <c r="H17" s="23"/>
      <c r="I17" s="24"/>
      <c r="J17" s="24"/>
      <c r="K17" s="25"/>
      <c r="L17" s="705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704">
        <f ca="1">L19+L20</f>
        <v>2473480</v>
      </c>
      <c r="M18" s="664">
        <f ca="1">M19+M20</f>
        <v>2502439</v>
      </c>
      <c r="N18" s="664">
        <f ca="1">N19+N20</f>
        <v>1930343.3399999999</v>
      </c>
      <c r="O18" s="664">
        <f t="shared" ref="O18:O26" ca="1" si="0">IF(L18&gt;0,N18*100/L18,0)</f>
        <v>78.041598880928888</v>
      </c>
      <c r="P18" s="664">
        <f t="shared" ref="P18:P26" ca="1" si="1">IF(M18&gt;0,N18*100/M18,0)</f>
        <v>77.138477301544611</v>
      </c>
      <c r="Q18" s="664">
        <f ca="1">Q19+Q20</f>
        <v>4457314.24</v>
      </c>
      <c r="R18" s="664">
        <f ca="1">R19+R20</f>
        <v>4457314</v>
      </c>
      <c r="S18" s="664">
        <f ca="1">S19+S20</f>
        <v>614241.19999999995</v>
      </c>
      <c r="T18" s="664">
        <f t="shared" ref="T18:T26" ca="1" si="2">IF(Q18&gt;0,S18*100/Q18,0)</f>
        <v>13.780522685337974</v>
      </c>
      <c r="U18" s="664">
        <f t="shared" ref="U18:U26" ca="1" si="3">IF(R18&gt;0,S18*100/R18,0)</f>
        <v>13.780523427337629</v>
      </c>
    </row>
    <row r="19" spans="1:21" ht="18.75" hidden="1" x14ac:dyDescent="0.25">
      <c r="A19" s="26"/>
      <c r="B19" s="27"/>
      <c r="C19" s="27"/>
      <c r="D19" s="27"/>
      <c r="E19" s="703" t="s">
        <v>20</v>
      </c>
      <c r="F19" s="27"/>
      <c r="G19" s="30"/>
      <c r="H19" s="702" t="s">
        <v>14</v>
      </c>
      <c r="I19" s="32"/>
      <c r="J19" s="32"/>
      <c r="K19" s="33"/>
      <c r="L19" s="701">
        <f t="shared" ref="L19:N20" si="4">L22+L25</f>
        <v>0</v>
      </c>
      <c r="M19" s="700">
        <f t="shared" si="4"/>
        <v>0</v>
      </c>
      <c r="N19" s="700">
        <f t="shared" si="4"/>
        <v>0</v>
      </c>
      <c r="O19" s="700">
        <f t="shared" si="0"/>
        <v>0</v>
      </c>
      <c r="P19" s="700">
        <f t="shared" si="1"/>
        <v>0</v>
      </c>
      <c r="Q19" s="700">
        <f t="shared" ref="Q19:S20" si="5">Q22+Q25</f>
        <v>0</v>
      </c>
      <c r="R19" s="700">
        <f t="shared" si="5"/>
        <v>0</v>
      </c>
      <c r="S19" s="700">
        <f t="shared" si="5"/>
        <v>0</v>
      </c>
      <c r="T19" s="700">
        <f t="shared" si="2"/>
        <v>0</v>
      </c>
      <c r="U19" s="700">
        <f t="shared" si="3"/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699">
        <f t="shared" ca="1" si="4"/>
        <v>2473480</v>
      </c>
      <c r="M20" s="698">
        <f t="shared" ca="1" si="4"/>
        <v>2502439</v>
      </c>
      <c r="N20" s="698">
        <f t="shared" ca="1" si="4"/>
        <v>1930343.3399999999</v>
      </c>
      <c r="O20" s="698">
        <f t="shared" ca="1" si="0"/>
        <v>78.041598880928888</v>
      </c>
      <c r="P20" s="698">
        <f t="shared" ca="1" si="1"/>
        <v>77.138477301544611</v>
      </c>
      <c r="Q20" s="698">
        <f t="shared" ca="1" si="5"/>
        <v>4457314.24</v>
      </c>
      <c r="R20" s="698">
        <f t="shared" ca="1" si="5"/>
        <v>4457314</v>
      </c>
      <c r="S20" s="698">
        <f t="shared" ca="1" si="5"/>
        <v>614241.19999999995</v>
      </c>
      <c r="T20" s="698">
        <f t="shared" ca="1" si="2"/>
        <v>13.780522685337974</v>
      </c>
      <c r="U20" s="698">
        <f t="shared" ca="1" si="3"/>
        <v>13.780523427337629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468">
        <f ca="1">L22+L23</f>
        <v>2473480</v>
      </c>
      <c r="M21" s="224">
        <f ca="1">M22+M23</f>
        <v>2502439</v>
      </c>
      <c r="N21" s="224">
        <f ca="1">N22+N23</f>
        <v>1930343.3399999999</v>
      </c>
      <c r="O21" s="224">
        <f t="shared" ca="1" si="0"/>
        <v>78.041598880928888</v>
      </c>
      <c r="P21" s="224">
        <f t="shared" ca="1" si="1"/>
        <v>77.138477301544611</v>
      </c>
      <c r="Q21" s="224">
        <f ca="1">Q22+Q23</f>
        <v>4457314.24</v>
      </c>
      <c r="R21" s="224">
        <f ca="1">R22+R23</f>
        <v>4457314</v>
      </c>
      <c r="S21" s="224">
        <f ca="1">S22+S23</f>
        <v>614241.19999999995</v>
      </c>
      <c r="T21" s="224">
        <f t="shared" ca="1" si="2"/>
        <v>13.780522685337974</v>
      </c>
      <c r="U21" s="224">
        <f t="shared" ca="1" si="3"/>
        <v>13.780523427337629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674" t="s">
        <v>14</v>
      </c>
      <c r="I22" s="44"/>
      <c r="J22" s="44"/>
      <c r="K22" s="45"/>
      <c r="L22" s="469">
        <f t="shared" ref="L22:N23" si="6">L48+L63+L76+L98+L129+L143+L161+L190+L177+L270+L286+L307+L324+L337+L360+L517</f>
        <v>0</v>
      </c>
      <c r="M22" s="83">
        <f t="shared" si="6"/>
        <v>0</v>
      </c>
      <c r="N22" s="83">
        <f t="shared" si="6"/>
        <v>0</v>
      </c>
      <c r="O22" s="83">
        <f t="shared" si="0"/>
        <v>0</v>
      </c>
      <c r="P22" s="83">
        <f t="shared" si="1"/>
        <v>0</v>
      </c>
      <c r="Q22" s="83">
        <f t="shared" ref="Q22:S23" si="7">Q76+Q98+Q121+Q143+Q161+Q177+Q190+Q270+Q286+Q307+Q337+Q379+Q396+Q417+Q497+Q603+Q620+Q646+Q694+Q718+Q732+Q764</f>
        <v>0</v>
      </c>
      <c r="R22" s="83">
        <f t="shared" si="7"/>
        <v>0</v>
      </c>
      <c r="S22" s="83">
        <f t="shared" si="7"/>
        <v>0</v>
      </c>
      <c r="T22" s="83">
        <f t="shared" si="2"/>
        <v>0</v>
      </c>
      <c r="U22" s="83">
        <f t="shared" si="3"/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468">
        <f t="shared" ca="1" si="6"/>
        <v>2473480</v>
      </c>
      <c r="M23" s="224">
        <f t="shared" ca="1" si="6"/>
        <v>2502439</v>
      </c>
      <c r="N23" s="224">
        <f t="shared" ca="1" si="6"/>
        <v>1930343.3399999999</v>
      </c>
      <c r="O23" s="224">
        <f t="shared" ca="1" si="0"/>
        <v>78.041598880928888</v>
      </c>
      <c r="P23" s="224">
        <f t="shared" ca="1" si="1"/>
        <v>77.138477301544611</v>
      </c>
      <c r="Q23" s="224">
        <f t="shared" ca="1" si="7"/>
        <v>4457314.24</v>
      </c>
      <c r="R23" s="224">
        <f t="shared" ca="1" si="7"/>
        <v>4457314</v>
      </c>
      <c r="S23" s="224">
        <f t="shared" ca="1" si="7"/>
        <v>614241.19999999995</v>
      </c>
      <c r="T23" s="224">
        <f t="shared" ca="1" si="2"/>
        <v>13.780522685337974</v>
      </c>
      <c r="U23" s="224">
        <f t="shared" ca="1" si="3"/>
        <v>13.780523427337629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468">
        <f ca="1">L25+L26</f>
        <v>0</v>
      </c>
      <c r="M24" s="224">
        <f ca="1">M25+M26</f>
        <v>0</v>
      </c>
      <c r="N24" s="224">
        <f ca="1">N25+N26</f>
        <v>0</v>
      </c>
      <c r="O24" s="224">
        <f t="shared" ca="1" si="0"/>
        <v>0</v>
      </c>
      <c r="P24" s="224">
        <f t="shared" ca="1" si="1"/>
        <v>0</v>
      </c>
      <c r="Q24" s="224">
        <f>Q25+Q26</f>
        <v>0</v>
      </c>
      <c r="R24" s="224">
        <f>R25+R26</f>
        <v>0</v>
      </c>
      <c r="S24" s="224">
        <f>S25+S26</f>
        <v>0</v>
      </c>
      <c r="T24" s="224">
        <f t="shared" si="2"/>
        <v>0</v>
      </c>
      <c r="U24" s="224">
        <f t="shared" si="3"/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674" t="s">
        <v>14</v>
      </c>
      <c r="I25" s="44"/>
      <c r="J25" s="44"/>
      <c r="K25" s="45"/>
      <c r="L25" s="469">
        <f t="shared" ref="L25:N26" si="8">L51+L66+L79+L101+L132+L146+L164+L193+L180+L273+L289+L310+L327+L340+L363+L520</f>
        <v>0</v>
      </c>
      <c r="M25" s="83">
        <f t="shared" si="8"/>
        <v>0</v>
      </c>
      <c r="N25" s="83">
        <f t="shared" si="8"/>
        <v>0</v>
      </c>
      <c r="O25" s="83">
        <f t="shared" si="0"/>
        <v>0</v>
      </c>
      <c r="P25" s="83">
        <f t="shared" si="1"/>
        <v>0</v>
      </c>
      <c r="Q25" s="83">
        <f t="shared" ref="Q25:S26" si="9">Q79+Q101+Q124+Q146+Q164+Q180+Q193+Q273+Q289+Q310+Q340+Q382+Q399+Q420+Q500+Q606+Q623+Q649+Q697+Q721+Q735+Q767</f>
        <v>0</v>
      </c>
      <c r="R25" s="83">
        <f t="shared" si="9"/>
        <v>0</v>
      </c>
      <c r="S25" s="83">
        <f t="shared" si="9"/>
        <v>0</v>
      </c>
      <c r="T25" s="83">
        <f t="shared" si="2"/>
        <v>0</v>
      </c>
      <c r="U25" s="83">
        <f t="shared" si="3"/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468">
        <f t="shared" ca="1" si="8"/>
        <v>0</v>
      </c>
      <c r="M26" s="224">
        <f t="shared" ca="1" si="8"/>
        <v>0</v>
      </c>
      <c r="N26" s="224">
        <f t="shared" ca="1" si="8"/>
        <v>0</v>
      </c>
      <c r="O26" s="224">
        <f t="shared" ca="1" si="0"/>
        <v>0</v>
      </c>
      <c r="P26" s="224">
        <f t="shared" ca="1" si="1"/>
        <v>0</v>
      </c>
      <c r="Q26" s="83">
        <f t="shared" si="9"/>
        <v>0</v>
      </c>
      <c r="R26" s="83">
        <f t="shared" si="9"/>
        <v>0</v>
      </c>
      <c r="S26" s="83">
        <f t="shared" si="9"/>
        <v>0</v>
      </c>
      <c r="T26" s="224">
        <f t="shared" si="2"/>
        <v>0</v>
      </c>
      <c r="U26" s="224">
        <f t="shared" si="3"/>
        <v>0</v>
      </c>
    </row>
    <row r="27" spans="1:21" ht="18.75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465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674" t="s">
        <v>14</v>
      </c>
      <c r="I28" s="44"/>
      <c r="J28" s="44"/>
      <c r="K28" s="45"/>
      <c r="L28" s="465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463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823"/>
      <c r="B30" s="800"/>
      <c r="C30" s="800"/>
      <c r="D30" s="800"/>
      <c r="E30" s="800"/>
      <c r="F30" s="800"/>
      <c r="G30" s="801"/>
      <c r="H30" s="14"/>
      <c r="I30" s="15"/>
      <c r="J30" s="15"/>
      <c r="K30" s="16"/>
      <c r="L30" s="580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571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7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71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7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7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7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7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71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580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697">
        <f ca="1">L44+L59+L72+L94+L125+L139+L157+L173+L186+L266+L282+L303+L320+L333+L356</f>
        <v>2473480</v>
      </c>
      <c r="M40" s="696">
        <f ca="1">M44+M59+M72+M94+M125+M139+M157+M173+M186+M266+M282+M303+M320+M333+M356</f>
        <v>2502439</v>
      </c>
      <c r="N40" s="696">
        <f ca="1">N44+N59+N72+N94+N125+N139+N157+N173+N186+N266+N282+N303+N320+N333+N356</f>
        <v>1930343.3399999999</v>
      </c>
      <c r="O40" s="696">
        <f ca="1">IF(L40&gt;0,N40*100/L40,0)</f>
        <v>78.041598880928888</v>
      </c>
      <c r="P40" s="696">
        <f ca="1">IF(M40&gt;0,N40*100/M40,0)</f>
        <v>77.138477301544611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695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571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694" t="s">
        <v>19</v>
      </c>
      <c r="E44" s="71"/>
      <c r="F44" s="71"/>
      <c r="G44" s="74"/>
      <c r="H44" s="75" t="s">
        <v>14</v>
      </c>
      <c r="I44" s="76"/>
      <c r="J44" s="76"/>
      <c r="K44" s="77"/>
      <c r="L44" s="693">
        <f ca="1">L45+L46</f>
        <v>535970</v>
      </c>
      <c r="M44" s="692">
        <f ca="1">M45+M46</f>
        <v>556929</v>
      </c>
      <c r="N44" s="692">
        <f ca="1">N45+N46</f>
        <v>519280</v>
      </c>
      <c r="O44" s="692">
        <f t="shared" ref="O44:O52" ca="1" si="10">IF(L44&gt;0,N44*100/L44,0)</f>
        <v>96.886019739910822</v>
      </c>
      <c r="P44" s="692">
        <f t="shared" ref="P44:P52" ca="1" si="11">IF(M44&gt;0,N44*100/M44,0)</f>
        <v>93.239892338161596</v>
      </c>
      <c r="Q44" s="692">
        <f>Q45+Q46</f>
        <v>0</v>
      </c>
      <c r="R44" s="692">
        <f>R45+R46</f>
        <v>0</v>
      </c>
      <c r="S44" s="692">
        <f>S45+S46</f>
        <v>0</v>
      </c>
      <c r="T44" s="692">
        <f t="shared" ref="T44:T52" si="12">IF(Q44&gt;0,S44*100/Q44,0)</f>
        <v>0</v>
      </c>
      <c r="U44" s="692">
        <f t="shared" ref="U44:U52" si="13">IF(R44&gt;0,S44*100/R44,0)</f>
        <v>0</v>
      </c>
    </row>
    <row r="45" spans="1:21" ht="18.75" hidden="1" x14ac:dyDescent="0.25">
      <c r="A45" s="70"/>
      <c r="B45" s="71"/>
      <c r="C45" s="71"/>
      <c r="D45" s="71"/>
      <c r="E45" s="691" t="s">
        <v>20</v>
      </c>
      <c r="F45" s="71"/>
      <c r="G45" s="74"/>
      <c r="H45" s="690" t="s">
        <v>14</v>
      </c>
      <c r="I45" s="76"/>
      <c r="J45" s="76"/>
      <c r="K45" s="77"/>
      <c r="L45" s="689">
        <f t="shared" ref="L45:N46" si="14">L48+L51</f>
        <v>0</v>
      </c>
      <c r="M45" s="688">
        <f t="shared" si="14"/>
        <v>0</v>
      </c>
      <c r="N45" s="688">
        <f t="shared" si="14"/>
        <v>0</v>
      </c>
      <c r="O45" s="688">
        <f t="shared" si="10"/>
        <v>0</v>
      </c>
      <c r="P45" s="688">
        <f t="shared" si="11"/>
        <v>0</v>
      </c>
      <c r="Q45" s="688">
        <f t="shared" ref="Q45:S46" si="15">Q48+Q51</f>
        <v>0</v>
      </c>
      <c r="R45" s="688">
        <f t="shared" si="15"/>
        <v>0</v>
      </c>
      <c r="S45" s="688">
        <f t="shared" si="15"/>
        <v>0</v>
      </c>
      <c r="T45" s="688">
        <f t="shared" si="12"/>
        <v>0</v>
      </c>
      <c r="U45" s="688">
        <f t="shared" si="13"/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687">
        <f t="shared" ca="1" si="14"/>
        <v>535970</v>
      </c>
      <c r="M46" s="686">
        <f t="shared" ca="1" si="14"/>
        <v>556929</v>
      </c>
      <c r="N46" s="686">
        <f t="shared" ca="1" si="14"/>
        <v>519280</v>
      </c>
      <c r="O46" s="686">
        <f t="shared" ca="1" si="10"/>
        <v>96.886019739910822</v>
      </c>
      <c r="P46" s="686">
        <f t="shared" ca="1" si="11"/>
        <v>93.239892338161596</v>
      </c>
      <c r="Q46" s="686">
        <f t="shared" si="15"/>
        <v>0</v>
      </c>
      <c r="R46" s="686">
        <f t="shared" si="15"/>
        <v>0</v>
      </c>
      <c r="S46" s="686">
        <f t="shared" si="15"/>
        <v>0</v>
      </c>
      <c r="T46" s="686">
        <f t="shared" si="12"/>
        <v>0</v>
      </c>
      <c r="U46" s="686">
        <f t="shared" si="13"/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468">
        <f ca="1">L48+L49</f>
        <v>535970</v>
      </c>
      <c r="M47" s="224">
        <f ca="1">M48+M49</f>
        <v>556929</v>
      </c>
      <c r="N47" s="224">
        <f ca="1">N48+N49</f>
        <v>519280</v>
      </c>
      <c r="O47" s="224">
        <f t="shared" ca="1" si="10"/>
        <v>96.886019739910822</v>
      </c>
      <c r="P47" s="224">
        <f t="shared" ca="1" si="11"/>
        <v>93.239892338161596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 t="shared" si="12"/>
        <v>0</v>
      </c>
      <c r="U47" s="224">
        <f t="shared" si="13"/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674" t="s">
        <v>14</v>
      </c>
      <c r="I48" s="44"/>
      <c r="J48" s="44"/>
      <c r="K48" s="45"/>
      <c r="L48" s="469">
        <v>0</v>
      </c>
      <c r="M48" s="83">
        <v>0</v>
      </c>
      <c r="N48" s="83">
        <v>0</v>
      </c>
      <c r="O48" s="83">
        <f t="shared" si="10"/>
        <v>0</v>
      </c>
      <c r="P48" s="83">
        <f t="shared" si="11"/>
        <v>0</v>
      </c>
      <c r="Q48" s="83">
        <v>0</v>
      </c>
      <c r="R48" s="83">
        <v>0</v>
      </c>
      <c r="S48" s="83">
        <v>0</v>
      </c>
      <c r="T48" s="83">
        <f t="shared" si="12"/>
        <v>0</v>
      </c>
      <c r="U48" s="83">
        <f t="shared" si="13"/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468">
        <f ca="1">IFERROR(__xludf.DUMMYFUNCTION("IMPORTRANGE(""https://docs.google.com/spreadsheets/d/1-uDff_7J0KD5mKrp0Vvzr7lt3OU09vwQwhkpOPPYv2Y/edit?usp=sharing"",""งบพรบ!P30"")"),535970)</f>
        <v>535970</v>
      </c>
      <c r="M49" s="224">
        <f ca="1">IFERROR(__xludf.DUMMYFUNCTION("IMPORTRANGE(""https://docs.google.com/spreadsheets/d/1-uDff_7J0KD5mKrp0Vvzr7lt3OU09vwQwhkpOPPYv2Y/edit?usp=sharing"",""งบพรบ!V30"")"),556929)</f>
        <v>556929</v>
      </c>
      <c r="N49" s="224">
        <f ca="1">IFERROR(__xludf.DUMMYFUNCTION("IMPORTRANGE(""https://docs.google.com/spreadsheets/d/1-uDff_7J0KD5mKrp0Vvzr7lt3OU09vwQwhkpOPPYv2Y/edit?usp=sharing"",""งบพรบ!Y30"")"),519280)</f>
        <v>519280</v>
      </c>
      <c r="O49" s="224">
        <f t="shared" ca="1" si="10"/>
        <v>96.886019739910822</v>
      </c>
      <c r="P49" s="224">
        <f t="shared" ca="1" si="11"/>
        <v>93.239892338161596</v>
      </c>
      <c r="Q49" s="224">
        <v>0</v>
      </c>
      <c r="R49" s="224">
        <v>0</v>
      </c>
      <c r="S49" s="224">
        <v>0</v>
      </c>
      <c r="T49" s="224">
        <f t="shared" si="12"/>
        <v>0</v>
      </c>
      <c r="U49" s="224">
        <f t="shared" si="13"/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468">
        <f ca="1">L51+L52</f>
        <v>0</v>
      </c>
      <c r="M50" s="224">
        <f ca="1">M51+M52</f>
        <v>0</v>
      </c>
      <c r="N50" s="224">
        <f ca="1">N51+N52</f>
        <v>0</v>
      </c>
      <c r="O50" s="224">
        <f t="shared" ca="1" si="10"/>
        <v>0</v>
      </c>
      <c r="P50" s="224">
        <f t="shared" ca="1" si="11"/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 t="shared" si="12"/>
        <v>0</v>
      </c>
      <c r="U50" s="224">
        <f t="shared" si="13"/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674" t="s">
        <v>14</v>
      </c>
      <c r="I51" s="44"/>
      <c r="J51" s="44"/>
      <c r="K51" s="45"/>
      <c r="L51" s="469">
        <v>0</v>
      </c>
      <c r="M51" s="83">
        <v>0</v>
      </c>
      <c r="N51" s="83">
        <v>0</v>
      </c>
      <c r="O51" s="83">
        <f t="shared" si="10"/>
        <v>0</v>
      </c>
      <c r="P51" s="83">
        <f t="shared" si="11"/>
        <v>0</v>
      </c>
      <c r="Q51" s="83">
        <v>0</v>
      </c>
      <c r="R51" s="83">
        <v>0</v>
      </c>
      <c r="S51" s="83">
        <v>0</v>
      </c>
      <c r="T51" s="83">
        <f t="shared" si="12"/>
        <v>0</v>
      </c>
      <c r="U51" s="83">
        <f t="shared" si="13"/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468">
        <f ca="1">IFERROR(__xludf.DUMMYFUNCTION("IMPORTRANGE(""https://docs.google.com/spreadsheets/d/1-uDff_7J0KD5mKrp0Vvzr7lt3OU09vwQwhkpOPPYv2Y/edit?usp=sharing"",""งบพรบ!S30"")"),0)</f>
        <v>0</v>
      </c>
      <c r="M52" s="224">
        <f ca="1">IFERROR(__xludf.DUMMYFUNCTION("IMPORTRANGE(""https://docs.google.com/spreadsheets/d/1-uDff_7J0KD5mKrp0Vvzr7lt3OU09vwQwhkpOPPYv2Y/edit?usp=sharing"",""งบพรบ!W30"")"),0)</f>
        <v>0</v>
      </c>
      <c r="N52" s="224">
        <f ca="1">IFERROR(__xludf.DUMMYFUNCTION("IMPORTRANGE(""https://docs.google.com/spreadsheets/d/1-uDff_7J0KD5mKrp0Vvzr7lt3OU09vwQwhkpOPPYv2Y/edit?usp=sharing"",""งบพรบ!Z30"")"),0)</f>
        <v>0</v>
      </c>
      <c r="O52" s="224">
        <f t="shared" ca="1" si="10"/>
        <v>0</v>
      </c>
      <c r="P52" s="224">
        <f t="shared" ca="1" si="11"/>
        <v>0</v>
      </c>
      <c r="Q52" s="224">
        <v>0</v>
      </c>
      <c r="R52" s="224">
        <v>0</v>
      </c>
      <c r="S52" s="224">
        <v>0</v>
      </c>
      <c r="T52" s="224">
        <f t="shared" si="12"/>
        <v>0</v>
      </c>
      <c r="U52" s="224">
        <f t="shared" si="13"/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465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674" t="s">
        <v>14</v>
      </c>
      <c r="I54" s="44"/>
      <c r="J54" s="44"/>
      <c r="K54" s="45"/>
      <c r="L54" s="465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463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804" t="s">
        <v>28</v>
      </c>
      <c r="B56" s="800"/>
      <c r="C56" s="800"/>
      <c r="D56" s="800"/>
      <c r="E56" s="800"/>
      <c r="F56" s="800"/>
      <c r="G56" s="80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805" t="s">
        <v>29</v>
      </c>
      <c r="C57" s="793"/>
      <c r="D57" s="793"/>
      <c r="E57" s="793"/>
      <c r="F57" s="793"/>
      <c r="G57" s="794"/>
      <c r="H57" s="89"/>
      <c r="I57" s="90"/>
      <c r="J57" s="90"/>
      <c r="K57" s="91"/>
      <c r="L57" s="68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8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8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82">
        <f ca="1">L60+L61</f>
        <v>531900</v>
      </c>
      <c r="M59" s="681">
        <f ca="1">M60+M61</f>
        <v>531900</v>
      </c>
      <c r="N59" s="681">
        <f ca="1">N60+N61</f>
        <v>522329.02</v>
      </c>
      <c r="O59" s="681">
        <f t="shared" ref="O59:O67" ca="1" si="16">IF(L59&gt;0,N59*100/L59,0)</f>
        <v>98.200605376950548</v>
      </c>
      <c r="P59" s="681">
        <f t="shared" ref="P59:P67" ca="1" si="17">IF(M59&gt;0,N59*100/M59,0)</f>
        <v>98.200605376950548</v>
      </c>
      <c r="Q59" s="681">
        <f>Q60+Q61</f>
        <v>0</v>
      </c>
      <c r="R59" s="681">
        <f>R60+R61</f>
        <v>0</v>
      </c>
      <c r="S59" s="681">
        <f>S60+S61</f>
        <v>0</v>
      </c>
      <c r="T59" s="681">
        <f t="shared" ref="T59:T67" si="18">IF(Q59&gt;0,S59*100/Q59,0)</f>
        <v>0</v>
      </c>
      <c r="U59" s="681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80" t="s">
        <v>20</v>
      </c>
      <c r="F60" s="99"/>
      <c r="G60" s="102"/>
      <c r="H60" s="679" t="s">
        <v>14</v>
      </c>
      <c r="I60" s="104"/>
      <c r="J60" s="104"/>
      <c r="K60" s="105"/>
      <c r="L60" s="678">
        <f t="shared" ref="L60:N61" si="20">L63+L66</f>
        <v>0</v>
      </c>
      <c r="M60" s="677">
        <f t="shared" si="20"/>
        <v>0</v>
      </c>
      <c r="N60" s="677">
        <f t="shared" si="20"/>
        <v>0</v>
      </c>
      <c r="O60" s="677">
        <f t="shared" si="16"/>
        <v>0</v>
      </c>
      <c r="P60" s="677">
        <f t="shared" si="17"/>
        <v>0</v>
      </c>
      <c r="Q60" s="677">
        <f t="shared" ref="Q60:S61" si="21">Q63+Q66</f>
        <v>0</v>
      </c>
      <c r="R60" s="677">
        <f t="shared" si="21"/>
        <v>0</v>
      </c>
      <c r="S60" s="677">
        <f t="shared" si="21"/>
        <v>0</v>
      </c>
      <c r="T60" s="677">
        <f t="shared" si="18"/>
        <v>0</v>
      </c>
      <c r="U60" s="677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76">
        <f t="shared" ca="1" si="20"/>
        <v>531900</v>
      </c>
      <c r="M61" s="675">
        <f t="shared" ca="1" si="20"/>
        <v>531900</v>
      </c>
      <c r="N61" s="675">
        <f t="shared" ca="1" si="20"/>
        <v>522329.02</v>
      </c>
      <c r="O61" s="675">
        <f t="shared" ca="1" si="16"/>
        <v>98.200605376950548</v>
      </c>
      <c r="P61" s="675">
        <f t="shared" ca="1" si="17"/>
        <v>98.200605376950548</v>
      </c>
      <c r="Q61" s="675">
        <f t="shared" si="21"/>
        <v>0</v>
      </c>
      <c r="R61" s="675">
        <f t="shared" si="21"/>
        <v>0</v>
      </c>
      <c r="S61" s="675">
        <f t="shared" si="21"/>
        <v>0</v>
      </c>
      <c r="T61" s="675">
        <f t="shared" si="18"/>
        <v>0</v>
      </c>
      <c r="U61" s="675">
        <f t="shared" si="19"/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468">
        <f ca="1">L63+L64</f>
        <v>531900</v>
      </c>
      <c r="M62" s="224">
        <f ca="1">M63+M64</f>
        <v>531900</v>
      </c>
      <c r="N62" s="224">
        <f ca="1">N63+N64</f>
        <v>522329.02</v>
      </c>
      <c r="O62" s="224">
        <f t="shared" ca="1" si="16"/>
        <v>98.200605376950548</v>
      </c>
      <c r="P62" s="224">
        <f t="shared" ca="1" si="17"/>
        <v>98.200605376950548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 t="shared" si="18"/>
        <v>0</v>
      </c>
      <c r="U62" s="224">
        <f t="shared" si="19"/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674" t="s">
        <v>14</v>
      </c>
      <c r="I63" s="44"/>
      <c r="J63" s="44"/>
      <c r="K63" s="45"/>
      <c r="L63" s="469">
        <v>0</v>
      </c>
      <c r="M63" s="83">
        <v>0</v>
      </c>
      <c r="N63" s="83">
        <v>0</v>
      </c>
      <c r="O63" s="83">
        <f t="shared" si="16"/>
        <v>0</v>
      </c>
      <c r="P63" s="83">
        <f t="shared" si="17"/>
        <v>0</v>
      </c>
      <c r="Q63" s="83">
        <v>0</v>
      </c>
      <c r="R63" s="83">
        <v>0</v>
      </c>
      <c r="S63" s="83">
        <v>0</v>
      </c>
      <c r="T63" s="83">
        <f t="shared" si="18"/>
        <v>0</v>
      </c>
      <c r="U63" s="83">
        <f t="shared" si="19"/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468">
        <f ca="1">IFERROR(__xludf.DUMMYFUNCTION("IMPORTRANGE(""https://docs.google.com/spreadsheets/d/1-uDff_7J0KD5mKrp0Vvzr7lt3OU09vwQwhkpOPPYv2Y/edit?usp=sharing"",""งบพรบ!AC30"")"),531900)</f>
        <v>531900</v>
      </c>
      <c r="M64" s="224">
        <f ca="1">IFERROR(__xludf.DUMMYFUNCTION("IMPORTRANGE(""https://docs.google.com/spreadsheets/d/1-uDff_7J0KD5mKrp0Vvzr7lt3OU09vwQwhkpOPPYv2Y/edit?usp=sharing"",""งบพรบ!AH30"")"),531900)</f>
        <v>531900</v>
      </c>
      <c r="N64" s="224">
        <f ca="1">IFERROR(__xludf.DUMMYFUNCTION("IMPORTRANGE(""https://docs.google.com/spreadsheets/d/1-uDff_7J0KD5mKrp0Vvzr7lt3OU09vwQwhkpOPPYv2Y/edit?usp=sharing"",""งบพรบ!AJ30"")"),522329.02)</f>
        <v>522329.02</v>
      </c>
      <c r="O64" s="224">
        <f t="shared" ca="1" si="16"/>
        <v>98.200605376950548</v>
      </c>
      <c r="P64" s="224">
        <f t="shared" ca="1" si="17"/>
        <v>98.200605376950548</v>
      </c>
      <c r="Q64" s="224">
        <v>0</v>
      </c>
      <c r="R64" s="224">
        <v>0</v>
      </c>
      <c r="S64" s="224">
        <v>0</v>
      </c>
      <c r="T64" s="224">
        <f t="shared" si="18"/>
        <v>0</v>
      </c>
      <c r="U64" s="224">
        <f t="shared" si="19"/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468">
        <f ca="1">L66+L67</f>
        <v>0</v>
      </c>
      <c r="M65" s="224">
        <f ca="1">M66+M67</f>
        <v>0</v>
      </c>
      <c r="N65" s="224">
        <f ca="1">N66+N67</f>
        <v>0</v>
      </c>
      <c r="O65" s="224">
        <f t="shared" ca="1" si="16"/>
        <v>0</v>
      </c>
      <c r="P65" s="224">
        <f t="shared" ca="1" si="17"/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 t="shared" si="18"/>
        <v>0</v>
      </c>
      <c r="U65" s="224">
        <f t="shared" si="19"/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674" t="s">
        <v>14</v>
      </c>
      <c r="I66" s="44"/>
      <c r="J66" s="44"/>
      <c r="K66" s="45"/>
      <c r="L66" s="469">
        <v>0</v>
      </c>
      <c r="M66" s="83">
        <v>0</v>
      </c>
      <c r="N66" s="83">
        <v>0</v>
      </c>
      <c r="O66" s="83">
        <f t="shared" si="16"/>
        <v>0</v>
      </c>
      <c r="P66" s="83">
        <f t="shared" si="17"/>
        <v>0</v>
      </c>
      <c r="Q66" s="83">
        <v>0</v>
      </c>
      <c r="R66" s="83">
        <v>0</v>
      </c>
      <c r="S66" s="83">
        <v>0</v>
      </c>
      <c r="T66" s="83">
        <f t="shared" si="18"/>
        <v>0</v>
      </c>
      <c r="U66" s="83">
        <f t="shared" si="19"/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673">
        <f ca="1">IFERROR(__xludf.DUMMYFUNCTION("IMPORTRANGE(""https://docs.google.com/spreadsheets/d/1-uDff_7J0KD5mKrp0Vvzr7lt3OU09vwQwhkpOPPYv2Y/edit?usp=sharing"",""งบพรบ!AF30"")"),0)</f>
        <v>0</v>
      </c>
      <c r="M67" s="455">
        <f ca="1">IFERROR(__xludf.DUMMYFUNCTION("IMPORTRANGE(""https://docs.google.com/spreadsheets/d/1-uDff_7J0KD5mKrp0Vvzr7lt3OU09vwQwhkpOPPYv2Y/edit?usp=sharing"",""งบพรบ!AI30"")"),0)</f>
        <v>0</v>
      </c>
      <c r="N67" s="455">
        <f ca="1">IFERROR(__xludf.DUMMYFUNCTION("IMPORTRANGE(""https://docs.google.com/spreadsheets/d/1-uDff_7J0KD5mKrp0Vvzr7lt3OU09vwQwhkpOPPYv2Y/edit?usp=sharing"",""งบพรบ!AK30"")"),0)</f>
        <v>0</v>
      </c>
      <c r="O67" s="455">
        <f t="shared" ca="1" si="16"/>
        <v>0</v>
      </c>
      <c r="P67" s="455">
        <f t="shared" ca="1" si="17"/>
        <v>0</v>
      </c>
      <c r="Q67" s="455">
        <v>0</v>
      </c>
      <c r="R67" s="455">
        <v>0</v>
      </c>
      <c r="S67" s="455">
        <v>0</v>
      </c>
      <c r="T67" s="455">
        <f t="shared" si="18"/>
        <v>0</v>
      </c>
      <c r="U67" s="455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7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665">
        <f ca="1">I82</f>
        <v>2</v>
      </c>
      <c r="J70" s="665">
        <f>J82</f>
        <v>1</v>
      </c>
      <c r="K70" s="664">
        <f ca="1">IF(I70&gt;0,J70*100/I70,0)</f>
        <v>50</v>
      </c>
      <c r="L70" s="510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665">
        <f ca="1">I83</f>
        <v>149</v>
      </c>
      <c r="J71" s="665">
        <f>J83</f>
        <v>30</v>
      </c>
      <c r="K71" s="664">
        <f ca="1">IF(I71&gt;0,J71*100/I71,0)</f>
        <v>20.134228187919462</v>
      </c>
      <c r="L71" s="510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129" t="s">
        <v>18</v>
      </c>
      <c r="D72" s="472" t="s">
        <v>19</v>
      </c>
      <c r="E72" s="40"/>
      <c r="F72" s="40"/>
      <c r="G72" s="42"/>
      <c r="H72" s="131" t="s">
        <v>14</v>
      </c>
      <c r="I72" s="44"/>
      <c r="J72" s="44"/>
      <c r="K72" s="45"/>
      <c r="L72" s="471">
        <f ca="1">L73+L74</f>
        <v>202000</v>
      </c>
      <c r="M72" s="470">
        <f ca="1">M73+M74</f>
        <v>202000</v>
      </c>
      <c r="N72" s="470">
        <f ca="1">N73+N74</f>
        <v>121439</v>
      </c>
      <c r="O72" s="470">
        <f t="shared" ref="O72:O80" ca="1" si="22">IF(L72&gt;0,N72*100/L72,0)</f>
        <v>60.118316831683167</v>
      </c>
      <c r="P72" s="470">
        <f t="shared" ref="P72:P80" ca="1" si="23">IF(M72&gt;0,N72*100/M72,0)</f>
        <v>60.118316831683167</v>
      </c>
      <c r="Q72" s="470">
        <f ca="1">Q73+Q74</f>
        <v>1340480</v>
      </c>
      <c r="R72" s="470">
        <f ca="1">R73+R74</f>
        <v>1340480</v>
      </c>
      <c r="S72" s="470">
        <f ca="1">S73+S74</f>
        <v>31440</v>
      </c>
      <c r="T72" s="470">
        <f t="shared" ref="T72:T80" ca="1" si="24">IF(Q72&gt;0,S72*100/Q72,0)</f>
        <v>2.3454285032227262</v>
      </c>
      <c r="U72" s="470">
        <f t="shared" ref="U72:U80" ca="1" si="25">IF(R72&gt;0,S72*100/R72,0)</f>
        <v>2.3454285032227262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469">
        <f t="shared" ref="L73:N74" si="26">L76+L79</f>
        <v>0</v>
      </c>
      <c r="M73" s="83">
        <f t="shared" si="26"/>
        <v>0</v>
      </c>
      <c r="N73" s="83">
        <f t="shared" si="26"/>
        <v>0</v>
      </c>
      <c r="O73" s="83">
        <f t="shared" si="22"/>
        <v>0</v>
      </c>
      <c r="P73" s="83">
        <f t="shared" si="23"/>
        <v>0</v>
      </c>
      <c r="Q73" s="83">
        <f t="shared" ref="Q73:S74" si="27">Q76+Q79</f>
        <v>0</v>
      </c>
      <c r="R73" s="83">
        <f t="shared" si="27"/>
        <v>0</v>
      </c>
      <c r="S73" s="83">
        <f t="shared" si="27"/>
        <v>0</v>
      </c>
      <c r="T73" s="83">
        <f t="shared" si="24"/>
        <v>0</v>
      </c>
      <c r="U73" s="83">
        <f t="shared" si="25"/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468">
        <f t="shared" ca="1" si="26"/>
        <v>202000</v>
      </c>
      <c r="M74" s="224">
        <f t="shared" ca="1" si="26"/>
        <v>202000</v>
      </c>
      <c r="N74" s="224">
        <f t="shared" ca="1" si="26"/>
        <v>121439</v>
      </c>
      <c r="O74" s="224">
        <f t="shared" ca="1" si="22"/>
        <v>60.118316831683167</v>
      </c>
      <c r="P74" s="224">
        <f t="shared" ca="1" si="23"/>
        <v>60.118316831683167</v>
      </c>
      <c r="Q74" s="224">
        <f t="shared" ca="1" si="27"/>
        <v>1340480</v>
      </c>
      <c r="R74" s="224">
        <f t="shared" ca="1" si="27"/>
        <v>1340480</v>
      </c>
      <c r="S74" s="224">
        <f t="shared" ca="1" si="27"/>
        <v>31440</v>
      </c>
      <c r="T74" s="224">
        <f t="shared" ca="1" si="24"/>
        <v>2.3454285032227262</v>
      </c>
      <c r="U74" s="224">
        <f t="shared" ca="1" si="25"/>
        <v>2.3454285032227262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468">
        <f ca="1">L76+L77</f>
        <v>202000</v>
      </c>
      <c r="M75" s="224">
        <f ca="1">M76+M77</f>
        <v>202000</v>
      </c>
      <c r="N75" s="224">
        <f ca="1">N76+N77</f>
        <v>121439</v>
      </c>
      <c r="O75" s="224">
        <f t="shared" ca="1" si="22"/>
        <v>60.118316831683167</v>
      </c>
      <c r="P75" s="224">
        <f t="shared" ca="1" si="23"/>
        <v>60.118316831683167</v>
      </c>
      <c r="Q75" s="224">
        <f ca="1">Q76+Q77</f>
        <v>1340480</v>
      </c>
      <c r="R75" s="224">
        <f ca="1">R76+R77</f>
        <v>1340480</v>
      </c>
      <c r="S75" s="224">
        <f ca="1">S76+S77</f>
        <v>31440</v>
      </c>
      <c r="T75" s="224">
        <f t="shared" ca="1" si="24"/>
        <v>2.3454285032227262</v>
      </c>
      <c r="U75" s="224">
        <f t="shared" ca="1" si="25"/>
        <v>2.3454285032227262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469">
        <v>0</v>
      </c>
      <c r="M76" s="83">
        <v>0</v>
      </c>
      <c r="N76" s="83">
        <v>0</v>
      </c>
      <c r="O76" s="83">
        <f t="shared" si="22"/>
        <v>0</v>
      </c>
      <c r="P76" s="83">
        <f t="shared" si="23"/>
        <v>0</v>
      </c>
      <c r="Q76" s="83">
        <v>0</v>
      </c>
      <c r="R76" s="83">
        <v>0</v>
      </c>
      <c r="S76" s="83">
        <v>0</v>
      </c>
      <c r="T76" s="83">
        <f t="shared" si="24"/>
        <v>0</v>
      </c>
      <c r="U76" s="83">
        <f t="shared" si="25"/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468">
        <f ca="1">IFERROR(__xludf.DUMMYFUNCTION("IMPORTRANGE(""https://docs.google.com/spreadsheets/d/1-uDff_7J0KD5mKrp0Vvzr7lt3OU09vwQwhkpOPPYv2Y/edit?usp=sharing"",""งบพรบ!AM30"")"),202000)</f>
        <v>202000</v>
      </c>
      <c r="M77" s="224">
        <f ca="1">IFERROR(__xludf.DUMMYFUNCTION("IMPORTRANGE(""https://docs.google.com/spreadsheets/d/1-uDff_7J0KD5mKrp0Vvzr7lt3OU09vwQwhkpOPPYv2Y/edit?usp=sharing"",""งบพรบ!AR30"")"),202000)</f>
        <v>202000</v>
      </c>
      <c r="N77" s="224">
        <f ca="1">IFERROR(__xludf.DUMMYFUNCTION("IMPORTRANGE(""https://docs.google.com/spreadsheets/d/1-uDff_7J0KD5mKrp0Vvzr7lt3OU09vwQwhkpOPPYv2Y/edit?usp=sharing"",""งบพรบ!AT30"")"),121439)</f>
        <v>121439</v>
      </c>
      <c r="O77" s="224">
        <f t="shared" ca="1" si="22"/>
        <v>60.118316831683167</v>
      </c>
      <c r="P77" s="224">
        <f t="shared" ca="1" si="23"/>
        <v>60.118316831683167</v>
      </c>
      <c r="Q77" s="224">
        <f ca="1">IFERROR(__xludf.DUMMYFUNCTION("IMPORTRANGE(""https://docs.google.com/spreadsheets/d/1ItG2mGa2ceCfYo0BwxsXqNm01IGEUdYcSSLTEv9YCik/edit?usp=sharing"",""เบิกจ่ายกองทุน!AS30"")"),1340480)</f>
        <v>1340480</v>
      </c>
      <c r="R77" s="224">
        <f ca="1">IFERROR(__xludf.DUMMYFUNCTION("IMPORTRANGE(""https://docs.google.com/spreadsheets/d/1ItG2mGa2ceCfYo0BwxsXqNm01IGEUdYcSSLTEv9YCik/edit?usp=sharing"",""เบิกจ่ายกองทุน!AT30"")"),1340480)</f>
        <v>1340480</v>
      </c>
      <c r="S77" s="224">
        <f ca="1">IFERROR(__xludf.DUMMYFUNCTION("IMPORTRANGE(""https://docs.google.com/spreadsheets/d/1ItG2mGa2ceCfYo0BwxsXqNm01IGEUdYcSSLTEv9YCik/edit?usp=sharing"",""เบิกจ่ายกองทุน!AU30"")"),31440)</f>
        <v>31440</v>
      </c>
      <c r="T77" s="224">
        <f t="shared" ca="1" si="24"/>
        <v>2.3454285032227262</v>
      </c>
      <c r="U77" s="224">
        <f t="shared" ca="1" si="25"/>
        <v>2.3454285032227262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468">
        <f ca="1">L79+L80</f>
        <v>0</v>
      </c>
      <c r="M78" s="224">
        <f ca="1">M79+M80</f>
        <v>0</v>
      </c>
      <c r="N78" s="224">
        <f ca="1">N79+N80</f>
        <v>0</v>
      </c>
      <c r="O78" s="224">
        <f t="shared" ca="1" si="22"/>
        <v>0</v>
      </c>
      <c r="P78" s="224">
        <f t="shared" ca="1" si="23"/>
        <v>0</v>
      </c>
      <c r="Q78" s="224">
        <f>Q79+Q80</f>
        <v>0</v>
      </c>
      <c r="R78" s="224">
        <f>R79+R80</f>
        <v>0</v>
      </c>
      <c r="S78" s="224">
        <f>S79+S80</f>
        <v>0</v>
      </c>
      <c r="T78" s="224">
        <f t="shared" si="24"/>
        <v>0</v>
      </c>
      <c r="U78" s="224">
        <f t="shared" si="25"/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469">
        <v>0</v>
      </c>
      <c r="M79" s="224">
        <v>0</v>
      </c>
      <c r="N79" s="224">
        <v>0</v>
      </c>
      <c r="O79" s="83">
        <f t="shared" si="22"/>
        <v>0</v>
      </c>
      <c r="P79" s="83">
        <f t="shared" si="23"/>
        <v>0</v>
      </c>
      <c r="Q79" s="83">
        <v>0</v>
      </c>
      <c r="R79" s="224">
        <v>0</v>
      </c>
      <c r="S79" s="224">
        <v>0</v>
      </c>
      <c r="T79" s="83">
        <f t="shared" si="24"/>
        <v>0</v>
      </c>
      <c r="U79" s="83">
        <f t="shared" si="25"/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468">
        <f ca="1">IFERROR(__xludf.DUMMYFUNCTION("IMPORTRANGE(""https://docs.google.com/spreadsheets/d/1-uDff_7J0KD5mKrp0Vvzr7lt3OU09vwQwhkpOPPYv2Y/edit?usp=sharing"",""งบพรบ!AP30"")"),0)</f>
        <v>0</v>
      </c>
      <c r="M80" s="224">
        <f ca="1">IFERROR(__xludf.DUMMYFUNCTION("IMPORTRANGE(""https://docs.google.com/spreadsheets/d/1-uDff_7J0KD5mKrp0Vvzr7lt3OU09vwQwhkpOPPYv2Y/edit?usp=sharing"",""งบพรบ!AS30"")"),0)</f>
        <v>0</v>
      </c>
      <c r="N80" s="224">
        <f ca="1">IFERROR(__xludf.DUMMYFUNCTION("IMPORTRANGE(""https://docs.google.com/spreadsheets/d/1-uDff_7J0KD5mKrp0Vvzr7lt3OU09vwQwhkpOPPYv2Y/edit?usp=sharing"",""งบพรบ!AU30"")"),0)</f>
        <v>0</v>
      </c>
      <c r="O80" s="224">
        <f t="shared" ca="1" si="22"/>
        <v>0</v>
      </c>
      <c r="P80" s="224">
        <f t="shared" ca="1" si="23"/>
        <v>0</v>
      </c>
      <c r="Q80" s="224">
        <v>0</v>
      </c>
      <c r="R80" s="224">
        <v>0</v>
      </c>
      <c r="S80" s="224">
        <v>0</v>
      </c>
      <c r="T80" s="224">
        <f t="shared" si="24"/>
        <v>0</v>
      </c>
      <c r="U80" s="224">
        <f t="shared" si="25"/>
        <v>0</v>
      </c>
    </row>
    <row r="81" spans="1:21" ht="19.5" x14ac:dyDescent="0.3">
      <c r="A81" s="138"/>
      <c r="B81" s="139"/>
      <c r="C81" s="129" t="s">
        <v>18</v>
      </c>
      <c r="D81" s="498" t="s">
        <v>38</v>
      </c>
      <c r="E81" s="141"/>
      <c r="F81" s="141"/>
      <c r="G81" s="142"/>
      <c r="H81" s="143"/>
      <c r="I81" s="135"/>
      <c r="J81" s="135"/>
      <c r="K81" s="136"/>
      <c r="L81" s="4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ca="1">I84+I86+I88</f>
        <v>2</v>
      </c>
      <c r="J82" s="328">
        <f>J84+J86+J88</f>
        <v>1</v>
      </c>
      <c r="K82" s="582">
        <f t="shared" ref="K82:K90" ca="1" si="28">IF(I82&gt;0,J82*100/I82,0)</f>
        <v>50</v>
      </c>
      <c r="L82" s="4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ca="1">I85+I87+I89</f>
        <v>149</v>
      </c>
      <c r="J83" s="328">
        <f>J85+J87+J89</f>
        <v>30</v>
      </c>
      <c r="K83" s="582">
        <f t="shared" ca="1" si="28"/>
        <v>20.134228187919462</v>
      </c>
      <c r="L83" s="4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581">
        <f ca="1">IFERROR(__xludf.DUMMYFUNCTION("IMPORTRANGE(""https://docs.google.com/spreadsheets/d/1eHaY18a8A9IcSdp1K8H6x8fbOy06t2VsZHhMHf-1x7Y/edit?usp=sharing"",""แผน!H30"")"),1)</f>
        <v>1</v>
      </c>
      <c r="J84" s="466">
        <v>1</v>
      </c>
      <c r="K84" s="497">
        <f t="shared" ca="1" si="28"/>
        <v>100</v>
      </c>
      <c r="L84" s="4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581">
        <f ca="1">IFERROR(__xludf.DUMMYFUNCTION("IMPORTRANGE(""https://docs.google.com/spreadsheets/d/1eHaY18a8A9IcSdp1K8H6x8fbOy06t2VsZHhMHf-1x7Y/edit?usp=sharing"",""แผน!I30"")"),117)</f>
        <v>117</v>
      </c>
      <c r="J85" s="466">
        <v>30</v>
      </c>
      <c r="K85" s="497">
        <f t="shared" ca="1" si="28"/>
        <v>25.641025641025642</v>
      </c>
      <c r="L85" s="4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581">
        <f ca="1">IFERROR(__xludf.DUMMYFUNCTION("IMPORTRANGE(""https://docs.google.com/spreadsheets/d/1eHaY18a8A9IcSdp1K8H6x8fbOy06t2VsZHhMHf-1x7Y/edit?usp=sharing"",""แผน!F30"")"),0)</f>
        <v>0</v>
      </c>
      <c r="J86" s="466">
        <v>0</v>
      </c>
      <c r="K86" s="497">
        <f t="shared" ca="1" si="28"/>
        <v>0</v>
      </c>
      <c r="L86" s="4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581">
        <f ca="1">IFERROR(__xludf.DUMMYFUNCTION("IMPORTRANGE(""https://docs.google.com/spreadsheets/d/1eHaY18a8A9IcSdp1K8H6x8fbOy06t2VsZHhMHf-1x7Y/edit?usp=sharing"",""แผน!G30"")"),0)</f>
        <v>0</v>
      </c>
      <c r="J87" s="466">
        <v>0</v>
      </c>
      <c r="K87" s="497">
        <f t="shared" ca="1" si="28"/>
        <v>0</v>
      </c>
      <c r="L87" s="4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581">
        <f ca="1">IFERROR(__xludf.DUMMYFUNCTION("IMPORTRANGE(""https://docs.google.com/spreadsheets/d/1eHaY18a8A9IcSdp1K8H6x8fbOy06t2VsZHhMHf-1x7Y/edit?usp=sharing"",""แผน!D30"")"),1)</f>
        <v>1</v>
      </c>
      <c r="J88" s="466">
        <v>0</v>
      </c>
      <c r="K88" s="497">
        <f t="shared" ca="1" si="28"/>
        <v>0</v>
      </c>
      <c r="L88" s="4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581">
        <f ca="1">IFERROR(__xludf.DUMMYFUNCTION("IMPORTRANGE(""https://docs.google.com/spreadsheets/d/1eHaY18a8A9IcSdp1K8H6x8fbOy06t2VsZHhMHf-1x7Y/edit?usp=sharing"",""แผน!E30"")"),32)</f>
        <v>32</v>
      </c>
      <c r="J89" s="466">
        <v>0</v>
      </c>
      <c r="K89" s="497">
        <f t="shared" ca="1" si="28"/>
        <v>0</v>
      </c>
      <c r="L89" s="4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581">
        <f ca="1">IFERROR(__xludf.DUMMYFUNCTION("IMPORTRANGE(""https://docs.google.com/spreadsheets/d/1eHaY18a8A9IcSdp1K8H6x8fbOy06t2VsZHhMHf-1x7Y/edit?usp=sharing"",""แผน!J30"")"),2)</f>
        <v>2</v>
      </c>
      <c r="J90" s="466">
        <v>0</v>
      </c>
      <c r="K90" s="497">
        <f t="shared" ca="1" si="28"/>
        <v>0</v>
      </c>
      <c r="L90" s="4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7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665">
        <f ca="1">I108</f>
        <v>0</v>
      </c>
      <c r="J92" s="665">
        <f>J108</f>
        <v>0</v>
      </c>
      <c r="K92" s="664">
        <f ca="1">IF(I92&gt;0,J92*100/I92,0)</f>
        <v>0</v>
      </c>
      <c r="L92" s="510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665">
        <f ca="1">I109</f>
        <v>0</v>
      </c>
      <c r="J93" s="665">
        <f>J109</f>
        <v>0</v>
      </c>
      <c r="K93" s="664">
        <f ca="1">IF(I93&gt;0,J93*100/I93,0)</f>
        <v>0</v>
      </c>
      <c r="L93" s="510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472" t="s">
        <v>19</v>
      </c>
      <c r="E94" s="40"/>
      <c r="F94" s="40"/>
      <c r="G94" s="42"/>
      <c r="H94" s="131" t="s">
        <v>14</v>
      </c>
      <c r="I94" s="44"/>
      <c r="J94" s="44"/>
      <c r="K94" s="45"/>
      <c r="L94" s="471">
        <f ca="1">L95+L96</f>
        <v>0</v>
      </c>
      <c r="M94" s="470">
        <f ca="1">M95+M96</f>
        <v>0</v>
      </c>
      <c r="N94" s="470">
        <f ca="1">N95+N96</f>
        <v>0</v>
      </c>
      <c r="O94" s="470">
        <f t="shared" ref="O94:O102" ca="1" si="29">IF(L94&gt;0,N94*100/L94,0)</f>
        <v>0</v>
      </c>
      <c r="P94" s="470">
        <f t="shared" ref="P94:P102" ca="1" si="30">IF(M94&gt;0,N94*100/M94,0)</f>
        <v>0</v>
      </c>
      <c r="Q94" s="470">
        <f ca="1">Q95+Q96</f>
        <v>0</v>
      </c>
      <c r="R94" s="470">
        <f ca="1">R95+R96</f>
        <v>0</v>
      </c>
      <c r="S94" s="470">
        <f ca="1">S95+S96</f>
        <v>0</v>
      </c>
      <c r="T94" s="470">
        <f t="shared" ref="T94:T102" ca="1" si="31">IF(Q94&gt;0,S94*100/Q94,0)</f>
        <v>0</v>
      </c>
      <c r="U94" s="470">
        <f t="shared" ref="U94:U102" ca="1" si="32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469">
        <f t="shared" ref="L95:N96" si="33">L98+L101</f>
        <v>0</v>
      </c>
      <c r="M95" s="83">
        <f t="shared" si="33"/>
        <v>0</v>
      </c>
      <c r="N95" s="83">
        <f t="shared" si="33"/>
        <v>0</v>
      </c>
      <c r="O95" s="83">
        <f t="shared" si="29"/>
        <v>0</v>
      </c>
      <c r="P95" s="83">
        <f t="shared" si="30"/>
        <v>0</v>
      </c>
      <c r="Q95" s="83">
        <f t="shared" ref="Q95:S96" si="34">Q98+Q101</f>
        <v>0</v>
      </c>
      <c r="R95" s="83">
        <f t="shared" si="34"/>
        <v>0</v>
      </c>
      <c r="S95" s="83">
        <f t="shared" si="34"/>
        <v>0</v>
      </c>
      <c r="T95" s="83">
        <f t="shared" si="31"/>
        <v>0</v>
      </c>
      <c r="U95" s="83">
        <f t="shared" si="32"/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468">
        <f t="shared" ca="1" si="33"/>
        <v>0</v>
      </c>
      <c r="M96" s="224">
        <f t="shared" ca="1" si="33"/>
        <v>0</v>
      </c>
      <c r="N96" s="224">
        <f t="shared" ca="1" si="33"/>
        <v>0</v>
      </c>
      <c r="O96" s="224">
        <f t="shared" ca="1" si="29"/>
        <v>0</v>
      </c>
      <c r="P96" s="224">
        <f t="shared" ca="1" si="30"/>
        <v>0</v>
      </c>
      <c r="Q96" s="224">
        <f t="shared" ca="1" si="34"/>
        <v>0</v>
      </c>
      <c r="R96" s="224">
        <f t="shared" ca="1" si="34"/>
        <v>0</v>
      </c>
      <c r="S96" s="224">
        <f t="shared" ca="1" si="34"/>
        <v>0</v>
      </c>
      <c r="T96" s="224">
        <f t="shared" ca="1" si="31"/>
        <v>0</v>
      </c>
      <c r="U96" s="224">
        <f t="shared" ca="1" si="32"/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468">
        <f ca="1">L98+L99</f>
        <v>0</v>
      </c>
      <c r="M97" s="224">
        <f ca="1">M98+M99</f>
        <v>0</v>
      </c>
      <c r="N97" s="224">
        <f ca="1">N98+N99</f>
        <v>0</v>
      </c>
      <c r="O97" s="224">
        <f t="shared" ca="1" si="29"/>
        <v>0</v>
      </c>
      <c r="P97" s="224">
        <f t="shared" ca="1" si="30"/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t="shared" ca="1" si="31"/>
        <v>0</v>
      </c>
      <c r="U97" s="224">
        <f t="shared" ca="1" si="32"/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469">
        <v>0</v>
      </c>
      <c r="M98" s="83">
        <v>0</v>
      </c>
      <c r="N98" s="83">
        <v>0</v>
      </c>
      <c r="O98" s="83">
        <f t="shared" si="29"/>
        <v>0</v>
      </c>
      <c r="P98" s="83">
        <f t="shared" si="30"/>
        <v>0</v>
      </c>
      <c r="Q98" s="83">
        <v>0</v>
      </c>
      <c r="R98" s="83">
        <v>0</v>
      </c>
      <c r="S98" s="83">
        <v>0</v>
      </c>
      <c r="T98" s="83">
        <f t="shared" si="31"/>
        <v>0</v>
      </c>
      <c r="U98" s="83">
        <f t="shared" si="32"/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468">
        <f ca="1">IFERROR(__xludf.DUMMYFUNCTION("IMPORTRANGE(""https://docs.google.com/spreadsheets/d/1-uDff_7J0KD5mKrp0Vvzr7lt3OU09vwQwhkpOPPYv2Y/edit?usp=sharing"",""งบพรบ!AW30"")"),0)</f>
        <v>0</v>
      </c>
      <c r="M99" s="224">
        <f ca="1">IFERROR(__xludf.DUMMYFUNCTION("IMPORTRANGE(""https://docs.google.com/spreadsheets/d/1-uDff_7J0KD5mKrp0Vvzr7lt3OU09vwQwhkpOPPYv2Y/edit?usp=sharing"",""งบพรบ!BB30"")"),0)</f>
        <v>0</v>
      </c>
      <c r="N99" s="224">
        <f ca="1">IFERROR(__xludf.DUMMYFUNCTION("IMPORTRANGE(""https://docs.google.com/spreadsheets/d/1-uDff_7J0KD5mKrp0Vvzr7lt3OU09vwQwhkpOPPYv2Y/edit?usp=sharing"",""งบพรบ!BD30"")"),0)</f>
        <v>0</v>
      </c>
      <c r="O99" s="224">
        <f t="shared" ca="1" si="29"/>
        <v>0</v>
      </c>
      <c r="P99" s="224">
        <f t="shared" ca="1" si="30"/>
        <v>0</v>
      </c>
      <c r="Q99" s="224">
        <f ca="1">IFERROR(__xludf.DUMMYFUNCTION("IMPORTRANGE(""https://docs.google.com/spreadsheets/d/1ItG2mGa2ceCfYo0BwxsXqNm01IGEUdYcSSLTEv9YCik/edit?usp=sharing"",""เบิกจ่ายกองทุน!AD30"")"),0)</f>
        <v>0</v>
      </c>
      <c r="R99" s="224">
        <f ca="1">IFERROR(__xludf.DUMMYFUNCTION("IMPORTRANGE(""https://docs.google.com/spreadsheets/d/1ItG2mGa2ceCfYo0BwxsXqNm01IGEUdYcSSLTEv9YCik/edit?usp=sharing"",""เบิกจ่ายกองทุน!AE30"")"),0)</f>
        <v>0</v>
      </c>
      <c r="S99" s="224">
        <f ca="1">IFERROR(__xludf.DUMMYFUNCTION("IMPORTRANGE(""https://docs.google.com/spreadsheets/d/1ItG2mGa2ceCfYo0BwxsXqNm01IGEUdYcSSLTEv9YCik/edit?usp=sharing"",""เบิกจ่ายกองทุน!AF30"")"),0)</f>
        <v>0</v>
      </c>
      <c r="T99" s="224">
        <f t="shared" ca="1" si="31"/>
        <v>0</v>
      </c>
      <c r="U99" s="224">
        <f t="shared" ca="1" si="32"/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468">
        <f ca="1">L101+L102</f>
        <v>0</v>
      </c>
      <c r="M100" s="224">
        <f ca="1">M101+M102</f>
        <v>0</v>
      </c>
      <c r="N100" s="224">
        <f ca="1">N101+N102</f>
        <v>0</v>
      </c>
      <c r="O100" s="224">
        <f t="shared" ca="1" si="29"/>
        <v>0</v>
      </c>
      <c r="P100" s="224">
        <f t="shared" ca="1" si="30"/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 t="shared" si="31"/>
        <v>0</v>
      </c>
      <c r="U100" s="224">
        <f t="shared" si="32"/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469">
        <v>0</v>
      </c>
      <c r="M101" s="83">
        <v>0</v>
      </c>
      <c r="N101" s="83">
        <v>0</v>
      </c>
      <c r="O101" s="83">
        <f t="shared" si="29"/>
        <v>0</v>
      </c>
      <c r="P101" s="83">
        <f t="shared" si="30"/>
        <v>0</v>
      </c>
      <c r="Q101" s="83">
        <v>0</v>
      </c>
      <c r="R101" s="83">
        <v>0</v>
      </c>
      <c r="S101" s="83">
        <v>0</v>
      </c>
      <c r="T101" s="83">
        <f t="shared" si="31"/>
        <v>0</v>
      </c>
      <c r="U101" s="83">
        <f t="shared" si="32"/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468">
        <f ca="1">IFERROR(__xludf.DUMMYFUNCTION("IMPORTRANGE(""https://docs.google.com/spreadsheets/d/1-uDff_7J0KD5mKrp0Vvzr7lt3OU09vwQwhkpOPPYv2Y/edit?usp=sharing"",""งบพรบ!AZ30"")"),0)</f>
        <v>0</v>
      </c>
      <c r="M102" s="224">
        <f ca="1">IFERROR(__xludf.DUMMYFUNCTION("IMPORTRANGE(""https://docs.google.com/spreadsheets/d/1-uDff_7J0KD5mKrp0Vvzr7lt3OU09vwQwhkpOPPYv2Y/edit?usp=sharing"",""งบพรบ!BC30"")"),0)</f>
        <v>0</v>
      </c>
      <c r="N102" s="224">
        <f ca="1">IFERROR(__xludf.DUMMYFUNCTION("IMPORTRANGE(""https://docs.google.com/spreadsheets/d/1-uDff_7J0KD5mKrp0Vvzr7lt3OU09vwQwhkpOPPYv2Y/edit?usp=sharing"",""งบพรบ!BE30"")"),0)</f>
        <v>0</v>
      </c>
      <c r="O102" s="224">
        <f t="shared" ca="1" si="29"/>
        <v>0</v>
      </c>
      <c r="P102" s="224">
        <f t="shared" ca="1" si="30"/>
        <v>0</v>
      </c>
      <c r="Q102" s="224">
        <v>0</v>
      </c>
      <c r="R102" s="224">
        <v>0</v>
      </c>
      <c r="S102" s="224">
        <v>0</v>
      </c>
      <c r="T102" s="224">
        <f t="shared" si="31"/>
        <v>0</v>
      </c>
      <c r="U102" s="224">
        <f t="shared" si="32"/>
        <v>0</v>
      </c>
    </row>
    <row r="103" spans="1:21" ht="19.5" hidden="1" x14ac:dyDescent="0.3">
      <c r="A103" s="138"/>
      <c r="B103" s="139"/>
      <c r="C103" s="129" t="s">
        <v>18</v>
      </c>
      <c r="D103" s="498" t="s">
        <v>38</v>
      </c>
      <c r="E103" s="141"/>
      <c r="F103" s="141"/>
      <c r="G103" s="142"/>
      <c r="H103" s="143"/>
      <c r="I103" s="135"/>
      <c r="J103" s="44"/>
      <c r="K103" s="45"/>
      <c r="L103" s="465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571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571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571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465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IFERROR(__xludf.DUMMYFUNCTION("IMPORTRANGE(""https://docs.google.com/spreadsheets/d/1eHaY18a8A9IcSdp1K8H6x8fbOy06t2VsZHhMHf-1x7Y/edit?usp=sharing"",""แผน!N30"")"),0)</f>
        <v>0</v>
      </c>
      <c r="J108" s="466">
        <v>0</v>
      </c>
      <c r="K108" s="224">
        <f ca="1">IF(I108&gt;0,J108*100/I108,0)</f>
        <v>0</v>
      </c>
      <c r="L108" s="465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IFERROR(__xludf.DUMMYFUNCTION("IMPORTRANGE(""https://docs.google.com/spreadsheets/d/1eHaY18a8A9IcSdp1K8H6x8fbOy06t2VsZHhMHf-1x7Y/edit?usp=sharing"",""แผน!O30"")"),0)</f>
        <v>0</v>
      </c>
      <c r="J109" s="466">
        <v>0</v>
      </c>
      <c r="K109" s="224">
        <f ca="1">IF(I109&gt;0,J109*100/I109,0)</f>
        <v>0</v>
      </c>
      <c r="L109" s="465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571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571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571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571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581">
        <f ca="1">IFERROR(__xludf.DUMMYFUNCTION("IMPORTRANGE(""https://docs.google.com/spreadsheets/d/1eHaY18a8A9IcSdp1K8H6x8fbOy06t2VsZHhMHf-1x7Y/edit?usp=sharing"",""แผน!R30"")"),0)</f>
        <v>0</v>
      </c>
      <c r="J114" s="466">
        <v>0</v>
      </c>
      <c r="K114" s="224">
        <f ca="1">IF(I114&gt;0,J114*100/I114,0)</f>
        <v>0</v>
      </c>
      <c r="L114" s="46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671" t="s">
        <v>51</v>
      </c>
      <c r="B115" s="668"/>
      <c r="C115" s="670"/>
      <c r="D115" s="669"/>
      <c r="E115" s="669"/>
      <c r="F115" s="669"/>
      <c r="G115" s="669"/>
      <c r="H115" s="668"/>
      <c r="I115" s="667"/>
      <c r="J115" s="667"/>
      <c r="K115" s="66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665">
        <f ca="1">I127</f>
        <v>20</v>
      </c>
      <c r="J116" s="665">
        <f>J127</f>
        <v>20</v>
      </c>
      <c r="K116" s="664">
        <f ca="1">IF(I116&gt;0,J116*100/I116,0)</f>
        <v>100</v>
      </c>
      <c r="L116" s="510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472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471">
        <f ca="1">L118+L119</f>
        <v>0</v>
      </c>
      <c r="M117" s="470">
        <f ca="1">M118+M119</f>
        <v>0</v>
      </c>
      <c r="N117" s="470">
        <f ca="1">N118+N119</f>
        <v>0</v>
      </c>
      <c r="O117" s="470">
        <f t="shared" ref="O117:O125" ca="1" si="35">IF(L117&gt;0,N117*100/L117,0)</f>
        <v>0</v>
      </c>
      <c r="P117" s="470">
        <f t="shared" ref="P117:P125" ca="1" si="36">IF(M117&gt;0,N117*100/M117,0)</f>
        <v>0</v>
      </c>
      <c r="Q117" s="470">
        <f ca="1">Q118+Q119</f>
        <v>209360</v>
      </c>
      <c r="R117" s="470">
        <f ca="1">R118+R119</f>
        <v>209360</v>
      </c>
      <c r="S117" s="470">
        <f ca="1">S118+S119</f>
        <v>109200</v>
      </c>
      <c r="T117" s="470">
        <f t="shared" ref="T117:T125" ca="1" si="37">IF(Q117&gt;0,S117*100/Q117,0)</f>
        <v>52.15896064195644</v>
      </c>
      <c r="U117" s="470">
        <f t="shared" ref="U117:U125" ca="1" si="38">IF(R117&gt;0,S117*100/R117,0)</f>
        <v>52.15896064195644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469">
        <f t="shared" ref="L118:N119" si="39">L121+L124</f>
        <v>0</v>
      </c>
      <c r="M118" s="83">
        <f t="shared" si="39"/>
        <v>0</v>
      </c>
      <c r="N118" s="83">
        <f t="shared" si="39"/>
        <v>0</v>
      </c>
      <c r="O118" s="83">
        <f t="shared" si="35"/>
        <v>0</v>
      </c>
      <c r="P118" s="83">
        <f t="shared" si="36"/>
        <v>0</v>
      </c>
      <c r="Q118" s="83">
        <f t="shared" ref="Q118:S119" si="40">Q121+Q124</f>
        <v>0</v>
      </c>
      <c r="R118" s="83">
        <f t="shared" si="40"/>
        <v>0</v>
      </c>
      <c r="S118" s="83">
        <f t="shared" si="40"/>
        <v>0</v>
      </c>
      <c r="T118" s="83">
        <f t="shared" si="37"/>
        <v>0</v>
      </c>
      <c r="U118" s="83">
        <f t="shared" si="38"/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468">
        <f t="shared" ca="1" si="39"/>
        <v>0</v>
      </c>
      <c r="M119" s="224">
        <f t="shared" ca="1" si="39"/>
        <v>0</v>
      </c>
      <c r="N119" s="224">
        <f t="shared" ca="1" si="39"/>
        <v>0</v>
      </c>
      <c r="O119" s="224">
        <f t="shared" ca="1" si="35"/>
        <v>0</v>
      </c>
      <c r="P119" s="224">
        <f t="shared" ca="1" si="36"/>
        <v>0</v>
      </c>
      <c r="Q119" s="224">
        <f t="shared" ca="1" si="40"/>
        <v>209360</v>
      </c>
      <c r="R119" s="224">
        <f t="shared" ca="1" si="40"/>
        <v>209360</v>
      </c>
      <c r="S119" s="224">
        <f t="shared" ca="1" si="40"/>
        <v>109200</v>
      </c>
      <c r="T119" s="224">
        <f t="shared" ca="1" si="37"/>
        <v>52.15896064195644</v>
      </c>
      <c r="U119" s="224">
        <f t="shared" ca="1" si="38"/>
        <v>52.15896064195644</v>
      </c>
    </row>
    <row r="120" spans="1:21" ht="18.75" x14ac:dyDescent="0.25">
      <c r="A120" s="128"/>
      <c r="B120" s="158"/>
      <c r="C120" s="174"/>
      <c r="D120" s="53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468">
        <f ca="1">L121+L122</f>
        <v>0</v>
      </c>
      <c r="M120" s="224">
        <f ca="1">M121+M122</f>
        <v>0</v>
      </c>
      <c r="N120" s="224">
        <f ca="1">N121+N122</f>
        <v>0</v>
      </c>
      <c r="O120" s="224">
        <f t="shared" ca="1" si="35"/>
        <v>0</v>
      </c>
      <c r="P120" s="224">
        <f t="shared" ca="1" si="36"/>
        <v>0</v>
      </c>
      <c r="Q120" s="224">
        <f ca="1">Q121+Q122</f>
        <v>209360</v>
      </c>
      <c r="R120" s="224">
        <f ca="1">R121+R122</f>
        <v>209360</v>
      </c>
      <c r="S120" s="224">
        <f ca="1">S121+S122</f>
        <v>109200</v>
      </c>
      <c r="T120" s="224">
        <f t="shared" ca="1" si="37"/>
        <v>52.15896064195644</v>
      </c>
      <c r="U120" s="224">
        <f t="shared" ca="1" si="38"/>
        <v>52.15896064195644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469">
        <v>0</v>
      </c>
      <c r="M121" s="83">
        <v>0</v>
      </c>
      <c r="N121" s="83">
        <v>0</v>
      </c>
      <c r="O121" s="83">
        <f t="shared" si="35"/>
        <v>0</v>
      </c>
      <c r="P121" s="83">
        <f t="shared" si="36"/>
        <v>0</v>
      </c>
      <c r="Q121" s="83">
        <v>0</v>
      </c>
      <c r="R121" s="83">
        <v>0</v>
      </c>
      <c r="S121" s="83">
        <v>0</v>
      </c>
      <c r="T121" s="83">
        <f t="shared" si="37"/>
        <v>0</v>
      </c>
      <c r="U121" s="83">
        <f t="shared" si="38"/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468">
        <f ca="1">IFERROR(__xludf.DUMMYFUNCTION("IMPORTRANGE(""https://docs.google.com/spreadsheets/d/1-uDff_7J0KD5mKrp0Vvzr7lt3OU09vwQwhkpOPPYv2Y/edit?usp=sharing"",""งบพรบ!BG30"")"),0)</f>
        <v>0</v>
      </c>
      <c r="M122" s="224">
        <f ca="1">IFERROR(__xludf.DUMMYFUNCTION("IMPORTRANGE(""https://docs.google.com/spreadsheets/d/1-uDff_7J0KD5mKrp0Vvzr7lt3OU09vwQwhkpOPPYv2Y/edit?usp=sharing"",""งบพรบ!BL30"")"),0)</f>
        <v>0</v>
      </c>
      <c r="N122" s="224">
        <f ca="1">IFERROR(__xludf.DUMMYFUNCTION("IMPORTRANGE(""https://docs.google.com/spreadsheets/d/1-uDff_7J0KD5mKrp0Vvzr7lt3OU09vwQwhkpOPPYv2Y/edit?usp=sharing"",""งบพรบ!BN30"")"),0)</f>
        <v>0</v>
      </c>
      <c r="O122" s="224">
        <f t="shared" ca="1" si="35"/>
        <v>0</v>
      </c>
      <c r="P122" s="224">
        <f t="shared" ca="1" si="36"/>
        <v>0</v>
      </c>
      <c r="Q122" s="224">
        <f ca="1">IFERROR(__xludf.DUMMYFUNCTION("IMPORTRANGE(""https://docs.google.com/spreadsheets/d/1ItG2mGa2ceCfYo0BwxsXqNm01IGEUdYcSSLTEv9YCik/edit?usp=sharing"",""เบิกจ่ายกองทุน!R30"")"),209360)</f>
        <v>209360</v>
      </c>
      <c r="R122" s="224">
        <f ca="1">IFERROR(__xludf.DUMMYFUNCTION("IMPORTRANGE(""https://docs.google.com/spreadsheets/d/1ItG2mGa2ceCfYo0BwxsXqNm01IGEUdYcSSLTEv9YCik/edit?usp=sharing"",""เบิกจ่ายกองทุน!S30"")"),209360)</f>
        <v>209360</v>
      </c>
      <c r="S122" s="224">
        <f ca="1">IFERROR(__xludf.DUMMYFUNCTION("IMPORTRANGE(""https://docs.google.com/spreadsheets/d/1ItG2mGa2ceCfYo0BwxsXqNm01IGEUdYcSSLTEv9YCik/edit?usp=sharing"",""เบิกจ่ายกองทุน!T30"")"),109200)</f>
        <v>109200</v>
      </c>
      <c r="T122" s="224">
        <f t="shared" ca="1" si="37"/>
        <v>52.15896064195644</v>
      </c>
      <c r="U122" s="224">
        <f t="shared" ca="1" si="38"/>
        <v>52.15896064195644</v>
      </c>
    </row>
    <row r="123" spans="1:21" ht="18.75" x14ac:dyDescent="0.25">
      <c r="A123" s="128"/>
      <c r="B123" s="40"/>
      <c r="C123" s="174"/>
      <c r="D123" s="53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468">
        <f ca="1">L124+L125</f>
        <v>0</v>
      </c>
      <c r="M123" s="224">
        <f ca="1">M124+M125</f>
        <v>0</v>
      </c>
      <c r="N123" s="224">
        <f ca="1">N124+N125</f>
        <v>0</v>
      </c>
      <c r="O123" s="224">
        <f t="shared" ca="1" si="35"/>
        <v>0</v>
      </c>
      <c r="P123" s="224">
        <f t="shared" ca="1" si="36"/>
        <v>0</v>
      </c>
      <c r="Q123" s="224">
        <f>Q124+Q125</f>
        <v>0</v>
      </c>
      <c r="R123" s="224">
        <f>R124+R125</f>
        <v>0</v>
      </c>
      <c r="S123" s="224">
        <f>S124+S125</f>
        <v>0</v>
      </c>
      <c r="T123" s="224">
        <f t="shared" si="37"/>
        <v>0</v>
      </c>
      <c r="U123" s="224">
        <f t="shared" si="38"/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469">
        <v>0</v>
      </c>
      <c r="M124" s="83">
        <v>0</v>
      </c>
      <c r="N124" s="83">
        <v>0</v>
      </c>
      <c r="O124" s="83">
        <f t="shared" si="35"/>
        <v>0</v>
      </c>
      <c r="P124" s="83">
        <f t="shared" si="36"/>
        <v>0</v>
      </c>
      <c r="Q124" s="83">
        <v>0</v>
      </c>
      <c r="R124" s="83">
        <v>0</v>
      </c>
      <c r="S124" s="83">
        <v>0</v>
      </c>
      <c r="T124" s="83">
        <f t="shared" si="37"/>
        <v>0</v>
      </c>
      <c r="U124" s="83">
        <f t="shared" si="38"/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468">
        <f ca="1">IFERROR(__xludf.DUMMYFUNCTION("IMPORTRANGE(""https://docs.google.com/spreadsheets/d/1-uDff_7J0KD5mKrp0Vvzr7lt3OU09vwQwhkpOPPYv2Y/edit?usp=sharing"",""งบพรบ!BJ30"")"),0)</f>
        <v>0</v>
      </c>
      <c r="M125" s="224">
        <f ca="1">IFERROR(__xludf.DUMMYFUNCTION("IMPORTRANGE(""https://docs.google.com/spreadsheets/d/1-uDff_7J0KD5mKrp0Vvzr7lt3OU09vwQwhkpOPPYv2Y/edit?usp=sharing"",""งบพรบ!BM30"")"),0)</f>
        <v>0</v>
      </c>
      <c r="N125" s="224">
        <f ca="1">IFERROR(__xludf.DUMMYFUNCTION("IMPORTRANGE(""https://docs.google.com/spreadsheets/d/1-uDff_7J0KD5mKrp0Vvzr7lt3OU09vwQwhkpOPPYv2Y/edit?usp=sharing"",""งบพรบ!BO30"")"),0)</f>
        <v>0</v>
      </c>
      <c r="O125" s="224">
        <f t="shared" ca="1" si="35"/>
        <v>0</v>
      </c>
      <c r="P125" s="224">
        <f t="shared" ca="1" si="36"/>
        <v>0</v>
      </c>
      <c r="Q125" s="224">
        <v>0</v>
      </c>
      <c r="R125" s="224">
        <v>0</v>
      </c>
      <c r="S125" s="224">
        <v>0</v>
      </c>
      <c r="T125" s="224">
        <f t="shared" si="37"/>
        <v>0</v>
      </c>
      <c r="U125" s="224">
        <f t="shared" si="38"/>
        <v>0</v>
      </c>
    </row>
    <row r="126" spans="1:21" ht="19.5" x14ac:dyDescent="0.3">
      <c r="A126" s="138"/>
      <c r="B126" s="139"/>
      <c r="C126" s="177" t="s">
        <v>18</v>
      </c>
      <c r="D126" s="498" t="s">
        <v>38</v>
      </c>
      <c r="E126" s="141"/>
      <c r="F126" s="141"/>
      <c r="G126" s="142"/>
      <c r="H126" s="178"/>
      <c r="I126" s="44"/>
      <c r="J126" s="44"/>
      <c r="K126" s="45"/>
      <c r="L126" s="465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IFERROR(__xludf.DUMMYFUNCTION("IMPORTRANGE(""https://docs.google.com/spreadsheets/d/1eHaY18a8A9IcSdp1K8H6x8fbOy06t2VsZHhMHf-1x7Y/edit?usp=sharing"",""แผน!FF30"")"),20)</f>
        <v>20</v>
      </c>
      <c r="J127" s="466">
        <v>20</v>
      </c>
      <c r="K127" s="224">
        <f ca="1">IF(I127&gt;0,J127*100/I127,0)</f>
        <v>100</v>
      </c>
      <c r="L127" s="465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IFERROR(__xludf.DUMMYFUNCTION("IMPORTRANGE(""https://docs.google.com/spreadsheets/d/1eHaY18a8A9IcSdp1K8H6x8fbOy06t2VsZHhMHf-1x7Y/edit?usp=sharing"",""แผน!FG30"")"),0)</f>
        <v>0</v>
      </c>
      <c r="J128" s="466">
        <v>0</v>
      </c>
      <c r="K128" s="224">
        <f ca="1">IF(I128&gt;0,J128*100/I128,0)</f>
        <v>0</v>
      </c>
      <c r="L128" s="465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IFERROR(__xludf.DUMMYFUNCTION("IMPORTRANGE(""https://docs.google.com/spreadsheets/d/1eHaY18a8A9IcSdp1K8H6x8fbOy06t2VsZHhMHf-1x7Y/edit?usp=sharing"",""แผน!FH30"")"),20)</f>
        <v>20</v>
      </c>
      <c r="J129" s="466">
        <v>20</v>
      </c>
      <c r="K129" s="224">
        <f ca="1">IF(I129&gt;0,J129*100/I129,0)</f>
        <v>100</v>
      </c>
      <c r="L129" s="465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IFERROR(__xludf.DUMMYFUNCTION("IMPORTRANGE(""https://docs.google.com/spreadsheets/d/1eHaY18a8A9IcSdp1K8H6x8fbOy06t2VsZHhMHf-1x7Y/edit?usp=sharing"",""แผน!FI30"")"),0)</f>
        <v>0</v>
      </c>
      <c r="J130" s="466">
        <v>0</v>
      </c>
      <c r="K130" s="224">
        <f ca="1">IF(I130&gt;0,J130*100/I130,0)</f>
        <v>0</v>
      </c>
      <c r="L130" s="465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465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465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57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10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665">
        <f ca="1">I154</f>
        <v>2</v>
      </c>
      <c r="J136" s="665">
        <f>J154</f>
        <v>0</v>
      </c>
      <c r="K136" s="664">
        <f ca="1">IF(I136&gt;0,J136*100/I136,0)</f>
        <v>0</v>
      </c>
      <c r="L136" s="510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665">
        <f ca="1">I152</f>
        <v>40</v>
      </c>
      <c r="J137" s="665">
        <f>J152</f>
        <v>40</v>
      </c>
      <c r="K137" s="664">
        <f ca="1">IF(I137&gt;0,J137*100/I137,0)</f>
        <v>100</v>
      </c>
      <c r="L137" s="510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665">
        <f ca="1">I153</f>
        <v>4</v>
      </c>
      <c r="J138" s="665">
        <f>J153</f>
        <v>0</v>
      </c>
      <c r="K138" s="664">
        <f ca="1">IF(I138&gt;0,J138*100/I138,0)</f>
        <v>0</v>
      </c>
      <c r="L138" s="510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129" t="s">
        <v>18</v>
      </c>
      <c r="D139" s="472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471">
        <f ca="1">L140+L141</f>
        <v>153900</v>
      </c>
      <c r="M139" s="470">
        <f ca="1">M140+M141</f>
        <v>148900</v>
      </c>
      <c r="N139" s="470">
        <f ca="1">N140+N141</f>
        <v>88747.9</v>
      </c>
      <c r="O139" s="470">
        <f t="shared" ref="O139:O147" ca="1" si="41">IF(L139&gt;0,N139*100/L139,0)</f>
        <v>57.665951916829108</v>
      </c>
      <c r="P139" s="470">
        <f t="shared" ref="P139:P147" ca="1" si="42">IF(M139&gt;0,N139*100/M139,0)</f>
        <v>59.60235057085292</v>
      </c>
      <c r="Q139" s="470">
        <f ca="1">Q140+Q141</f>
        <v>0</v>
      </c>
      <c r="R139" s="470">
        <f ca="1">R140+R141</f>
        <v>0</v>
      </c>
      <c r="S139" s="470">
        <f ca="1">S140+S141</f>
        <v>0</v>
      </c>
      <c r="T139" s="470">
        <f t="shared" ref="T139:T147" ca="1" si="43">IF(Q139&gt;0,S139*100/Q139,0)</f>
        <v>0</v>
      </c>
      <c r="U139" s="470">
        <f t="shared" ref="U139:U147" ca="1" si="44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469">
        <f t="shared" ref="L140:N141" si="45">L143+L146</f>
        <v>0</v>
      </c>
      <c r="M140" s="83">
        <f t="shared" si="45"/>
        <v>0</v>
      </c>
      <c r="N140" s="83">
        <f t="shared" si="45"/>
        <v>0</v>
      </c>
      <c r="O140" s="83">
        <f t="shared" si="41"/>
        <v>0</v>
      </c>
      <c r="P140" s="83">
        <f t="shared" si="42"/>
        <v>0</v>
      </c>
      <c r="Q140" s="83">
        <f t="shared" ref="Q140:S141" si="46">Q143+Q146</f>
        <v>0</v>
      </c>
      <c r="R140" s="83">
        <f t="shared" si="46"/>
        <v>0</v>
      </c>
      <c r="S140" s="83">
        <f t="shared" si="46"/>
        <v>0</v>
      </c>
      <c r="T140" s="83">
        <f t="shared" si="43"/>
        <v>0</v>
      </c>
      <c r="U140" s="83">
        <f t="shared" si="44"/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468">
        <f t="shared" ca="1" si="45"/>
        <v>153900</v>
      </c>
      <c r="M141" s="224">
        <f t="shared" ca="1" si="45"/>
        <v>148900</v>
      </c>
      <c r="N141" s="224">
        <f t="shared" ca="1" si="45"/>
        <v>88747.9</v>
      </c>
      <c r="O141" s="224">
        <f t="shared" ca="1" si="41"/>
        <v>57.665951916829108</v>
      </c>
      <c r="P141" s="224">
        <f t="shared" ca="1" si="42"/>
        <v>59.60235057085292</v>
      </c>
      <c r="Q141" s="224">
        <f t="shared" ca="1" si="46"/>
        <v>0</v>
      </c>
      <c r="R141" s="224">
        <f t="shared" ca="1" si="46"/>
        <v>0</v>
      </c>
      <c r="S141" s="224">
        <f t="shared" ca="1" si="46"/>
        <v>0</v>
      </c>
      <c r="T141" s="224">
        <f t="shared" ca="1" si="43"/>
        <v>0</v>
      </c>
      <c r="U141" s="224">
        <f t="shared" ca="1" si="44"/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468">
        <f ca="1">L143+L144</f>
        <v>153900</v>
      </c>
      <c r="M142" s="224">
        <f ca="1">M143+M144</f>
        <v>148900</v>
      </c>
      <c r="N142" s="224">
        <f ca="1">N143+N144</f>
        <v>88747.9</v>
      </c>
      <c r="O142" s="224">
        <f t="shared" ca="1" si="41"/>
        <v>57.665951916829108</v>
      </c>
      <c r="P142" s="224">
        <f t="shared" ca="1" si="42"/>
        <v>59.60235057085292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t="shared" ca="1" si="43"/>
        <v>0</v>
      </c>
      <c r="U142" s="224">
        <f t="shared" ca="1" si="44"/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469">
        <v>0</v>
      </c>
      <c r="M143" s="83">
        <v>0</v>
      </c>
      <c r="N143" s="83">
        <v>0</v>
      </c>
      <c r="O143" s="83">
        <f t="shared" si="41"/>
        <v>0</v>
      </c>
      <c r="P143" s="83">
        <f t="shared" si="42"/>
        <v>0</v>
      </c>
      <c r="Q143" s="83">
        <v>0</v>
      </c>
      <c r="R143" s="83">
        <v>0</v>
      </c>
      <c r="S143" s="83">
        <v>0</v>
      </c>
      <c r="T143" s="83">
        <f t="shared" si="43"/>
        <v>0</v>
      </c>
      <c r="U143" s="83">
        <f t="shared" si="44"/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468">
        <f ca="1">IFERROR(__xludf.DUMMYFUNCTION("IMPORTRANGE(""https://docs.google.com/spreadsheets/d/1-uDff_7J0KD5mKrp0Vvzr7lt3OU09vwQwhkpOPPYv2Y/edit?usp=sharing"",""งบพรบ!BQ30"")"),153900)</f>
        <v>153900</v>
      </c>
      <c r="M144" s="224">
        <f ca="1">IFERROR(__xludf.DUMMYFUNCTION("IMPORTRANGE(""https://docs.google.com/spreadsheets/d/1-uDff_7J0KD5mKrp0Vvzr7lt3OU09vwQwhkpOPPYv2Y/edit?usp=sharing"",""งบพรบ!BV30"")"),148900)</f>
        <v>148900</v>
      </c>
      <c r="N144" s="224">
        <f ca="1">IFERROR(__xludf.DUMMYFUNCTION("IMPORTRANGE(""https://docs.google.com/spreadsheets/d/1-uDff_7J0KD5mKrp0Vvzr7lt3OU09vwQwhkpOPPYv2Y/edit?usp=sharing"",""งบพรบ!BX30"")"),88747.9)</f>
        <v>88747.9</v>
      </c>
      <c r="O144" s="224">
        <f t="shared" ca="1" si="41"/>
        <v>57.665951916829108</v>
      </c>
      <c r="P144" s="224">
        <f t="shared" ca="1" si="42"/>
        <v>59.60235057085292</v>
      </c>
      <c r="Q144" s="224">
        <f ca="1">IFERROR(__xludf.DUMMYFUNCTION("IMPORTRANGE(""https://docs.google.com/spreadsheets/d/1ItG2mGa2ceCfYo0BwxsXqNm01IGEUdYcSSLTEv9YCik/edit?usp=sharing"",""เบิกจ่ายกองทุน!BB30"")"),0)</f>
        <v>0</v>
      </c>
      <c r="R144" s="224">
        <f ca="1">IFERROR(__xludf.DUMMYFUNCTION("IMPORTRANGE(""https://docs.google.com/spreadsheets/d/1ItG2mGa2ceCfYo0BwxsXqNm01IGEUdYcSSLTEv9YCik/edit?usp=sharing"",""เบิกจ่ายกองทุน!BC30"")"),0)</f>
        <v>0</v>
      </c>
      <c r="S144" s="224">
        <f ca="1">IFERROR(__xludf.DUMMYFUNCTION("IMPORTRANGE(""https://docs.google.com/spreadsheets/d/1ItG2mGa2ceCfYo0BwxsXqNm01IGEUdYcSSLTEv9YCik/edit?usp=sharing"",""เบิกจ่ายกองทุน!BD30"")"),0)</f>
        <v>0</v>
      </c>
      <c r="T144" s="224">
        <f t="shared" ca="1" si="43"/>
        <v>0</v>
      </c>
      <c r="U144" s="224">
        <f t="shared" ca="1" si="44"/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468">
        <f ca="1">L146+L147</f>
        <v>0</v>
      </c>
      <c r="M145" s="224">
        <f ca="1">M146+M147</f>
        <v>0</v>
      </c>
      <c r="N145" s="224">
        <f ca="1">N146+N147</f>
        <v>0</v>
      </c>
      <c r="O145" s="224">
        <f t="shared" ca="1" si="41"/>
        <v>0</v>
      </c>
      <c r="P145" s="224">
        <f t="shared" ca="1" si="42"/>
        <v>0</v>
      </c>
      <c r="Q145" s="224">
        <f>Q146+Q147</f>
        <v>0</v>
      </c>
      <c r="R145" s="224">
        <f>R146+R147</f>
        <v>0</v>
      </c>
      <c r="S145" s="224">
        <f>S146+S147</f>
        <v>0</v>
      </c>
      <c r="T145" s="224">
        <f t="shared" si="43"/>
        <v>0</v>
      </c>
      <c r="U145" s="224">
        <f t="shared" si="44"/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469">
        <v>0</v>
      </c>
      <c r="M146" s="83">
        <v>0</v>
      </c>
      <c r="N146" s="83">
        <v>0</v>
      </c>
      <c r="O146" s="83">
        <f t="shared" si="41"/>
        <v>0</v>
      </c>
      <c r="P146" s="83">
        <f t="shared" si="42"/>
        <v>0</v>
      </c>
      <c r="Q146" s="83">
        <v>0</v>
      </c>
      <c r="R146" s="83">
        <v>0</v>
      </c>
      <c r="S146" s="83">
        <v>0</v>
      </c>
      <c r="T146" s="83">
        <f t="shared" si="43"/>
        <v>0</v>
      </c>
      <c r="U146" s="83">
        <f t="shared" si="44"/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468">
        <f ca="1">IFERROR(__xludf.DUMMYFUNCTION("IMPORTRANGE(""https://docs.google.com/spreadsheets/d/1-uDff_7J0KD5mKrp0Vvzr7lt3OU09vwQwhkpOPPYv2Y/edit?usp=sharing"",""งบพรบ!BT30"")"),0)</f>
        <v>0</v>
      </c>
      <c r="M147" s="224">
        <f ca="1">IFERROR(__xludf.DUMMYFUNCTION("IMPORTRANGE(""https://docs.google.com/spreadsheets/d/1-uDff_7J0KD5mKrp0Vvzr7lt3OU09vwQwhkpOPPYv2Y/edit?usp=sharing"",""งบพรบ!BW30"")"),0)</f>
        <v>0</v>
      </c>
      <c r="N147" s="224">
        <f ca="1">IFERROR(__xludf.DUMMYFUNCTION("IMPORTRANGE(""https://docs.google.com/spreadsheets/d/1-uDff_7J0KD5mKrp0Vvzr7lt3OU09vwQwhkpOPPYv2Y/edit?usp=sharing"",""งบพรบ!BY30"")"),0)</f>
        <v>0</v>
      </c>
      <c r="O147" s="224">
        <f t="shared" ca="1" si="41"/>
        <v>0</v>
      </c>
      <c r="P147" s="224">
        <f t="shared" ca="1" si="42"/>
        <v>0</v>
      </c>
      <c r="Q147" s="224">
        <v>0</v>
      </c>
      <c r="R147" s="224">
        <v>0</v>
      </c>
      <c r="S147" s="224">
        <v>0</v>
      </c>
      <c r="T147" s="224">
        <f t="shared" si="43"/>
        <v>0</v>
      </c>
      <c r="U147" s="224">
        <f t="shared" si="44"/>
        <v>0</v>
      </c>
    </row>
    <row r="148" spans="1:21" ht="19.5" x14ac:dyDescent="0.3">
      <c r="A148" s="138"/>
      <c r="B148" s="139"/>
      <c r="C148" s="129" t="s">
        <v>18</v>
      </c>
      <c r="D148" s="498" t="s">
        <v>38</v>
      </c>
      <c r="E148" s="141"/>
      <c r="F148" s="141"/>
      <c r="G148" s="142"/>
      <c r="H148" s="178"/>
      <c r="I148" s="44"/>
      <c r="J148" s="44"/>
      <c r="K148" s="45"/>
      <c r="L148" s="465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466">
        <v>0</v>
      </c>
      <c r="K149" s="45"/>
      <c r="L149" s="465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IFERROR(__xludf.DUMMYFUNCTION("IMPORTRANGE(""https://docs.google.com/spreadsheets/d/1eHaY18a8A9IcSdp1K8H6x8fbOy06t2VsZHhMHf-1x7Y/edit?usp=sharing"",""แผน!U30"")"),20)</f>
        <v>20</v>
      </c>
      <c r="J150" s="466">
        <v>0</v>
      </c>
      <c r="K150" s="224">
        <f ca="1">IF(I150&gt;0,J150*100/I150,0)</f>
        <v>0</v>
      </c>
      <c r="L150" s="465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IFERROR(__xludf.DUMMYFUNCTION("IMPORTRANGE(""https://docs.google.com/spreadsheets/d/1eHaY18a8A9IcSdp1K8H6x8fbOy06t2VsZHhMHf-1x7Y/edit?usp=sharing"",""แผน!V30"")"),2)</f>
        <v>2</v>
      </c>
      <c r="J151" s="466">
        <v>0</v>
      </c>
      <c r="K151" s="224">
        <f ca="1">IF(I151&gt;0,J151*100/I151,0)</f>
        <v>0</v>
      </c>
      <c r="L151" s="465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IFERROR(__xludf.DUMMYFUNCTION("IMPORTRANGE(""https://docs.google.com/spreadsheets/d/1eHaY18a8A9IcSdp1K8H6x8fbOy06t2VsZHhMHf-1x7Y/edit?usp=sharing"",""แผน!W30"")"),40)</f>
        <v>40</v>
      </c>
      <c r="J152" s="466">
        <v>40</v>
      </c>
      <c r="K152" s="224">
        <f ca="1">IF(I152&gt;0,J152*100/I152,0)</f>
        <v>100</v>
      </c>
      <c r="L152" s="465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IFERROR(__xludf.DUMMYFUNCTION("IMPORTRANGE(""https://docs.google.com/spreadsheets/d/1eHaY18a8A9IcSdp1K8H6x8fbOy06t2VsZHhMHf-1x7Y/edit?usp=sharing"",""แผน!X30"")"),4)</f>
        <v>4</v>
      </c>
      <c r="J153" s="466">
        <v>0</v>
      </c>
      <c r="K153" s="224">
        <f ca="1">IF(I153&gt;0,J153*100/I153,0)</f>
        <v>0</v>
      </c>
      <c r="L153" s="465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IFERROR(__xludf.DUMMYFUNCTION("IMPORTRANGE(""https://docs.google.com/spreadsheets/d/1eHaY18a8A9IcSdp1K8H6x8fbOy06t2VsZHhMHf-1x7Y/edit?usp=sharing"",""แผน!Y30"")"),2)</f>
        <v>2</v>
      </c>
      <c r="J154" s="466">
        <v>0</v>
      </c>
      <c r="K154" s="224">
        <f ca="1">IF(I154&gt;0,J154*100/I154,0)</f>
        <v>0</v>
      </c>
      <c r="L154" s="465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665">
        <f ca="1">I167</f>
        <v>15</v>
      </c>
      <c r="J156" s="665">
        <f>J167</f>
        <v>15</v>
      </c>
      <c r="K156" s="664">
        <f ca="1">IF(I156&gt;0,J156*100/I156,0)</f>
        <v>100</v>
      </c>
      <c r="L156" s="510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129" t="s">
        <v>18</v>
      </c>
      <c r="D157" s="472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471">
        <f ca="1">L158+L159</f>
        <v>3000</v>
      </c>
      <c r="M157" s="470">
        <f ca="1">M158+M159</f>
        <v>4410</v>
      </c>
      <c r="N157" s="470">
        <f ca="1">N158+N159</f>
        <v>1400</v>
      </c>
      <c r="O157" s="470">
        <f t="shared" ref="O157:O165" ca="1" si="47">IF(L157&gt;0,N157*100/L157,0)</f>
        <v>46.666666666666664</v>
      </c>
      <c r="P157" s="470">
        <f t="shared" ref="P157:P165" ca="1" si="48">IF(M157&gt;0,N157*100/M157,0)</f>
        <v>31.746031746031747</v>
      </c>
      <c r="Q157" s="470">
        <f ca="1">Q158+Q159</f>
        <v>0</v>
      </c>
      <c r="R157" s="470">
        <f ca="1">R158+R159</f>
        <v>0</v>
      </c>
      <c r="S157" s="470">
        <f ca="1">S158+S159</f>
        <v>0</v>
      </c>
      <c r="T157" s="470">
        <f t="shared" ref="T157:T165" ca="1" si="49">IF(Q157&gt;0,S157*100/Q157,0)</f>
        <v>0</v>
      </c>
      <c r="U157" s="470">
        <f t="shared" ref="U157:U165" ca="1" si="50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469">
        <f t="shared" ref="L158:N159" si="51">L161+L164</f>
        <v>0</v>
      </c>
      <c r="M158" s="83">
        <f t="shared" si="51"/>
        <v>0</v>
      </c>
      <c r="N158" s="83">
        <f t="shared" si="51"/>
        <v>0</v>
      </c>
      <c r="O158" s="83">
        <f t="shared" si="47"/>
        <v>0</v>
      </c>
      <c r="P158" s="83">
        <f t="shared" si="48"/>
        <v>0</v>
      </c>
      <c r="Q158" s="83">
        <f t="shared" ref="Q158:S159" si="52">Q161+Q164</f>
        <v>0</v>
      </c>
      <c r="R158" s="83">
        <f t="shared" si="52"/>
        <v>0</v>
      </c>
      <c r="S158" s="83">
        <f t="shared" si="52"/>
        <v>0</v>
      </c>
      <c r="T158" s="83">
        <f t="shared" si="49"/>
        <v>0</v>
      </c>
      <c r="U158" s="83">
        <f t="shared" si="50"/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468">
        <f t="shared" ca="1" si="51"/>
        <v>3000</v>
      </c>
      <c r="M159" s="224">
        <f t="shared" ca="1" si="51"/>
        <v>4410</v>
      </c>
      <c r="N159" s="224">
        <f t="shared" ca="1" si="51"/>
        <v>1400</v>
      </c>
      <c r="O159" s="224">
        <f t="shared" ca="1" si="47"/>
        <v>46.666666666666664</v>
      </c>
      <c r="P159" s="224">
        <f t="shared" ca="1" si="48"/>
        <v>31.746031746031747</v>
      </c>
      <c r="Q159" s="224">
        <f t="shared" ca="1" si="52"/>
        <v>0</v>
      </c>
      <c r="R159" s="224">
        <f t="shared" ca="1" si="52"/>
        <v>0</v>
      </c>
      <c r="S159" s="224">
        <f t="shared" ca="1" si="52"/>
        <v>0</v>
      </c>
      <c r="T159" s="224">
        <f t="shared" ca="1" si="49"/>
        <v>0</v>
      </c>
      <c r="U159" s="224">
        <f t="shared" ca="1" si="50"/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468">
        <f ca="1">L161+L162</f>
        <v>3000</v>
      </c>
      <c r="M160" s="224">
        <f ca="1">M161+M162</f>
        <v>4410</v>
      </c>
      <c r="N160" s="224">
        <f ca="1">N161+N162</f>
        <v>1400</v>
      </c>
      <c r="O160" s="224">
        <f t="shared" ca="1" si="47"/>
        <v>46.666666666666664</v>
      </c>
      <c r="P160" s="224">
        <f t="shared" ca="1" si="48"/>
        <v>31.746031746031747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t="shared" ca="1" si="49"/>
        <v>0</v>
      </c>
      <c r="U160" s="224">
        <f t="shared" ca="1" si="50"/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469">
        <v>0</v>
      </c>
      <c r="M161" s="83">
        <v>0</v>
      </c>
      <c r="N161" s="83">
        <v>0</v>
      </c>
      <c r="O161" s="83">
        <f t="shared" si="47"/>
        <v>0</v>
      </c>
      <c r="P161" s="83">
        <f t="shared" si="48"/>
        <v>0</v>
      </c>
      <c r="Q161" s="83">
        <v>0</v>
      </c>
      <c r="R161" s="83">
        <v>0</v>
      </c>
      <c r="S161" s="83">
        <v>0</v>
      </c>
      <c r="T161" s="83">
        <f t="shared" si="49"/>
        <v>0</v>
      </c>
      <c r="U161" s="83">
        <f t="shared" si="50"/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468">
        <f ca="1">IFERROR(__xludf.DUMMYFUNCTION("IMPORTRANGE(""https://docs.google.com/spreadsheets/d/1-uDff_7J0KD5mKrp0Vvzr7lt3OU09vwQwhkpOPPYv2Y/edit?usp=sharing"",""งบพรบ!CA30"")"),3000)</f>
        <v>3000</v>
      </c>
      <c r="M162" s="224">
        <f ca="1">IFERROR(__xludf.DUMMYFUNCTION("IMPORTRANGE(""https://docs.google.com/spreadsheets/d/1-uDff_7J0KD5mKrp0Vvzr7lt3OU09vwQwhkpOPPYv2Y/edit?usp=sharing"",""งบพรบ!CF30"")"),4410)</f>
        <v>4410</v>
      </c>
      <c r="N162" s="224">
        <f ca="1">IFERROR(__xludf.DUMMYFUNCTION("IMPORTRANGE(""https://docs.google.com/spreadsheets/d/1-uDff_7J0KD5mKrp0Vvzr7lt3OU09vwQwhkpOPPYv2Y/edit?usp=sharing"",""งบพรบ!CH30"")"),1400)</f>
        <v>1400</v>
      </c>
      <c r="O162" s="224">
        <f t="shared" ca="1" si="47"/>
        <v>46.666666666666664</v>
      </c>
      <c r="P162" s="224">
        <f t="shared" ca="1" si="48"/>
        <v>31.746031746031747</v>
      </c>
      <c r="Q162" s="224">
        <f ca="1">IFERROR(__xludf.DUMMYFUNCTION("IMPORTRANGE(""https://docs.google.com/spreadsheets/d/1ItG2mGa2ceCfYo0BwxsXqNm01IGEUdYcSSLTEv9YCik/edit?usp=sharing"",""เบิกจ่ายกองทุน!AG30"")"),0)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IFERROR(__xludf.DUMMYFUNCTION("IMPORTRANGE(""https://docs.google.com/spreadsheets/d/1ItG2mGa2ceCfYo0BwxsXqNm01IGEUdYcSSLTEv9YCik/edit?usp=sharing"",""เบิกจ่ายกองทุน!AH30"")"),0)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IFERROR(__xludf.DUMMYFUNCTION("IMPORTRANGE(""https://docs.google.com/spreadsheets/d/1ItG2mGa2ceCfYo0BwxsXqNm01IGEUdYcSSLTEv9YCik/edit?usp=sharing"",""เบิกจ่ายกองทุน!AI30"")"),0)</f>
        <v>0</v>
      </c>
      <c r="T162" s="224">
        <f t="shared" ca="1" si="49"/>
        <v>0</v>
      </c>
      <c r="U162" s="224">
        <f t="shared" ca="1" si="50"/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468">
        <f ca="1">L164+L165</f>
        <v>0</v>
      </c>
      <c r="M163" s="224">
        <f ca="1">M164+M165</f>
        <v>0</v>
      </c>
      <c r="N163" s="224">
        <f ca="1">N164+N165</f>
        <v>0</v>
      </c>
      <c r="O163" s="224">
        <f t="shared" ca="1" si="47"/>
        <v>0</v>
      </c>
      <c r="P163" s="224">
        <f t="shared" ca="1" si="48"/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 t="shared" si="49"/>
        <v>0</v>
      </c>
      <c r="U163" s="224">
        <f t="shared" si="50"/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469">
        <v>0</v>
      </c>
      <c r="M164" s="83">
        <v>0</v>
      </c>
      <c r="N164" s="83">
        <v>0</v>
      </c>
      <c r="O164" s="83">
        <f t="shared" si="47"/>
        <v>0</v>
      </c>
      <c r="P164" s="83">
        <f t="shared" si="48"/>
        <v>0</v>
      </c>
      <c r="Q164" s="83">
        <v>0</v>
      </c>
      <c r="R164" s="83">
        <v>0</v>
      </c>
      <c r="S164" s="83">
        <v>0</v>
      </c>
      <c r="T164" s="83">
        <f t="shared" si="49"/>
        <v>0</v>
      </c>
      <c r="U164" s="83">
        <f t="shared" si="50"/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468">
        <f ca="1">IFERROR(__xludf.DUMMYFUNCTION("IMPORTRANGE(""https://docs.google.com/spreadsheets/d/1-uDff_7J0KD5mKrp0Vvzr7lt3OU09vwQwhkpOPPYv2Y/edit?usp=sharing"",""งบพรบ!CD30"")"),0)</f>
        <v>0</v>
      </c>
      <c r="M165" s="224">
        <f ca="1">IFERROR(__xludf.DUMMYFUNCTION("IMPORTRANGE(""https://docs.google.com/spreadsheets/d/1-uDff_7J0KD5mKrp0Vvzr7lt3OU09vwQwhkpOPPYv2Y/edit?usp=sharing"",""งบพรบ!CG30"")"),0)</f>
        <v>0</v>
      </c>
      <c r="N165" s="224">
        <f ca="1">IFERROR(__xludf.DUMMYFUNCTION("IMPORTRANGE(""https://docs.google.com/spreadsheets/d/1-uDff_7J0KD5mKrp0Vvzr7lt3OU09vwQwhkpOPPYv2Y/edit?usp=sharing"",""งบพรบ!CI30"")"),0)</f>
        <v>0</v>
      </c>
      <c r="O165" s="224">
        <f t="shared" ca="1" si="47"/>
        <v>0</v>
      </c>
      <c r="P165" s="224">
        <f t="shared" ca="1" si="48"/>
        <v>0</v>
      </c>
      <c r="Q165" s="224">
        <v>0</v>
      </c>
      <c r="R165" s="224">
        <v>0</v>
      </c>
      <c r="S165" s="224">
        <v>0</v>
      </c>
      <c r="T165" s="224">
        <f t="shared" si="49"/>
        <v>0</v>
      </c>
      <c r="U165" s="224">
        <f t="shared" si="50"/>
        <v>0</v>
      </c>
    </row>
    <row r="166" spans="1:21" ht="19.5" x14ac:dyDescent="0.3">
      <c r="A166" s="138"/>
      <c r="B166" s="139"/>
      <c r="C166" s="129" t="s">
        <v>18</v>
      </c>
      <c r="D166" s="498" t="s">
        <v>38</v>
      </c>
      <c r="E166" s="141"/>
      <c r="F166" s="141"/>
      <c r="G166" s="142"/>
      <c r="H166" s="178"/>
      <c r="I166" s="44"/>
      <c r="J166" s="44"/>
      <c r="K166" s="45"/>
      <c r="L166" s="465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IFERROR(__xludf.DUMMYFUNCTION("IMPORTRANGE(""https://docs.google.com/spreadsheets/d/1eHaY18a8A9IcSdp1K8H6x8fbOy06t2VsZHhMHf-1x7Y/edit?usp=sharing"",""แผน!Z30"")"),15)</f>
        <v>15</v>
      </c>
      <c r="J167" s="466">
        <v>15</v>
      </c>
      <c r="K167" s="224">
        <f ca="1">IF(I167&gt;0,J167*100/I167,0)</f>
        <v>100</v>
      </c>
      <c r="L167" s="465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375" t="s">
        <v>35</v>
      </c>
      <c r="I168" s="430">
        <f ca="1">I167</f>
        <v>15</v>
      </c>
      <c r="J168" s="525">
        <v>0</v>
      </c>
      <c r="K168" s="83">
        <f ca="1">IF(I168&gt;0,J168*100/I168,0)</f>
        <v>0</v>
      </c>
      <c r="L168" s="465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31" t="s">
        <v>71</v>
      </c>
      <c r="E169" s="1"/>
      <c r="F169" s="1"/>
      <c r="G169" s="52"/>
      <c r="H169" s="663" t="s">
        <v>35</v>
      </c>
      <c r="I169" s="433">
        <f ca="1">I167</f>
        <v>15</v>
      </c>
      <c r="J169" s="522">
        <v>0</v>
      </c>
      <c r="K169" s="521">
        <f ca="1">IF(I169&gt;0,J169*100/I169,0)</f>
        <v>0</v>
      </c>
      <c r="L169" s="46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662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661">
        <f ca="1">I183+I184</f>
        <v>7</v>
      </c>
      <c r="J172" s="661">
        <f>J183+J184</f>
        <v>7</v>
      </c>
      <c r="K172" s="660">
        <f ca="1">IF(I172&gt;0,J172*100/I172,0)</f>
        <v>100</v>
      </c>
      <c r="L172" s="659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472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471">
        <f ca="1">L174+L175</f>
        <v>19590</v>
      </c>
      <c r="M173" s="470">
        <f ca="1">M174+M175</f>
        <v>33520</v>
      </c>
      <c r="N173" s="470">
        <f ca="1">N174+N175</f>
        <v>31535</v>
      </c>
      <c r="O173" s="470">
        <f t="shared" ref="O173:O181" ca="1" si="53">IF(L173&gt;0,N173*100/L173,0)</f>
        <v>160.97498723838694</v>
      </c>
      <c r="P173" s="470">
        <f t="shared" ref="P173:P181" ca="1" si="54">IF(M173&gt;0,N173*100/M173,0)</f>
        <v>94.078162291169448</v>
      </c>
      <c r="Q173" s="470">
        <f ca="1">Q174+Q175</f>
        <v>0</v>
      </c>
      <c r="R173" s="470">
        <f ca="1">R174+R175</f>
        <v>0</v>
      </c>
      <c r="S173" s="470">
        <f ca="1">S174+S175</f>
        <v>0</v>
      </c>
      <c r="T173" s="470">
        <f t="shared" ref="T173:T181" ca="1" si="55">IF(Q173&gt;0,S173*100/Q173,0)</f>
        <v>0</v>
      </c>
      <c r="U173" s="470">
        <f t="shared" ref="U173:U181" ca="1" si="56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469">
        <f t="shared" ref="L174:N175" si="57">L177+L180</f>
        <v>0</v>
      </c>
      <c r="M174" s="83">
        <f t="shared" si="57"/>
        <v>0</v>
      </c>
      <c r="N174" s="83">
        <f t="shared" si="57"/>
        <v>0</v>
      </c>
      <c r="O174" s="83">
        <f t="shared" si="53"/>
        <v>0</v>
      </c>
      <c r="P174" s="83">
        <f t="shared" si="54"/>
        <v>0</v>
      </c>
      <c r="Q174" s="83">
        <f t="shared" ref="Q174:S175" si="58">Q177+Q180</f>
        <v>0</v>
      </c>
      <c r="R174" s="83">
        <f t="shared" si="58"/>
        <v>0</v>
      </c>
      <c r="S174" s="83">
        <f t="shared" si="58"/>
        <v>0</v>
      </c>
      <c r="T174" s="83">
        <f t="shared" si="55"/>
        <v>0</v>
      </c>
      <c r="U174" s="83">
        <f t="shared" si="56"/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468">
        <f t="shared" ca="1" si="57"/>
        <v>19590</v>
      </c>
      <c r="M175" s="224">
        <f t="shared" ca="1" si="57"/>
        <v>33520</v>
      </c>
      <c r="N175" s="224">
        <f t="shared" ca="1" si="57"/>
        <v>31535</v>
      </c>
      <c r="O175" s="224">
        <f t="shared" ca="1" si="53"/>
        <v>160.97498723838694</v>
      </c>
      <c r="P175" s="224">
        <f t="shared" ca="1" si="54"/>
        <v>94.078162291169448</v>
      </c>
      <c r="Q175" s="224">
        <f t="shared" ca="1" si="58"/>
        <v>0</v>
      </c>
      <c r="R175" s="224">
        <f t="shared" ca="1" si="58"/>
        <v>0</v>
      </c>
      <c r="S175" s="224">
        <f t="shared" ca="1" si="58"/>
        <v>0</v>
      </c>
      <c r="T175" s="224">
        <f t="shared" ca="1" si="55"/>
        <v>0</v>
      </c>
      <c r="U175" s="224">
        <f t="shared" ca="1" si="56"/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468">
        <f ca="1">L177+L178</f>
        <v>19590</v>
      </c>
      <c r="M176" s="224">
        <f ca="1">M177+M178</f>
        <v>33520</v>
      </c>
      <c r="N176" s="224">
        <f ca="1">N177+N178</f>
        <v>31535</v>
      </c>
      <c r="O176" s="224">
        <f t="shared" ca="1" si="53"/>
        <v>160.97498723838694</v>
      </c>
      <c r="P176" s="224">
        <f t="shared" ca="1" si="54"/>
        <v>94.078162291169448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t="shared" ca="1" si="55"/>
        <v>0</v>
      </c>
      <c r="U176" s="224">
        <f t="shared" ca="1" si="56"/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469">
        <v>0</v>
      </c>
      <c r="M177" s="83">
        <v>0</v>
      </c>
      <c r="N177" s="83">
        <v>0</v>
      </c>
      <c r="O177" s="83">
        <f t="shared" si="53"/>
        <v>0</v>
      </c>
      <c r="P177" s="83">
        <f t="shared" si="54"/>
        <v>0</v>
      </c>
      <c r="Q177" s="83">
        <v>0</v>
      </c>
      <c r="R177" s="83">
        <v>0</v>
      </c>
      <c r="S177" s="83">
        <v>0</v>
      </c>
      <c r="T177" s="83">
        <f t="shared" si="55"/>
        <v>0</v>
      </c>
      <c r="U177" s="83">
        <f t="shared" si="56"/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468">
        <f ca="1">IFERROR(__xludf.DUMMYFUNCTION("IMPORTRANGE(""https://docs.google.com/spreadsheets/d/1-uDff_7J0KD5mKrp0Vvzr7lt3OU09vwQwhkpOPPYv2Y/edit?usp=sharing"",""งบพรบ!CK30"")"),19590)</f>
        <v>19590</v>
      </c>
      <c r="M178" s="224">
        <f ca="1">IFERROR(__xludf.DUMMYFUNCTION("IMPORTRANGE(""https://docs.google.com/spreadsheets/d/1-uDff_7J0KD5mKrp0Vvzr7lt3OU09vwQwhkpOPPYv2Y/edit?usp=sharing"",""งบพรบ!CP30"")"),33520)</f>
        <v>33520</v>
      </c>
      <c r="N178" s="224">
        <f ca="1">IFERROR(__xludf.DUMMYFUNCTION("IMPORTRANGE(""https://docs.google.com/spreadsheets/d/1-uDff_7J0KD5mKrp0Vvzr7lt3OU09vwQwhkpOPPYv2Y/edit?usp=sharing"",""งบพรบ!CR30"")"),31535)</f>
        <v>31535</v>
      </c>
      <c r="O178" s="224">
        <f t="shared" ca="1" si="53"/>
        <v>160.97498723838694</v>
      </c>
      <c r="P178" s="224">
        <f t="shared" ca="1" si="54"/>
        <v>94.078162291169448</v>
      </c>
      <c r="Q178" s="224">
        <f ca="1">IFERROR(__xludf.DUMMYFUNCTION("IMPORTRANGE(""https://docs.google.com/spreadsheets/d/1ItG2mGa2ceCfYo0BwxsXqNm01IGEUdYcSSLTEv9YCik/edit?usp=sharing"",""เบิกจ่ายกองทุน!BE30"")"),0)</f>
        <v>0</v>
      </c>
      <c r="R178" s="224">
        <f ca="1">IFERROR(__xludf.DUMMYFUNCTION("IMPORTRANGE(""https://docs.google.com/spreadsheets/d/1ItG2mGa2ceCfYo0BwxsXqNm01IGEUdYcSSLTEv9YCik/edit?usp=sharing"",""เบิกจ่ายกองทุน!BF30"")"),0)</f>
        <v>0</v>
      </c>
      <c r="S178" s="224">
        <f ca="1">IFERROR(__xludf.DUMMYFUNCTION("IMPORTRANGE(""https://docs.google.com/spreadsheets/d/1ItG2mGa2ceCfYo0BwxsXqNm01IGEUdYcSSLTEv9YCik/edit?usp=sharing"",""เบิกจ่ายกองทุน!BG30"")"),0)</f>
        <v>0</v>
      </c>
      <c r="T178" s="224">
        <f t="shared" ca="1" si="55"/>
        <v>0</v>
      </c>
      <c r="U178" s="224">
        <f t="shared" ca="1" si="56"/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468">
        <f ca="1">L180+L181</f>
        <v>0</v>
      </c>
      <c r="M179" s="224">
        <f ca="1">M180+M181</f>
        <v>0</v>
      </c>
      <c r="N179" s="224">
        <f ca="1">N180+N181</f>
        <v>0</v>
      </c>
      <c r="O179" s="224">
        <f t="shared" ca="1" si="53"/>
        <v>0</v>
      </c>
      <c r="P179" s="224">
        <f t="shared" ca="1" si="54"/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 t="shared" si="55"/>
        <v>0</v>
      </c>
      <c r="U179" s="224">
        <f t="shared" si="56"/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469">
        <v>0</v>
      </c>
      <c r="M180" s="83">
        <v>0</v>
      </c>
      <c r="N180" s="83">
        <v>0</v>
      </c>
      <c r="O180" s="83">
        <f t="shared" si="53"/>
        <v>0</v>
      </c>
      <c r="P180" s="83">
        <f t="shared" si="54"/>
        <v>0</v>
      </c>
      <c r="Q180" s="83">
        <v>0</v>
      </c>
      <c r="R180" s="83">
        <v>0</v>
      </c>
      <c r="S180" s="83">
        <v>0</v>
      </c>
      <c r="T180" s="83">
        <f t="shared" si="55"/>
        <v>0</v>
      </c>
      <c r="U180" s="83">
        <f t="shared" si="56"/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468">
        <f ca="1">IFERROR(__xludf.DUMMYFUNCTION("IMPORTRANGE(""https://docs.google.com/spreadsheets/d/1-uDff_7J0KD5mKrp0Vvzr7lt3OU09vwQwhkpOPPYv2Y/edit?usp=sharing"",""งบพรบ!CN30"")"),0)</f>
        <v>0</v>
      </c>
      <c r="M181" s="224">
        <f ca="1">IFERROR(__xludf.DUMMYFUNCTION("IMPORTRANGE(""https://docs.google.com/spreadsheets/d/1-uDff_7J0KD5mKrp0Vvzr7lt3OU09vwQwhkpOPPYv2Y/edit?usp=sharing"",""งบพรบ!CQ30"")"),0)</f>
        <v>0</v>
      </c>
      <c r="N181" s="224">
        <f ca="1">IFERROR(__xludf.DUMMYFUNCTION("IMPORTRANGE(""https://docs.google.com/spreadsheets/d/1-uDff_7J0KD5mKrp0Vvzr7lt3OU09vwQwhkpOPPYv2Y/edit?usp=sharing"",""งบพรบ!CS30"")"),0)</f>
        <v>0</v>
      </c>
      <c r="O181" s="224">
        <f t="shared" ca="1" si="53"/>
        <v>0</v>
      </c>
      <c r="P181" s="224">
        <f t="shared" ca="1" si="54"/>
        <v>0</v>
      </c>
      <c r="Q181" s="224">
        <v>0</v>
      </c>
      <c r="R181" s="224">
        <v>0</v>
      </c>
      <c r="S181" s="224">
        <v>0</v>
      </c>
      <c r="T181" s="224">
        <f t="shared" si="55"/>
        <v>0</v>
      </c>
      <c r="U181" s="224">
        <f t="shared" si="56"/>
        <v>0</v>
      </c>
    </row>
    <row r="182" spans="1:21" ht="19.5" x14ac:dyDescent="0.3">
      <c r="A182" s="138"/>
      <c r="B182" s="139"/>
      <c r="C182" s="129" t="s">
        <v>18</v>
      </c>
      <c r="D182" s="498" t="s">
        <v>38</v>
      </c>
      <c r="E182" s="141"/>
      <c r="F182" s="141"/>
      <c r="G182" s="142"/>
      <c r="H182" s="178"/>
      <c r="I182" s="44"/>
      <c r="J182" s="44"/>
      <c r="K182" s="45"/>
      <c r="L182" s="465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IFERROR(__xludf.DUMMYFUNCTION("IMPORTRANGE(""https://docs.google.com/spreadsheets/d/1eHaY18a8A9IcSdp1K8H6x8fbOy06t2VsZHhMHf-1x7Y/edit?usp=sharing"",""แผน!AA30"")"),7)</f>
        <v>7</v>
      </c>
      <c r="J183" s="466">
        <v>7</v>
      </c>
      <c r="K183" s="224">
        <f ca="1">IF(I183&gt;0,J183*100/I183,0)</f>
        <v>100</v>
      </c>
      <c r="L183" s="465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14" t="s">
        <v>76</v>
      </c>
      <c r="E184" s="40"/>
      <c r="F184" s="40"/>
      <c r="G184" s="42"/>
      <c r="H184" s="526" t="s">
        <v>35</v>
      </c>
      <c r="I184" s="430">
        <v>0</v>
      </c>
      <c r="J184" s="430">
        <v>0</v>
      </c>
      <c r="K184" s="83">
        <f>IF(I184&gt;0,J184*100/I184,0)</f>
        <v>0</v>
      </c>
      <c r="L184" s="465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661">
        <f ca="1">I230+I231</f>
        <v>0</v>
      </c>
      <c r="J185" s="661">
        <f>J230+J231</f>
        <v>0</v>
      </c>
      <c r="K185" s="660">
        <f ca="1">IF(I185&gt;0,J185*100/I185,0)</f>
        <v>0</v>
      </c>
      <c r="L185" s="659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472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471">
        <f ca="1">L187+L188</f>
        <v>40500</v>
      </c>
      <c r="M186" s="470">
        <f ca="1">M187+M188</f>
        <v>28160</v>
      </c>
      <c r="N186" s="470">
        <f ca="1">N187+N188</f>
        <v>6579.88</v>
      </c>
      <c r="O186" s="470">
        <f t="shared" ref="O186:O194" ca="1" si="59">IF(L186&gt;0,N186*100/L186,0)</f>
        <v>16.246617283950616</v>
      </c>
      <c r="P186" s="470">
        <f t="shared" ref="P186:P194" ca="1" si="60">IF(M186&gt;0,N186*100/M186,0)</f>
        <v>23.366051136363637</v>
      </c>
      <c r="Q186" s="470">
        <f ca="1">Q187+Q188</f>
        <v>56000</v>
      </c>
      <c r="R186" s="470">
        <f ca="1">R187+R188</f>
        <v>56000</v>
      </c>
      <c r="S186" s="470">
        <f ca="1">S187+S188</f>
        <v>0</v>
      </c>
      <c r="T186" s="470">
        <f t="shared" ref="T186:T194" ca="1" si="61">IF(Q186&gt;0,S186*100/Q186,0)</f>
        <v>0</v>
      </c>
      <c r="U186" s="470">
        <f t="shared" ref="U186:U194" ca="1" si="62">IF(R186&gt;0,S186*100/R186,0)</f>
        <v>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469">
        <f t="shared" ref="L187:N188" si="63">L190+L193</f>
        <v>0</v>
      </c>
      <c r="M187" s="83">
        <f t="shared" si="63"/>
        <v>0</v>
      </c>
      <c r="N187" s="83">
        <f t="shared" si="63"/>
        <v>0</v>
      </c>
      <c r="O187" s="83">
        <f t="shared" si="59"/>
        <v>0</v>
      </c>
      <c r="P187" s="83">
        <f t="shared" si="60"/>
        <v>0</v>
      </c>
      <c r="Q187" s="83">
        <f t="shared" ref="Q187:S188" si="64">Q190+Q193</f>
        <v>0</v>
      </c>
      <c r="R187" s="83">
        <f t="shared" si="64"/>
        <v>0</v>
      </c>
      <c r="S187" s="83">
        <f t="shared" si="64"/>
        <v>0</v>
      </c>
      <c r="T187" s="83">
        <f t="shared" si="61"/>
        <v>0</v>
      </c>
      <c r="U187" s="83">
        <f t="shared" si="62"/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468">
        <f t="shared" ca="1" si="63"/>
        <v>40500</v>
      </c>
      <c r="M188" s="224">
        <f t="shared" ca="1" si="63"/>
        <v>28160</v>
      </c>
      <c r="N188" s="224">
        <f t="shared" ca="1" si="63"/>
        <v>6579.88</v>
      </c>
      <c r="O188" s="224">
        <f t="shared" ca="1" si="59"/>
        <v>16.246617283950616</v>
      </c>
      <c r="P188" s="224">
        <f t="shared" ca="1" si="60"/>
        <v>23.366051136363637</v>
      </c>
      <c r="Q188" s="224">
        <f t="shared" ca="1" si="64"/>
        <v>56000</v>
      </c>
      <c r="R188" s="224">
        <f t="shared" ca="1" si="64"/>
        <v>56000</v>
      </c>
      <c r="S188" s="224">
        <f t="shared" ca="1" si="64"/>
        <v>0</v>
      </c>
      <c r="T188" s="224">
        <f t="shared" ca="1" si="61"/>
        <v>0</v>
      </c>
      <c r="U188" s="224">
        <f t="shared" ca="1" si="62"/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468">
        <f ca="1">L190+L191</f>
        <v>40500</v>
      </c>
      <c r="M189" s="224">
        <f ca="1">M190+M191</f>
        <v>28160</v>
      </c>
      <c r="N189" s="224">
        <f ca="1">N190+N191</f>
        <v>6579.88</v>
      </c>
      <c r="O189" s="224">
        <f t="shared" ca="1" si="59"/>
        <v>16.246617283950616</v>
      </c>
      <c r="P189" s="224">
        <f t="shared" ca="1" si="60"/>
        <v>23.366051136363637</v>
      </c>
      <c r="Q189" s="224">
        <f ca="1">Q190+Q191</f>
        <v>56000</v>
      </c>
      <c r="R189" s="224">
        <f ca="1">R190+R191</f>
        <v>56000</v>
      </c>
      <c r="S189" s="224">
        <f ca="1">S190+S191</f>
        <v>0</v>
      </c>
      <c r="T189" s="224">
        <f t="shared" ca="1" si="61"/>
        <v>0</v>
      </c>
      <c r="U189" s="224">
        <f t="shared" ca="1" si="62"/>
        <v>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469">
        <v>0</v>
      </c>
      <c r="M190" s="83">
        <v>0</v>
      </c>
      <c r="N190" s="83">
        <v>0</v>
      </c>
      <c r="O190" s="83">
        <f t="shared" si="59"/>
        <v>0</v>
      </c>
      <c r="P190" s="83">
        <f t="shared" si="60"/>
        <v>0</v>
      </c>
      <c r="Q190" s="83">
        <v>0</v>
      </c>
      <c r="R190" s="83">
        <v>0</v>
      </c>
      <c r="S190" s="83">
        <v>0</v>
      </c>
      <c r="T190" s="83">
        <f t="shared" si="61"/>
        <v>0</v>
      </c>
      <c r="U190" s="83">
        <f t="shared" si="62"/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468">
        <f ca="1">IFERROR(__xludf.DUMMYFUNCTION("IMPORTRANGE(""https://docs.google.com/spreadsheets/d/1-uDff_7J0KD5mKrp0Vvzr7lt3OU09vwQwhkpOPPYv2Y/edit?usp=sharing"",""งบพรบ!CU30"")"),40500)</f>
        <v>40500</v>
      </c>
      <c r="M191" s="224">
        <f ca="1">IFERROR(__xludf.DUMMYFUNCTION("IMPORTRANGE(""https://docs.google.com/spreadsheets/d/1-uDff_7J0KD5mKrp0Vvzr7lt3OU09vwQwhkpOPPYv2Y/edit?usp=sharing"",""งบพรบ!CZ30"")"),28160)</f>
        <v>28160</v>
      </c>
      <c r="N191" s="224">
        <f ca="1">IFERROR(__xludf.DUMMYFUNCTION("IMPORTRANGE(""https://docs.google.com/spreadsheets/d/1-uDff_7J0KD5mKrp0Vvzr7lt3OU09vwQwhkpOPPYv2Y/edit?usp=sharing"",""งบพรบ!DB30"")"),6579.88)</f>
        <v>6579.88</v>
      </c>
      <c r="O191" s="224">
        <f t="shared" ca="1" si="59"/>
        <v>16.246617283950616</v>
      </c>
      <c r="P191" s="224">
        <f t="shared" ca="1" si="60"/>
        <v>23.366051136363637</v>
      </c>
      <c r="Q191" s="224">
        <f ca="1">IFERROR(__xludf.DUMMYFUNCTION("IMPORTRANGE(""https://docs.google.com/spreadsheets/d/1ItG2mGa2ceCfYo0BwxsXqNm01IGEUdYcSSLTEv9YCik/edit?usp=sharing"",""เบิกจ่ายกองทุน!AV30"")"),56000)</f>
        <v>56000</v>
      </c>
      <c r="R191" s="224">
        <f ca="1">IFERROR(__xludf.DUMMYFUNCTION("IMPORTRANGE(""https://docs.google.com/spreadsheets/d/1ItG2mGa2ceCfYo0BwxsXqNm01IGEUdYcSSLTEv9YCik/edit?usp=sharing"",""เบิกจ่ายกองทุน!AW30"")"),56000)</f>
        <v>56000</v>
      </c>
      <c r="S191" s="224">
        <f ca="1">IFERROR(__xludf.DUMMYFUNCTION("IMPORTRANGE(""https://docs.google.com/spreadsheets/d/1ItG2mGa2ceCfYo0BwxsXqNm01IGEUdYcSSLTEv9YCik/edit?usp=sharing"",""เบิกจ่ายกองทุน!AX30"")"),0)</f>
        <v>0</v>
      </c>
      <c r="T191" s="224">
        <f t="shared" ca="1" si="61"/>
        <v>0</v>
      </c>
      <c r="U191" s="224">
        <f t="shared" ca="1" si="62"/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468">
        <f ca="1">L193+L194</f>
        <v>0</v>
      </c>
      <c r="M192" s="224">
        <f ca="1">M193+M194</f>
        <v>0</v>
      </c>
      <c r="N192" s="224">
        <f ca="1">N193+N194</f>
        <v>0</v>
      </c>
      <c r="O192" s="224">
        <f t="shared" ca="1" si="59"/>
        <v>0</v>
      </c>
      <c r="P192" s="224">
        <f t="shared" ca="1" si="60"/>
        <v>0</v>
      </c>
      <c r="Q192" s="224">
        <f>Q193+Q194</f>
        <v>0</v>
      </c>
      <c r="R192" s="224">
        <f>R193+R194</f>
        <v>0</v>
      </c>
      <c r="S192" s="224">
        <f>S193+S194</f>
        <v>0</v>
      </c>
      <c r="T192" s="224">
        <f t="shared" si="61"/>
        <v>0</v>
      </c>
      <c r="U192" s="224">
        <f t="shared" si="62"/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469">
        <v>0</v>
      </c>
      <c r="M193" s="83">
        <v>0</v>
      </c>
      <c r="N193" s="83">
        <v>0</v>
      </c>
      <c r="O193" s="83">
        <f t="shared" si="59"/>
        <v>0</v>
      </c>
      <c r="P193" s="83">
        <f t="shared" si="60"/>
        <v>0</v>
      </c>
      <c r="Q193" s="83">
        <v>0</v>
      </c>
      <c r="R193" s="83">
        <v>0</v>
      </c>
      <c r="S193" s="83">
        <v>0</v>
      </c>
      <c r="T193" s="83">
        <f t="shared" si="61"/>
        <v>0</v>
      </c>
      <c r="U193" s="83">
        <f t="shared" si="62"/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468">
        <f ca="1">IFERROR(__xludf.DUMMYFUNCTION("IMPORTRANGE(""https://docs.google.com/spreadsheets/d/1-uDff_7J0KD5mKrp0Vvzr7lt3OU09vwQwhkpOPPYv2Y/edit?usp=sharing"",""งบพรบ!CX30"")"),0)</f>
        <v>0</v>
      </c>
      <c r="M194" s="224">
        <f ca="1">IFERROR(__xludf.DUMMYFUNCTION("IMPORTRANGE(""https://docs.google.com/spreadsheets/d/1-uDff_7J0KD5mKrp0Vvzr7lt3OU09vwQwhkpOPPYv2Y/edit?usp=sharing"",""งบพรบ!DA30"")"),0)</f>
        <v>0</v>
      </c>
      <c r="N194" s="224">
        <f ca="1">IFERROR(__xludf.DUMMYFUNCTION("IMPORTRANGE(""https://docs.google.com/spreadsheets/d/1-uDff_7J0KD5mKrp0Vvzr7lt3OU09vwQwhkpOPPYv2Y/edit?usp=sharing"",""งบพรบ!DC30"")"),0)</f>
        <v>0</v>
      </c>
      <c r="O194" s="224">
        <f t="shared" ca="1" si="59"/>
        <v>0</v>
      </c>
      <c r="P194" s="224">
        <f t="shared" ca="1" si="60"/>
        <v>0</v>
      </c>
      <c r="Q194" s="224">
        <v>0</v>
      </c>
      <c r="R194" s="224">
        <v>0</v>
      </c>
      <c r="S194" s="224">
        <v>0</v>
      </c>
      <c r="T194" s="224">
        <f t="shared" si="61"/>
        <v>0</v>
      </c>
      <c r="U194" s="224">
        <f t="shared" si="62"/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ca="1">I198</f>
        <v>4</v>
      </c>
      <c r="J195" s="303">
        <f>J198</f>
        <v>2</v>
      </c>
      <c r="K195" s="304">
        <f ca="1">IF(I195&gt;0,J195*100/I195,0)</f>
        <v>50</v>
      </c>
      <c r="L195" s="557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654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471">
        <f ca="1">IFERROR(__xludf.DUMMYFUNCTION("IMPORTRANGE(""https://docs.google.com/spreadsheets/d/1eHaY18a8A9IcSdp1K8H6x8fbOy06t2VsZHhMHf-1x7Y/edit?usp=sharing"",""แผน!AB30"")"),6000)</f>
        <v>6000</v>
      </c>
      <c r="M196" s="45"/>
      <c r="N196" s="658">
        <v>1600</v>
      </c>
      <c r="O196" s="470">
        <f ca="1">IF(L196&gt;0,N196*100/L196,0)</f>
        <v>26.666666666666668</v>
      </c>
      <c r="P196" s="47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498" t="s">
        <v>38</v>
      </c>
      <c r="E197" s="141"/>
      <c r="F197" s="141"/>
      <c r="G197" s="142"/>
      <c r="H197" s="143"/>
      <c r="I197" s="44"/>
      <c r="J197" s="44"/>
      <c r="K197" s="45"/>
      <c r="L197" s="465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IFERROR(__xludf.DUMMYFUNCTION("IMPORTRANGE(""https://docs.google.com/spreadsheets/d/1eHaY18a8A9IcSdp1K8H6x8fbOy06t2VsZHhMHf-1x7Y/edit?usp=sharing"",""แผน!AE30"")"),4)</f>
        <v>4</v>
      </c>
      <c r="J198" s="466">
        <v>2</v>
      </c>
      <c r="K198" s="224">
        <f ca="1">IF(I198&gt;0,J198*100/I198,0)</f>
        <v>50</v>
      </c>
      <c r="L198" s="465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0</v>
      </c>
      <c r="K199" s="45"/>
      <c r="L199" s="465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466">
        <v>0</v>
      </c>
      <c r="K200" s="45"/>
      <c r="L200" s="465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466">
        <v>0</v>
      </c>
      <c r="K201" s="45"/>
      <c r="L201" s="465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ca="1">I209</f>
        <v>4</v>
      </c>
      <c r="J202" s="303">
        <f>J209</f>
        <v>0</v>
      </c>
      <c r="K202" s="304">
        <f ca="1">IF(I202&gt;0,J202*100/I202,0)</f>
        <v>0</v>
      </c>
      <c r="L202" s="557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654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471">
        <f ca="1">L204+L205+L206+L207</f>
        <v>10000</v>
      </c>
      <c r="M203" s="45"/>
      <c r="N203" s="470">
        <f>N204+N205+N206+N207</f>
        <v>4674.88</v>
      </c>
      <c r="O203" s="470">
        <f ca="1">IF(L203&gt;0,N203*100/L203,0)</f>
        <v>46.748800000000003</v>
      </c>
      <c r="P203" s="470">
        <f>IF(M203&gt;0,N203*100/M203,0)</f>
        <v>0</v>
      </c>
      <c r="Q203" s="657">
        <f ca="1">Q204+Q205+Q206+Q207</f>
        <v>56000</v>
      </c>
      <c r="R203" s="656"/>
      <c r="S203" s="655">
        <f>S204+S205+S206+S207</f>
        <v>0</v>
      </c>
      <c r="T203" s="655">
        <f ca="1">IF(Q203&gt;0,S203*100/Q203,0)</f>
        <v>0</v>
      </c>
      <c r="U203" s="655">
        <f>IF(R203&gt;0,S203*100/R203,0)</f>
        <v>0</v>
      </c>
    </row>
    <row r="204" spans="1:21" ht="18.75" x14ac:dyDescent="0.25">
      <c r="A204" s="128"/>
      <c r="B204" s="158"/>
      <c r="C204" s="40"/>
      <c r="D204" s="653" t="s">
        <v>311</v>
      </c>
      <c r="E204" s="40"/>
      <c r="F204" s="40"/>
      <c r="G204" s="42"/>
      <c r="H204" s="134" t="s">
        <v>14</v>
      </c>
      <c r="I204" s="135"/>
      <c r="J204" s="135"/>
      <c r="K204" s="136"/>
      <c r="L204" s="468">
        <f ca="1">IFERROR(__xludf.DUMMYFUNCTION("IMPORTRANGE(""https://docs.google.com/spreadsheets/d/1eHaY18a8A9IcSdp1K8H6x8fbOy06t2VsZHhMHf-1x7Y/edit?usp=sharing"",""แผน!AG30"")"),2000)</f>
        <v>2000</v>
      </c>
      <c r="M204" s="45"/>
      <c r="N204" s="644">
        <v>4674.88</v>
      </c>
      <c r="O204" s="136"/>
      <c r="P204" s="45"/>
      <c r="Q204" s="468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307</v>
      </c>
      <c r="E205" s="40"/>
      <c r="F205" s="40"/>
      <c r="G205" s="42"/>
      <c r="H205" s="43" t="s">
        <v>14</v>
      </c>
      <c r="I205" s="44"/>
      <c r="J205" s="44"/>
      <c r="K205" s="45"/>
      <c r="L205" s="468">
        <f ca="1">IFERROR(__xludf.DUMMYFUNCTION("IMPORTRANGE(""https://docs.google.com/spreadsheets/d/1eHaY18a8A9IcSdp1K8H6x8fbOy06t2VsZHhMHf-1x7Y/edit?usp=sharing"",""แผน!AH30"")"),0)</f>
        <v>0</v>
      </c>
      <c r="M205" s="45"/>
      <c r="N205" s="644">
        <v>0</v>
      </c>
      <c r="O205" s="136"/>
      <c r="P205" s="45"/>
      <c r="Q205" s="468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468">
        <f ca="1">IFERROR(__xludf.DUMMYFUNCTION("IMPORTRANGE(""https://docs.google.com/spreadsheets/d/1eHaY18a8A9IcSdp1K8H6x8fbOy06t2VsZHhMHf-1x7Y/edit?usp=sharing"",""แผน!AI30"")"),0)</f>
        <v>0</v>
      </c>
      <c r="M206" s="45"/>
      <c r="N206" s="644">
        <v>0</v>
      </c>
      <c r="O206" s="136"/>
      <c r="P206" s="45"/>
      <c r="Q206" s="468">
        <f ca="1">IFERROR(__xludf.DUMMYFUNCTION("IMPORTRANGE(""https://docs.google.com/spreadsheets/d/1eHaY18a8A9IcSdp1K8H6x8fbOy06t2VsZHhMHf-1x7Y/edit?usp=sharing"",""แผน!LV30"")"),56000)</f>
        <v>56000</v>
      </c>
      <c r="R206" s="45"/>
      <c r="S206" s="644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468">
        <f ca="1">IFERROR(__xludf.DUMMYFUNCTION("IMPORTRANGE(""https://docs.google.com/spreadsheets/d/1eHaY18a8A9IcSdp1K8H6x8fbOy06t2VsZHhMHf-1x7Y/edit?usp=sharing"",""แผน!AJ30"")"),8000)</f>
        <v>8000</v>
      </c>
      <c r="M207" s="45"/>
      <c r="N207" s="644">
        <v>0</v>
      </c>
      <c r="O207" s="136"/>
      <c r="P207" s="45"/>
      <c r="Q207" s="468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498" t="s">
        <v>38</v>
      </c>
      <c r="E208" s="141"/>
      <c r="F208" s="141"/>
      <c r="G208" s="142"/>
      <c r="H208" s="143"/>
      <c r="I208" s="135"/>
      <c r="J208" s="135"/>
      <c r="K208" s="136"/>
      <c r="L208" s="492"/>
      <c r="M208" s="136"/>
      <c r="N208" s="136"/>
      <c r="O208" s="136"/>
      <c r="P208" s="136"/>
      <c r="Q208" s="4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IFERROR(__xludf.DUMMYFUNCTION("IMPORTRANGE(""https://docs.google.com/spreadsheets/d/1eHaY18a8A9IcSdp1K8H6x8fbOy06t2VsZHhMHf-1x7Y/edit?usp=sharing"",""แผน!AK30"")"),4)</f>
        <v>4</v>
      </c>
      <c r="J209" s="466">
        <v>0</v>
      </c>
      <c r="K209" s="497">
        <f ca="1">IF(I209&gt;0,J209*100/I209,0)</f>
        <v>0</v>
      </c>
      <c r="L209" s="465"/>
      <c r="M209" s="45"/>
      <c r="N209" s="45"/>
      <c r="O209" s="45"/>
      <c r="P209" s="45"/>
      <c r="Q209" s="465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465"/>
      <c r="M210" s="45"/>
      <c r="N210" s="45"/>
      <c r="O210" s="45"/>
      <c r="P210" s="45"/>
      <c r="Q210" s="46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IFERROR(__xludf.DUMMYFUNCTION("IMPORTRANGE(""https://docs.google.com/spreadsheets/d/1eHaY18a8A9IcSdp1K8H6x8fbOy06t2VsZHhMHf-1x7Y/edit?usp=sharing"",""แผน!JX30"")"),2)</f>
        <v>2</v>
      </c>
      <c r="J211" s="466">
        <v>0</v>
      </c>
      <c r="K211" s="497">
        <f ca="1">IF(I211&gt;0,J211*100/I211,0)</f>
        <v>0</v>
      </c>
      <c r="L211" s="465"/>
      <c r="M211" s="45"/>
      <c r="N211" s="45"/>
      <c r="O211" s="45"/>
      <c r="P211" s="45"/>
      <c r="Q211" s="46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IFERROR(__xludf.DUMMYFUNCTION("IMPORTRANGE(""https://docs.google.com/spreadsheets/d/1eHaY18a8A9IcSdp1K8H6x8fbOy06t2VsZHhMHf-1x7Y/edit?usp=sharing"",""แผน!JY30"")"),0)</f>
        <v>0</v>
      </c>
      <c r="J212" s="466">
        <v>0</v>
      </c>
      <c r="K212" s="497">
        <f ca="1">IF(I212&gt;0,J212*100/I212,0)</f>
        <v>0</v>
      </c>
      <c r="L212" s="465"/>
      <c r="M212" s="45"/>
      <c r="N212" s="45"/>
      <c r="O212" s="45"/>
      <c r="P212" s="45"/>
      <c r="Q212" s="465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ca="1">I220</f>
        <v>0</v>
      </c>
      <c r="J213" s="303">
        <f>J220</f>
        <v>0</v>
      </c>
      <c r="K213" s="304">
        <f ca="1">IF(I213&gt;0,J213*100/I213,0)</f>
        <v>0</v>
      </c>
      <c r="L213" s="557"/>
      <c r="M213" s="219"/>
      <c r="N213" s="219"/>
      <c r="O213" s="219"/>
      <c r="P213" s="219"/>
      <c r="Q213" s="557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654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471">
        <f ca="1">L215+L216+L217</f>
        <v>0</v>
      </c>
      <c r="M214" s="45"/>
      <c r="N214" s="470">
        <f>N215+N216+N217</f>
        <v>0</v>
      </c>
      <c r="O214" s="470">
        <f ca="1">IF(L214&gt;0,N214*100/L214,0)</f>
        <v>0</v>
      </c>
      <c r="P214" s="470">
        <f>IF(M214&gt;0,N214*100/M214,0)</f>
        <v>0</v>
      </c>
      <c r="Q214" s="471">
        <f ca="1">Q215+Q216+Q217</f>
        <v>0</v>
      </c>
      <c r="R214" s="45"/>
      <c r="S214" s="470">
        <f>S215+S216+S217</f>
        <v>0</v>
      </c>
      <c r="T214" s="470">
        <f ca="1">IF(Q214&gt;0,S214*100/Q214,0)</f>
        <v>0</v>
      </c>
      <c r="U214" s="470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468">
        <f ca="1">IFERROR(__xludf.DUMMYFUNCTION("IMPORTRANGE(""https://docs.google.com/spreadsheets/d/1eHaY18a8A9IcSdp1K8H6x8fbOy06t2VsZHhMHf-1x7Y/edit?usp=sharing"",""แผน!AM30"")"),0)</f>
        <v>0</v>
      </c>
      <c r="M215" s="45"/>
      <c r="N215" s="644">
        <v>0</v>
      </c>
      <c r="O215" s="136"/>
      <c r="P215" s="45"/>
      <c r="Q215" s="468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468">
        <f ca="1">IFERROR(__xludf.DUMMYFUNCTION("IMPORTRANGE(""https://docs.google.com/spreadsheets/d/1eHaY18a8A9IcSdp1K8H6x8fbOy06t2VsZHhMHf-1x7Y/edit?usp=sharing"",""แผน!AN30"")"),0)</f>
        <v>0</v>
      </c>
      <c r="M216" s="45"/>
      <c r="N216" s="644">
        <v>0</v>
      </c>
      <c r="O216" s="136"/>
      <c r="P216" s="45"/>
      <c r="Q216" s="468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468">
        <f ca="1">IFERROR(__xludf.DUMMYFUNCTION("IMPORTRANGE(""https://docs.google.com/spreadsheets/d/1eHaY18a8A9IcSdp1K8H6x8fbOy06t2VsZHhMHf-1x7Y/edit?usp=sharing"",""แผน!AO30"")"),0)</f>
        <v>0</v>
      </c>
      <c r="M217" s="45"/>
      <c r="N217" s="644">
        <v>0</v>
      </c>
      <c r="O217" s="136"/>
      <c r="P217" s="45"/>
      <c r="Q217" s="468">
        <f ca="1">IFERROR(__xludf.DUMMYFUNCTION("IMPORTRANGE(""https://docs.google.com/spreadsheets/d/1eHaY18a8A9IcSdp1K8H6x8fbOy06t2VsZHhMHf-1x7Y/edit?usp=sharing"",""แผน!LY30"")"),0)</f>
        <v>0</v>
      </c>
      <c r="R217" s="45"/>
      <c r="S217" s="644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498" t="s">
        <v>38</v>
      </c>
      <c r="E218" s="141"/>
      <c r="F218" s="141"/>
      <c r="G218" s="142"/>
      <c r="H218" s="143"/>
      <c r="I218" s="135"/>
      <c r="J218" s="44"/>
      <c r="K218" s="45"/>
      <c r="L218" s="465"/>
      <c r="M218" s="45"/>
      <c r="N218" s="45"/>
      <c r="O218" s="136"/>
      <c r="P218" s="136"/>
      <c r="Q218" s="465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IFERROR(__xludf.DUMMYFUNCTION("IMPORTRANGE(""https://docs.google.com/spreadsheets/d/1eHaY18a8A9IcSdp1K8H6x8fbOy06t2VsZHhMHf-1x7Y/edit?usp=sharing"",""แผน!AP30"")"),0)</f>
        <v>0</v>
      </c>
      <c r="J219" s="466">
        <v>0</v>
      </c>
      <c r="K219" s="224">
        <f ca="1">IF(I219&gt;0,J219*100/I219,0)</f>
        <v>0</v>
      </c>
      <c r="L219" s="465"/>
      <c r="M219" s="45"/>
      <c r="N219" s="45"/>
      <c r="O219" s="45"/>
      <c r="P219" s="45"/>
      <c r="Q219" s="465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IFERROR(__xludf.DUMMYFUNCTION("IMPORTRANGE(""https://docs.google.com/spreadsheets/d/1eHaY18a8A9IcSdp1K8H6x8fbOy06t2VsZHhMHf-1x7Y/edit?usp=sharing"",""แผน!AP30"")"),0)</f>
        <v>0</v>
      </c>
      <c r="J220" s="466">
        <v>0</v>
      </c>
      <c r="K220" s="224">
        <f ca="1">IF(I220&gt;0,J220*100/I220,0)</f>
        <v>0</v>
      </c>
      <c r="L220" s="465"/>
      <c r="M220" s="45"/>
      <c r="N220" s="45"/>
      <c r="O220" s="45"/>
      <c r="P220" s="45"/>
      <c r="Q220" s="465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ca="1">I229</f>
        <v>50000</v>
      </c>
      <c r="J221" s="303">
        <f>J229</f>
        <v>0</v>
      </c>
      <c r="K221" s="304">
        <f ca="1">IF(I221&gt;0,J221*100/I221,0)</f>
        <v>0</v>
      </c>
      <c r="L221" s="557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654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471">
        <f ca="1">L223+L224+L225</f>
        <v>8500</v>
      </c>
      <c r="M222" s="45"/>
      <c r="N222" s="470">
        <f>N223+N224+N225</f>
        <v>0</v>
      </c>
      <c r="O222" s="470">
        <f ca="1">IF(L222&gt;0,N222*100/L222,0)</f>
        <v>0</v>
      </c>
      <c r="P222" s="47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653" t="s">
        <v>308</v>
      </c>
      <c r="E223" s="40"/>
      <c r="F223" s="40"/>
      <c r="G223" s="42"/>
      <c r="H223" s="134" t="s">
        <v>14</v>
      </c>
      <c r="I223" s="135"/>
      <c r="J223" s="135"/>
      <c r="K223" s="136"/>
      <c r="L223" s="468">
        <f ca="1">IFERROR(__xludf.DUMMYFUNCTION("IMPORTRANGE(""https://docs.google.com/spreadsheets/d/1eHaY18a8A9IcSdp1K8H6x8fbOy06t2VsZHhMHf-1x7Y/edit?usp=sharing"",""แผน!AR30"")"),2500)</f>
        <v>2500</v>
      </c>
      <c r="M223" s="45"/>
      <c r="N223" s="644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307</v>
      </c>
      <c r="E224" s="40"/>
      <c r="F224" s="40"/>
      <c r="G224" s="42"/>
      <c r="H224" s="134" t="s">
        <v>14</v>
      </c>
      <c r="I224" s="44"/>
      <c r="J224" s="44"/>
      <c r="K224" s="45"/>
      <c r="L224" s="468">
        <f ca="1">IFERROR(__xludf.DUMMYFUNCTION("IMPORTRANGE(""https://docs.google.com/spreadsheets/d/1eHaY18a8A9IcSdp1K8H6x8fbOy06t2VsZHhMHf-1x7Y/edit?usp=sharing"",""แผน!AS30"")"),6000)</f>
        <v>6000</v>
      </c>
      <c r="M224" s="45"/>
      <c r="N224" s="644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468">
        <f ca="1">IFERROR(__xludf.DUMMYFUNCTION("IMPORTRANGE(""https://docs.google.com/spreadsheets/d/1eHaY18a8A9IcSdp1K8H6x8fbOy06t2VsZHhMHf-1x7Y/edit?usp=sharing"",""แผน!AT30"")"),0)</f>
        <v>0</v>
      </c>
      <c r="M225" s="45"/>
      <c r="N225" s="644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498" t="s">
        <v>38</v>
      </c>
      <c r="E226" s="141"/>
      <c r="F226" s="141"/>
      <c r="G226" s="142"/>
      <c r="H226" s="143"/>
      <c r="I226" s="135"/>
      <c r="J226" s="135"/>
      <c r="K226" s="136"/>
      <c r="L226" s="4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4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IFERROR(__xludf.DUMMYFUNCTION("IMPORTRANGE(""https://docs.google.com/spreadsheets/d/1eHaY18a8A9IcSdp1K8H6x8fbOy06t2VsZHhMHf-1x7Y/edit?usp=sharing"",""แผน!AV30"")"),50000)</f>
        <v>50000</v>
      </c>
      <c r="J228" s="466">
        <v>0</v>
      </c>
      <c r="K228" s="497">
        <f ca="1">IF(I228&gt;0,J228*100/I228,0)</f>
        <v>0</v>
      </c>
      <c r="L228" s="4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IFERROR(__xludf.DUMMYFUNCTION("IMPORTRANGE(""https://docs.google.com/spreadsheets/d/1eHaY18a8A9IcSdp1K8H6x8fbOy06t2VsZHhMHf-1x7Y/edit?usp=sharing"",""แผน!AV30"")"),50000)</f>
        <v>50000</v>
      </c>
      <c r="J229" s="466">
        <v>0</v>
      </c>
      <c r="K229" s="497">
        <f ca="1">IF(I229&gt;0,J229*100/I229,0)</f>
        <v>0</v>
      </c>
      <c r="L229" s="465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IFERROR(__xludf.DUMMYFUNCTION("IMPORTRANGE(""https://docs.google.com/spreadsheets/d/1eHaY18a8A9IcSdp1K8H6x8fbOy06t2VsZHhMHf-1x7Y/edit?usp=sharing"",""แผน!AU30"")"),0)</f>
        <v>0</v>
      </c>
      <c r="J230" s="466">
        <v>0</v>
      </c>
      <c r="K230" s="497">
        <f ca="1">IF(I230&gt;0,J230*100/I230,0)</f>
        <v>0</v>
      </c>
      <c r="L230" s="465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3">
        <f ca="1">I242+I253</f>
        <v>0</v>
      </c>
      <c r="J231" s="303">
        <f>J242+J253</f>
        <v>0</v>
      </c>
      <c r="K231" s="304">
        <f ca="1">IF(I231&gt;0,J231*100/I231,0)</f>
        <v>0</v>
      </c>
      <c r="L231" s="557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472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652">
        <f ca="1">L243+L254</f>
        <v>0</v>
      </c>
      <c r="M232" s="45"/>
      <c r="N232" s="651">
        <f>N243+N254</f>
        <v>0</v>
      </c>
      <c r="O232" s="45"/>
      <c r="P232" s="45"/>
      <c r="Q232" s="45"/>
      <c r="R232" s="45"/>
      <c r="S232" s="45"/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469">
        <f ca="1">L244+L255</f>
        <v>0</v>
      </c>
      <c r="M233" s="45"/>
      <c r="N233" s="83">
        <f>N244+N255</f>
        <v>0</v>
      </c>
      <c r="O233" s="45"/>
      <c r="P233" s="45"/>
      <c r="Q233" s="791">
        <v>0</v>
      </c>
      <c r="R233" s="591">
        <v>0</v>
      </c>
      <c r="S233" s="591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469">
        <f ca="1">L245+L256</f>
        <v>0</v>
      </c>
      <c r="M234" s="45"/>
      <c r="N234" s="83">
        <f>N245+N256</f>
        <v>0</v>
      </c>
      <c r="O234" s="45"/>
      <c r="P234" s="45"/>
      <c r="Q234" s="468">
        <v>0</v>
      </c>
      <c r="R234" s="224">
        <v>0</v>
      </c>
      <c r="S234" s="224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469">
        <f ca="1">L246+L257</f>
        <v>0</v>
      </c>
      <c r="M235" s="45"/>
      <c r="N235" s="83">
        <f>N246+N257</f>
        <v>0</v>
      </c>
      <c r="O235" s="45"/>
      <c r="P235" s="45"/>
      <c r="Q235" s="468">
        <v>0</v>
      </c>
      <c r="R235" s="224">
        <v>0</v>
      </c>
      <c r="S235" s="224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469">
        <f ca="1">L247+L258</f>
        <v>0</v>
      </c>
      <c r="M236" s="45"/>
      <c r="N236" s="83">
        <f>N247+N258</f>
        <v>0</v>
      </c>
      <c r="O236" s="45"/>
      <c r="P236" s="45"/>
      <c r="Q236" s="468">
        <v>0</v>
      </c>
      <c r="R236" s="224">
        <v>0</v>
      </c>
      <c r="S236" s="224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498" t="s">
        <v>38</v>
      </c>
      <c r="E237" s="141"/>
      <c r="F237" s="141"/>
      <c r="G237" s="142"/>
      <c r="H237" s="143"/>
      <c r="I237" s="135"/>
      <c r="J237" s="44"/>
      <c r="K237" s="45"/>
      <c r="L237" s="465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465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465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465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465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649" t="s">
        <v>111</v>
      </c>
      <c r="D242" s="214"/>
      <c r="E242" s="214"/>
      <c r="F242" s="214"/>
      <c r="G242" s="215"/>
      <c r="H242" s="648" t="s">
        <v>35</v>
      </c>
      <c r="I242" s="647">
        <f ca="1">I249</f>
        <v>0</v>
      </c>
      <c r="J242" s="647">
        <f>J249</f>
        <v>0</v>
      </c>
      <c r="K242" s="646">
        <f ca="1">IF(I242&gt;0,J242*100/I242,0)</f>
        <v>0</v>
      </c>
      <c r="L242" s="557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527" t="s">
        <v>18</v>
      </c>
      <c r="D243" s="494" t="s">
        <v>19</v>
      </c>
      <c r="E243" s="40"/>
      <c r="F243" s="40"/>
      <c r="G243" s="42"/>
      <c r="H243" s="372" t="s">
        <v>14</v>
      </c>
      <c r="I243" s="135"/>
      <c r="J243" s="135"/>
      <c r="K243" s="136"/>
      <c r="L243" s="471">
        <f ca="1">L244+L245+L246+L247</f>
        <v>0</v>
      </c>
      <c r="M243" s="45"/>
      <c r="N243" s="470">
        <f>N244+N245+N246+N247</f>
        <v>0</v>
      </c>
      <c r="O243" s="470">
        <f ca="1">IF(L243&gt;0,N243*100/L243,0)</f>
        <v>0</v>
      </c>
      <c r="P243" s="470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468">
        <f ca="1">IFERROR(__xludf.DUMMYFUNCTION("IMPORTRANGE(""https://docs.google.com/spreadsheets/d/1eHaY18a8A9IcSdp1K8H6x8fbOy06t2VsZHhMHf-1x7Y/edit?usp=sharing"",""แผน!AX30"")"),0)</f>
        <v>0</v>
      </c>
      <c r="M244" s="45"/>
      <c r="N244" s="644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468">
        <f ca="1">IFERROR(__xludf.DUMMYFUNCTION("IMPORTRANGE(""https://docs.google.com/spreadsheets/d/1eHaY18a8A9IcSdp1K8H6x8fbOy06t2VsZHhMHf-1x7Y/edit?usp=sharing"",""แผน!AY30"")"),0)</f>
        <v>0</v>
      </c>
      <c r="M245" s="45"/>
      <c r="N245" s="644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468">
        <f ca="1">IFERROR(__xludf.DUMMYFUNCTION("IMPORTRANGE(""https://docs.google.com/spreadsheets/d/1eHaY18a8A9IcSdp1K8H6x8fbOy06t2VsZHhMHf-1x7Y/edit?usp=sharing"",""แผน!AZ30"")"),0)</f>
        <v>0</v>
      </c>
      <c r="M246" s="45"/>
      <c r="N246" s="644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468">
        <f ca="1">IFERROR(__xludf.DUMMYFUNCTION("IMPORTRANGE(""https://docs.google.com/spreadsheets/d/1eHaY18a8A9IcSdp1K8H6x8fbOy06t2VsZHhMHf-1x7Y/edit?usp=sharing"",""แผน!BA30"")"),0)</f>
        <v>0</v>
      </c>
      <c r="M247" s="45"/>
      <c r="N247" s="644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643" t="s">
        <v>18</v>
      </c>
      <c r="D248" s="509" t="s">
        <v>38</v>
      </c>
      <c r="E248" s="141"/>
      <c r="F248" s="141"/>
      <c r="G248" s="142"/>
      <c r="H248" s="143"/>
      <c r="I248" s="135"/>
      <c r="J248" s="44"/>
      <c r="K248" s="45"/>
      <c r="L248" s="465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640" t="s">
        <v>35</v>
      </c>
      <c r="I249" s="430">
        <f ca="1">IFERROR(__xludf.DUMMYFUNCTION("IMPORTRANGE(""https://docs.google.com/spreadsheets/d/1eHaY18a8A9IcSdp1K8H6x8fbOy06t2VsZHhMHf-1x7Y/edit?usp=sharing"",""แผน!BG30"")"),0)</f>
        <v>0</v>
      </c>
      <c r="J249" s="525">
        <v>0</v>
      </c>
      <c r="K249" s="83">
        <f ca="1">IF(I249&gt;0,J249*100/I249,0)</f>
        <v>0</v>
      </c>
      <c r="L249" s="465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642" t="s">
        <v>43</v>
      </c>
      <c r="E250" s="145"/>
      <c r="F250" s="145"/>
      <c r="G250" s="143"/>
      <c r="H250" s="143"/>
      <c r="I250" s="44"/>
      <c r="J250" s="44"/>
      <c r="K250" s="45"/>
      <c r="L250" s="465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1" t="s">
        <v>109</v>
      </c>
      <c r="F251" s="145"/>
      <c r="G251" s="143"/>
      <c r="H251" s="640" t="s">
        <v>35</v>
      </c>
      <c r="I251" s="430">
        <v>0</v>
      </c>
      <c r="J251" s="525">
        <v>0</v>
      </c>
      <c r="K251" s="83">
        <f>IF(I251&gt;0,J251*100/I251,0)</f>
        <v>0</v>
      </c>
      <c r="L251" s="465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641" t="s">
        <v>110</v>
      </c>
      <c r="F252" s="145"/>
      <c r="G252" s="143"/>
      <c r="H252" s="640" t="s">
        <v>61</v>
      </c>
      <c r="I252" s="430">
        <v>0</v>
      </c>
      <c r="J252" s="525">
        <v>0</v>
      </c>
      <c r="K252" s="83">
        <f>IF(I252&gt;0,J252*100/I252,0)</f>
        <v>0</v>
      </c>
      <c r="L252" s="465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649" t="s">
        <v>112</v>
      </c>
      <c r="D253" s="214"/>
      <c r="E253" s="214"/>
      <c r="F253" s="214"/>
      <c r="G253" s="215"/>
      <c r="H253" s="648" t="s">
        <v>35</v>
      </c>
      <c r="I253" s="647">
        <f ca="1">I260</f>
        <v>0</v>
      </c>
      <c r="J253" s="647">
        <f>J260</f>
        <v>0</v>
      </c>
      <c r="K253" s="646">
        <f ca="1">IF(I253&gt;0,J253*100/I253,0)</f>
        <v>0</v>
      </c>
      <c r="L253" s="557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527" t="s">
        <v>18</v>
      </c>
      <c r="D254" s="645" t="s">
        <v>19</v>
      </c>
      <c r="E254" s="40"/>
      <c r="F254" s="40"/>
      <c r="G254" s="42"/>
      <c r="H254" s="372" t="s">
        <v>14</v>
      </c>
      <c r="I254" s="135"/>
      <c r="J254" s="135"/>
      <c r="K254" s="136"/>
      <c r="L254" s="471">
        <f ca="1">L255+L256+L257+L258</f>
        <v>0</v>
      </c>
      <c r="M254" s="45"/>
      <c r="N254" s="470">
        <f>N255+N256+N257+N258</f>
        <v>0</v>
      </c>
      <c r="O254" s="470">
        <f ca="1">IF(L254&gt;0,N254*100/L254,0)</f>
        <v>0</v>
      </c>
      <c r="P254" s="470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468">
        <f ca="1">IFERROR(__xludf.DUMMYFUNCTION("IMPORTRANGE(""https://docs.google.com/spreadsheets/d/1eHaY18a8A9IcSdp1K8H6x8fbOy06t2VsZHhMHf-1x7Y/edit?usp=sharing"",""แผน!BB30"")"),0)</f>
        <v>0</v>
      </c>
      <c r="M255" s="45"/>
      <c r="N255" s="644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468">
        <f ca="1">IFERROR(__xludf.DUMMYFUNCTION("IMPORTRANGE(""https://docs.google.com/spreadsheets/d/1eHaY18a8A9IcSdp1K8H6x8fbOy06t2VsZHhMHf-1x7Y/edit?usp=sharing"",""แผน!BC30"")"),0)</f>
        <v>0</v>
      </c>
      <c r="M256" s="45"/>
      <c r="N256" s="644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468">
        <f ca="1">IFERROR(__xludf.DUMMYFUNCTION("IMPORTRANGE(""https://docs.google.com/spreadsheets/d/1eHaY18a8A9IcSdp1K8H6x8fbOy06t2VsZHhMHf-1x7Y/edit?usp=sharing"",""แผน!BD30"")"),0)</f>
        <v>0</v>
      </c>
      <c r="M257" s="45"/>
      <c r="N257" s="644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468">
        <f ca="1">IFERROR(__xludf.DUMMYFUNCTION("IMPORTRANGE(""https://docs.google.com/spreadsheets/d/1eHaY18a8A9IcSdp1K8H6x8fbOy06t2VsZHhMHf-1x7Y/edit?usp=sharing"",""แผน!BE30"")"),0)</f>
        <v>0</v>
      </c>
      <c r="M258" s="45"/>
      <c r="N258" s="644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643" t="s">
        <v>18</v>
      </c>
      <c r="D259" s="509" t="s">
        <v>38</v>
      </c>
      <c r="E259" s="141"/>
      <c r="F259" s="141"/>
      <c r="G259" s="142"/>
      <c r="H259" s="143"/>
      <c r="I259" s="135"/>
      <c r="J259" s="44"/>
      <c r="K259" s="45"/>
      <c r="L259" s="465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640" t="s">
        <v>35</v>
      </c>
      <c r="I260" s="430">
        <f ca="1">IFERROR(__xludf.DUMMYFUNCTION("IMPORTRANGE(""https://docs.google.com/spreadsheets/d/1eHaY18a8A9IcSdp1K8H6x8fbOy06t2VsZHhMHf-1x7Y/edit?usp=sharing"",""แผน!BH30"")"),0)</f>
        <v>0</v>
      </c>
      <c r="J260" s="525">
        <v>0</v>
      </c>
      <c r="K260" s="83">
        <f ca="1">IF(I260&gt;0,J260*100/I260,0)</f>
        <v>0</v>
      </c>
      <c r="L260" s="465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642" t="s">
        <v>43</v>
      </c>
      <c r="E261" s="145"/>
      <c r="F261" s="145"/>
      <c r="G261" s="143"/>
      <c r="H261" s="143"/>
      <c r="I261" s="44"/>
      <c r="J261" s="44"/>
      <c r="K261" s="45"/>
      <c r="L261" s="465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1" t="s">
        <v>109</v>
      </c>
      <c r="F262" s="145"/>
      <c r="G262" s="143"/>
      <c r="H262" s="640" t="s">
        <v>35</v>
      </c>
      <c r="I262" s="44"/>
      <c r="J262" s="525">
        <v>0</v>
      </c>
      <c r="K262" s="83">
        <f>IF(I262&gt;0,J262*100/I262,0)</f>
        <v>0</v>
      </c>
      <c r="L262" s="465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641" t="s">
        <v>110</v>
      </c>
      <c r="F263" s="145"/>
      <c r="G263" s="143"/>
      <c r="H263" s="640" t="s">
        <v>61</v>
      </c>
      <c r="I263" s="44"/>
      <c r="J263" s="525">
        <v>0</v>
      </c>
      <c r="K263" s="83">
        <f>IF(I263&gt;0,J263*100/I263,0)</f>
        <v>0</v>
      </c>
      <c r="L263" s="465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639" t="s">
        <v>113</v>
      </c>
      <c r="B264" s="638"/>
      <c r="C264" s="638"/>
      <c r="D264" s="637"/>
      <c r="E264" s="637"/>
      <c r="F264" s="637"/>
      <c r="G264" s="636"/>
      <c r="H264" s="636"/>
      <c r="I264" s="635"/>
      <c r="J264" s="635"/>
      <c r="K264" s="633"/>
      <c r="L264" s="634"/>
      <c r="M264" s="633"/>
      <c r="N264" s="633"/>
      <c r="O264" s="633"/>
      <c r="P264" s="633"/>
      <c r="Q264" s="633"/>
      <c r="R264" s="633"/>
      <c r="S264" s="633"/>
      <c r="T264" s="633"/>
      <c r="U264" s="633"/>
    </row>
    <row r="265" spans="1:21" ht="19.5" x14ac:dyDescent="0.3">
      <c r="A265" s="632"/>
      <c r="B265" s="631" t="s">
        <v>114</v>
      </c>
      <c r="C265" s="630"/>
      <c r="D265" s="603"/>
      <c r="E265" s="603"/>
      <c r="F265" s="603"/>
      <c r="G265" s="602"/>
      <c r="H265" s="629" t="s">
        <v>35</v>
      </c>
      <c r="I265" s="628">
        <f ca="1">I276</f>
        <v>22</v>
      </c>
      <c r="J265" s="628">
        <f>J276</f>
        <v>22</v>
      </c>
      <c r="K265" s="627">
        <f ca="1">IF(I265&gt;0,J265*100/I265,0)</f>
        <v>100</v>
      </c>
      <c r="L265" s="626"/>
      <c r="M265" s="625"/>
      <c r="N265" s="625"/>
      <c r="O265" s="625"/>
      <c r="P265" s="625"/>
      <c r="Q265" s="625"/>
      <c r="R265" s="625"/>
      <c r="S265" s="625"/>
      <c r="T265" s="625"/>
      <c r="U265" s="625"/>
    </row>
    <row r="266" spans="1:21" ht="19.5" x14ac:dyDescent="0.3">
      <c r="A266" s="610"/>
      <c r="B266" s="609"/>
      <c r="C266" s="624" t="s">
        <v>18</v>
      </c>
      <c r="D266" s="623" t="s">
        <v>19</v>
      </c>
      <c r="E266" s="609"/>
      <c r="F266" s="609"/>
      <c r="G266" s="608"/>
      <c r="H266" s="622" t="s">
        <v>14</v>
      </c>
      <c r="I266" s="479"/>
      <c r="J266" s="479"/>
      <c r="K266" s="476"/>
      <c r="L266" s="621">
        <f ca="1">L267+L268</f>
        <v>0</v>
      </c>
      <c r="M266" s="620">
        <f ca="1">M267+M268</f>
        <v>5000</v>
      </c>
      <c r="N266" s="620">
        <f ca="1">N267+N268</f>
        <v>5000</v>
      </c>
      <c r="O266" s="620">
        <f t="shared" ref="O266:O274" ca="1" si="65">IF(L266&gt;0,N266*100/L266,0)</f>
        <v>0</v>
      </c>
      <c r="P266" s="620">
        <f t="shared" ref="P266:P274" ca="1" si="66">IF(M266&gt;0,N266*100/M266,0)</f>
        <v>100</v>
      </c>
      <c r="Q266" s="620">
        <f ca="1">Q267+Q268</f>
        <v>50660</v>
      </c>
      <c r="R266" s="620">
        <f ca="1">R267+R268</f>
        <v>50660</v>
      </c>
      <c r="S266" s="620">
        <f ca="1">S267+S268</f>
        <v>47630</v>
      </c>
      <c r="T266" s="620">
        <f t="shared" ref="T266:T274" ca="1" si="67">IF(Q266&gt;0,S266*100/Q266,0)</f>
        <v>94.018949861823927</v>
      </c>
      <c r="U266" s="620">
        <f t="shared" ref="U266:U274" ca="1" si="68">IF(R266&gt;0,S266*100/R266,0)</f>
        <v>94.018949861823927</v>
      </c>
    </row>
    <row r="267" spans="1:21" ht="18.75" hidden="1" x14ac:dyDescent="0.25">
      <c r="A267" s="615"/>
      <c r="B267" s="614"/>
      <c r="C267" s="614"/>
      <c r="D267" s="614"/>
      <c r="E267" s="156" t="s">
        <v>20</v>
      </c>
      <c r="F267" s="614"/>
      <c r="G267" s="613"/>
      <c r="H267" s="157" t="s">
        <v>14</v>
      </c>
      <c r="I267" s="619"/>
      <c r="J267" s="619"/>
      <c r="K267" s="618"/>
      <c r="L267" s="469">
        <f t="shared" ref="L267:N268" si="69">L270+L273</f>
        <v>0</v>
      </c>
      <c r="M267" s="83">
        <f t="shared" si="69"/>
        <v>0</v>
      </c>
      <c r="N267" s="83">
        <f t="shared" si="69"/>
        <v>0</v>
      </c>
      <c r="O267" s="83">
        <f t="shared" si="65"/>
        <v>0</v>
      </c>
      <c r="P267" s="83">
        <f t="shared" si="66"/>
        <v>0</v>
      </c>
      <c r="Q267" s="83">
        <f t="shared" ref="Q267:S268" si="70">Q270+Q273</f>
        <v>0</v>
      </c>
      <c r="R267" s="83">
        <f t="shared" si="70"/>
        <v>0</v>
      </c>
      <c r="S267" s="83">
        <f t="shared" si="70"/>
        <v>0</v>
      </c>
      <c r="T267" s="83">
        <f t="shared" si="67"/>
        <v>0</v>
      </c>
      <c r="U267" s="83">
        <f t="shared" si="68"/>
        <v>0</v>
      </c>
    </row>
    <row r="268" spans="1:21" ht="18.75" hidden="1" x14ac:dyDescent="0.25">
      <c r="A268" s="610"/>
      <c r="B268" s="609"/>
      <c r="C268" s="609"/>
      <c r="D268" s="609"/>
      <c r="E268" s="605" t="s">
        <v>21</v>
      </c>
      <c r="F268" s="609"/>
      <c r="G268" s="608"/>
      <c r="H268" s="480" t="s">
        <v>14</v>
      </c>
      <c r="I268" s="479"/>
      <c r="J268" s="479"/>
      <c r="K268" s="476"/>
      <c r="L268" s="606">
        <f t="shared" ca="1" si="69"/>
        <v>0</v>
      </c>
      <c r="M268" s="486">
        <f t="shared" ca="1" si="69"/>
        <v>5000</v>
      </c>
      <c r="N268" s="486">
        <f t="shared" ca="1" si="69"/>
        <v>5000</v>
      </c>
      <c r="O268" s="486">
        <f t="shared" ca="1" si="65"/>
        <v>0</v>
      </c>
      <c r="P268" s="486">
        <f t="shared" ca="1" si="66"/>
        <v>100</v>
      </c>
      <c r="Q268" s="486">
        <f t="shared" ca="1" si="70"/>
        <v>50660</v>
      </c>
      <c r="R268" s="486">
        <f t="shared" ca="1" si="70"/>
        <v>50660</v>
      </c>
      <c r="S268" s="486">
        <f t="shared" ca="1" si="70"/>
        <v>47630</v>
      </c>
      <c r="T268" s="486">
        <f t="shared" ca="1" si="67"/>
        <v>94.018949861823927</v>
      </c>
      <c r="U268" s="486">
        <f t="shared" ca="1" si="68"/>
        <v>94.018949861823927</v>
      </c>
    </row>
    <row r="269" spans="1:21" ht="18.75" x14ac:dyDescent="0.25">
      <c r="A269" s="610"/>
      <c r="B269" s="609"/>
      <c r="C269" s="609"/>
      <c r="D269" s="616" t="s">
        <v>22</v>
      </c>
      <c r="E269" s="609"/>
      <c r="F269" s="609"/>
      <c r="G269" s="608"/>
      <c r="H269" s="617" t="s">
        <v>14</v>
      </c>
      <c r="I269" s="601"/>
      <c r="J269" s="601"/>
      <c r="K269" s="599"/>
      <c r="L269" s="606">
        <f ca="1">L270+L271</f>
        <v>0</v>
      </c>
      <c r="M269" s="486">
        <f ca="1">M270+M271</f>
        <v>5000</v>
      </c>
      <c r="N269" s="486">
        <f ca="1">N270+N271</f>
        <v>5000</v>
      </c>
      <c r="O269" s="486">
        <f t="shared" ca="1" si="65"/>
        <v>0</v>
      </c>
      <c r="P269" s="486">
        <f t="shared" ca="1" si="66"/>
        <v>100</v>
      </c>
      <c r="Q269" s="486">
        <f ca="1">Q270+Q271</f>
        <v>50660</v>
      </c>
      <c r="R269" s="486">
        <f ca="1">R270+R271</f>
        <v>50660</v>
      </c>
      <c r="S269" s="486">
        <f ca="1">S270+S271</f>
        <v>47630</v>
      </c>
      <c r="T269" s="486">
        <f t="shared" ca="1" si="67"/>
        <v>94.018949861823927</v>
      </c>
      <c r="U269" s="486">
        <f t="shared" ca="1" si="68"/>
        <v>94.018949861823927</v>
      </c>
    </row>
    <row r="270" spans="1:21" ht="18.75" hidden="1" x14ac:dyDescent="0.25">
      <c r="A270" s="615"/>
      <c r="B270" s="614"/>
      <c r="C270" s="614"/>
      <c r="D270" s="614"/>
      <c r="E270" s="156" t="s">
        <v>36</v>
      </c>
      <c r="F270" s="614"/>
      <c r="G270" s="613"/>
      <c r="H270" s="159" t="s">
        <v>14</v>
      </c>
      <c r="I270" s="612"/>
      <c r="J270" s="612"/>
      <c r="K270" s="611"/>
      <c r="L270" s="469">
        <v>0</v>
      </c>
      <c r="M270" s="83">
        <v>0</v>
      </c>
      <c r="N270" s="83">
        <v>0</v>
      </c>
      <c r="O270" s="83">
        <f t="shared" si="65"/>
        <v>0</v>
      </c>
      <c r="P270" s="83">
        <f t="shared" si="66"/>
        <v>0</v>
      </c>
      <c r="Q270" s="83">
        <v>0</v>
      </c>
      <c r="R270" s="83">
        <v>0</v>
      </c>
      <c r="S270" s="83">
        <v>0</v>
      </c>
      <c r="T270" s="83">
        <f t="shared" si="67"/>
        <v>0</v>
      </c>
      <c r="U270" s="83">
        <f t="shared" si="68"/>
        <v>0</v>
      </c>
    </row>
    <row r="271" spans="1:21" ht="18.75" hidden="1" x14ac:dyDescent="0.25">
      <c r="A271" s="610"/>
      <c r="B271" s="609"/>
      <c r="C271" s="609"/>
      <c r="D271" s="609"/>
      <c r="E271" s="605" t="s">
        <v>37</v>
      </c>
      <c r="F271" s="609"/>
      <c r="G271" s="608"/>
      <c r="H271" s="617" t="s">
        <v>14</v>
      </c>
      <c r="I271" s="601"/>
      <c r="J271" s="601"/>
      <c r="K271" s="599"/>
      <c r="L271" s="606">
        <f ca="1">IFERROR(__xludf.DUMMYFUNCTION("IMPORTRANGE(""https://docs.google.com/spreadsheets/d/1-uDff_7J0KD5mKrp0Vvzr7lt3OU09vwQwhkpOPPYv2Y/edit?usp=sharing"",""งบพรบ!DE30"")"),0)</f>
        <v>0</v>
      </c>
      <c r="M271" s="486">
        <f ca="1">IFERROR(__xludf.DUMMYFUNCTION("IMPORTRANGE(""https://docs.google.com/spreadsheets/d/1-uDff_7J0KD5mKrp0Vvzr7lt3OU09vwQwhkpOPPYv2Y/edit?usp=sharing"",""งบพรบ!DJ30"")"),5000)</f>
        <v>5000</v>
      </c>
      <c r="N271" s="486">
        <f ca="1">IFERROR(__xludf.DUMMYFUNCTION("IMPORTRANGE(""https://docs.google.com/spreadsheets/d/1-uDff_7J0KD5mKrp0Vvzr7lt3OU09vwQwhkpOPPYv2Y/edit?usp=sharing"",""งบพรบ!DL30"")"),5000)</f>
        <v>5000</v>
      </c>
      <c r="O271" s="486">
        <f t="shared" ca="1" si="65"/>
        <v>0</v>
      </c>
      <c r="P271" s="486">
        <f t="shared" ca="1" si="66"/>
        <v>100</v>
      </c>
      <c r="Q271" s="486">
        <f ca="1">IFERROR(__xludf.DUMMYFUNCTION("IMPORTRANGE(""https://docs.google.com/spreadsheets/d/1ItG2mGa2ceCfYo0BwxsXqNm01IGEUdYcSSLTEv9YCik/edit?usp=sharing"",""เบิกจ่ายกองทุน!AJ30"")"),50660)</f>
        <v>50660</v>
      </c>
      <c r="R271" s="486">
        <f ca="1">IFERROR(__xludf.DUMMYFUNCTION("IMPORTRANGE(""https://docs.google.com/spreadsheets/d/1ItG2mGa2ceCfYo0BwxsXqNm01IGEUdYcSSLTEv9YCik/edit?usp=sharing"",""เบิกจ่ายกองทุน!AK30"")"),50660)</f>
        <v>50660</v>
      </c>
      <c r="S271" s="486">
        <f ca="1">IFERROR(__xludf.DUMMYFUNCTION("IMPORTRANGE(""https://docs.google.com/spreadsheets/d/1ItG2mGa2ceCfYo0BwxsXqNm01IGEUdYcSSLTEv9YCik/edit?usp=sharing"",""เบิกจ่ายกองทุน!AL30"")"),47630)</f>
        <v>47630</v>
      </c>
      <c r="T271" s="486">
        <f t="shared" ca="1" si="67"/>
        <v>94.018949861823927</v>
      </c>
      <c r="U271" s="486">
        <f t="shared" ca="1" si="68"/>
        <v>94.018949861823927</v>
      </c>
    </row>
    <row r="272" spans="1:21" ht="18.75" x14ac:dyDescent="0.25">
      <c r="A272" s="610"/>
      <c r="B272" s="609"/>
      <c r="C272" s="609"/>
      <c r="D272" s="616" t="s">
        <v>23</v>
      </c>
      <c r="E272" s="609"/>
      <c r="F272" s="609"/>
      <c r="G272" s="608"/>
      <c r="H272" s="607" t="s">
        <v>14</v>
      </c>
      <c r="I272" s="601"/>
      <c r="J272" s="601"/>
      <c r="K272" s="599"/>
      <c r="L272" s="606">
        <f ca="1">L273+L274</f>
        <v>0</v>
      </c>
      <c r="M272" s="486">
        <f ca="1">M273+M274</f>
        <v>0</v>
      </c>
      <c r="N272" s="486">
        <f ca="1">N273+N274</f>
        <v>0</v>
      </c>
      <c r="O272" s="486">
        <f t="shared" ca="1" si="65"/>
        <v>0</v>
      </c>
      <c r="P272" s="486">
        <f t="shared" ca="1" si="66"/>
        <v>0</v>
      </c>
      <c r="Q272" s="486">
        <f>Q273+Q274</f>
        <v>0</v>
      </c>
      <c r="R272" s="486">
        <f>R273+R274</f>
        <v>0</v>
      </c>
      <c r="S272" s="486">
        <f>S273+S274</f>
        <v>0</v>
      </c>
      <c r="T272" s="486">
        <f t="shared" si="67"/>
        <v>0</v>
      </c>
      <c r="U272" s="486">
        <f t="shared" si="68"/>
        <v>0</v>
      </c>
    </row>
    <row r="273" spans="1:21" ht="18.75" hidden="1" x14ac:dyDescent="0.25">
      <c r="A273" s="615"/>
      <c r="B273" s="614"/>
      <c r="C273" s="614"/>
      <c r="D273" s="614"/>
      <c r="E273" s="156" t="s">
        <v>20</v>
      </c>
      <c r="F273" s="614"/>
      <c r="G273" s="613"/>
      <c r="H273" s="159" t="s">
        <v>14</v>
      </c>
      <c r="I273" s="612"/>
      <c r="J273" s="612"/>
      <c r="K273" s="611"/>
      <c r="L273" s="469">
        <v>0</v>
      </c>
      <c r="M273" s="83">
        <v>0</v>
      </c>
      <c r="N273" s="83">
        <v>0</v>
      </c>
      <c r="O273" s="83">
        <f t="shared" si="65"/>
        <v>0</v>
      </c>
      <c r="P273" s="83">
        <f t="shared" si="66"/>
        <v>0</v>
      </c>
      <c r="Q273" s="83">
        <v>0</v>
      </c>
      <c r="R273" s="83">
        <v>0</v>
      </c>
      <c r="S273" s="83">
        <v>0</v>
      </c>
      <c r="T273" s="83">
        <f t="shared" si="67"/>
        <v>0</v>
      </c>
      <c r="U273" s="83">
        <f t="shared" si="68"/>
        <v>0</v>
      </c>
    </row>
    <row r="274" spans="1:21" ht="18.75" hidden="1" x14ac:dyDescent="0.25">
      <c r="A274" s="610"/>
      <c r="B274" s="609"/>
      <c r="C274" s="609"/>
      <c r="D274" s="609"/>
      <c r="E274" s="605" t="s">
        <v>21</v>
      </c>
      <c r="F274" s="609"/>
      <c r="G274" s="608"/>
      <c r="H274" s="607" t="s">
        <v>14</v>
      </c>
      <c r="I274" s="601"/>
      <c r="J274" s="601"/>
      <c r="K274" s="599"/>
      <c r="L274" s="606">
        <f ca="1">IFERROR(__xludf.DUMMYFUNCTION("IMPORTRANGE(""https://docs.google.com/spreadsheets/d/1-uDff_7J0KD5mKrp0Vvzr7lt3OU09vwQwhkpOPPYv2Y/edit?usp=sharing"",""งบพรบ!DH30"")"),0)</f>
        <v>0</v>
      </c>
      <c r="M274" s="486">
        <f ca="1">IFERROR(__xludf.DUMMYFUNCTION("IMPORTRANGE(""https://docs.google.com/spreadsheets/d/1-uDff_7J0KD5mKrp0Vvzr7lt3OU09vwQwhkpOPPYv2Y/edit?usp=sharing"",""งบพรบ!DK30"")"),0)</f>
        <v>0</v>
      </c>
      <c r="N274" s="486">
        <f ca="1">IFERROR(__xludf.DUMMYFUNCTION("IMPORTRANGE(""https://docs.google.com/spreadsheets/d/1-uDff_7J0KD5mKrp0Vvzr7lt3OU09vwQwhkpOPPYv2Y/edit?usp=sharing"",""งบพรบ!DM30"")"),0)</f>
        <v>0</v>
      </c>
      <c r="O274" s="486">
        <f t="shared" ca="1" si="65"/>
        <v>0</v>
      </c>
      <c r="P274" s="486">
        <f t="shared" ca="1" si="66"/>
        <v>0</v>
      </c>
      <c r="Q274" s="486">
        <v>0</v>
      </c>
      <c r="R274" s="486">
        <v>0</v>
      </c>
      <c r="S274" s="486">
        <v>0</v>
      </c>
      <c r="T274" s="486">
        <f t="shared" si="67"/>
        <v>0</v>
      </c>
      <c r="U274" s="486">
        <f t="shared" si="68"/>
        <v>0</v>
      </c>
    </row>
    <row r="275" spans="1:21" ht="19.5" x14ac:dyDescent="0.3">
      <c r="A275" s="485"/>
      <c r="B275" s="484"/>
      <c r="C275" s="605" t="s">
        <v>18</v>
      </c>
      <c r="D275" s="604" t="s">
        <v>38</v>
      </c>
      <c r="E275" s="603"/>
      <c r="F275" s="603"/>
      <c r="G275" s="602"/>
      <c r="H275" s="481"/>
      <c r="I275" s="601"/>
      <c r="J275" s="601"/>
      <c r="K275" s="599"/>
      <c r="L275" s="600"/>
      <c r="M275" s="599"/>
      <c r="N275" s="599"/>
      <c r="O275" s="599"/>
      <c r="P275" s="599"/>
      <c r="Q275" s="599"/>
      <c r="R275" s="599"/>
      <c r="S275" s="599"/>
      <c r="T275" s="599"/>
      <c r="U275" s="599"/>
    </row>
    <row r="276" spans="1:21" ht="18.75" x14ac:dyDescent="0.25">
      <c r="A276" s="598"/>
      <c r="B276" s="597"/>
      <c r="C276" s="597"/>
      <c r="D276" s="596" t="s">
        <v>115</v>
      </c>
      <c r="E276" s="595"/>
      <c r="F276" s="595"/>
      <c r="G276" s="594"/>
      <c r="H276" s="593" t="s">
        <v>35</v>
      </c>
      <c r="I276" s="592">
        <f ca="1">IFERROR(__xludf.DUMMYFUNCTION("IMPORTRANGE(""https://docs.google.com/spreadsheets/d/1eHaY18a8A9IcSdp1K8H6x8fbOy06t2VsZHhMHf-1x7Y/edit?usp=sharing"",""แผน!EC30"")"),22)</f>
        <v>22</v>
      </c>
      <c r="J276" s="444">
        <v>22</v>
      </c>
      <c r="K276" s="591">
        <f ca="1">IF(I276&gt;0,J276*100/I276,0)</f>
        <v>100</v>
      </c>
      <c r="L276" s="465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590" t="s">
        <v>116</v>
      </c>
      <c r="E277" s="252"/>
      <c r="F277" s="252"/>
      <c r="G277" s="253"/>
      <c r="H277" s="589" t="s">
        <v>35</v>
      </c>
      <c r="I277" s="433">
        <v>0</v>
      </c>
      <c r="J277" s="433">
        <v>0</v>
      </c>
      <c r="K277" s="588">
        <v>0</v>
      </c>
      <c r="L277" s="587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58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585">
        <f ca="1">I293</f>
        <v>30</v>
      </c>
      <c r="J280" s="585">
        <f>J293</f>
        <v>30</v>
      </c>
      <c r="K280" s="584">
        <f ca="1">IF(I280&gt;0,J280*100/I280,0)</f>
        <v>100</v>
      </c>
      <c r="L280" s="583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585">
        <f ca="1">I292</f>
        <v>300</v>
      </c>
      <c r="J281" s="585">
        <f>J292</f>
        <v>300</v>
      </c>
      <c r="K281" s="584">
        <f ca="1">IF(I281&gt;0,J281*100/I281,0)</f>
        <v>100</v>
      </c>
      <c r="L281" s="583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472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471">
        <f ca="1">L283+L284</f>
        <v>100120</v>
      </c>
      <c r="M282" s="470">
        <f ca="1">M283+M284</f>
        <v>100120</v>
      </c>
      <c r="N282" s="470">
        <f ca="1">N283+N284</f>
        <v>22598.5</v>
      </c>
      <c r="O282" s="470">
        <f t="shared" ref="O282:O290" ca="1" si="71">IF(L282&gt;0,N282*100/L282,0)</f>
        <v>22.571414302836597</v>
      </c>
      <c r="P282" s="470">
        <f t="shared" ref="P282:P290" ca="1" si="72">IF(M282&gt;0,N282*100/M282,0)</f>
        <v>22.571414302836597</v>
      </c>
      <c r="Q282" s="470">
        <f>Q283+Q284</f>
        <v>0</v>
      </c>
      <c r="R282" s="470">
        <f>R283+R284</f>
        <v>0</v>
      </c>
      <c r="S282" s="470">
        <f>S283+S284</f>
        <v>0</v>
      </c>
      <c r="T282" s="470">
        <f t="shared" ref="T282:T290" si="73">IF(Q282&gt;0,S282*100/Q282,0)</f>
        <v>0</v>
      </c>
      <c r="U282" s="470">
        <f t="shared" ref="U282:U290" si="74"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469">
        <f t="shared" ref="L283:N284" si="75">L286+L289</f>
        <v>0</v>
      </c>
      <c r="M283" s="83">
        <f t="shared" si="75"/>
        <v>0</v>
      </c>
      <c r="N283" s="83">
        <f t="shared" si="75"/>
        <v>0</v>
      </c>
      <c r="O283" s="83">
        <f t="shared" si="71"/>
        <v>0</v>
      </c>
      <c r="P283" s="83">
        <f t="shared" si="72"/>
        <v>0</v>
      </c>
      <c r="Q283" s="83">
        <f t="shared" ref="Q283:S284" si="76">Q286+Q289</f>
        <v>0</v>
      </c>
      <c r="R283" s="83">
        <f t="shared" si="76"/>
        <v>0</v>
      </c>
      <c r="S283" s="83">
        <f t="shared" si="76"/>
        <v>0</v>
      </c>
      <c r="T283" s="83">
        <f t="shared" si="73"/>
        <v>0</v>
      </c>
      <c r="U283" s="83">
        <f t="shared" si="74"/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468">
        <f t="shared" ca="1" si="75"/>
        <v>100120</v>
      </c>
      <c r="M284" s="224">
        <f t="shared" ca="1" si="75"/>
        <v>100120</v>
      </c>
      <c r="N284" s="224">
        <f t="shared" ca="1" si="75"/>
        <v>22598.5</v>
      </c>
      <c r="O284" s="224">
        <f t="shared" ca="1" si="71"/>
        <v>22.571414302836597</v>
      </c>
      <c r="P284" s="224">
        <f t="shared" ca="1" si="72"/>
        <v>22.571414302836597</v>
      </c>
      <c r="Q284" s="224">
        <f t="shared" si="76"/>
        <v>0</v>
      </c>
      <c r="R284" s="224">
        <f t="shared" si="76"/>
        <v>0</v>
      </c>
      <c r="S284" s="224">
        <f t="shared" si="76"/>
        <v>0</v>
      </c>
      <c r="T284" s="224">
        <f t="shared" si="73"/>
        <v>0</v>
      </c>
      <c r="U284" s="224">
        <f t="shared" si="74"/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468">
        <f ca="1">L286+L287</f>
        <v>100120</v>
      </c>
      <c r="M285" s="224">
        <f ca="1">M286+M287</f>
        <v>100120</v>
      </c>
      <c r="N285" s="224">
        <f ca="1">N286+N287</f>
        <v>22598.5</v>
      </c>
      <c r="O285" s="224">
        <f t="shared" ca="1" si="71"/>
        <v>22.571414302836597</v>
      </c>
      <c r="P285" s="224">
        <f t="shared" ca="1" si="72"/>
        <v>22.571414302836597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 t="shared" si="73"/>
        <v>0</v>
      </c>
      <c r="U285" s="224">
        <f t="shared" si="74"/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469">
        <v>0</v>
      </c>
      <c r="M286" s="83">
        <v>0</v>
      </c>
      <c r="N286" s="83">
        <v>0</v>
      </c>
      <c r="O286" s="83">
        <f t="shared" si="71"/>
        <v>0</v>
      </c>
      <c r="P286" s="83">
        <f t="shared" si="72"/>
        <v>0</v>
      </c>
      <c r="Q286" s="83">
        <v>0</v>
      </c>
      <c r="R286" s="83">
        <v>0</v>
      </c>
      <c r="S286" s="83">
        <v>0</v>
      </c>
      <c r="T286" s="83">
        <f t="shared" si="73"/>
        <v>0</v>
      </c>
      <c r="U286" s="83">
        <f t="shared" si="74"/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468">
        <f ca="1">IFERROR(__xludf.DUMMYFUNCTION("IMPORTRANGE(""https://docs.google.com/spreadsheets/d/1-uDff_7J0KD5mKrp0Vvzr7lt3OU09vwQwhkpOPPYv2Y/edit?usp=sharing"",""งบพรบ!DO30"")"),100120)</f>
        <v>100120</v>
      </c>
      <c r="M287" s="224">
        <f ca="1">IFERROR(__xludf.DUMMYFUNCTION("IMPORTRANGE(""https://docs.google.com/spreadsheets/d/1-uDff_7J0KD5mKrp0Vvzr7lt3OU09vwQwhkpOPPYv2Y/edit?usp=sharing"",""งบพรบ!DT30"")"),100120)</f>
        <v>100120</v>
      </c>
      <c r="N287" s="224">
        <f ca="1">IFERROR(__xludf.DUMMYFUNCTION("IMPORTRANGE(""https://docs.google.com/spreadsheets/d/1-uDff_7J0KD5mKrp0Vvzr7lt3OU09vwQwhkpOPPYv2Y/edit?usp=sharing"",""งบพรบ!DV30"")"),22598.5)</f>
        <v>22598.5</v>
      </c>
      <c r="O287" s="224">
        <f t="shared" ca="1" si="71"/>
        <v>22.571414302836597</v>
      </c>
      <c r="P287" s="224">
        <f t="shared" ca="1" si="72"/>
        <v>22.571414302836597</v>
      </c>
      <c r="Q287" s="224">
        <v>0</v>
      </c>
      <c r="R287" s="224">
        <v>0</v>
      </c>
      <c r="S287" s="224">
        <v>0</v>
      </c>
      <c r="T287" s="83">
        <f t="shared" si="73"/>
        <v>0</v>
      </c>
      <c r="U287" s="83">
        <f t="shared" si="74"/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468">
        <f ca="1">L289+L290</f>
        <v>0</v>
      </c>
      <c r="M288" s="224">
        <f ca="1">M289+M290</f>
        <v>0</v>
      </c>
      <c r="N288" s="224">
        <f ca="1">N289+N290</f>
        <v>0</v>
      </c>
      <c r="O288" s="224">
        <f t="shared" ca="1" si="71"/>
        <v>0</v>
      </c>
      <c r="P288" s="224">
        <f t="shared" ca="1" si="72"/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 t="shared" si="73"/>
        <v>0</v>
      </c>
      <c r="U288" s="224">
        <f t="shared" si="74"/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469">
        <v>0</v>
      </c>
      <c r="M289" s="83">
        <v>0</v>
      </c>
      <c r="N289" s="83">
        <v>0</v>
      </c>
      <c r="O289" s="83">
        <f t="shared" si="71"/>
        <v>0</v>
      </c>
      <c r="P289" s="83">
        <f t="shared" si="72"/>
        <v>0</v>
      </c>
      <c r="Q289" s="83">
        <v>0</v>
      </c>
      <c r="R289" s="83">
        <v>0</v>
      </c>
      <c r="S289" s="83">
        <v>0</v>
      </c>
      <c r="T289" s="83">
        <f t="shared" si="73"/>
        <v>0</v>
      </c>
      <c r="U289" s="83">
        <f t="shared" si="74"/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468">
        <f ca="1">IFERROR(__xludf.DUMMYFUNCTION("IMPORTRANGE(""https://docs.google.com/spreadsheets/d/1-uDff_7J0KD5mKrp0Vvzr7lt3OU09vwQwhkpOPPYv2Y/edit?usp=sharing"",""งบพรบ!DR30"")"),0)</f>
        <v>0</v>
      </c>
      <c r="M290" s="224">
        <f ca="1">IFERROR(__xludf.DUMMYFUNCTION("IMPORTRANGE(""https://docs.google.com/spreadsheets/d/1-uDff_7J0KD5mKrp0Vvzr7lt3OU09vwQwhkpOPPYv2Y/edit?usp=sharing"",""งบพรบ!DU30"")"),0)</f>
        <v>0</v>
      </c>
      <c r="N290" s="224">
        <f ca="1">IFERROR(__xludf.DUMMYFUNCTION("IMPORTRANGE(""https://docs.google.com/spreadsheets/d/1-uDff_7J0KD5mKrp0Vvzr7lt3OU09vwQwhkpOPPYv2Y/edit?usp=sharing"",""งบพรบ!DW30"")"),0)</f>
        <v>0</v>
      </c>
      <c r="O290" s="224">
        <f t="shared" ca="1" si="71"/>
        <v>0</v>
      </c>
      <c r="P290" s="224">
        <f t="shared" ca="1" si="72"/>
        <v>0</v>
      </c>
      <c r="Q290" s="224">
        <v>0</v>
      </c>
      <c r="R290" s="224">
        <v>0</v>
      </c>
      <c r="S290" s="224">
        <v>0</v>
      </c>
      <c r="T290" s="224">
        <f t="shared" si="73"/>
        <v>0</v>
      </c>
      <c r="U290" s="224">
        <f t="shared" si="74"/>
        <v>0</v>
      </c>
    </row>
    <row r="291" spans="1:21" ht="19.5" x14ac:dyDescent="0.3">
      <c r="A291" s="138"/>
      <c r="B291" s="139"/>
      <c r="C291" s="129" t="s">
        <v>18</v>
      </c>
      <c r="D291" s="498" t="s">
        <v>38</v>
      </c>
      <c r="E291" s="141"/>
      <c r="F291" s="141"/>
      <c r="G291" s="142"/>
      <c r="H291" s="143"/>
      <c r="I291" s="135"/>
      <c r="J291" s="135"/>
      <c r="K291" s="136"/>
      <c r="L291" s="4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IFERROR(__xludf.DUMMYFUNCTION("IMPORTRANGE(""https://docs.google.com/spreadsheets/d/1eHaY18a8A9IcSdp1K8H6x8fbOy06t2VsZHhMHf-1x7Y/edit?usp=sharing"",""แผน!EE30"")"),300)</f>
        <v>300</v>
      </c>
      <c r="J292" s="466">
        <v>300</v>
      </c>
      <c r="K292" s="497">
        <f ca="1">IF(I292&gt;0,J292*100/I292,0)</f>
        <v>100</v>
      </c>
      <c r="L292" s="4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IFERROR(__xludf.DUMMYFUNCTION("IMPORTRANGE(""https://docs.google.com/spreadsheets/d/1eHaY18a8A9IcSdp1K8H6x8fbOy06t2VsZHhMHf-1x7Y/edit?usp=sharing"",""แผน!ED30"")"),30)</f>
        <v>30</v>
      </c>
      <c r="J293" s="328">
        <f>J296</f>
        <v>30</v>
      </c>
      <c r="K293" s="582">
        <f ca="1">IF(I293&gt;0,J293*100/I293,0)</f>
        <v>100</v>
      </c>
      <c r="L293" s="4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4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581">
        <f ca="1">IFERROR(__xludf.DUMMYFUNCTION("IMPORTRANGE(""https://docs.google.com/spreadsheets/d/1eHaY18a8A9IcSdp1K8H6x8fbOy06t2VsZHhMHf-1x7Y/edit?usp=sharing"",""แผน!ED30"")"),30)</f>
        <v>30</v>
      </c>
      <c r="J295" s="466">
        <v>30</v>
      </c>
      <c r="K295" s="497">
        <f ca="1">IF(I295&gt;0,J295*100/I295,0)</f>
        <v>100</v>
      </c>
      <c r="L295" s="4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581">
        <f ca="1">IFERROR(__xludf.DUMMYFUNCTION("IMPORTRANGE(""https://docs.google.com/spreadsheets/d/1eHaY18a8A9IcSdp1K8H6x8fbOy06t2VsZHhMHf-1x7Y/edit?usp=sharing"",""แผน!ED30"")"),30)</f>
        <v>30</v>
      </c>
      <c r="J296" s="466">
        <v>30</v>
      </c>
      <c r="K296" s="497">
        <f ca="1">IF(I296&gt;0,J296*100/I296,0)</f>
        <v>100</v>
      </c>
      <c r="L296" s="4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571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hidden="1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571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580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57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541">
        <f ca="1">I314</f>
        <v>20</v>
      </c>
      <c r="J302" s="541">
        <f>J314</f>
        <v>20</v>
      </c>
      <c r="K302" s="540">
        <f ca="1">IF(I302&gt;0,J302*100/I302,0)</f>
        <v>100</v>
      </c>
      <c r="L302" s="539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472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471">
        <f ca="1">L304+L305</f>
        <v>184600</v>
      </c>
      <c r="M303" s="470">
        <f ca="1">M304+M305</f>
        <v>184600</v>
      </c>
      <c r="N303" s="470">
        <f ca="1">N304+N305</f>
        <v>111307.04</v>
      </c>
      <c r="O303" s="470">
        <f t="shared" ref="O303:O311" ca="1" si="77">IF(L303&gt;0,N303*100/L303,0)</f>
        <v>60.296338028169011</v>
      </c>
      <c r="P303" s="470">
        <f t="shared" ref="P303:P311" ca="1" si="78">IF(M303&gt;0,N303*100/M303,0)</f>
        <v>60.296338028169011</v>
      </c>
      <c r="Q303" s="470">
        <f ca="1">Q304+Q305</f>
        <v>144609.24</v>
      </c>
      <c r="R303" s="470">
        <f ca="1">R304+R305</f>
        <v>144609</v>
      </c>
      <c r="S303" s="470">
        <f ca="1">S304+S305</f>
        <v>46640</v>
      </c>
      <c r="T303" s="470">
        <f t="shared" ref="T303:T311" ca="1" si="79">IF(Q303&gt;0,S303*100/Q303,0)</f>
        <v>32.252434215130378</v>
      </c>
      <c r="U303" s="470">
        <f t="shared" ref="U303:U311" ca="1" si="80">IF(R303&gt;0,S303*100/R303,0)</f>
        <v>32.252487742809919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469">
        <f t="shared" ref="L304:N305" si="81">L307+L310</f>
        <v>0</v>
      </c>
      <c r="M304" s="83">
        <f t="shared" si="81"/>
        <v>0</v>
      </c>
      <c r="N304" s="83">
        <f t="shared" si="81"/>
        <v>0</v>
      </c>
      <c r="O304" s="83">
        <f t="shared" si="77"/>
        <v>0</v>
      </c>
      <c r="P304" s="83">
        <f t="shared" si="78"/>
        <v>0</v>
      </c>
      <c r="Q304" s="83">
        <f t="shared" ref="Q304:S305" si="82">Q307+Q310</f>
        <v>0</v>
      </c>
      <c r="R304" s="83">
        <f t="shared" si="82"/>
        <v>0</v>
      </c>
      <c r="S304" s="83">
        <f t="shared" si="82"/>
        <v>0</v>
      </c>
      <c r="T304" s="83">
        <f t="shared" si="79"/>
        <v>0</v>
      </c>
      <c r="U304" s="83">
        <f t="shared" si="80"/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468">
        <f t="shared" ca="1" si="81"/>
        <v>184600</v>
      </c>
      <c r="M305" s="224">
        <f t="shared" ca="1" si="81"/>
        <v>184600</v>
      </c>
      <c r="N305" s="224">
        <f t="shared" ca="1" si="81"/>
        <v>111307.04</v>
      </c>
      <c r="O305" s="224">
        <f t="shared" ca="1" si="77"/>
        <v>60.296338028169011</v>
      </c>
      <c r="P305" s="224">
        <f t="shared" ca="1" si="78"/>
        <v>60.296338028169011</v>
      </c>
      <c r="Q305" s="224">
        <f t="shared" ca="1" si="82"/>
        <v>144609.24</v>
      </c>
      <c r="R305" s="224">
        <f t="shared" ca="1" si="82"/>
        <v>144609</v>
      </c>
      <c r="S305" s="224">
        <f t="shared" ca="1" si="82"/>
        <v>46640</v>
      </c>
      <c r="T305" s="224">
        <f t="shared" ca="1" si="79"/>
        <v>32.252434215130378</v>
      </c>
      <c r="U305" s="224">
        <f t="shared" ca="1" si="80"/>
        <v>32.252487742809919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468">
        <f ca="1">L307+L308</f>
        <v>184600</v>
      </c>
      <c r="M306" s="224">
        <f ca="1">M307+M308</f>
        <v>184600</v>
      </c>
      <c r="N306" s="224">
        <f ca="1">N307+N308</f>
        <v>111307.04</v>
      </c>
      <c r="O306" s="224">
        <f t="shared" ca="1" si="77"/>
        <v>60.296338028169011</v>
      </c>
      <c r="P306" s="224">
        <f t="shared" ca="1" si="78"/>
        <v>60.296338028169011</v>
      </c>
      <c r="Q306" s="224">
        <f ca="1">Q307+Q308</f>
        <v>144609.24</v>
      </c>
      <c r="R306" s="224">
        <f ca="1">R307+R308</f>
        <v>144609</v>
      </c>
      <c r="S306" s="224">
        <f ca="1">S307+S308</f>
        <v>46640</v>
      </c>
      <c r="T306" s="224">
        <f t="shared" ca="1" si="79"/>
        <v>32.252434215130378</v>
      </c>
      <c r="U306" s="224">
        <f t="shared" ca="1" si="80"/>
        <v>32.252487742809919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469">
        <v>0</v>
      </c>
      <c r="M307" s="83">
        <v>0</v>
      </c>
      <c r="N307" s="83">
        <v>0</v>
      </c>
      <c r="O307" s="83">
        <f t="shared" si="77"/>
        <v>0</v>
      </c>
      <c r="P307" s="83">
        <f t="shared" si="78"/>
        <v>0</v>
      </c>
      <c r="Q307" s="83">
        <v>0</v>
      </c>
      <c r="R307" s="83">
        <v>0</v>
      </c>
      <c r="S307" s="83">
        <v>0</v>
      </c>
      <c r="T307" s="83">
        <f t="shared" si="79"/>
        <v>0</v>
      </c>
      <c r="U307" s="83">
        <f t="shared" si="80"/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468">
        <f ca="1">IFERROR(__xludf.DUMMYFUNCTION("IMPORTRANGE(""https://docs.google.com/spreadsheets/d/1-uDff_7J0KD5mKrp0Vvzr7lt3OU09vwQwhkpOPPYv2Y/edit?usp=sharing"",""งบพรบ!DY30"")"),184600)</f>
        <v>184600</v>
      </c>
      <c r="M308" s="224">
        <f ca="1">IFERROR(__xludf.DUMMYFUNCTION("IMPORTRANGE(""https://docs.google.com/spreadsheets/d/1-uDff_7J0KD5mKrp0Vvzr7lt3OU09vwQwhkpOPPYv2Y/edit?usp=sharing"",""งบพรบ!ED30"")"),184600)</f>
        <v>184600</v>
      </c>
      <c r="N308" s="224">
        <f ca="1">IFERROR(__xludf.DUMMYFUNCTION("IMPORTRANGE(""https://docs.google.com/spreadsheets/d/1-uDff_7J0KD5mKrp0Vvzr7lt3OU09vwQwhkpOPPYv2Y/edit?usp=sharing"",""งบพรบ!EF30"")"),111307.04)</f>
        <v>111307.04</v>
      </c>
      <c r="O308" s="224">
        <f t="shared" ca="1" si="77"/>
        <v>60.296338028169011</v>
      </c>
      <c r="P308" s="224">
        <f t="shared" ca="1" si="78"/>
        <v>60.296338028169011</v>
      </c>
      <c r="Q308" s="224">
        <f ca="1">IFERROR(__xludf.DUMMYFUNCTION("IMPORTRANGE(""https://docs.google.com/spreadsheets/d/1ItG2mGa2ceCfYo0BwxsXqNm01IGEUdYcSSLTEv9YCik/edit?usp=sharing"",""เบิกจ่ายกองทุน!AP30"")"),144609.24)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IFERROR(__xludf.DUMMYFUNCTION("IMPORTRANGE(""https://docs.google.com/spreadsheets/d/1ItG2mGa2ceCfYo0BwxsXqNm01IGEUdYcSSLTEv9YCik/edit?usp=sharing"",""เบิกจ่ายกองทุน!AQ30"")"),144609)</f>
        <v>144609</v>
      </c>
      <c r="S308" s="224">
        <f ca="1">IFERROR(__xludf.DUMMYFUNCTION("IMPORTRANGE(""https://docs.google.com/spreadsheets/d/1ItG2mGa2ceCfYo0BwxsXqNm01IGEUdYcSSLTEv9YCik/edit?usp=sharing"",""เบิกจ่ายกองทุน!AR30"")"),46640)</f>
        <v>46640</v>
      </c>
      <c r="T308" s="224">
        <f t="shared" ca="1" si="79"/>
        <v>32.252434215130378</v>
      </c>
      <c r="U308" s="224">
        <f t="shared" ca="1" si="80"/>
        <v>32.252487742809919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468">
        <f ca="1">L310+L311</f>
        <v>0</v>
      </c>
      <c r="M309" s="224">
        <f ca="1">M310+M311</f>
        <v>0</v>
      </c>
      <c r="N309" s="224">
        <f ca="1">N310+N311</f>
        <v>0</v>
      </c>
      <c r="O309" s="224">
        <f t="shared" ca="1" si="77"/>
        <v>0</v>
      </c>
      <c r="P309" s="224">
        <f t="shared" ca="1" si="78"/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 t="shared" si="79"/>
        <v>0</v>
      </c>
      <c r="U309" s="224">
        <f t="shared" si="80"/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469">
        <v>0</v>
      </c>
      <c r="M310" s="83">
        <v>0</v>
      </c>
      <c r="N310" s="83">
        <v>0</v>
      </c>
      <c r="O310" s="83">
        <f t="shared" si="77"/>
        <v>0</v>
      </c>
      <c r="P310" s="83">
        <f t="shared" si="78"/>
        <v>0</v>
      </c>
      <c r="Q310" s="83">
        <v>0</v>
      </c>
      <c r="R310" s="83">
        <v>0</v>
      </c>
      <c r="S310" s="83">
        <v>0</v>
      </c>
      <c r="T310" s="83">
        <f t="shared" si="79"/>
        <v>0</v>
      </c>
      <c r="U310" s="83">
        <f t="shared" si="80"/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468">
        <f ca="1">IFERROR(__xludf.DUMMYFUNCTION("IMPORTRANGE(""https://docs.google.com/spreadsheets/d/1-uDff_7J0KD5mKrp0Vvzr7lt3OU09vwQwhkpOPPYv2Y/edit?usp=sharing"",""งบพรบ!EB30"")"),0)</f>
        <v>0</v>
      </c>
      <c r="M311" s="224">
        <f ca="1">IFERROR(__xludf.DUMMYFUNCTION("IMPORTRANGE(""https://docs.google.com/spreadsheets/d/1-uDff_7J0KD5mKrp0Vvzr7lt3OU09vwQwhkpOPPYv2Y/edit?usp=sharing"",""งบพรบ!EE30"")"),0)</f>
        <v>0</v>
      </c>
      <c r="N311" s="224">
        <f ca="1">IFERROR(__xludf.DUMMYFUNCTION("IMPORTRANGE(""https://docs.google.com/spreadsheets/d/1-uDff_7J0KD5mKrp0Vvzr7lt3OU09vwQwhkpOPPYv2Y/edit?usp=sharing"",""งบพรบ!EG30"")"),0)</f>
        <v>0</v>
      </c>
      <c r="O311" s="224">
        <f t="shared" ca="1" si="77"/>
        <v>0</v>
      </c>
      <c r="P311" s="224">
        <f t="shared" ca="1" si="78"/>
        <v>0</v>
      </c>
      <c r="Q311" s="224">
        <v>0</v>
      </c>
      <c r="R311" s="224">
        <v>0</v>
      </c>
      <c r="S311" s="224">
        <v>0</v>
      </c>
      <c r="T311" s="224">
        <f t="shared" si="79"/>
        <v>0</v>
      </c>
      <c r="U311" s="224">
        <f t="shared" si="80"/>
        <v>0</v>
      </c>
    </row>
    <row r="312" spans="1:21" ht="19.5" x14ac:dyDescent="0.3">
      <c r="A312" s="138"/>
      <c r="B312" s="139"/>
      <c r="C312" s="129" t="s">
        <v>18</v>
      </c>
      <c r="D312" s="498" t="s">
        <v>38</v>
      </c>
      <c r="E312" s="141"/>
      <c r="F312" s="141"/>
      <c r="G312" s="142"/>
      <c r="H312" s="143"/>
      <c r="I312" s="44"/>
      <c r="J312" s="44"/>
      <c r="K312" s="45"/>
      <c r="L312" s="465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579"/>
      <c r="E313" s="18"/>
      <c r="F313" s="18"/>
      <c r="G313" s="19"/>
      <c r="H313" s="19"/>
      <c r="I313" s="20"/>
      <c r="J313" s="577"/>
      <c r="K313" s="21"/>
      <c r="L313" s="571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IFERROR(__xludf.DUMMYFUNCTION("IMPORTRANGE(""https://docs.google.com/spreadsheets/d/1eHaY18a8A9IcSdp1K8H6x8fbOy06t2VsZHhMHf-1x7Y/edit?usp=sharing"",""แผน!EF30"")"),20)</f>
        <v>20</v>
      </c>
      <c r="J314" s="466">
        <v>20</v>
      </c>
      <c r="K314" s="224">
        <f ca="1">IF(I314&gt;0,J314*100/I314,0)</f>
        <v>100</v>
      </c>
      <c r="L314" s="465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579"/>
      <c r="E315" s="18"/>
      <c r="F315" s="18"/>
      <c r="G315" s="19"/>
      <c r="H315" s="578"/>
      <c r="I315" s="577"/>
      <c r="J315" s="577"/>
      <c r="K315" s="576"/>
      <c r="L315" s="571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579"/>
      <c r="E316" s="18"/>
      <c r="F316" s="18"/>
      <c r="G316" s="19"/>
      <c r="H316" s="578"/>
      <c r="I316" s="577"/>
      <c r="J316" s="577"/>
      <c r="K316" s="576"/>
      <c r="L316" s="571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575"/>
      <c r="E317" s="18"/>
      <c r="F317" s="18"/>
      <c r="G317" s="19"/>
      <c r="H317" s="574"/>
      <c r="I317" s="573"/>
      <c r="J317" s="573"/>
      <c r="K317" s="572"/>
      <c r="L317" s="571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57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541">
        <f ca="1">I330</f>
        <v>1</v>
      </c>
      <c r="J319" s="541">
        <f>J330</f>
        <v>1</v>
      </c>
      <c r="K319" s="540">
        <f ca="1">IF(I319&gt;0,J319*100/I319,0)</f>
        <v>100</v>
      </c>
      <c r="L319" s="539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x14ac:dyDescent="0.3">
      <c r="A320" s="128"/>
      <c r="B320" s="40"/>
      <c r="C320" s="129" t="s">
        <v>18</v>
      </c>
      <c r="D320" s="472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471">
        <f ca="1">L321+L322</f>
        <v>20000</v>
      </c>
      <c r="M320" s="470">
        <f ca="1">M321+M322</f>
        <v>20000</v>
      </c>
      <c r="N320" s="470">
        <f ca="1">N321+N322</f>
        <v>20000</v>
      </c>
      <c r="O320" s="470">
        <f t="shared" ref="O320:O328" ca="1" si="83">IF(L320&gt;0,N320*100/L320,0)</f>
        <v>100</v>
      </c>
      <c r="P320" s="470">
        <f t="shared" ref="P320:P328" ca="1" si="84">IF(M320&gt;0,N320*100/M320,0)</f>
        <v>100</v>
      </c>
      <c r="Q320" s="470">
        <f>Q321+Q322</f>
        <v>0</v>
      </c>
      <c r="R320" s="470">
        <f>R321+R322</f>
        <v>0</v>
      </c>
      <c r="S320" s="470">
        <f>S321+S322</f>
        <v>0</v>
      </c>
      <c r="T320" s="470">
        <f t="shared" ref="T320:T328" si="85">IF(Q320&gt;0,S320*100/Q320,0)</f>
        <v>0</v>
      </c>
      <c r="U320" s="470">
        <f t="shared" ref="U320:U328" si="86"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469">
        <f t="shared" ref="L321:N322" si="87">L324+L327</f>
        <v>0</v>
      </c>
      <c r="M321" s="83">
        <f t="shared" si="87"/>
        <v>0</v>
      </c>
      <c r="N321" s="83">
        <f t="shared" si="87"/>
        <v>0</v>
      </c>
      <c r="O321" s="83">
        <f t="shared" si="83"/>
        <v>0</v>
      </c>
      <c r="P321" s="83">
        <f t="shared" si="84"/>
        <v>0</v>
      </c>
      <c r="Q321" s="83">
        <f t="shared" ref="Q321:S322" si="88">Q324+Q327</f>
        <v>0</v>
      </c>
      <c r="R321" s="83">
        <f t="shared" si="88"/>
        <v>0</v>
      </c>
      <c r="S321" s="83">
        <f t="shared" si="88"/>
        <v>0</v>
      </c>
      <c r="T321" s="83">
        <f t="shared" si="85"/>
        <v>0</v>
      </c>
      <c r="U321" s="83">
        <f t="shared" si="86"/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468">
        <f t="shared" ca="1" si="87"/>
        <v>20000</v>
      </c>
      <c r="M322" s="224">
        <f t="shared" ca="1" si="87"/>
        <v>20000</v>
      </c>
      <c r="N322" s="224">
        <f t="shared" ca="1" si="87"/>
        <v>20000</v>
      </c>
      <c r="O322" s="224">
        <f t="shared" ca="1" si="83"/>
        <v>100</v>
      </c>
      <c r="P322" s="224">
        <f t="shared" ca="1" si="84"/>
        <v>100</v>
      </c>
      <c r="Q322" s="224">
        <f t="shared" si="88"/>
        <v>0</v>
      </c>
      <c r="R322" s="224">
        <f t="shared" si="88"/>
        <v>0</v>
      </c>
      <c r="S322" s="224">
        <f t="shared" si="88"/>
        <v>0</v>
      </c>
      <c r="T322" s="224">
        <f t="shared" si="85"/>
        <v>0</v>
      </c>
      <c r="U322" s="224">
        <f t="shared" si="86"/>
        <v>0</v>
      </c>
    </row>
    <row r="323" spans="1:21" ht="18.75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468">
        <f ca="1">L324+L325</f>
        <v>20000</v>
      </c>
      <c r="M323" s="224">
        <f ca="1">M324+M325</f>
        <v>20000</v>
      </c>
      <c r="N323" s="224">
        <f ca="1">N324+N325</f>
        <v>20000</v>
      </c>
      <c r="O323" s="224">
        <f t="shared" ca="1" si="83"/>
        <v>100</v>
      </c>
      <c r="P323" s="224">
        <f t="shared" ca="1" si="84"/>
        <v>100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 t="shared" si="85"/>
        <v>0</v>
      </c>
      <c r="U323" s="224">
        <f t="shared" si="86"/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469">
        <v>0</v>
      </c>
      <c r="M324" s="83">
        <v>0</v>
      </c>
      <c r="N324" s="83">
        <v>0</v>
      </c>
      <c r="O324" s="83">
        <f t="shared" si="83"/>
        <v>0</v>
      </c>
      <c r="P324" s="83">
        <f t="shared" si="84"/>
        <v>0</v>
      </c>
      <c r="Q324" s="83">
        <v>0</v>
      </c>
      <c r="R324" s="83">
        <v>0</v>
      </c>
      <c r="S324" s="83">
        <v>0</v>
      </c>
      <c r="T324" s="83">
        <f t="shared" si="85"/>
        <v>0</v>
      </c>
      <c r="U324" s="83">
        <f t="shared" si="86"/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468">
        <f ca="1">IFERROR(__xludf.DUMMYFUNCTION("IMPORTRANGE(""https://docs.google.com/spreadsheets/d/1-uDff_7J0KD5mKrp0Vvzr7lt3OU09vwQwhkpOPPYv2Y/edit?usp=sharing"",""งบพรบ!EI30"")"),20000)</f>
        <v>20000</v>
      </c>
      <c r="M325" s="224">
        <f ca="1">IFERROR(__xludf.DUMMYFUNCTION("IMPORTRANGE(""https://docs.google.com/spreadsheets/d/1-uDff_7J0KD5mKrp0Vvzr7lt3OU09vwQwhkpOPPYv2Y/edit?usp=sharing"",""งบพรบ!EN30"")"),20000)</f>
        <v>20000</v>
      </c>
      <c r="N325" s="224">
        <f ca="1">IFERROR(__xludf.DUMMYFUNCTION("IMPORTRANGE(""https://docs.google.com/spreadsheets/d/1-uDff_7J0KD5mKrp0Vvzr7lt3OU09vwQwhkpOPPYv2Y/edit?usp=sharing"",""งบพรบ!EP30"")"),20000)</f>
        <v>20000</v>
      </c>
      <c r="O325" s="224">
        <f t="shared" ca="1" si="83"/>
        <v>100</v>
      </c>
      <c r="P325" s="224">
        <f t="shared" ca="1" si="84"/>
        <v>100</v>
      </c>
      <c r="Q325" s="224">
        <v>0</v>
      </c>
      <c r="R325" s="224">
        <v>0</v>
      </c>
      <c r="S325" s="224">
        <v>0</v>
      </c>
      <c r="T325" s="224">
        <f t="shared" si="85"/>
        <v>0</v>
      </c>
      <c r="U325" s="224">
        <f t="shared" si="86"/>
        <v>0</v>
      </c>
    </row>
    <row r="326" spans="1:21" ht="18.75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468">
        <f ca="1">L327+L328</f>
        <v>0</v>
      </c>
      <c r="M326" s="224">
        <f ca="1">M327+M328</f>
        <v>0</v>
      </c>
      <c r="N326" s="224">
        <f ca="1">N327+N328</f>
        <v>0</v>
      </c>
      <c r="O326" s="224">
        <f t="shared" ca="1" si="83"/>
        <v>0</v>
      </c>
      <c r="P326" s="224">
        <f t="shared" ca="1" si="84"/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 t="shared" si="85"/>
        <v>0</v>
      </c>
      <c r="U326" s="224">
        <f t="shared" si="86"/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469">
        <v>0</v>
      </c>
      <c r="M327" s="83">
        <v>0</v>
      </c>
      <c r="N327" s="83">
        <v>0</v>
      </c>
      <c r="O327" s="83">
        <f t="shared" si="83"/>
        <v>0</v>
      </c>
      <c r="P327" s="83">
        <f t="shared" si="84"/>
        <v>0</v>
      </c>
      <c r="Q327" s="83">
        <v>0</v>
      </c>
      <c r="R327" s="83">
        <v>0</v>
      </c>
      <c r="S327" s="83">
        <v>0</v>
      </c>
      <c r="T327" s="83">
        <f t="shared" si="85"/>
        <v>0</v>
      </c>
      <c r="U327" s="83">
        <f t="shared" si="86"/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468">
        <f ca="1">IFERROR(__xludf.DUMMYFUNCTION("IMPORTRANGE(""https://docs.google.com/spreadsheets/d/1-uDff_7J0KD5mKrp0Vvzr7lt3OU09vwQwhkpOPPYv2Y/edit?usp=sharing"",""งบพรบ!EL30"")"),0)</f>
        <v>0</v>
      </c>
      <c r="M328" s="224">
        <f ca="1">IFERROR(__xludf.DUMMYFUNCTION("IMPORTRANGE(""https://docs.google.com/spreadsheets/d/1-uDff_7J0KD5mKrp0Vvzr7lt3OU09vwQwhkpOPPYv2Y/edit?usp=sharing"",""งบพรบ!EO30"")"),0)</f>
        <v>0</v>
      </c>
      <c r="N328" s="224">
        <f ca="1">IFERROR(__xludf.DUMMYFUNCTION("IMPORTRANGE(""https://docs.google.com/spreadsheets/d/1-uDff_7J0KD5mKrp0Vvzr7lt3OU09vwQwhkpOPPYv2Y/edit?usp=sharing"",""งบพรบ!EQ30"")"),0)</f>
        <v>0</v>
      </c>
      <c r="O328" s="224">
        <f t="shared" ca="1" si="83"/>
        <v>0</v>
      </c>
      <c r="P328" s="224">
        <f t="shared" ca="1" si="84"/>
        <v>0</v>
      </c>
      <c r="Q328" s="224">
        <v>0</v>
      </c>
      <c r="R328" s="224">
        <v>0</v>
      </c>
      <c r="S328" s="224">
        <v>0</v>
      </c>
      <c r="T328" s="224">
        <f t="shared" si="85"/>
        <v>0</v>
      </c>
      <c r="U328" s="224">
        <f t="shared" si="86"/>
        <v>0</v>
      </c>
    </row>
    <row r="329" spans="1:21" ht="19.5" x14ac:dyDescent="0.3">
      <c r="A329" s="138"/>
      <c r="B329" s="139"/>
      <c r="C329" s="129" t="s">
        <v>18</v>
      </c>
      <c r="D329" s="498" t="s">
        <v>38</v>
      </c>
      <c r="E329" s="141"/>
      <c r="F329" s="141"/>
      <c r="G329" s="142"/>
      <c r="H329" s="143"/>
      <c r="I329" s="135"/>
      <c r="J329" s="44"/>
      <c r="K329" s="45"/>
      <c r="L329" s="465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IFERROR(__xludf.DUMMYFUNCTION("IMPORTRANGE(""https://docs.google.com/spreadsheets/d/1eHaY18a8A9IcSdp1K8H6x8fbOy06t2VsZHhMHf-1x7Y/edit?usp=sharing"",""แผน!EJ30"")"),1)</f>
        <v>1</v>
      </c>
      <c r="J330" s="466">
        <v>1</v>
      </c>
      <c r="K330" s="224">
        <f ca="1">IF(I330&gt;0,J330*100/I330,0)</f>
        <v>100</v>
      </c>
      <c r="L330" s="465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57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569">
        <f ca="1">I344</f>
        <v>1660</v>
      </c>
      <c r="J332" s="568">
        <f ca="1">J344+J347+J348+J349+J353</f>
        <v>1936</v>
      </c>
      <c r="K332" s="567">
        <f ca="1">IF(I332&gt;0,J332*100/I332,0)</f>
        <v>116.62650602409639</v>
      </c>
      <c r="L332" s="539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472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471">
        <f ca="1">L334+L335</f>
        <v>108000</v>
      </c>
      <c r="M333" s="470">
        <f ca="1">M334+M335</f>
        <v>113000</v>
      </c>
      <c r="N333" s="470">
        <f ca="1">N334+N335</f>
        <v>75151</v>
      </c>
      <c r="O333" s="470">
        <f t="shared" ref="O333:O341" ca="1" si="89">IF(L333&gt;0,N333*100/L333,0)</f>
        <v>69.584259259259255</v>
      </c>
      <c r="P333" s="470">
        <f t="shared" ref="P333:P341" ca="1" si="90">IF(M333&gt;0,N333*100/M333,0)</f>
        <v>66.505309734513276</v>
      </c>
      <c r="Q333" s="470">
        <f>Q334+Q335</f>
        <v>0</v>
      </c>
      <c r="R333" s="470">
        <f>R334+R335</f>
        <v>0</v>
      </c>
      <c r="S333" s="470">
        <f>S334+S335</f>
        <v>0</v>
      </c>
      <c r="T333" s="470">
        <f t="shared" ref="T333:T341" si="91">IF(Q333&gt;0,S333*100/Q333,0)</f>
        <v>0</v>
      </c>
      <c r="U333" s="470">
        <f t="shared" ref="U333:U341" si="92"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469">
        <f t="shared" ref="L334:N335" si="93">L337+L340</f>
        <v>0</v>
      </c>
      <c r="M334" s="83">
        <f t="shared" si="93"/>
        <v>0</v>
      </c>
      <c r="N334" s="83">
        <f t="shared" si="93"/>
        <v>0</v>
      </c>
      <c r="O334" s="83">
        <f t="shared" si="89"/>
        <v>0</v>
      </c>
      <c r="P334" s="83">
        <f t="shared" si="90"/>
        <v>0</v>
      </c>
      <c r="Q334" s="83">
        <f t="shared" ref="Q334:S335" si="94">Q337+Q340</f>
        <v>0</v>
      </c>
      <c r="R334" s="83">
        <f t="shared" si="94"/>
        <v>0</v>
      </c>
      <c r="S334" s="83">
        <f t="shared" si="94"/>
        <v>0</v>
      </c>
      <c r="T334" s="83">
        <f t="shared" si="91"/>
        <v>0</v>
      </c>
      <c r="U334" s="83">
        <f t="shared" si="92"/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468">
        <f t="shared" ca="1" si="93"/>
        <v>108000</v>
      </c>
      <c r="M335" s="224">
        <f t="shared" ca="1" si="93"/>
        <v>113000</v>
      </c>
      <c r="N335" s="224">
        <f t="shared" ca="1" si="93"/>
        <v>75151</v>
      </c>
      <c r="O335" s="224">
        <f t="shared" ca="1" si="89"/>
        <v>69.584259259259255</v>
      </c>
      <c r="P335" s="224">
        <f t="shared" ca="1" si="90"/>
        <v>66.505309734513276</v>
      </c>
      <c r="Q335" s="224">
        <f t="shared" si="94"/>
        <v>0</v>
      </c>
      <c r="R335" s="224">
        <f t="shared" si="94"/>
        <v>0</v>
      </c>
      <c r="S335" s="224">
        <f t="shared" si="94"/>
        <v>0</v>
      </c>
      <c r="T335" s="224">
        <f t="shared" si="91"/>
        <v>0</v>
      </c>
      <c r="U335" s="224">
        <f t="shared" si="92"/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468">
        <f ca="1">L337+L338</f>
        <v>108000</v>
      </c>
      <c r="M336" s="224">
        <f ca="1">M337+M338</f>
        <v>113000</v>
      </c>
      <c r="N336" s="224">
        <f ca="1">N337+N338</f>
        <v>75151</v>
      </c>
      <c r="O336" s="224">
        <f t="shared" ca="1" si="89"/>
        <v>69.584259259259255</v>
      </c>
      <c r="P336" s="224">
        <f t="shared" ca="1" si="90"/>
        <v>66.505309734513276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 t="shared" si="91"/>
        <v>0</v>
      </c>
      <c r="U336" s="224">
        <f t="shared" si="92"/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469">
        <v>0</v>
      </c>
      <c r="M337" s="83">
        <v>0</v>
      </c>
      <c r="N337" s="83">
        <v>0</v>
      </c>
      <c r="O337" s="83">
        <f t="shared" si="89"/>
        <v>0</v>
      </c>
      <c r="P337" s="83">
        <f t="shared" si="90"/>
        <v>0</v>
      </c>
      <c r="Q337" s="83">
        <v>0</v>
      </c>
      <c r="R337" s="83">
        <v>0</v>
      </c>
      <c r="S337" s="83">
        <v>0</v>
      </c>
      <c r="T337" s="83">
        <f t="shared" si="91"/>
        <v>0</v>
      </c>
      <c r="U337" s="83">
        <f t="shared" si="92"/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468">
        <f ca="1">IFERROR(__xludf.DUMMYFUNCTION("IMPORTRANGE(""https://docs.google.com/spreadsheets/d/1-uDff_7J0KD5mKrp0Vvzr7lt3OU09vwQwhkpOPPYv2Y/edit?usp=sharing"",""งบพรบ!ES30"")"),108000)</f>
        <v>108000</v>
      </c>
      <c r="M338" s="224">
        <f ca="1">IFERROR(__xludf.DUMMYFUNCTION("IMPORTRANGE(""https://docs.google.com/spreadsheets/d/1-uDff_7J0KD5mKrp0Vvzr7lt3OU09vwQwhkpOPPYv2Y/edit?usp=sharing"",""งบพรบ!EX30"")"),113000)</f>
        <v>113000</v>
      </c>
      <c r="N338" s="224">
        <f ca="1">IFERROR(__xludf.DUMMYFUNCTION("IMPORTRANGE(""https://docs.google.com/spreadsheets/d/1-uDff_7J0KD5mKrp0Vvzr7lt3OU09vwQwhkpOPPYv2Y/edit?usp=sharing"",""งบพรบ!EZ30"")"),75151)</f>
        <v>75151</v>
      </c>
      <c r="O338" s="224">
        <f t="shared" ca="1" si="89"/>
        <v>69.584259259259255</v>
      </c>
      <c r="P338" s="224">
        <f t="shared" ca="1" si="90"/>
        <v>66.505309734513276</v>
      </c>
      <c r="Q338" s="224">
        <v>0</v>
      </c>
      <c r="R338" s="224">
        <v>0</v>
      </c>
      <c r="S338" s="224">
        <v>0</v>
      </c>
      <c r="T338" s="224">
        <f t="shared" si="91"/>
        <v>0</v>
      </c>
      <c r="U338" s="224">
        <f t="shared" si="92"/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468">
        <f ca="1">L340+L341</f>
        <v>0</v>
      </c>
      <c r="M339" s="224">
        <f ca="1">M340+M341</f>
        <v>0</v>
      </c>
      <c r="N339" s="224">
        <f ca="1">N340+N341</f>
        <v>0</v>
      </c>
      <c r="O339" s="224">
        <f t="shared" ca="1" si="89"/>
        <v>0</v>
      </c>
      <c r="P339" s="224">
        <f t="shared" ca="1" si="90"/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 t="shared" si="91"/>
        <v>0</v>
      </c>
      <c r="U339" s="224">
        <f t="shared" si="92"/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469">
        <v>0</v>
      </c>
      <c r="M340" s="83">
        <v>0</v>
      </c>
      <c r="N340" s="83">
        <v>0</v>
      </c>
      <c r="O340" s="83">
        <f t="shared" si="89"/>
        <v>0</v>
      </c>
      <c r="P340" s="83">
        <f t="shared" si="90"/>
        <v>0</v>
      </c>
      <c r="Q340" s="83">
        <v>0</v>
      </c>
      <c r="R340" s="83">
        <v>0</v>
      </c>
      <c r="S340" s="83">
        <v>0</v>
      </c>
      <c r="T340" s="83">
        <f t="shared" si="91"/>
        <v>0</v>
      </c>
      <c r="U340" s="83">
        <f t="shared" si="92"/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468">
        <f ca="1">IFERROR(__xludf.DUMMYFUNCTION("IMPORTRANGE(""https://docs.google.com/spreadsheets/d/1-uDff_7J0KD5mKrp0Vvzr7lt3OU09vwQwhkpOPPYv2Y/edit?usp=sharing"",""งบพรบ!EV30"")"),0)</f>
        <v>0</v>
      </c>
      <c r="M341" s="224">
        <f ca="1">IFERROR(__xludf.DUMMYFUNCTION("IMPORTRANGE(""https://docs.google.com/spreadsheets/d/1-uDff_7J0KD5mKrp0Vvzr7lt3OU09vwQwhkpOPPYv2Y/edit?usp=sharing"",""งบพรบ!EY30"")"),0)</f>
        <v>0</v>
      </c>
      <c r="N341" s="224">
        <f ca="1">IFERROR(__xludf.DUMMYFUNCTION("IMPORTRANGE(""https://docs.google.com/spreadsheets/d/1-uDff_7J0KD5mKrp0Vvzr7lt3OU09vwQwhkpOPPYv2Y/edit?usp=sharing"",""งบพรบ!FA30"")"),0)</f>
        <v>0</v>
      </c>
      <c r="O341" s="224">
        <f t="shared" ca="1" si="89"/>
        <v>0</v>
      </c>
      <c r="P341" s="224">
        <f t="shared" ca="1" si="90"/>
        <v>0</v>
      </c>
      <c r="Q341" s="224">
        <v>0</v>
      </c>
      <c r="R341" s="224">
        <v>0</v>
      </c>
      <c r="S341" s="224">
        <v>0</v>
      </c>
      <c r="T341" s="224">
        <f t="shared" si="91"/>
        <v>0</v>
      </c>
      <c r="U341" s="224">
        <f t="shared" si="92"/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465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566"/>
      <c r="B343" s="563"/>
      <c r="C343" s="565"/>
      <c r="D343" s="563"/>
      <c r="E343" s="564" t="s">
        <v>137</v>
      </c>
      <c r="F343" s="563"/>
      <c r="G343" s="562"/>
      <c r="H343" s="561" t="s">
        <v>35</v>
      </c>
      <c r="I343" s="560">
        <v>0</v>
      </c>
      <c r="J343" s="560">
        <f ca="1">J344+J347+J348+J349</f>
        <v>1298</v>
      </c>
      <c r="K343" s="559">
        <v>0</v>
      </c>
      <c r="L343" s="557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IFERROR(__xludf.DUMMYFUNCTION("IMPORTRANGE(""https://docs.google.com/spreadsheets/d/1eHaY18a8A9IcSdp1K8H6x8fbOy06t2VsZHhMHf-1x7Y/edit?usp=sharing"",""แผน!EK30"")"),1660)</f>
        <v>1660</v>
      </c>
      <c r="J344" s="184">
        <f ca="1">IFERROR(__xludf.DUMMYFUNCTION("IMPORTRANGE(""https://docs.google.com/spreadsheets/d/1awYsYK3VOup2i3Pq_Yjnu8DRu_mYwSBnCR2QPthd0rU/edit?usp=sharing"",""ศูนย์ยกเว้นโฉนด!D30"")"),1253)</f>
        <v>1253</v>
      </c>
      <c r="K344" s="224">
        <f ca="1">IF(I344&gt;0,J344*100/I344,0)</f>
        <v>75.481927710843379</v>
      </c>
      <c r="L344" s="465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465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IFERROR(__xludf.DUMMYFUNCTION("IMPORTRANGE(""https://docs.google.com/spreadsheets/d/1eHaY18a8A9IcSdp1K8H6x8fbOy06t2VsZHhMHf-1x7Y/edit?usp=sharing"",""แผน!EL30"")"),4)</f>
        <v>4</v>
      </c>
      <c r="J346" s="184">
        <f ca="1">IFERROR(__xludf.DUMMYFUNCTION("IMPORTRANGE(""https://docs.google.com/spreadsheets/d/1awYsYK3VOup2i3Pq_Yjnu8DRu_mYwSBnCR2QPthd0rU/edit?usp=sharing"",""ศูนย์รวม!E30"")"),3)</f>
        <v>3</v>
      </c>
      <c r="K346" s="224">
        <f ca="1">IF(I346&gt;0,J346*100/I346,0)</f>
        <v>75</v>
      </c>
      <c r="L346" s="465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IFERROR(__xludf.DUMMYFUNCTION("IMPORTRANGE(""https://docs.google.com/spreadsheets/d/1awYsYK3VOup2i3Pq_Yjnu8DRu_mYwSBnCR2QPthd0rU/edit?usp=sharing"",""ศูนย์ยกเว้นโฉนด!F30"")"),45)</f>
        <v>45</v>
      </c>
      <c r="K347" s="45"/>
      <c r="L347" s="465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IFERROR(__xludf.DUMMYFUNCTION("IMPORTRANGE(""https://docs.google.com/spreadsheets/d/1awYsYK3VOup2i3Pq_Yjnu8DRu_mYwSBnCR2QPthd0rU/edit?usp=sharing"",""ศูนย์ยกเว้นโฉนด!G30"")"),0)</f>
        <v>0</v>
      </c>
      <c r="K348" s="45"/>
      <c r="L348" s="465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IFERROR(__xludf.DUMMYFUNCTION("IMPORTRANGE(""https://docs.google.com/spreadsheets/d/1awYsYK3VOup2i3Pq_Yjnu8DRu_mYwSBnCR2QPthd0rU/edit?usp=sharing"",""ศูนย์ยกเว้นโฉนด!H30"")"),0)</f>
        <v>0</v>
      </c>
      <c r="K349" s="45"/>
      <c r="L349" s="465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0"/>
      <c r="F350" s="40"/>
      <c r="G350" s="42"/>
      <c r="H350" s="180"/>
      <c r="I350" s="44"/>
      <c r="J350" s="44"/>
      <c r="K350" s="45"/>
      <c r="L350" s="465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558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1861</v>
      </c>
      <c r="K351" s="304">
        <v>0</v>
      </c>
      <c r="L351" s="557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IFERROR(__xludf.DUMMYFUNCTION("IMPORTRANGE(""https://docs.google.com/spreadsheets/d/1awYsYK3VOup2i3Pq_Yjnu8DRu_mYwSBnCR2QPthd0rU/edit?usp=sharing"",""โฉนดM3!G30"")"),1223)</f>
        <v>1223</v>
      </c>
      <c r="K352" s="45"/>
      <c r="L352" s="465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IFERROR(__xludf.DUMMYFUNCTION("IMPORTRANGE(""https://docs.google.com/spreadsheets/d/1awYsYK3VOup2i3Pq_Yjnu8DRu_mYwSBnCR2QPthd0rU/edit?usp=sharing"",""โฉนดM3!H30"")"),638)</f>
        <v>638</v>
      </c>
      <c r="K353" s="45"/>
      <c r="L353" s="465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0"/>
      <c r="F354" s="40"/>
      <c r="G354" s="42"/>
      <c r="H354" s="180"/>
      <c r="I354" s="44"/>
      <c r="J354" s="44"/>
      <c r="K354" s="45"/>
      <c r="L354" s="465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539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472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471">
        <f ca="1">L357+L358</f>
        <v>573900</v>
      </c>
      <c r="M356" s="470">
        <f ca="1">M357+M358</f>
        <v>573900</v>
      </c>
      <c r="N356" s="470">
        <f ca="1">N357+N358</f>
        <v>404976</v>
      </c>
      <c r="O356" s="470">
        <f t="shared" ref="O356:O364" ca="1" si="95">IF(L356&gt;0,N356*100/L356,0)</f>
        <v>70.565603763721896</v>
      </c>
      <c r="P356" s="470">
        <f t="shared" ref="P356:P364" ca="1" si="96">IF(M356&gt;0,N356*100/M356,0)</f>
        <v>70.565603763721896</v>
      </c>
      <c r="Q356" s="470">
        <f>Q357+Q358</f>
        <v>0</v>
      </c>
      <c r="R356" s="470">
        <f>R357+R358</f>
        <v>0</v>
      </c>
      <c r="S356" s="470">
        <f>S357+S358</f>
        <v>0</v>
      </c>
      <c r="T356" s="470">
        <f t="shared" ref="T356:T364" si="97">IF(Q356&gt;0,S356*100/Q356,0)</f>
        <v>0</v>
      </c>
      <c r="U356" s="470">
        <f t="shared" ref="U356:U364" si="98"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469">
        <f t="shared" ref="L357:N358" si="99">L360+L363</f>
        <v>0</v>
      </c>
      <c r="M357" s="83">
        <f t="shared" si="99"/>
        <v>0</v>
      </c>
      <c r="N357" s="83">
        <f t="shared" si="99"/>
        <v>0</v>
      </c>
      <c r="O357" s="83">
        <f t="shared" si="95"/>
        <v>0</v>
      </c>
      <c r="P357" s="83">
        <f t="shared" si="96"/>
        <v>0</v>
      </c>
      <c r="Q357" s="83">
        <f t="shared" ref="Q357:S358" si="100">Q360+Q363</f>
        <v>0</v>
      </c>
      <c r="R357" s="83">
        <f t="shared" si="100"/>
        <v>0</v>
      </c>
      <c r="S357" s="83">
        <f t="shared" si="100"/>
        <v>0</v>
      </c>
      <c r="T357" s="83">
        <f t="shared" si="97"/>
        <v>0</v>
      </c>
      <c r="U357" s="83">
        <f t="shared" si="98"/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468">
        <f t="shared" ca="1" si="99"/>
        <v>573900</v>
      </c>
      <c r="M358" s="224">
        <f t="shared" ca="1" si="99"/>
        <v>573900</v>
      </c>
      <c r="N358" s="224">
        <f t="shared" ca="1" si="99"/>
        <v>404976</v>
      </c>
      <c r="O358" s="224">
        <f t="shared" ca="1" si="95"/>
        <v>70.565603763721896</v>
      </c>
      <c r="P358" s="224">
        <f t="shared" ca="1" si="96"/>
        <v>70.565603763721896</v>
      </c>
      <c r="Q358" s="224">
        <f t="shared" si="100"/>
        <v>0</v>
      </c>
      <c r="R358" s="224">
        <f t="shared" si="100"/>
        <v>0</v>
      </c>
      <c r="S358" s="224">
        <f t="shared" si="100"/>
        <v>0</v>
      </c>
      <c r="T358" s="224">
        <f t="shared" si="97"/>
        <v>0</v>
      </c>
      <c r="U358" s="224">
        <f t="shared" si="98"/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468">
        <f ca="1">L360+L361</f>
        <v>573900</v>
      </c>
      <c r="M359" s="224">
        <f ca="1">M360+M361</f>
        <v>573900</v>
      </c>
      <c r="N359" s="224">
        <f ca="1">N360+N361</f>
        <v>404976</v>
      </c>
      <c r="O359" s="224">
        <f t="shared" ca="1" si="95"/>
        <v>70.565603763721896</v>
      </c>
      <c r="P359" s="224">
        <f t="shared" ca="1" si="96"/>
        <v>70.565603763721896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 t="shared" si="97"/>
        <v>0</v>
      </c>
      <c r="U359" s="224">
        <f t="shared" si="98"/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469">
        <v>0</v>
      </c>
      <c r="M360" s="83">
        <v>0</v>
      </c>
      <c r="N360" s="83">
        <v>0</v>
      </c>
      <c r="O360" s="83">
        <f t="shared" si="95"/>
        <v>0</v>
      </c>
      <c r="P360" s="83">
        <f t="shared" si="96"/>
        <v>0</v>
      </c>
      <c r="Q360" s="83">
        <v>0</v>
      </c>
      <c r="R360" s="83">
        <v>0</v>
      </c>
      <c r="S360" s="83">
        <v>0</v>
      </c>
      <c r="T360" s="83">
        <f t="shared" si="97"/>
        <v>0</v>
      </c>
      <c r="U360" s="83">
        <f t="shared" si="98"/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468">
        <f ca="1">IFERROR(__xludf.DUMMYFUNCTION("IMPORTRANGE(""https://docs.google.com/spreadsheets/d/1-uDff_7J0KD5mKrp0Vvzr7lt3OU09vwQwhkpOPPYv2Y/edit?usp=sharing"",""งบพรบ!FC30"")"),573900)</f>
        <v>573900</v>
      </c>
      <c r="M361" s="224">
        <f ca="1">IFERROR(__xludf.DUMMYFUNCTION("IMPORTRANGE(""https://docs.google.com/spreadsheets/d/1-uDff_7J0KD5mKrp0Vvzr7lt3OU09vwQwhkpOPPYv2Y/edit?usp=sharing"",""งบพรบ!FH30"")"),573900)</f>
        <v>573900</v>
      </c>
      <c r="N361" s="224">
        <f ca="1">IFERROR(__xludf.DUMMYFUNCTION("IMPORTRANGE(""https://docs.google.com/spreadsheets/d/1-uDff_7J0KD5mKrp0Vvzr7lt3OU09vwQwhkpOPPYv2Y/edit?usp=sharing"",""งบพรบ!FJ30"")"),404976)</f>
        <v>404976</v>
      </c>
      <c r="O361" s="224">
        <f t="shared" ca="1" si="95"/>
        <v>70.565603763721896</v>
      </c>
      <c r="P361" s="224">
        <f t="shared" ca="1" si="96"/>
        <v>70.565603763721896</v>
      </c>
      <c r="Q361" s="224">
        <v>0</v>
      </c>
      <c r="R361" s="224">
        <v>0</v>
      </c>
      <c r="S361" s="224">
        <v>0</v>
      </c>
      <c r="T361" s="224">
        <f t="shared" si="97"/>
        <v>0</v>
      </c>
      <c r="U361" s="224">
        <f t="shared" si="98"/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468">
        <f ca="1">L363+L364</f>
        <v>0</v>
      </c>
      <c r="M362" s="224">
        <f ca="1">M363+M364</f>
        <v>0</v>
      </c>
      <c r="N362" s="224">
        <f ca="1">N363+N364</f>
        <v>0</v>
      </c>
      <c r="O362" s="224">
        <f t="shared" ca="1" si="95"/>
        <v>0</v>
      </c>
      <c r="P362" s="224">
        <f t="shared" ca="1" si="96"/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 t="shared" si="97"/>
        <v>0</v>
      </c>
      <c r="U362" s="224">
        <f t="shared" si="98"/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469">
        <v>0</v>
      </c>
      <c r="M363" s="83">
        <v>0</v>
      </c>
      <c r="N363" s="83">
        <v>0</v>
      </c>
      <c r="O363" s="83">
        <f t="shared" si="95"/>
        <v>0</v>
      </c>
      <c r="P363" s="83">
        <f t="shared" si="96"/>
        <v>0</v>
      </c>
      <c r="Q363" s="83">
        <v>0</v>
      </c>
      <c r="R363" s="83">
        <v>0</v>
      </c>
      <c r="S363" s="83">
        <v>0</v>
      </c>
      <c r="T363" s="83">
        <f t="shared" si="97"/>
        <v>0</v>
      </c>
      <c r="U363" s="83">
        <f t="shared" si="98"/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468">
        <f ca="1">IFERROR(__xludf.DUMMYFUNCTION("IMPORTRANGE(""https://docs.google.com/spreadsheets/d/1-uDff_7J0KD5mKrp0Vvzr7lt3OU09vwQwhkpOPPYv2Y/edit?usp=sharing"",""งบพรบ!FF30"")"),0)</f>
        <v>0</v>
      </c>
      <c r="M364" s="224">
        <f ca="1">IFERROR(__xludf.DUMMYFUNCTION("IMPORTRANGE(""https://docs.google.com/spreadsheets/d/1-uDff_7J0KD5mKrp0Vvzr7lt3OU09vwQwhkpOPPYv2Y/edit?usp=sharing"",""งบพรบ!FI30"")"),0)</f>
        <v>0</v>
      </c>
      <c r="N364" s="224">
        <f ca="1">IFERROR(__xludf.DUMMYFUNCTION("IMPORTRANGE(""https://docs.google.com/spreadsheets/d/1-uDff_7J0KD5mKrp0Vvzr7lt3OU09vwQwhkpOPPYv2Y/edit?usp=sharing"",""งบพรบ!FK30"")"),0)</f>
        <v>0</v>
      </c>
      <c r="O364" s="224">
        <f t="shared" ca="1" si="95"/>
        <v>0</v>
      </c>
      <c r="P364" s="224">
        <f t="shared" ca="1" si="96"/>
        <v>0</v>
      </c>
      <c r="Q364" s="224">
        <v>0</v>
      </c>
      <c r="R364" s="224">
        <v>0</v>
      </c>
      <c r="S364" s="224">
        <v>0</v>
      </c>
      <c r="T364" s="224">
        <f t="shared" si="97"/>
        <v>0</v>
      </c>
      <c r="U364" s="224">
        <f t="shared" si="98"/>
        <v>0</v>
      </c>
    </row>
    <row r="365" spans="1:21" ht="19.5" x14ac:dyDescent="0.3">
      <c r="A365" s="211"/>
      <c r="B365" s="212"/>
      <c r="C365" s="214"/>
      <c r="D365" s="558" t="s">
        <v>149</v>
      </c>
      <c r="E365" s="214"/>
      <c r="F365" s="214"/>
      <c r="G365" s="215"/>
      <c r="H365" s="223" t="s">
        <v>35</v>
      </c>
      <c r="I365" s="303">
        <f ca="1">I371</f>
        <v>297</v>
      </c>
      <c r="J365" s="303">
        <f ca="1">J371</f>
        <v>126</v>
      </c>
      <c r="K365" s="304">
        <f ca="1">IF(I365&gt;0,J365*100/I365,0)</f>
        <v>42.424242424242422</v>
      </c>
      <c r="L365" s="557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498" t="s">
        <v>38</v>
      </c>
      <c r="E366" s="141"/>
      <c r="F366" s="141"/>
      <c r="G366" s="142"/>
      <c r="H366" s="143"/>
      <c r="I366" s="44"/>
      <c r="J366" s="44"/>
      <c r="K366" s="45"/>
      <c r="L366" s="4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IFERROR(__xludf.DUMMYFUNCTION("IMPORTRANGE(""https://docs.google.com/spreadsheets/d/1tdoBKaGub7dwA3U6UFTqxio9LNnvDCQjHKmttSEBsFQ/edit?usp=sharing"",""จัดที่ดิน!AB30"")"),141)</f>
        <v>141</v>
      </c>
      <c r="K367" s="224">
        <f t="shared" ref="K367:K372" si="101">IF(I367&gt;0,J367*100/I367,0)</f>
        <v>0</v>
      </c>
      <c r="L367" s="4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IFERROR(__xludf.DUMMYFUNCTION("IMPORTRANGE(""https://docs.google.com/spreadsheets/d/1eHaY18a8A9IcSdp1K8H6x8fbOy06t2VsZHhMHf-1x7Y/edit?usp=sharing"",""แผน!EW30"")"),810)</f>
        <v>810</v>
      </c>
      <c r="J368" s="556">
        <f ca="1">IFERROR(__xludf.DUMMYFUNCTION("IMPORTRANGE(""https://docs.google.com/spreadsheets/d/1tdoBKaGub7dwA3U6UFTqxio9LNnvDCQjHKmttSEBsFQ/edit?usp=sharing"",""จัดที่ดิน!AC30"")"),1466.69999999999)</f>
        <v>1466.69999999999</v>
      </c>
      <c r="K368" s="224">
        <f t="shared" ca="1" si="101"/>
        <v>181.07407407407285</v>
      </c>
      <c r="L368" s="4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IFERROR(__xludf.DUMMYFUNCTION("IMPORTRANGE(""https://docs.google.com/spreadsheets/d/1eHaY18a8A9IcSdp1K8H6x8fbOy06t2VsZHhMHf-1x7Y/edit?usp=sharing"",""แผน!EX30"")"),297)</f>
        <v>297</v>
      </c>
      <c r="J369" s="184">
        <f ca="1">IFERROR(__xludf.DUMMYFUNCTION("IMPORTRANGE(""https://docs.google.com/spreadsheets/d/1tdoBKaGub7dwA3U6UFTqxio9LNnvDCQjHKmttSEBsFQ/edit?usp=sharing"",""จัดที่ดิน!AD30"")"),186)</f>
        <v>186</v>
      </c>
      <c r="K369" s="224">
        <f t="shared" ca="1" si="101"/>
        <v>62.626262626262623</v>
      </c>
      <c r="L369" s="4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556">
        <f ca="1">IFERROR(__xludf.DUMMYFUNCTION("IMPORTRANGE(""https://docs.google.com/spreadsheets/d/1tdoBKaGub7dwA3U6UFTqxio9LNnvDCQjHKmttSEBsFQ/edit?usp=sharing"",""จัดที่ดิน!AE30"")"),3159.5)</f>
        <v>3159.5</v>
      </c>
      <c r="K370" s="224">
        <f t="shared" si="101"/>
        <v>0</v>
      </c>
      <c r="L370" s="4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IFERROR(__xludf.DUMMYFUNCTION("IMPORTRANGE(""https://docs.google.com/spreadsheets/d/1eHaY18a8A9IcSdp1K8H6x8fbOy06t2VsZHhMHf-1x7Y/edit?usp=sharing"",""แผน!EY30"")"),297)</f>
        <v>297</v>
      </c>
      <c r="J371" s="184">
        <f ca="1">IFERROR(__xludf.DUMMYFUNCTION("IMPORTRANGE(""https://docs.google.com/spreadsheets/d/1tdoBKaGub7dwA3U6UFTqxio9LNnvDCQjHKmttSEBsFQ/edit?usp=sharing"",""จัดที่ดิน!AF30"")"),126)</f>
        <v>126</v>
      </c>
      <c r="K371" s="224">
        <f t="shared" ca="1" si="101"/>
        <v>42.424242424242422</v>
      </c>
      <c r="L371" s="4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556">
        <f ca="1">IFERROR(__xludf.DUMMYFUNCTION("IMPORTRANGE(""https://docs.google.com/spreadsheets/d/1tdoBKaGub7dwA3U6UFTqxio9LNnvDCQjHKmttSEBsFQ/edit?usp=sharing"",""จัดที่ดิน!AG30"")"),2494.2)</f>
        <v>2494.1999999999998</v>
      </c>
      <c r="K372" s="224">
        <f t="shared" si="101"/>
        <v>0</v>
      </c>
      <c r="L372" s="4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2"/>
      <c r="H373" s="52"/>
      <c r="I373" s="54"/>
      <c r="J373" s="54"/>
      <c r="K373" s="3"/>
      <c r="L373" s="46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555"/>
      <c r="B374" s="554" t="s">
        <v>153</v>
      </c>
      <c r="C374" s="553"/>
      <c r="D374" s="552"/>
      <c r="E374" s="551"/>
      <c r="F374" s="551"/>
      <c r="G374" s="550"/>
      <c r="H374" s="549" t="s">
        <v>46</v>
      </c>
      <c r="I374" s="548">
        <f ca="1">I386+I388</f>
        <v>4000</v>
      </c>
      <c r="J374" s="548">
        <f ca="1">J386+J388</f>
        <v>1159</v>
      </c>
      <c r="K374" s="547">
        <f ca="1">IF(I374&gt;0,J374*100/I374,0)</f>
        <v>28.975000000000001</v>
      </c>
      <c r="L374" s="539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128"/>
      <c r="B375" s="158"/>
      <c r="C375" s="161" t="s">
        <v>18</v>
      </c>
      <c r="D375" s="544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471">
        <f>L376+L377</f>
        <v>0</v>
      </c>
      <c r="M375" s="470">
        <f>M376+M377</f>
        <v>0</v>
      </c>
      <c r="N375" s="470">
        <f>N376+N377</f>
        <v>0</v>
      </c>
      <c r="O375" s="470">
        <f t="shared" ref="O375:O383" si="102">IF(L375&gt;0,N375*100/L375,0)</f>
        <v>0</v>
      </c>
      <c r="P375" s="470">
        <f t="shared" ref="P375:P383" si="103">IF(M375&gt;0,N375*100/M375,0)</f>
        <v>0</v>
      </c>
      <c r="Q375" s="470">
        <f ca="1">Q376+Q377</f>
        <v>250000</v>
      </c>
      <c r="R375" s="470">
        <f ca="1">R376+R377</f>
        <v>250000</v>
      </c>
      <c r="S375" s="470">
        <f ca="1">S376+S377</f>
        <v>0</v>
      </c>
      <c r="T375" s="470">
        <f t="shared" ref="T375:T383" ca="1" si="104">IF(Q375&gt;0,S375*100/Q375,0)</f>
        <v>0</v>
      </c>
      <c r="U375" s="470">
        <f t="shared" ref="U375:U383" ca="1" si="105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469">
        <f t="shared" ref="L376:N377" si="106">L379+L382</f>
        <v>0</v>
      </c>
      <c r="M376" s="83">
        <f t="shared" si="106"/>
        <v>0</v>
      </c>
      <c r="N376" s="83">
        <f t="shared" si="106"/>
        <v>0</v>
      </c>
      <c r="O376" s="83">
        <f t="shared" si="102"/>
        <v>0</v>
      </c>
      <c r="P376" s="83">
        <f t="shared" si="103"/>
        <v>0</v>
      </c>
      <c r="Q376" s="83">
        <f t="shared" ref="Q376:S377" si="107">Q379+Q382</f>
        <v>0</v>
      </c>
      <c r="R376" s="83">
        <f t="shared" si="107"/>
        <v>0</v>
      </c>
      <c r="S376" s="83">
        <f t="shared" si="107"/>
        <v>0</v>
      </c>
      <c r="T376" s="83">
        <f t="shared" si="104"/>
        <v>0</v>
      </c>
      <c r="U376" s="83">
        <f t="shared" si="105"/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468">
        <f t="shared" si="106"/>
        <v>0</v>
      </c>
      <c r="M377" s="224">
        <f t="shared" si="106"/>
        <v>0</v>
      </c>
      <c r="N377" s="224">
        <f t="shared" si="106"/>
        <v>0</v>
      </c>
      <c r="O377" s="224">
        <f t="shared" si="102"/>
        <v>0</v>
      </c>
      <c r="P377" s="224">
        <f t="shared" si="103"/>
        <v>0</v>
      </c>
      <c r="Q377" s="224">
        <f t="shared" ca="1" si="107"/>
        <v>250000</v>
      </c>
      <c r="R377" s="224">
        <f t="shared" ca="1" si="107"/>
        <v>250000</v>
      </c>
      <c r="S377" s="224">
        <f t="shared" ca="1" si="107"/>
        <v>0</v>
      </c>
      <c r="T377" s="224">
        <f t="shared" ca="1" si="104"/>
        <v>0</v>
      </c>
      <c r="U377" s="224">
        <f t="shared" ca="1" si="105"/>
        <v>0</v>
      </c>
    </row>
    <row r="378" spans="1:21" ht="18.75" x14ac:dyDescent="0.25">
      <c r="A378" s="128"/>
      <c r="B378" s="158"/>
      <c r="C378" s="158"/>
      <c r="D378" s="53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468">
        <f>L379+L380</f>
        <v>0</v>
      </c>
      <c r="M378" s="224">
        <f>M379+M380</f>
        <v>0</v>
      </c>
      <c r="N378" s="224">
        <f>N379+N380</f>
        <v>0</v>
      </c>
      <c r="O378" s="224">
        <f t="shared" si="102"/>
        <v>0</v>
      </c>
      <c r="P378" s="224">
        <f t="shared" si="103"/>
        <v>0</v>
      </c>
      <c r="Q378" s="224">
        <f ca="1">Q379+Q380</f>
        <v>250000</v>
      </c>
      <c r="R378" s="224">
        <f ca="1">R379+R380</f>
        <v>250000</v>
      </c>
      <c r="S378" s="224">
        <f ca="1">S379+S380</f>
        <v>0</v>
      </c>
      <c r="T378" s="224">
        <f t="shared" ca="1" si="104"/>
        <v>0</v>
      </c>
      <c r="U378" s="224">
        <f t="shared" ca="1" si="105"/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469">
        <v>0</v>
      </c>
      <c r="M379" s="83">
        <v>0</v>
      </c>
      <c r="N379" s="83">
        <v>0</v>
      </c>
      <c r="O379" s="83">
        <f t="shared" si="102"/>
        <v>0</v>
      </c>
      <c r="P379" s="83">
        <f t="shared" si="103"/>
        <v>0</v>
      </c>
      <c r="Q379" s="83">
        <v>0</v>
      </c>
      <c r="R379" s="83">
        <v>0</v>
      </c>
      <c r="S379" s="83">
        <v>0</v>
      </c>
      <c r="T379" s="83">
        <f t="shared" si="104"/>
        <v>0</v>
      </c>
      <c r="U379" s="83">
        <f t="shared" si="105"/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468">
        <v>0</v>
      </c>
      <c r="M380" s="224">
        <v>0</v>
      </c>
      <c r="N380" s="224">
        <v>0</v>
      </c>
      <c r="O380" s="224">
        <f t="shared" si="102"/>
        <v>0</v>
      </c>
      <c r="P380" s="224">
        <f t="shared" si="103"/>
        <v>0</v>
      </c>
      <c r="Q380" s="224">
        <f ca="1">IFERROR(__xludf.DUMMYFUNCTION("IMPORTRANGE(""https://docs.google.com/spreadsheets/d/1ItG2mGa2ceCfYo0BwxsXqNm01IGEUdYcSSLTEv9YCik/edit?usp=sharing"",""เบิกจ่ายกองทุน!AY30"")"),250000)</f>
        <v>250000</v>
      </c>
      <c r="R380" s="224">
        <f ca="1">IFERROR(__xludf.DUMMYFUNCTION("IMPORTRANGE(""https://docs.google.com/spreadsheets/d/1ItG2mGa2ceCfYo0BwxsXqNm01IGEUdYcSSLTEv9YCik/edit?usp=sharing"",""เบิกจ่ายกองทุน!AZ30"")"),250000)</f>
        <v>250000</v>
      </c>
      <c r="S380" s="224">
        <f ca="1">IFERROR(__xludf.DUMMYFUNCTION("IMPORTRANGE(""https://docs.google.com/spreadsheets/d/1ItG2mGa2ceCfYo0BwxsXqNm01IGEUdYcSSLTEv9YCik/edit?usp=sharing"",""เบิกจ่ายกองทุน!BA30"")"),0)</f>
        <v>0</v>
      </c>
      <c r="T380" s="224">
        <f t="shared" ca="1" si="104"/>
        <v>0</v>
      </c>
      <c r="U380" s="224">
        <f t="shared" ca="1" si="105"/>
        <v>0</v>
      </c>
    </row>
    <row r="381" spans="1:21" ht="18.75" x14ac:dyDescent="0.25">
      <c r="A381" s="128"/>
      <c r="B381" s="158"/>
      <c r="C381" s="158"/>
      <c r="D381" s="53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468">
        <f>L382+L383</f>
        <v>0</v>
      </c>
      <c r="M381" s="224">
        <f>M382+M383</f>
        <v>0</v>
      </c>
      <c r="N381" s="224">
        <f>N382+N383</f>
        <v>0</v>
      </c>
      <c r="O381" s="224">
        <f t="shared" si="102"/>
        <v>0</v>
      </c>
      <c r="P381" s="224">
        <f t="shared" si="103"/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 t="shared" si="104"/>
        <v>0</v>
      </c>
      <c r="U381" s="224">
        <f t="shared" si="105"/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469">
        <v>0</v>
      </c>
      <c r="M382" s="83">
        <v>0</v>
      </c>
      <c r="N382" s="83">
        <v>0</v>
      </c>
      <c r="O382" s="83">
        <f t="shared" si="102"/>
        <v>0</v>
      </c>
      <c r="P382" s="83">
        <f t="shared" si="103"/>
        <v>0</v>
      </c>
      <c r="Q382" s="83">
        <v>0</v>
      </c>
      <c r="R382" s="83">
        <v>0</v>
      </c>
      <c r="S382" s="83">
        <v>0</v>
      </c>
      <c r="T382" s="83">
        <f t="shared" si="104"/>
        <v>0</v>
      </c>
      <c r="U382" s="83">
        <f t="shared" si="105"/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468">
        <v>0</v>
      </c>
      <c r="M383" s="224">
        <v>0</v>
      </c>
      <c r="N383" s="224">
        <v>0</v>
      </c>
      <c r="O383" s="224">
        <f t="shared" si="102"/>
        <v>0</v>
      </c>
      <c r="P383" s="224">
        <f t="shared" si="103"/>
        <v>0</v>
      </c>
      <c r="Q383" s="224">
        <v>0</v>
      </c>
      <c r="R383" s="224">
        <v>0</v>
      </c>
      <c r="S383" s="224">
        <v>0</v>
      </c>
      <c r="T383" s="224">
        <f t="shared" si="104"/>
        <v>0</v>
      </c>
      <c r="U383" s="224">
        <f t="shared" si="105"/>
        <v>0</v>
      </c>
    </row>
    <row r="384" spans="1:21" ht="19.5" x14ac:dyDescent="0.3">
      <c r="A384" s="138"/>
      <c r="B384" s="139"/>
      <c r="C384" s="161" t="s">
        <v>18</v>
      </c>
      <c r="D384" s="491" t="s">
        <v>38</v>
      </c>
      <c r="E384" s="141"/>
      <c r="F384" s="141"/>
      <c r="G384" s="142"/>
      <c r="H384" s="178"/>
      <c r="I384" s="135"/>
      <c r="J384" s="44"/>
      <c r="K384" s="45"/>
      <c r="L384" s="465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IFERROR(__xludf.DUMMYFUNCTION("IMPORTRANGE(""https://docs.google.com/spreadsheets/d/1w5rwWK1o49a35cNtocGL0gxDwhFSTZUQu90BiH9_zqM/edit?usp=sharing"",""RTK!H30"")"),66)</f>
        <v>66</v>
      </c>
      <c r="K385" s="224">
        <f>IF(I385&gt;0,J385*100/I385,0)</f>
        <v>0</v>
      </c>
      <c r="L385" s="465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IFERROR(__xludf.DUMMYFUNCTION("IMPORTRANGE(""https://docs.google.com/spreadsheets/d/1w5rwWK1o49a35cNtocGL0gxDwhFSTZUQu90BiH9_zqM/edit?usp=sharing"",""RTK!G30"")"),4000)</f>
        <v>4000</v>
      </c>
      <c r="J386" s="184">
        <f ca="1">IFERROR(__xludf.DUMMYFUNCTION("IMPORTRANGE(""https://docs.google.com/spreadsheets/d/1w5rwWK1o49a35cNtocGL0gxDwhFSTZUQu90BiH9_zqM/edit?usp=sharing"",""RTK!I30"")"),1159)</f>
        <v>1159</v>
      </c>
      <c r="K386" s="224">
        <f ca="1">IF(I386&gt;0,J386*100/I386,0)</f>
        <v>28.975000000000001</v>
      </c>
      <c r="L386" s="465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545"/>
      <c r="B387" s="545"/>
      <c r="C387" s="545"/>
      <c r="D387" s="545"/>
      <c r="E387" s="546" t="s">
        <v>155</v>
      </c>
      <c r="F387" s="545"/>
      <c r="G387" s="488"/>
      <c r="H387" s="480" t="s">
        <v>34</v>
      </c>
      <c r="I387" s="487">
        <v>0</v>
      </c>
      <c r="J387" s="487">
        <f ca="1">IFERROR(__xludf.DUMMYFUNCTION("IMPORTRANGE(""https://docs.google.com/spreadsheets/d/1w5rwWK1o49a35cNtocGL0gxDwhFSTZUQu90BiH9_zqM/edit?usp=sharing"",""RTK!L30"")"),0)</f>
        <v>0</v>
      </c>
      <c r="K387" s="486">
        <f>IF(I387&gt;0,J387*100/I387,0)</f>
        <v>0</v>
      </c>
      <c r="L387" s="477"/>
      <c r="M387" s="476"/>
      <c r="N387" s="476"/>
      <c r="O387" s="476"/>
      <c r="P387" s="476"/>
      <c r="Q387" s="476"/>
      <c r="R387" s="476"/>
      <c r="S387" s="476"/>
      <c r="T387" s="476"/>
      <c r="U387" s="476"/>
    </row>
    <row r="388" spans="1:21" ht="18.75" x14ac:dyDescent="0.25">
      <c r="A388" s="545"/>
      <c r="B388" s="545"/>
      <c r="C388" s="545"/>
      <c r="D388" s="545"/>
      <c r="E388" s="545"/>
      <c r="F388" s="545"/>
      <c r="G388" s="488"/>
      <c r="H388" s="480" t="s">
        <v>46</v>
      </c>
      <c r="I388" s="487">
        <f ca="1">IFERROR(__xludf.DUMMYFUNCTION("IMPORTRANGE(""https://docs.google.com/spreadsheets/d/1w5rwWK1o49a35cNtocGL0gxDwhFSTZUQu90BiH9_zqM/edit?usp=sharing"",""RTK!K30"")"),0)</f>
        <v>0</v>
      </c>
      <c r="J388" s="487">
        <f ca="1">IFERROR(__xludf.DUMMYFUNCTION("IMPORTRANGE(""https://docs.google.com/spreadsheets/d/1w5rwWK1o49a35cNtocGL0gxDwhFSTZUQu90BiH9_zqM/edit?usp=sharing"",""RTK!M30"")"),0)</f>
        <v>0</v>
      </c>
      <c r="K388" s="486">
        <f ca="1">IF(I388&gt;0,J388*100/I388,0)</f>
        <v>0</v>
      </c>
      <c r="L388" s="477"/>
      <c r="M388" s="476"/>
      <c r="N388" s="476"/>
      <c r="O388" s="476"/>
      <c r="P388" s="476"/>
      <c r="Q388" s="476"/>
      <c r="R388" s="476"/>
      <c r="S388" s="476"/>
      <c r="T388" s="476"/>
      <c r="U388" s="476"/>
    </row>
    <row r="389" spans="1:21" ht="12.75" hidden="1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11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16"/>
      <c r="B390" s="316"/>
      <c r="C390" s="316"/>
      <c r="D390" s="316"/>
      <c r="E390" s="316"/>
      <c r="F390" s="316"/>
      <c r="G390" s="317"/>
      <c r="H390" s="317"/>
      <c r="I390" s="318"/>
      <c r="J390" s="318"/>
      <c r="K390" s="319"/>
      <c r="L390" s="496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hidden="1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>I402</f>
        <v>0</v>
      </c>
      <c r="J391" s="307">
        <f>J402</f>
        <v>0</v>
      </c>
      <c r="K391" s="540">
        <f>IF(I391&gt;0,J391*100/I391,0)</f>
        <v>0</v>
      </c>
      <c r="L391" s="539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hidden="1" x14ac:dyDescent="0.3">
      <c r="A392" s="128"/>
      <c r="B392" s="158"/>
      <c r="C392" s="161" t="s">
        <v>18</v>
      </c>
      <c r="D392" s="54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471">
        <f>L393+L394</f>
        <v>0</v>
      </c>
      <c r="M392" s="470">
        <f>M393+M394</f>
        <v>0</v>
      </c>
      <c r="N392" s="470">
        <f>N393+N394</f>
        <v>0</v>
      </c>
      <c r="O392" s="470">
        <f t="shared" ref="O392:O400" si="108">IF(L392&gt;0,N392*100/L392,0)</f>
        <v>0</v>
      </c>
      <c r="P392" s="470">
        <f t="shared" ref="P392:P400" si="109">IF(M392&gt;0,N392*100/M392,0)</f>
        <v>0</v>
      </c>
      <c r="Q392" s="470">
        <f>Q393+Q394</f>
        <v>0</v>
      </c>
      <c r="R392" s="470">
        <f>R393+R394</f>
        <v>0</v>
      </c>
      <c r="S392" s="470">
        <f>S393+S394</f>
        <v>0</v>
      </c>
      <c r="T392" s="470">
        <f t="shared" ref="T392:T400" si="110">IF(Q392&gt;0,S392*100/Q392,0)</f>
        <v>0</v>
      </c>
      <c r="U392" s="470">
        <f t="shared" ref="U392:U400" si="11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469">
        <f t="shared" ref="L393:N394" si="112">L396+L399</f>
        <v>0</v>
      </c>
      <c r="M393" s="83">
        <f t="shared" si="112"/>
        <v>0</v>
      </c>
      <c r="N393" s="83">
        <f t="shared" si="112"/>
        <v>0</v>
      </c>
      <c r="O393" s="83">
        <f t="shared" si="108"/>
        <v>0</v>
      </c>
      <c r="P393" s="83">
        <f t="shared" si="109"/>
        <v>0</v>
      </c>
      <c r="Q393" s="83">
        <f t="shared" ref="Q393:S394" si="113">Q396+Q399</f>
        <v>0</v>
      </c>
      <c r="R393" s="83">
        <f t="shared" si="113"/>
        <v>0</v>
      </c>
      <c r="S393" s="83">
        <f t="shared" si="113"/>
        <v>0</v>
      </c>
      <c r="T393" s="83">
        <f t="shared" si="110"/>
        <v>0</v>
      </c>
      <c r="U393" s="83">
        <f t="shared" si="111"/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468">
        <f t="shared" si="112"/>
        <v>0</v>
      </c>
      <c r="M394" s="224">
        <f t="shared" si="112"/>
        <v>0</v>
      </c>
      <c r="N394" s="224">
        <f t="shared" si="112"/>
        <v>0</v>
      </c>
      <c r="O394" s="224">
        <f t="shared" si="108"/>
        <v>0</v>
      </c>
      <c r="P394" s="224">
        <f t="shared" si="109"/>
        <v>0</v>
      </c>
      <c r="Q394" s="224">
        <f t="shared" si="113"/>
        <v>0</v>
      </c>
      <c r="R394" s="224">
        <f t="shared" si="113"/>
        <v>0</v>
      </c>
      <c r="S394" s="224">
        <f t="shared" si="113"/>
        <v>0</v>
      </c>
      <c r="T394" s="224">
        <f t="shared" si="110"/>
        <v>0</v>
      </c>
      <c r="U394" s="224">
        <f t="shared" si="111"/>
        <v>0</v>
      </c>
    </row>
    <row r="395" spans="1:21" ht="18.75" hidden="1" x14ac:dyDescent="0.25">
      <c r="A395" s="128"/>
      <c r="B395" s="158"/>
      <c r="C395" s="158"/>
      <c r="D395" s="53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468">
        <f>L396+L397</f>
        <v>0</v>
      </c>
      <c r="M395" s="224">
        <f>M396+M397</f>
        <v>0</v>
      </c>
      <c r="N395" s="224">
        <f>N396+N397</f>
        <v>0</v>
      </c>
      <c r="O395" s="224">
        <f t="shared" si="108"/>
        <v>0</v>
      </c>
      <c r="P395" s="224">
        <f t="shared" si="109"/>
        <v>0</v>
      </c>
      <c r="Q395" s="224">
        <f>Q396+Q397</f>
        <v>0</v>
      </c>
      <c r="R395" s="224">
        <f>R396+R397</f>
        <v>0</v>
      </c>
      <c r="S395" s="224">
        <f>S396+S397</f>
        <v>0</v>
      </c>
      <c r="T395" s="224">
        <f t="shared" si="110"/>
        <v>0</v>
      </c>
      <c r="U395" s="224">
        <f t="shared" si="111"/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469">
        <v>0</v>
      </c>
      <c r="M396" s="83">
        <v>0</v>
      </c>
      <c r="N396" s="83">
        <v>0</v>
      </c>
      <c r="O396" s="83">
        <f t="shared" si="108"/>
        <v>0</v>
      </c>
      <c r="P396" s="83">
        <f t="shared" si="109"/>
        <v>0</v>
      </c>
      <c r="Q396" s="83">
        <v>0</v>
      </c>
      <c r="R396" s="83">
        <v>0</v>
      </c>
      <c r="S396" s="83">
        <v>0</v>
      </c>
      <c r="T396" s="83">
        <f t="shared" si="110"/>
        <v>0</v>
      </c>
      <c r="U396" s="83">
        <f t="shared" si="111"/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468">
        <v>0</v>
      </c>
      <c r="M397" s="224">
        <v>0</v>
      </c>
      <c r="N397" s="224">
        <v>0</v>
      </c>
      <c r="O397" s="224">
        <f t="shared" si="108"/>
        <v>0</v>
      </c>
      <c r="P397" s="224">
        <f t="shared" si="109"/>
        <v>0</v>
      </c>
      <c r="Q397" s="224">
        <v>0</v>
      </c>
      <c r="R397" s="224">
        <v>0</v>
      </c>
      <c r="S397" s="224">
        <v>0</v>
      </c>
      <c r="T397" s="224">
        <f t="shared" si="110"/>
        <v>0</v>
      </c>
      <c r="U397" s="224">
        <f t="shared" si="111"/>
        <v>0</v>
      </c>
    </row>
    <row r="398" spans="1:21" ht="18.75" hidden="1" x14ac:dyDescent="0.25">
      <c r="A398" s="128"/>
      <c r="B398" s="158"/>
      <c r="C398" s="158"/>
      <c r="D398" s="53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468">
        <f>L399+L400</f>
        <v>0</v>
      </c>
      <c r="M398" s="224">
        <f>M399+M400</f>
        <v>0</v>
      </c>
      <c r="N398" s="224">
        <f>N399+N400</f>
        <v>0</v>
      </c>
      <c r="O398" s="224">
        <f t="shared" si="108"/>
        <v>0</v>
      </c>
      <c r="P398" s="224">
        <f t="shared" si="109"/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 t="shared" si="110"/>
        <v>0</v>
      </c>
      <c r="U398" s="224">
        <f t="shared" si="111"/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469">
        <v>0</v>
      </c>
      <c r="M399" s="83">
        <v>0</v>
      </c>
      <c r="N399" s="83">
        <v>0</v>
      </c>
      <c r="O399" s="83">
        <f t="shared" si="108"/>
        <v>0</v>
      </c>
      <c r="P399" s="83">
        <f t="shared" si="109"/>
        <v>0</v>
      </c>
      <c r="Q399" s="83">
        <v>0</v>
      </c>
      <c r="R399" s="83">
        <v>0</v>
      </c>
      <c r="S399" s="83">
        <v>0</v>
      </c>
      <c r="T399" s="83">
        <f t="shared" si="110"/>
        <v>0</v>
      </c>
      <c r="U399" s="83">
        <f t="shared" si="111"/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468">
        <v>0</v>
      </c>
      <c r="M400" s="224">
        <v>0</v>
      </c>
      <c r="N400" s="224">
        <v>0</v>
      </c>
      <c r="O400" s="224">
        <f t="shared" si="108"/>
        <v>0</v>
      </c>
      <c r="P400" s="224">
        <f t="shared" si="109"/>
        <v>0</v>
      </c>
      <c r="Q400" s="224">
        <v>0</v>
      </c>
      <c r="R400" s="224">
        <v>0</v>
      </c>
      <c r="S400" s="224">
        <v>0</v>
      </c>
      <c r="T400" s="224">
        <f t="shared" si="110"/>
        <v>0</v>
      </c>
      <c r="U400" s="224">
        <f t="shared" si="111"/>
        <v>0</v>
      </c>
    </row>
    <row r="401" spans="1:21" ht="19.5" hidden="1" x14ac:dyDescent="0.3">
      <c r="A401" s="138"/>
      <c r="B401" s="139"/>
      <c r="C401" s="161" t="s">
        <v>18</v>
      </c>
      <c r="D401" s="491" t="s">
        <v>38</v>
      </c>
      <c r="E401" s="141"/>
      <c r="F401" s="141"/>
      <c r="G401" s="142"/>
      <c r="H401" s="178"/>
      <c r="I401" s="135"/>
      <c r="J401" s="44"/>
      <c r="K401" s="45"/>
      <c r="L401" s="465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11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11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11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11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11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11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11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11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11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496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hidden="1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541">
        <f ca="1">I423</f>
        <v>0</v>
      </c>
      <c r="J412" s="541">
        <f>J423</f>
        <v>0</v>
      </c>
      <c r="K412" s="540">
        <f ca="1">IF(I412&gt;0,J412*100/I412,0)</f>
        <v>0</v>
      </c>
      <c r="L412" s="539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hidden="1" x14ac:dyDescent="0.3">
      <c r="A413" s="128"/>
      <c r="B413" s="158"/>
      <c r="C413" s="322" t="s">
        <v>18</v>
      </c>
      <c r="D413" s="819" t="s">
        <v>19</v>
      </c>
      <c r="E413" s="800"/>
      <c r="F413" s="800"/>
      <c r="G413" s="801"/>
      <c r="H413" s="323" t="s">
        <v>14</v>
      </c>
      <c r="I413" s="44"/>
      <c r="J413" s="44"/>
      <c r="K413" s="45"/>
      <c r="L413" s="471">
        <f>L414+L415</f>
        <v>0</v>
      </c>
      <c r="M413" s="470">
        <f>M414+M415</f>
        <v>0</v>
      </c>
      <c r="N413" s="470">
        <f>N414+N415</f>
        <v>0</v>
      </c>
      <c r="O413" s="470">
        <f t="shared" ref="O413:O421" si="114">IF(L413&gt;0,N413*100/L413,0)</f>
        <v>0</v>
      </c>
      <c r="P413" s="470">
        <f t="shared" ref="P413:P421" si="115">IF(M413&gt;0,N413*100/M413,0)</f>
        <v>0</v>
      </c>
      <c r="Q413" s="470">
        <f ca="1">Q414+Q415</f>
        <v>0</v>
      </c>
      <c r="R413" s="470">
        <f ca="1">R414+R415</f>
        <v>0</v>
      </c>
      <c r="S413" s="470">
        <f ca="1">S414+S415</f>
        <v>0</v>
      </c>
      <c r="T413" s="470">
        <f t="shared" ref="T413:T421" ca="1" si="116">IF(Q413&gt;0,S413*100/Q413,0)</f>
        <v>0</v>
      </c>
      <c r="U413" s="470">
        <f t="shared" ref="U413:U421" ca="1" si="117">IF(R413&gt;0,S413*100/R413,0)</f>
        <v>0</v>
      </c>
    </row>
    <row r="414" spans="1:21" ht="18.75" hidden="1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469">
        <f t="shared" ref="L414:N415" si="118">L417+L420</f>
        <v>0</v>
      </c>
      <c r="M414" s="83">
        <f t="shared" si="118"/>
        <v>0</v>
      </c>
      <c r="N414" s="83">
        <f t="shared" si="118"/>
        <v>0</v>
      </c>
      <c r="O414" s="83">
        <f t="shared" si="114"/>
        <v>0</v>
      </c>
      <c r="P414" s="83">
        <f t="shared" si="115"/>
        <v>0</v>
      </c>
      <c r="Q414" s="83">
        <f t="shared" ref="Q414:S415" si="119">Q417+Q420</f>
        <v>0</v>
      </c>
      <c r="R414" s="83">
        <f t="shared" si="119"/>
        <v>0</v>
      </c>
      <c r="S414" s="83">
        <f t="shared" si="119"/>
        <v>0</v>
      </c>
      <c r="T414" s="83">
        <f t="shared" si="116"/>
        <v>0</v>
      </c>
      <c r="U414" s="83">
        <f t="shared" si="117"/>
        <v>0</v>
      </c>
    </row>
    <row r="415" spans="1:21" ht="18.75" hidden="1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468">
        <f t="shared" si="118"/>
        <v>0</v>
      </c>
      <c r="M415" s="224">
        <f t="shared" si="118"/>
        <v>0</v>
      </c>
      <c r="N415" s="224">
        <f t="shared" si="118"/>
        <v>0</v>
      </c>
      <c r="O415" s="224">
        <f t="shared" si="114"/>
        <v>0</v>
      </c>
      <c r="P415" s="224">
        <f t="shared" si="115"/>
        <v>0</v>
      </c>
      <c r="Q415" s="224">
        <f t="shared" ca="1" si="119"/>
        <v>0</v>
      </c>
      <c r="R415" s="224">
        <f t="shared" ca="1" si="119"/>
        <v>0</v>
      </c>
      <c r="S415" s="224">
        <f t="shared" ca="1" si="119"/>
        <v>0</v>
      </c>
      <c r="T415" s="224">
        <f t="shared" ca="1" si="116"/>
        <v>0</v>
      </c>
      <c r="U415" s="224">
        <f t="shared" ca="1" si="117"/>
        <v>0</v>
      </c>
    </row>
    <row r="416" spans="1:21" ht="19.5" hidden="1" x14ac:dyDescent="0.3">
      <c r="A416" s="128"/>
      <c r="B416" s="158"/>
      <c r="C416" s="158"/>
      <c r="D416" s="54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468">
        <f>L417+L418</f>
        <v>0</v>
      </c>
      <c r="M416" s="224">
        <f>M417+M418</f>
        <v>0</v>
      </c>
      <c r="N416" s="224">
        <f>N417+N418</f>
        <v>0</v>
      </c>
      <c r="O416" s="224">
        <f t="shared" si="114"/>
        <v>0</v>
      </c>
      <c r="P416" s="224">
        <f t="shared" si="115"/>
        <v>0</v>
      </c>
      <c r="Q416" s="224">
        <f ca="1">Q417+Q418</f>
        <v>0</v>
      </c>
      <c r="R416" s="224">
        <f ca="1">R417+R418</f>
        <v>0</v>
      </c>
      <c r="S416" s="224">
        <f ca="1">S417+S418</f>
        <v>0</v>
      </c>
      <c r="T416" s="224">
        <f t="shared" ca="1" si="116"/>
        <v>0</v>
      </c>
      <c r="U416" s="224">
        <f t="shared" ca="1" si="117"/>
        <v>0</v>
      </c>
    </row>
    <row r="417" spans="1:21" ht="18.75" hidden="1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469">
        <v>0</v>
      </c>
      <c r="M417" s="83">
        <v>0</v>
      </c>
      <c r="N417" s="83">
        <v>0</v>
      </c>
      <c r="O417" s="83">
        <f t="shared" si="114"/>
        <v>0</v>
      </c>
      <c r="P417" s="83">
        <f t="shared" si="115"/>
        <v>0</v>
      </c>
      <c r="Q417" s="83">
        <v>0</v>
      </c>
      <c r="R417" s="83">
        <v>0</v>
      </c>
      <c r="S417" s="83">
        <v>0</v>
      </c>
      <c r="T417" s="83">
        <f t="shared" si="116"/>
        <v>0</v>
      </c>
      <c r="U417" s="83">
        <f t="shared" si="117"/>
        <v>0</v>
      </c>
    </row>
    <row r="418" spans="1:21" ht="18.75" hidden="1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468">
        <v>0</v>
      </c>
      <c r="M418" s="224">
        <v>0</v>
      </c>
      <c r="N418" s="224">
        <v>0</v>
      </c>
      <c r="O418" s="224">
        <f t="shared" si="114"/>
        <v>0</v>
      </c>
      <c r="P418" s="224">
        <f t="shared" si="115"/>
        <v>0</v>
      </c>
      <c r="Q418" s="224">
        <f ca="1">IFERROR(__xludf.DUMMYFUNCTION("IMPORTRANGE(""https://docs.google.com/spreadsheets/d/1ItG2mGa2ceCfYo0BwxsXqNm01IGEUdYcSSLTEv9YCik/edit?usp=sharing"",""เบิกจ่ายกองทุน!BH30"")"),0)</f>
        <v>0</v>
      </c>
      <c r="R418" s="224">
        <f ca="1">IFERROR(__xludf.DUMMYFUNCTION("IMPORTRANGE(""https://docs.google.com/spreadsheets/d/1ItG2mGa2ceCfYo0BwxsXqNm01IGEUdYcSSLTEv9YCik/edit?usp=sharing"",""เบิกจ่ายกองทุน!BI30"")"),0)</f>
        <v>0</v>
      </c>
      <c r="S418" s="224">
        <f ca="1">IFERROR(__xludf.DUMMYFUNCTION("IMPORTRANGE(""https://docs.google.com/spreadsheets/d/1ItG2mGa2ceCfYo0BwxsXqNm01IGEUdYcSSLTEv9YCik/edit?usp=sharing"",""เบิกจ่ายกองทุน!BJ30"")"),0)</f>
        <v>0</v>
      </c>
      <c r="T418" s="224">
        <f t="shared" ca="1" si="116"/>
        <v>0</v>
      </c>
      <c r="U418" s="224">
        <f t="shared" ca="1" si="117"/>
        <v>0</v>
      </c>
    </row>
    <row r="419" spans="1:21" ht="19.5" hidden="1" x14ac:dyDescent="0.3">
      <c r="A419" s="128"/>
      <c r="B419" s="158"/>
      <c r="C419" s="158"/>
      <c r="D419" s="54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468">
        <f>L420+L421</f>
        <v>0</v>
      </c>
      <c r="M419" s="224">
        <f>M420+M421</f>
        <v>0</v>
      </c>
      <c r="N419" s="224">
        <f>N420+N421</f>
        <v>0</v>
      </c>
      <c r="O419" s="224">
        <f t="shared" si="114"/>
        <v>0</v>
      </c>
      <c r="P419" s="224">
        <f t="shared" si="115"/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 t="shared" si="116"/>
        <v>0</v>
      </c>
      <c r="U419" s="224">
        <f t="shared" si="117"/>
        <v>0</v>
      </c>
    </row>
    <row r="420" spans="1:21" ht="18.75" hidden="1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469">
        <v>0</v>
      </c>
      <c r="M420" s="83">
        <v>0</v>
      </c>
      <c r="N420" s="83">
        <v>0</v>
      </c>
      <c r="O420" s="83">
        <f t="shared" si="114"/>
        <v>0</v>
      </c>
      <c r="P420" s="83">
        <f t="shared" si="115"/>
        <v>0</v>
      </c>
      <c r="Q420" s="83">
        <v>0</v>
      </c>
      <c r="R420" s="83">
        <v>0</v>
      </c>
      <c r="S420" s="83">
        <v>0</v>
      </c>
      <c r="T420" s="83">
        <f t="shared" si="116"/>
        <v>0</v>
      </c>
      <c r="U420" s="83">
        <f t="shared" si="117"/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468">
        <v>0</v>
      </c>
      <c r="M421" s="224">
        <v>0</v>
      </c>
      <c r="N421" s="224">
        <v>0</v>
      </c>
      <c r="O421" s="224">
        <f t="shared" si="114"/>
        <v>0</v>
      </c>
      <c r="P421" s="224">
        <f t="shared" si="115"/>
        <v>0</v>
      </c>
      <c r="Q421" s="224">
        <v>0</v>
      </c>
      <c r="R421" s="224">
        <v>0</v>
      </c>
      <c r="S421" s="224">
        <v>0</v>
      </c>
      <c r="T421" s="224">
        <f t="shared" si="116"/>
        <v>0</v>
      </c>
      <c r="U421" s="224">
        <f t="shared" si="117"/>
        <v>0</v>
      </c>
    </row>
    <row r="422" spans="1:21" ht="19.5" hidden="1" x14ac:dyDescent="0.3">
      <c r="A422" s="208"/>
      <c r="B422" s="158"/>
      <c r="C422" s="322" t="s">
        <v>18</v>
      </c>
      <c r="D422" s="543" t="s">
        <v>38</v>
      </c>
      <c r="E422" s="158"/>
      <c r="F422" s="158"/>
      <c r="G422" s="180"/>
      <c r="H422" s="180"/>
      <c r="I422" s="44"/>
      <c r="J422" s="44"/>
      <c r="K422" s="45"/>
      <c r="L422" s="465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ca="1">I440</f>
        <v>0</v>
      </c>
      <c r="J423" s="328">
        <f>J440</f>
        <v>0</v>
      </c>
      <c r="K423" s="470">
        <f ca="1">IF(I423&gt;0,J423*100/I423,0)</f>
        <v>0</v>
      </c>
      <c r="L423" s="465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IFERROR(__xludf.DUMMYFUNCTION("IMPORTRANGE(""https://docs.google.com/spreadsheets/d/1eHaY18a8A9IcSdp1K8H6x8fbOy06t2VsZHhMHf-1x7Y/edit?usp=sharing"",""แผน!HJ30"")"),0)</f>
        <v>0</v>
      </c>
      <c r="J424" s="328">
        <f>J426+J428+J430</f>
        <v>0</v>
      </c>
      <c r="K424" s="470">
        <f ca="1">IF(I424&gt;0,J424*100/I424,0)</f>
        <v>0</v>
      </c>
      <c r="L424" s="465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IFERROR(__xludf.DUMMYFUNCTION("IMPORTRANGE(""https://docs.google.com/spreadsheets/d/1eHaY18a8A9IcSdp1K8H6x8fbOy06t2VsZHhMHf-1x7Y/edit?usp=sharing"",""แผน!HK30"")"),0)</f>
        <v>0</v>
      </c>
      <c r="J425" s="328">
        <f>J427+J429+J431</f>
        <v>0</v>
      </c>
      <c r="K425" s="470">
        <f ca="1">IF(I425&gt;0,J425*100/I425,0)</f>
        <v>0</v>
      </c>
      <c r="L425" s="465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465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465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465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465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465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465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IFERROR(__xludf.DUMMYFUNCTION("IMPORTRANGE(""https://docs.google.com/spreadsheets/d/1eHaY18a8A9IcSdp1K8H6x8fbOy06t2VsZHhMHf-1x7Y/edit?usp=sharing"",""แผน!HJ30"")"),0)</f>
        <v>0</v>
      </c>
      <c r="J432" s="328">
        <f>J434+J436+J438</f>
        <v>0</v>
      </c>
      <c r="K432" s="470">
        <f ca="1">IF(I432&gt;0,J432*100/I432,0)</f>
        <v>0</v>
      </c>
      <c r="L432" s="465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IFERROR(__xludf.DUMMYFUNCTION("IMPORTRANGE(""https://docs.google.com/spreadsheets/d/1eHaY18a8A9IcSdp1K8H6x8fbOy06t2VsZHhMHf-1x7Y/edit?usp=sharing"",""แผน!HK30"")"),0)</f>
        <v>0</v>
      </c>
      <c r="J433" s="328">
        <f>J435+J437+J439</f>
        <v>0</v>
      </c>
      <c r="K433" s="470">
        <f ca="1">IF(I433&gt;0,J433*100/I433,0)</f>
        <v>0</v>
      </c>
      <c r="L433" s="465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465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465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465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465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465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465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IFERROR(__xludf.DUMMYFUNCTION("IMPORTRANGE(""https://docs.google.com/spreadsheets/d/1eHaY18a8A9IcSdp1K8H6x8fbOy06t2VsZHhMHf-1x7Y/edit?usp=sharing"",""แผน!HJ30"")"),0)</f>
        <v>0</v>
      </c>
      <c r="J440" s="328">
        <f>J442+J444+J446+J452+J454</f>
        <v>0</v>
      </c>
      <c r="K440" s="470">
        <f ca="1">IF(I440&gt;0,J440*100/I440,0)</f>
        <v>0</v>
      </c>
      <c r="L440" s="465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IFERROR(__xludf.DUMMYFUNCTION("IMPORTRANGE(""https://docs.google.com/spreadsheets/d/1eHaY18a8A9IcSdp1K8H6x8fbOy06t2VsZHhMHf-1x7Y/edit?usp=sharing"",""แผน!HK30"")"),0)</f>
        <v>0</v>
      </c>
      <c r="J441" s="328">
        <f>J443+J445+J447+J453+J455</f>
        <v>0</v>
      </c>
      <c r="K441" s="470">
        <f ca="1">IF(I441&gt;0,J441*100/I441,0)</f>
        <v>0</v>
      </c>
      <c r="L441" s="465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465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465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465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465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>J448+J450</f>
        <v>0</v>
      </c>
      <c r="K446" s="45"/>
      <c r="L446" s="465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>J449+J451</f>
        <v>0</v>
      </c>
      <c r="K447" s="45"/>
      <c r="L447" s="465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465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465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465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465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465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465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542"/>
      <c r="K454" s="45"/>
      <c r="L454" s="465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465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hidden="1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ca="1">I457</f>
        <v>0</v>
      </c>
      <c r="J456" s="328">
        <f>J457</f>
        <v>0</v>
      </c>
      <c r="K456" s="470">
        <f ca="1">IF(I456&gt;0,J456*100/I456,0)</f>
        <v>0</v>
      </c>
      <c r="L456" s="465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IFERROR(__xludf.DUMMYFUNCTION("IMPORTRANGE(""https://docs.google.com/spreadsheets/d/1eHaY18a8A9IcSdp1K8H6x8fbOy06t2VsZHhMHf-1x7Y/edit?usp=sharing"",""แผน!HL30"")"),0)</f>
        <v>0</v>
      </c>
      <c r="J457" s="328">
        <f>J459+J467+J473</f>
        <v>0</v>
      </c>
      <c r="K457" s="470">
        <f ca="1">IF(I457&gt;0,J457*100/I457,0)</f>
        <v>0</v>
      </c>
      <c r="L457" s="465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IFERROR(__xludf.DUMMYFUNCTION("IMPORTRANGE(""https://docs.google.com/spreadsheets/d/1eHaY18a8A9IcSdp1K8H6x8fbOy06t2VsZHhMHf-1x7Y/edit?usp=sharing"",""แผน!HM30"")"),0)</f>
        <v>0</v>
      </c>
      <c r="J458" s="328">
        <f>J460+J468+J474</f>
        <v>0</v>
      </c>
      <c r="K458" s="470">
        <f ca="1">IF(I458&gt;0,J458*100/I458,0)</f>
        <v>0</v>
      </c>
      <c r="L458" s="465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hidden="1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>J461+J463</f>
        <v>0</v>
      </c>
      <c r="K459" s="45"/>
      <c r="L459" s="465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>J462+J464</f>
        <v>0</v>
      </c>
      <c r="K460" s="45"/>
      <c r="L460" s="465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465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465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465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465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465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465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>J469+J471</f>
        <v>0</v>
      </c>
      <c r="K467" s="45"/>
      <c r="L467" s="465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>J470+J472</f>
        <v>0</v>
      </c>
      <c r="K468" s="45"/>
      <c r="L468" s="465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465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465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465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465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465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465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470">
        <f>IF(I475&gt;0,J475*100/I475,0)</f>
        <v>0</v>
      </c>
      <c r="L475" s="465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>J478+J480</f>
        <v>0</v>
      </c>
      <c r="K476" s="470">
        <f>IF(I476&gt;0,J476*100/I476,0)</f>
        <v>0</v>
      </c>
      <c r="L476" s="465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>J479+J481</f>
        <v>0</v>
      </c>
      <c r="K477" s="470">
        <f>IF(I477&gt;0,J477*100/I477,0)</f>
        <v>0</v>
      </c>
      <c r="L477" s="465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hidden="1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465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465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465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465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IFERROR(__xludf.DUMMYFUNCTION("IMPORTRANGE(""https://docs.google.com/spreadsheets/d/1eHaY18a8A9IcSdp1K8H6x8fbOy06t2VsZHhMHf-1x7Y/edit?usp=sharing"",""แผน!HN30"")"),0)</f>
        <v>0</v>
      </c>
      <c r="K482" s="45"/>
      <c r="L482" s="465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IFERROR(__xludf.DUMMYFUNCTION("IMPORTRANGE(""https://docs.google.com/spreadsheets/d/1eHaY18a8A9IcSdp1K8H6x8fbOy06t2VsZHhMHf-1x7Y/edit?usp=sharing"",""แผน!HO30"")"),0)</f>
        <v>0</v>
      </c>
      <c r="K483" s="45"/>
      <c r="L483" s="465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>J480</f>
        <v>0</v>
      </c>
      <c r="J484" s="328">
        <f>J486+J488+J490</f>
        <v>0</v>
      </c>
      <c r="K484" s="470">
        <f>IF(I484&gt;0,J484*100/I484,0)</f>
        <v>0</v>
      </c>
      <c r="L484" s="465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>J481</f>
        <v>0</v>
      </c>
      <c r="J485" s="328">
        <f>J487+J489+J491</f>
        <v>0</v>
      </c>
      <c r="K485" s="470">
        <f>IF(I485&gt;0,J485*100/I485,0)</f>
        <v>0</v>
      </c>
      <c r="L485" s="465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hidden="1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465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465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465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465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465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46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541">
        <f ca="1">I503</f>
        <v>60</v>
      </c>
      <c r="J492" s="541">
        <f ca="1">J503</f>
        <v>0</v>
      </c>
      <c r="K492" s="540">
        <f ca="1">IF(I492&gt;0,J492*100/I492,0)</f>
        <v>0</v>
      </c>
      <c r="L492" s="539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x14ac:dyDescent="0.3">
      <c r="A493" s="128"/>
      <c r="B493" s="158"/>
      <c r="C493" s="177" t="s">
        <v>18</v>
      </c>
      <c r="D493" s="819" t="s">
        <v>19</v>
      </c>
      <c r="E493" s="800"/>
      <c r="F493" s="800"/>
      <c r="G493" s="42"/>
      <c r="H493" s="221" t="s">
        <v>14</v>
      </c>
      <c r="I493" s="44"/>
      <c r="J493" s="44"/>
      <c r="K493" s="45"/>
      <c r="L493" s="471">
        <f>L494+L495</f>
        <v>0</v>
      </c>
      <c r="M493" s="470">
        <f>M494+M495</f>
        <v>0</v>
      </c>
      <c r="N493" s="470">
        <f>N494+N495</f>
        <v>0</v>
      </c>
      <c r="O493" s="470">
        <f t="shared" ref="O493:O501" si="120">IF(L493&gt;0,N493*100/L493,0)</f>
        <v>0</v>
      </c>
      <c r="P493" s="470">
        <f t="shared" ref="P493:P501" si="121">IF(M493&gt;0,N493*100/M493,0)</f>
        <v>0</v>
      </c>
      <c r="Q493" s="470">
        <f ca="1">Q494+Q495</f>
        <v>741945</v>
      </c>
      <c r="R493" s="470">
        <f ca="1">R494+R495</f>
        <v>741945</v>
      </c>
      <c r="S493" s="470">
        <f ca="1">S494+S495</f>
        <v>74960</v>
      </c>
      <c r="T493" s="470">
        <f t="shared" ref="T493:T501" ca="1" si="122">IF(Q493&gt;0,S493*100/Q493,0)</f>
        <v>10.103174763628031</v>
      </c>
      <c r="U493" s="470">
        <f t="shared" ref="U493:U501" ca="1" si="123">IF(R493&gt;0,S493*100/R493,0)</f>
        <v>10.103174763628031</v>
      </c>
    </row>
    <row r="494" spans="1:21" ht="18.75" hidden="1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469">
        <f t="shared" ref="L494:N495" si="124">L497+L500</f>
        <v>0</v>
      </c>
      <c r="M494" s="83">
        <f t="shared" si="124"/>
        <v>0</v>
      </c>
      <c r="N494" s="83">
        <f t="shared" si="124"/>
        <v>0</v>
      </c>
      <c r="O494" s="83">
        <f t="shared" si="120"/>
        <v>0</v>
      </c>
      <c r="P494" s="83">
        <f t="shared" si="121"/>
        <v>0</v>
      </c>
      <c r="Q494" s="83">
        <f t="shared" ref="Q494:S495" si="125">Q497+Q500</f>
        <v>0</v>
      </c>
      <c r="R494" s="83">
        <f t="shared" si="125"/>
        <v>0</v>
      </c>
      <c r="S494" s="83">
        <f t="shared" si="125"/>
        <v>0</v>
      </c>
      <c r="T494" s="83">
        <f t="shared" si="122"/>
        <v>0</v>
      </c>
      <c r="U494" s="83">
        <f t="shared" si="123"/>
        <v>0</v>
      </c>
    </row>
    <row r="495" spans="1:21" ht="18.75" hidden="1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468">
        <f t="shared" si="124"/>
        <v>0</v>
      </c>
      <c r="M495" s="224">
        <f t="shared" si="124"/>
        <v>0</v>
      </c>
      <c r="N495" s="224">
        <f t="shared" si="124"/>
        <v>0</v>
      </c>
      <c r="O495" s="224">
        <f t="shared" si="120"/>
        <v>0</v>
      </c>
      <c r="P495" s="224">
        <f t="shared" si="121"/>
        <v>0</v>
      </c>
      <c r="Q495" s="224">
        <f t="shared" ca="1" si="125"/>
        <v>741945</v>
      </c>
      <c r="R495" s="224">
        <f t="shared" ca="1" si="125"/>
        <v>741945</v>
      </c>
      <c r="S495" s="224">
        <f t="shared" ca="1" si="125"/>
        <v>74960</v>
      </c>
      <c r="T495" s="224">
        <f t="shared" ca="1" si="122"/>
        <v>10.103174763628031</v>
      </c>
      <c r="U495" s="224">
        <f t="shared" ca="1" si="123"/>
        <v>10.103174763628031</v>
      </c>
    </row>
    <row r="496" spans="1:21" ht="18.75" x14ac:dyDescent="0.25">
      <c r="A496" s="128"/>
      <c r="B496" s="158"/>
      <c r="C496" s="158"/>
      <c r="D496" s="53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468">
        <f>L497+L498</f>
        <v>0</v>
      </c>
      <c r="M496" s="224">
        <f>M497+M498</f>
        <v>0</v>
      </c>
      <c r="N496" s="224">
        <f>N497+N498</f>
        <v>0</v>
      </c>
      <c r="O496" s="224">
        <f t="shared" si="120"/>
        <v>0</v>
      </c>
      <c r="P496" s="224">
        <f t="shared" si="121"/>
        <v>0</v>
      </c>
      <c r="Q496" s="224">
        <f ca="1">Q497+Q498</f>
        <v>741945</v>
      </c>
      <c r="R496" s="224">
        <f ca="1">R497+R498</f>
        <v>741945</v>
      </c>
      <c r="S496" s="224">
        <f ca="1">S497+S498</f>
        <v>74960</v>
      </c>
      <c r="T496" s="224">
        <f t="shared" ca="1" si="122"/>
        <v>10.103174763628031</v>
      </c>
      <c r="U496" s="224">
        <f t="shared" ca="1" si="123"/>
        <v>10.103174763628031</v>
      </c>
    </row>
    <row r="497" spans="1:21" ht="18.75" hidden="1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469">
        <v>0</v>
      </c>
      <c r="M497" s="83">
        <v>0</v>
      </c>
      <c r="N497" s="83">
        <v>0</v>
      </c>
      <c r="O497" s="83">
        <f t="shared" si="120"/>
        <v>0</v>
      </c>
      <c r="P497" s="83">
        <f t="shared" si="121"/>
        <v>0</v>
      </c>
      <c r="Q497" s="83">
        <v>0</v>
      </c>
      <c r="R497" s="83">
        <v>0</v>
      </c>
      <c r="S497" s="83">
        <v>0</v>
      </c>
      <c r="T497" s="83">
        <f t="shared" si="122"/>
        <v>0</v>
      </c>
      <c r="U497" s="83">
        <f t="shared" si="123"/>
        <v>0</v>
      </c>
    </row>
    <row r="498" spans="1:21" ht="18.75" hidden="1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468">
        <v>0</v>
      </c>
      <c r="M498" s="224">
        <v>0</v>
      </c>
      <c r="N498" s="224">
        <v>0</v>
      </c>
      <c r="O498" s="224">
        <f t="shared" si="120"/>
        <v>0</v>
      </c>
      <c r="P498" s="224">
        <f t="shared" si="121"/>
        <v>0</v>
      </c>
      <c r="Q498" s="224">
        <f ca="1">IFERROR(__xludf.DUMMYFUNCTION("IMPORTRANGE(""https://docs.google.com/spreadsheets/d/1ItG2mGa2ceCfYo0BwxsXqNm01IGEUdYcSSLTEv9YCik/edit?usp=sharing"",""เบิกจ่ายกองทุน!X30"")"),741945)</f>
        <v>741945</v>
      </c>
      <c r="R498" s="224">
        <f ca="1">IFERROR(__xludf.DUMMYFUNCTION("IMPORTRANGE(""https://docs.google.com/spreadsheets/d/1ItG2mGa2ceCfYo0BwxsXqNm01IGEUdYcSSLTEv9YCik/edit?usp=sharing"",""เบิกจ่ายกองทุน!Y30"")"),741945)</f>
        <v>741945</v>
      </c>
      <c r="S498" s="224">
        <f ca="1">IFERROR(__xludf.DUMMYFUNCTION("IMPORTRANGE(""https://docs.google.com/spreadsheets/d/1ItG2mGa2ceCfYo0BwxsXqNm01IGEUdYcSSLTEv9YCik/edit?usp=sharing"",""เบิกจ่ายกองทุน!Z30"")"),74960)</f>
        <v>74960</v>
      </c>
      <c r="T498" s="224">
        <f t="shared" ca="1" si="122"/>
        <v>10.103174763628031</v>
      </c>
      <c r="U498" s="224">
        <f t="shared" ca="1" si="123"/>
        <v>10.103174763628031</v>
      </c>
    </row>
    <row r="499" spans="1:21" ht="18.75" x14ac:dyDescent="0.25">
      <c r="A499" s="128"/>
      <c r="B499" s="158"/>
      <c r="C499" s="158"/>
      <c r="D499" s="53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468">
        <f>L500+L501</f>
        <v>0</v>
      </c>
      <c r="M499" s="224">
        <f>M500+M501</f>
        <v>0</v>
      </c>
      <c r="N499" s="224">
        <f>N500+N501</f>
        <v>0</v>
      </c>
      <c r="O499" s="224">
        <f t="shared" si="120"/>
        <v>0</v>
      </c>
      <c r="P499" s="224">
        <f t="shared" si="121"/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 t="shared" si="122"/>
        <v>0</v>
      </c>
      <c r="U499" s="224">
        <f t="shared" si="123"/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469">
        <v>0</v>
      </c>
      <c r="M500" s="83">
        <v>0</v>
      </c>
      <c r="N500" s="83">
        <v>0</v>
      </c>
      <c r="O500" s="83">
        <f t="shared" si="120"/>
        <v>0</v>
      </c>
      <c r="P500" s="83">
        <f t="shared" si="121"/>
        <v>0</v>
      </c>
      <c r="Q500" s="83">
        <v>0</v>
      </c>
      <c r="R500" s="83">
        <v>0</v>
      </c>
      <c r="S500" s="83">
        <v>0</v>
      </c>
      <c r="T500" s="83">
        <f t="shared" si="122"/>
        <v>0</v>
      </c>
      <c r="U500" s="83">
        <f t="shared" si="123"/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468">
        <v>0</v>
      </c>
      <c r="M501" s="224">
        <v>0</v>
      </c>
      <c r="N501" s="224">
        <v>0</v>
      </c>
      <c r="O501" s="224">
        <f t="shared" si="120"/>
        <v>0</v>
      </c>
      <c r="P501" s="224">
        <f t="shared" si="121"/>
        <v>0</v>
      </c>
      <c r="Q501" s="224">
        <v>0</v>
      </c>
      <c r="R501" s="224">
        <v>0</v>
      </c>
      <c r="S501" s="224">
        <v>0</v>
      </c>
      <c r="T501" s="224">
        <f t="shared" si="122"/>
        <v>0</v>
      </c>
      <c r="U501" s="224">
        <f t="shared" si="123"/>
        <v>0</v>
      </c>
    </row>
    <row r="502" spans="1:21" ht="19.5" x14ac:dyDescent="0.3">
      <c r="A502" s="138"/>
      <c r="B502" s="139"/>
      <c r="C502" s="177" t="s">
        <v>18</v>
      </c>
      <c r="D502" s="491" t="s">
        <v>38</v>
      </c>
      <c r="E502" s="141"/>
      <c r="F502" s="141"/>
      <c r="G502" s="142"/>
      <c r="H502" s="178"/>
      <c r="I502" s="135"/>
      <c r="J502" s="135"/>
      <c r="K502" s="136"/>
      <c r="L502" s="4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IFERROR(__xludf.DUMMYFUNCTION("IMPORTRANGE(""https://docs.google.com/spreadsheets/d/1eHaY18a8A9IcSdp1K8H6x8fbOy06t2VsZHhMHf-1x7Y/edit?usp=sharing"",""แผน!GX30"")"),60)</f>
        <v>60</v>
      </c>
      <c r="J503" s="328">
        <f ca="1">IF(AND(J504=I503,J505=I503,J506=I503,J507=I503),I503,0)</f>
        <v>0</v>
      </c>
      <c r="K503" s="470">
        <f t="shared" ref="K503:K509" ca="1" si="126">IF(I503&gt;0,J503*100/I503,0)</f>
        <v>0</v>
      </c>
      <c r="L503" s="465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IFERROR(__xludf.DUMMYFUNCTION("IMPORTRANGE(""https://docs.google.com/spreadsheets/d/1eHaY18a8A9IcSdp1K8H6x8fbOy06t2VsZHhMHf-1x7Y/edit?usp=sharing"",""แผน!GY30"")"),0)</f>
        <v>0</v>
      </c>
      <c r="J504" s="466">
        <v>40</v>
      </c>
      <c r="K504" s="224">
        <f t="shared" ca="1" si="126"/>
        <v>0</v>
      </c>
      <c r="L504" s="465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IFERROR(__xludf.DUMMYFUNCTION("IMPORTRANGE(""https://docs.google.com/spreadsheets/d/1eHaY18a8A9IcSdp1K8H6x8fbOy06t2VsZHhMHf-1x7Y/edit?usp=sharing"",""แผน!GZ30"")"),0)</f>
        <v>0</v>
      </c>
      <c r="J505" s="466">
        <v>0</v>
      </c>
      <c r="K505" s="224">
        <f t="shared" ca="1" si="126"/>
        <v>0</v>
      </c>
      <c r="L505" s="465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IFERROR(__xludf.DUMMYFUNCTION("IMPORTRANGE(""https://docs.google.com/spreadsheets/d/1eHaY18a8A9IcSdp1K8H6x8fbOy06t2VsZHhMHf-1x7Y/edit?usp=sharing"",""แผน!HA30"")"),0)</f>
        <v>0</v>
      </c>
      <c r="J506" s="466">
        <v>0</v>
      </c>
      <c r="K506" s="224">
        <f t="shared" ca="1" si="126"/>
        <v>0</v>
      </c>
      <c r="L506" s="465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IFERROR(__xludf.DUMMYFUNCTION("IMPORTRANGE(""https://docs.google.com/spreadsheets/d/1eHaY18a8A9IcSdp1K8H6x8fbOy06t2VsZHhMHf-1x7Y/edit?usp=sharing"",""แผน!HB30"")"),0)</f>
        <v>0</v>
      </c>
      <c r="J507" s="466">
        <v>0</v>
      </c>
      <c r="K507" s="224">
        <f t="shared" ca="1" si="126"/>
        <v>0</v>
      </c>
      <c r="L507" s="465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 t="shared" si="126"/>
        <v>0</v>
      </c>
      <c r="L508" s="465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IFERROR(__xludf.DUMMYFUNCTION("IMPORTRANGE(""https://docs.google.com/spreadsheets/d/1eHaY18a8A9IcSdp1K8H6x8fbOy06t2VsZHhMHf-1x7Y/edit?usp=sharing"",""แผน!HC30"")"),0)</f>
        <v>0</v>
      </c>
      <c r="J509" s="464">
        <v>0</v>
      </c>
      <c r="K509" s="455">
        <f t="shared" ca="1" si="126"/>
        <v>0</v>
      </c>
      <c r="L509" s="46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537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536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hidden="1" x14ac:dyDescent="0.3">
      <c r="A511" s="535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534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hidden="1" x14ac:dyDescent="0.3">
      <c r="A512" s="349"/>
      <c r="B512" s="533" t="s">
        <v>207</v>
      </c>
      <c r="C512" s="351"/>
      <c r="D512" s="352"/>
      <c r="E512" s="352"/>
      <c r="F512" s="352"/>
      <c r="G512" s="353"/>
      <c r="H512" s="532" t="s">
        <v>61</v>
      </c>
      <c r="I512" s="531">
        <f>I524</f>
        <v>0</v>
      </c>
      <c r="J512" s="531">
        <f>J524</f>
        <v>0</v>
      </c>
      <c r="K512" s="530">
        <f>IF(I512&gt;0,J512*100/I512,0)</f>
        <v>0</v>
      </c>
      <c r="L512" s="512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hidden="1" x14ac:dyDescent="0.3">
      <c r="A513" s="128"/>
      <c r="B513" s="40"/>
      <c r="C513" s="527" t="s">
        <v>18</v>
      </c>
      <c r="D513" s="494" t="s">
        <v>19</v>
      </c>
      <c r="E513" s="40"/>
      <c r="F513" s="40"/>
      <c r="G513" s="42"/>
      <c r="H513" s="529" t="s">
        <v>14</v>
      </c>
      <c r="I513" s="44"/>
      <c r="J513" s="44"/>
      <c r="K513" s="45"/>
      <c r="L513" s="471">
        <f ca="1">L514+L515</f>
        <v>0</v>
      </c>
      <c r="M513" s="470">
        <f ca="1">M514+M515</f>
        <v>0</v>
      </c>
      <c r="N513" s="470">
        <f ca="1">N514+N515</f>
        <v>0</v>
      </c>
      <c r="O513" s="470">
        <f t="shared" ref="O513:O521" ca="1" si="127">IF(L513&gt;0,N513*100/L513,0)</f>
        <v>0</v>
      </c>
      <c r="P513" s="470">
        <f t="shared" ref="P513:P521" ca="1" si="128">IF(M513&gt;0,N513*100/M513,0)</f>
        <v>0</v>
      </c>
      <c r="Q513" s="470">
        <f>Q514+Q515</f>
        <v>0</v>
      </c>
      <c r="R513" s="470">
        <f>R514+R515</f>
        <v>0</v>
      </c>
      <c r="S513" s="470">
        <f>S514+S515</f>
        <v>0</v>
      </c>
      <c r="T513" s="470">
        <f t="shared" ref="T513:T521" si="129">IF(Q513&gt;0,S513*100/Q513,0)</f>
        <v>0</v>
      </c>
      <c r="U513" s="470">
        <f t="shared" ref="U513:U521" si="130"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469">
        <f t="shared" ref="L514:N515" si="131">L517+L520</f>
        <v>0</v>
      </c>
      <c r="M514" s="83">
        <f t="shared" si="131"/>
        <v>0</v>
      </c>
      <c r="N514" s="83">
        <f t="shared" si="131"/>
        <v>0</v>
      </c>
      <c r="O514" s="83">
        <f t="shared" si="127"/>
        <v>0</v>
      </c>
      <c r="P514" s="83">
        <f t="shared" si="128"/>
        <v>0</v>
      </c>
      <c r="Q514" s="83">
        <f t="shared" ref="Q514:S515" si="132">Q517+Q520</f>
        <v>0</v>
      </c>
      <c r="R514" s="83">
        <f t="shared" si="132"/>
        <v>0</v>
      </c>
      <c r="S514" s="83">
        <f t="shared" si="132"/>
        <v>0</v>
      </c>
      <c r="T514" s="83">
        <f t="shared" si="129"/>
        <v>0</v>
      </c>
      <c r="U514" s="83">
        <f t="shared" si="130"/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468">
        <f t="shared" ca="1" si="131"/>
        <v>0</v>
      </c>
      <c r="M515" s="224">
        <f t="shared" ca="1" si="131"/>
        <v>0</v>
      </c>
      <c r="N515" s="224">
        <f t="shared" ca="1" si="131"/>
        <v>0</v>
      </c>
      <c r="O515" s="224">
        <f t="shared" ca="1" si="127"/>
        <v>0</v>
      </c>
      <c r="P515" s="224">
        <f t="shared" ca="1" si="128"/>
        <v>0</v>
      </c>
      <c r="Q515" s="224">
        <f t="shared" si="132"/>
        <v>0</v>
      </c>
      <c r="R515" s="224">
        <f t="shared" si="132"/>
        <v>0</v>
      </c>
      <c r="S515" s="224">
        <f t="shared" si="132"/>
        <v>0</v>
      </c>
      <c r="T515" s="224">
        <f t="shared" si="129"/>
        <v>0</v>
      </c>
      <c r="U515" s="224">
        <f t="shared" si="130"/>
        <v>0</v>
      </c>
    </row>
    <row r="516" spans="1:21" ht="18.75" hidden="1" x14ac:dyDescent="0.25">
      <c r="A516" s="128"/>
      <c r="B516" s="40"/>
      <c r="C516" s="40"/>
      <c r="D516" s="52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468">
        <f ca="1">L517+L518</f>
        <v>0</v>
      </c>
      <c r="M516" s="224">
        <f ca="1">M517+M518</f>
        <v>0</v>
      </c>
      <c r="N516" s="224">
        <f ca="1">N517+N518</f>
        <v>0</v>
      </c>
      <c r="O516" s="224">
        <f t="shared" ca="1" si="127"/>
        <v>0</v>
      </c>
      <c r="P516" s="224">
        <f t="shared" ca="1" si="128"/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 t="shared" si="129"/>
        <v>0</v>
      </c>
      <c r="U516" s="224">
        <f t="shared" si="130"/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469">
        <v>0</v>
      </c>
      <c r="M517" s="83">
        <v>0</v>
      </c>
      <c r="N517" s="83">
        <v>0</v>
      </c>
      <c r="O517" s="83">
        <f t="shared" si="127"/>
        <v>0</v>
      </c>
      <c r="P517" s="83">
        <f t="shared" si="128"/>
        <v>0</v>
      </c>
      <c r="Q517" s="83">
        <v>0</v>
      </c>
      <c r="R517" s="83">
        <v>0</v>
      </c>
      <c r="S517" s="83">
        <v>0</v>
      </c>
      <c r="T517" s="83">
        <f t="shared" si="129"/>
        <v>0</v>
      </c>
      <c r="U517" s="83">
        <f t="shared" si="130"/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468">
        <f ca="1">IFERROR(__xludf.DUMMYFUNCTION("IMPORTRANGE(""https://docs.google.com/spreadsheets/d/1-uDff_7J0KD5mKrp0Vvzr7lt3OU09vwQwhkpOPPYv2Y/edit?usp=sharing"",""งบพรบ!FM30"")"),0)</f>
        <v>0</v>
      </c>
      <c r="M518" s="224">
        <f ca="1">IFERROR(__xludf.DUMMYFUNCTION("IMPORTRANGE(""https://docs.google.com/spreadsheets/d/1-uDff_7J0KD5mKrp0Vvzr7lt3OU09vwQwhkpOPPYv2Y/edit?usp=sharing"",""งบพรบ!FR30"")"),0)</f>
        <v>0</v>
      </c>
      <c r="N518" s="224">
        <f ca="1">IFERROR(__xludf.DUMMYFUNCTION("IMPORTRANGE(""https://docs.google.com/spreadsheets/d/1-uDff_7J0KD5mKrp0Vvzr7lt3OU09vwQwhkpOPPYv2Y/edit?usp=sharing"",""งบพรบ!FT30"")"),0)</f>
        <v>0</v>
      </c>
      <c r="O518" s="224">
        <f t="shared" ca="1" si="127"/>
        <v>0</v>
      </c>
      <c r="P518" s="224">
        <f t="shared" ca="1" si="128"/>
        <v>0</v>
      </c>
      <c r="Q518" s="224">
        <v>0</v>
      </c>
      <c r="R518" s="224">
        <v>0</v>
      </c>
      <c r="S518" s="224">
        <v>0</v>
      </c>
      <c r="T518" s="224">
        <f t="shared" si="129"/>
        <v>0</v>
      </c>
      <c r="U518" s="224">
        <f t="shared" si="130"/>
        <v>0</v>
      </c>
    </row>
    <row r="519" spans="1:21" ht="18.75" hidden="1" x14ac:dyDescent="0.25">
      <c r="A519" s="128"/>
      <c r="B519" s="40"/>
      <c r="C519" s="40"/>
      <c r="D519" s="528" t="s">
        <v>23</v>
      </c>
      <c r="E519" s="40"/>
      <c r="F519" s="40"/>
      <c r="G519" s="42"/>
      <c r="H519" s="375" t="s">
        <v>14</v>
      </c>
      <c r="I519" s="135"/>
      <c r="J519" s="135"/>
      <c r="K519" s="136"/>
      <c r="L519" s="468">
        <f ca="1">L520+L521</f>
        <v>0</v>
      </c>
      <c r="M519" s="224">
        <f ca="1">M520+M521</f>
        <v>0</v>
      </c>
      <c r="N519" s="224">
        <f ca="1">N520+N521</f>
        <v>0</v>
      </c>
      <c r="O519" s="224">
        <f t="shared" ca="1" si="127"/>
        <v>0</v>
      </c>
      <c r="P519" s="224">
        <f t="shared" ca="1" si="128"/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 t="shared" si="129"/>
        <v>0</v>
      </c>
      <c r="U519" s="224">
        <f t="shared" si="130"/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469">
        <v>0</v>
      </c>
      <c r="M520" s="83">
        <v>0</v>
      </c>
      <c r="N520" s="83">
        <v>0</v>
      </c>
      <c r="O520" s="83">
        <f t="shared" si="127"/>
        <v>0</v>
      </c>
      <c r="P520" s="83">
        <f t="shared" si="128"/>
        <v>0</v>
      </c>
      <c r="Q520" s="83">
        <v>0</v>
      </c>
      <c r="R520" s="83">
        <v>0</v>
      </c>
      <c r="S520" s="83">
        <v>0</v>
      </c>
      <c r="T520" s="83">
        <f t="shared" si="129"/>
        <v>0</v>
      </c>
      <c r="U520" s="83">
        <f t="shared" si="130"/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375" t="s">
        <v>14</v>
      </c>
      <c r="I521" s="135"/>
      <c r="J521" s="135"/>
      <c r="K521" s="136"/>
      <c r="L521" s="468">
        <f ca="1">IFERROR(__xludf.DUMMYFUNCTION("IMPORTRANGE(""https://docs.google.com/spreadsheets/d/1-uDff_7J0KD5mKrp0Vvzr7lt3OU09vwQwhkpOPPYv2Y/edit?usp=sharing"",""งบพรบ!FP30"")"),0)</f>
        <v>0</v>
      </c>
      <c r="M521" s="224">
        <f ca="1">IFERROR(__xludf.DUMMYFUNCTION("IMPORTRANGE(""https://docs.google.com/spreadsheets/d/1-uDff_7J0KD5mKrp0Vvzr7lt3OU09vwQwhkpOPPYv2Y/edit?usp=sharing"",""งบพรบ!FS30"")"),0)</f>
        <v>0</v>
      </c>
      <c r="N521" s="224">
        <f ca="1">IFERROR(__xludf.DUMMYFUNCTION("IMPORTRANGE(""https://docs.google.com/spreadsheets/d/1-uDff_7J0KD5mKrp0Vvzr7lt3OU09vwQwhkpOPPYv2Y/edit?usp=sharing"",""งบพรบ!FU30"")"),0)</f>
        <v>0</v>
      </c>
      <c r="O521" s="224">
        <f t="shared" ca="1" si="127"/>
        <v>0</v>
      </c>
      <c r="P521" s="224">
        <f t="shared" ca="1" si="128"/>
        <v>0</v>
      </c>
      <c r="Q521" s="224">
        <v>0</v>
      </c>
      <c r="R521" s="224">
        <v>0</v>
      </c>
      <c r="S521" s="224">
        <v>0</v>
      </c>
      <c r="T521" s="224">
        <f t="shared" si="129"/>
        <v>0</v>
      </c>
      <c r="U521" s="224">
        <f t="shared" si="130"/>
        <v>0</v>
      </c>
    </row>
    <row r="522" spans="1:21" ht="19.5" hidden="1" x14ac:dyDescent="0.3">
      <c r="A522" s="138"/>
      <c r="B522" s="139"/>
      <c r="C522" s="527" t="s">
        <v>18</v>
      </c>
      <c r="D522" s="509" t="s">
        <v>38</v>
      </c>
      <c r="E522" s="141"/>
      <c r="F522" s="141"/>
      <c r="G522" s="142"/>
      <c r="H522" s="143"/>
      <c r="I522" s="135"/>
      <c r="J522" s="44"/>
      <c r="K522" s="45"/>
      <c r="L522" s="465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208</v>
      </c>
      <c r="E523" s="139"/>
      <c r="F523" s="40"/>
      <c r="G523" s="42"/>
      <c r="H523" s="526" t="s">
        <v>11</v>
      </c>
      <c r="I523" s="430">
        <v>0</v>
      </c>
      <c r="J523" s="525">
        <v>0</v>
      </c>
      <c r="K523" s="83">
        <f>IF(I523&gt;0,J523*100/I523,0)</f>
        <v>0</v>
      </c>
      <c r="L523" s="465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29"/>
      <c r="B524" s="1"/>
      <c r="C524" s="2"/>
      <c r="D524" s="524" t="s">
        <v>209</v>
      </c>
      <c r="E524" s="250"/>
      <c r="F524" s="1"/>
      <c r="G524" s="52"/>
      <c r="H524" s="523" t="s">
        <v>61</v>
      </c>
      <c r="I524" s="433">
        <v>0</v>
      </c>
      <c r="J524" s="522">
        <v>0</v>
      </c>
      <c r="K524" s="521">
        <f>IF(I524&gt;0,J524*100/I524,0)</f>
        <v>0</v>
      </c>
      <c r="L524" s="465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520"/>
      <c r="B525" s="519"/>
      <c r="C525" s="519"/>
      <c r="D525" s="518"/>
      <c r="E525" s="518"/>
      <c r="F525" s="518"/>
      <c r="G525" s="517"/>
      <c r="H525" s="516"/>
      <c r="I525" s="515"/>
      <c r="J525" s="515"/>
      <c r="K525" s="514"/>
      <c r="L525" s="511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11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11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11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11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11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11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496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hidden="1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64">
        <f>I545</f>
        <v>0</v>
      </c>
      <c r="J533" s="364">
        <f>J545</f>
        <v>0</v>
      </c>
      <c r="K533" s="513">
        <f>IF(I533&gt;0,J533*100/I533,0)</f>
        <v>0</v>
      </c>
      <c r="L533" s="512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hidden="1" x14ac:dyDescent="0.3">
      <c r="A534" s="128"/>
      <c r="B534" s="40"/>
      <c r="C534" s="129" t="s">
        <v>18</v>
      </c>
      <c r="D534" s="472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471">
        <f>L535+L536</f>
        <v>0</v>
      </c>
      <c r="M534" s="470">
        <f>M535+M536</f>
        <v>0</v>
      </c>
      <c r="N534" s="470">
        <f>N535+N536</f>
        <v>0</v>
      </c>
      <c r="O534" s="470">
        <f t="shared" ref="O534:O542" si="133">IF(L534&gt;0,N534*100/L534,0)</f>
        <v>0</v>
      </c>
      <c r="P534" s="470">
        <f t="shared" ref="P534:P542" si="134">IF(M534&gt;0,N534*100/M534,0)</f>
        <v>0</v>
      </c>
      <c r="Q534" s="470">
        <f>Q535+Q536</f>
        <v>0</v>
      </c>
      <c r="R534" s="470">
        <f>R535+R536</f>
        <v>0</v>
      </c>
      <c r="S534" s="470">
        <f>S535+S536</f>
        <v>0</v>
      </c>
      <c r="T534" s="470">
        <f t="shared" ref="T534:T542" si="135">IF(Q534&gt;0,S534*100/Q534,0)</f>
        <v>0</v>
      </c>
      <c r="U534" s="470">
        <f t="shared" ref="U534:U542" si="136"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469">
        <f t="shared" ref="L535:N536" si="137">L538+L541</f>
        <v>0</v>
      </c>
      <c r="M535" s="83">
        <f t="shared" si="137"/>
        <v>0</v>
      </c>
      <c r="N535" s="83">
        <f t="shared" si="137"/>
        <v>0</v>
      </c>
      <c r="O535" s="83">
        <f t="shared" si="133"/>
        <v>0</v>
      </c>
      <c r="P535" s="83">
        <f t="shared" si="134"/>
        <v>0</v>
      </c>
      <c r="Q535" s="83">
        <f t="shared" ref="Q535:S536" si="138">Q538+Q541</f>
        <v>0</v>
      </c>
      <c r="R535" s="83">
        <f t="shared" si="138"/>
        <v>0</v>
      </c>
      <c r="S535" s="83">
        <f t="shared" si="138"/>
        <v>0</v>
      </c>
      <c r="T535" s="83">
        <f t="shared" si="135"/>
        <v>0</v>
      </c>
      <c r="U535" s="83">
        <f t="shared" si="136"/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468">
        <f t="shared" si="137"/>
        <v>0</v>
      </c>
      <c r="M536" s="224">
        <f t="shared" si="137"/>
        <v>0</v>
      </c>
      <c r="N536" s="224">
        <f t="shared" si="137"/>
        <v>0</v>
      </c>
      <c r="O536" s="224">
        <f t="shared" si="133"/>
        <v>0</v>
      </c>
      <c r="P536" s="224">
        <f t="shared" si="134"/>
        <v>0</v>
      </c>
      <c r="Q536" s="224">
        <f t="shared" si="138"/>
        <v>0</v>
      </c>
      <c r="R536" s="224">
        <f t="shared" si="138"/>
        <v>0</v>
      </c>
      <c r="S536" s="224">
        <f t="shared" si="138"/>
        <v>0</v>
      </c>
      <c r="T536" s="224">
        <f t="shared" si="135"/>
        <v>0</v>
      </c>
      <c r="U536" s="224">
        <f t="shared" si="136"/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468">
        <f>L538+L539</f>
        <v>0</v>
      </c>
      <c r="M537" s="224">
        <f>M538+M539</f>
        <v>0</v>
      </c>
      <c r="N537" s="224">
        <f>N538+N539</f>
        <v>0</v>
      </c>
      <c r="O537" s="224">
        <f t="shared" si="133"/>
        <v>0</v>
      </c>
      <c r="P537" s="224">
        <f t="shared" si="134"/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 t="shared" si="135"/>
        <v>0</v>
      </c>
      <c r="U537" s="224">
        <f t="shared" si="136"/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469">
        <v>0</v>
      </c>
      <c r="M538" s="83">
        <v>0</v>
      </c>
      <c r="N538" s="83">
        <v>0</v>
      </c>
      <c r="O538" s="83">
        <f t="shared" si="133"/>
        <v>0</v>
      </c>
      <c r="P538" s="83">
        <f t="shared" si="134"/>
        <v>0</v>
      </c>
      <c r="Q538" s="83">
        <v>0</v>
      </c>
      <c r="R538" s="83">
        <v>0</v>
      </c>
      <c r="S538" s="83">
        <v>0</v>
      </c>
      <c r="T538" s="83">
        <f t="shared" si="135"/>
        <v>0</v>
      </c>
      <c r="U538" s="83">
        <f t="shared" si="136"/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468">
        <v>0</v>
      </c>
      <c r="M539" s="224">
        <v>0</v>
      </c>
      <c r="N539" s="224">
        <v>0</v>
      </c>
      <c r="O539" s="224">
        <f t="shared" si="133"/>
        <v>0</v>
      </c>
      <c r="P539" s="224">
        <f t="shared" si="134"/>
        <v>0</v>
      </c>
      <c r="Q539" s="224">
        <v>0</v>
      </c>
      <c r="R539" s="224">
        <v>0</v>
      </c>
      <c r="S539" s="224">
        <v>0</v>
      </c>
      <c r="T539" s="224">
        <f t="shared" si="135"/>
        <v>0</v>
      </c>
      <c r="U539" s="224">
        <f t="shared" si="136"/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468">
        <f>L541+L542</f>
        <v>0</v>
      </c>
      <c r="M540" s="224">
        <f>M541+M542</f>
        <v>0</v>
      </c>
      <c r="N540" s="224">
        <f>N541+N542</f>
        <v>0</v>
      </c>
      <c r="O540" s="224">
        <f t="shared" si="133"/>
        <v>0</v>
      </c>
      <c r="P540" s="224">
        <f t="shared" si="134"/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 t="shared" si="135"/>
        <v>0</v>
      </c>
      <c r="U540" s="224">
        <f t="shared" si="136"/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469">
        <v>0</v>
      </c>
      <c r="M541" s="83">
        <v>0</v>
      </c>
      <c r="N541" s="83">
        <v>0</v>
      </c>
      <c r="O541" s="83">
        <f t="shared" si="133"/>
        <v>0</v>
      </c>
      <c r="P541" s="83">
        <f t="shared" si="134"/>
        <v>0</v>
      </c>
      <c r="Q541" s="83">
        <v>0</v>
      </c>
      <c r="R541" s="83">
        <v>0</v>
      </c>
      <c r="S541" s="83">
        <v>0</v>
      </c>
      <c r="T541" s="83">
        <f t="shared" si="135"/>
        <v>0</v>
      </c>
      <c r="U541" s="83">
        <f t="shared" si="136"/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468">
        <v>0</v>
      </c>
      <c r="M542" s="224">
        <v>0</v>
      </c>
      <c r="N542" s="224">
        <v>0</v>
      </c>
      <c r="O542" s="224">
        <f t="shared" si="133"/>
        <v>0</v>
      </c>
      <c r="P542" s="224">
        <f t="shared" si="134"/>
        <v>0</v>
      </c>
      <c r="Q542" s="224">
        <v>0</v>
      </c>
      <c r="R542" s="224">
        <v>0</v>
      </c>
      <c r="S542" s="224">
        <v>0</v>
      </c>
      <c r="T542" s="224">
        <f t="shared" si="135"/>
        <v>0</v>
      </c>
      <c r="U542" s="224">
        <f t="shared" si="136"/>
        <v>0</v>
      </c>
    </row>
    <row r="543" spans="1:21" ht="19.5" hidden="1" x14ac:dyDescent="0.3">
      <c r="A543" s="138"/>
      <c r="B543" s="139"/>
      <c r="C543" s="365" t="s">
        <v>18</v>
      </c>
      <c r="D543" s="498" t="s">
        <v>38</v>
      </c>
      <c r="E543" s="141"/>
      <c r="F543" s="141"/>
      <c r="G543" s="142"/>
      <c r="H543" s="143"/>
      <c r="I543" s="135"/>
      <c r="J543" s="44"/>
      <c r="K543" s="45"/>
      <c r="L543" s="465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11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11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11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11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11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11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11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11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11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496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hidden="1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64">
        <f>I566</f>
        <v>0</v>
      </c>
      <c r="J554" s="364">
        <f>J566</f>
        <v>0</v>
      </c>
      <c r="K554" s="513">
        <f>IF(I554&gt;0,J554*100/I554,0)</f>
        <v>0</v>
      </c>
      <c r="L554" s="512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hidden="1" x14ac:dyDescent="0.3">
      <c r="A555" s="128"/>
      <c r="B555" s="40"/>
      <c r="C555" s="129" t="s">
        <v>18</v>
      </c>
      <c r="D555" s="472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471">
        <f>L556+L557</f>
        <v>0</v>
      </c>
      <c r="M555" s="470">
        <f>M556+M557</f>
        <v>0</v>
      </c>
      <c r="N555" s="470">
        <f>N556+N557</f>
        <v>0</v>
      </c>
      <c r="O555" s="470">
        <f t="shared" ref="O555:O563" si="139">IF(L555&gt;0,N555*100/L555,0)</f>
        <v>0</v>
      </c>
      <c r="P555" s="470">
        <f t="shared" ref="P555:P563" si="140">IF(M555&gt;0,N555*100/M555,0)</f>
        <v>0</v>
      </c>
      <c r="Q555" s="470">
        <f>Q556+Q557</f>
        <v>0</v>
      </c>
      <c r="R555" s="470">
        <f>R556+R557</f>
        <v>0</v>
      </c>
      <c r="S555" s="470">
        <f>S556+S557</f>
        <v>0</v>
      </c>
      <c r="T555" s="470">
        <f t="shared" ref="T555:T563" si="141">IF(Q555&gt;0,S555*100/Q555,0)</f>
        <v>0</v>
      </c>
      <c r="U555" s="470">
        <f t="shared" ref="U555:U563" si="142"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469">
        <f t="shared" ref="L556:N557" si="143">L559+L562</f>
        <v>0</v>
      </c>
      <c r="M556" s="83">
        <f t="shared" si="143"/>
        <v>0</v>
      </c>
      <c r="N556" s="83">
        <f t="shared" si="143"/>
        <v>0</v>
      </c>
      <c r="O556" s="83">
        <f t="shared" si="139"/>
        <v>0</v>
      </c>
      <c r="P556" s="83">
        <f t="shared" si="140"/>
        <v>0</v>
      </c>
      <c r="Q556" s="83">
        <f t="shared" ref="Q556:S557" si="144">Q559+Q562</f>
        <v>0</v>
      </c>
      <c r="R556" s="83">
        <f t="shared" si="144"/>
        <v>0</v>
      </c>
      <c r="S556" s="83">
        <f t="shared" si="144"/>
        <v>0</v>
      </c>
      <c r="T556" s="83">
        <f t="shared" si="141"/>
        <v>0</v>
      </c>
      <c r="U556" s="83">
        <f t="shared" si="142"/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468">
        <f t="shared" si="143"/>
        <v>0</v>
      </c>
      <c r="M557" s="224">
        <f t="shared" si="143"/>
        <v>0</v>
      </c>
      <c r="N557" s="224">
        <f t="shared" si="143"/>
        <v>0</v>
      </c>
      <c r="O557" s="224">
        <f t="shared" si="139"/>
        <v>0</v>
      </c>
      <c r="P557" s="224">
        <f t="shared" si="140"/>
        <v>0</v>
      </c>
      <c r="Q557" s="224">
        <f t="shared" si="144"/>
        <v>0</v>
      </c>
      <c r="R557" s="224">
        <f t="shared" si="144"/>
        <v>0</v>
      </c>
      <c r="S557" s="224">
        <f t="shared" si="144"/>
        <v>0</v>
      </c>
      <c r="T557" s="224">
        <f t="shared" si="141"/>
        <v>0</v>
      </c>
      <c r="U557" s="224">
        <f t="shared" si="142"/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468">
        <f>L559+L560</f>
        <v>0</v>
      </c>
      <c r="M558" s="224">
        <f>M559+M560</f>
        <v>0</v>
      </c>
      <c r="N558" s="224">
        <f>N559+N560</f>
        <v>0</v>
      </c>
      <c r="O558" s="224">
        <f t="shared" si="139"/>
        <v>0</v>
      </c>
      <c r="P558" s="224">
        <f t="shared" si="140"/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 t="shared" si="141"/>
        <v>0</v>
      </c>
      <c r="U558" s="224">
        <f t="shared" si="142"/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469">
        <v>0</v>
      </c>
      <c r="M559" s="83">
        <v>0</v>
      </c>
      <c r="N559" s="83">
        <v>0</v>
      </c>
      <c r="O559" s="83">
        <f t="shared" si="139"/>
        <v>0</v>
      </c>
      <c r="P559" s="83">
        <f t="shared" si="140"/>
        <v>0</v>
      </c>
      <c r="Q559" s="83">
        <v>0</v>
      </c>
      <c r="R559" s="83">
        <v>0</v>
      </c>
      <c r="S559" s="83">
        <v>0</v>
      </c>
      <c r="T559" s="83">
        <f t="shared" si="141"/>
        <v>0</v>
      </c>
      <c r="U559" s="83">
        <f t="shared" si="142"/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468">
        <v>0</v>
      </c>
      <c r="M560" s="224">
        <v>0</v>
      </c>
      <c r="N560" s="224">
        <v>0</v>
      </c>
      <c r="O560" s="224">
        <f t="shared" si="139"/>
        <v>0</v>
      </c>
      <c r="P560" s="224">
        <f t="shared" si="140"/>
        <v>0</v>
      </c>
      <c r="Q560" s="224">
        <v>0</v>
      </c>
      <c r="R560" s="224">
        <v>0</v>
      </c>
      <c r="S560" s="224">
        <v>0</v>
      </c>
      <c r="T560" s="224">
        <f t="shared" si="141"/>
        <v>0</v>
      </c>
      <c r="U560" s="224">
        <f t="shared" si="142"/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468">
        <f>L562+L563</f>
        <v>0</v>
      </c>
      <c r="M561" s="224">
        <f>M562+M563</f>
        <v>0</v>
      </c>
      <c r="N561" s="224">
        <f>N562+N563</f>
        <v>0</v>
      </c>
      <c r="O561" s="224">
        <f t="shared" si="139"/>
        <v>0</v>
      </c>
      <c r="P561" s="224">
        <f t="shared" si="140"/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 t="shared" si="141"/>
        <v>0</v>
      </c>
      <c r="U561" s="224">
        <f t="shared" si="142"/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469">
        <v>0</v>
      </c>
      <c r="M562" s="83">
        <v>0</v>
      </c>
      <c r="N562" s="83">
        <v>0</v>
      </c>
      <c r="O562" s="83">
        <f t="shared" si="139"/>
        <v>0</v>
      </c>
      <c r="P562" s="83">
        <f t="shared" si="140"/>
        <v>0</v>
      </c>
      <c r="Q562" s="83">
        <v>0</v>
      </c>
      <c r="R562" s="83">
        <v>0</v>
      </c>
      <c r="S562" s="83">
        <v>0</v>
      </c>
      <c r="T562" s="83">
        <f t="shared" si="141"/>
        <v>0</v>
      </c>
      <c r="U562" s="83">
        <f t="shared" si="142"/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468">
        <v>0</v>
      </c>
      <c r="M563" s="224">
        <v>0</v>
      </c>
      <c r="N563" s="224">
        <v>0</v>
      </c>
      <c r="O563" s="224">
        <f t="shared" si="139"/>
        <v>0</v>
      </c>
      <c r="P563" s="224">
        <f t="shared" si="140"/>
        <v>0</v>
      </c>
      <c r="Q563" s="224">
        <v>0</v>
      </c>
      <c r="R563" s="224">
        <v>0</v>
      </c>
      <c r="S563" s="224">
        <v>0</v>
      </c>
      <c r="T563" s="224">
        <f t="shared" si="141"/>
        <v>0</v>
      </c>
      <c r="U563" s="224">
        <f t="shared" si="142"/>
        <v>0</v>
      </c>
    </row>
    <row r="564" spans="1:21" ht="19.5" hidden="1" x14ac:dyDescent="0.3">
      <c r="A564" s="138"/>
      <c r="B564" s="139"/>
      <c r="C564" s="365" t="s">
        <v>18</v>
      </c>
      <c r="D564" s="498" t="s">
        <v>38</v>
      </c>
      <c r="E564" s="141"/>
      <c r="F564" s="141"/>
      <c r="G564" s="142"/>
      <c r="H564" s="143"/>
      <c r="I564" s="135"/>
      <c r="J564" s="44"/>
      <c r="K564" s="45"/>
      <c r="L564" s="465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11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11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11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11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11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11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11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11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11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496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hidden="1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64">
        <f>I587</f>
        <v>0</v>
      </c>
      <c r="J575" s="364">
        <f>J587</f>
        <v>0</v>
      </c>
      <c r="K575" s="513">
        <f>IF(I575&gt;0,J575*100/I575,0)</f>
        <v>0</v>
      </c>
      <c r="L575" s="512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hidden="1" x14ac:dyDescent="0.3">
      <c r="A576" s="128"/>
      <c r="B576" s="40"/>
      <c r="C576" s="129" t="s">
        <v>18</v>
      </c>
      <c r="D576" s="472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471">
        <f>L577+L578</f>
        <v>0</v>
      </c>
      <c r="M576" s="470">
        <f>M577+M578</f>
        <v>0</v>
      </c>
      <c r="N576" s="470">
        <f>N577+N578</f>
        <v>0</v>
      </c>
      <c r="O576" s="470">
        <f t="shared" ref="O576:O584" si="145">IF(L576&gt;0,N576*100/L576,0)</f>
        <v>0</v>
      </c>
      <c r="P576" s="470">
        <f t="shared" ref="P576:P584" si="146">IF(M576&gt;0,N576*100/M576,0)</f>
        <v>0</v>
      </c>
      <c r="Q576" s="470">
        <f>Q577+Q578</f>
        <v>0</v>
      </c>
      <c r="R576" s="470">
        <f>R577+R578</f>
        <v>0</v>
      </c>
      <c r="S576" s="470">
        <f>S577+S578</f>
        <v>0</v>
      </c>
      <c r="T576" s="470">
        <f t="shared" ref="T576:T584" si="147">IF(Q576&gt;0,S576*100/Q576,0)</f>
        <v>0</v>
      </c>
      <c r="U576" s="470">
        <f t="shared" ref="U576:U584" si="148"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469">
        <f t="shared" ref="L577:N578" si="149">L580+L583</f>
        <v>0</v>
      </c>
      <c r="M577" s="83">
        <f t="shared" si="149"/>
        <v>0</v>
      </c>
      <c r="N577" s="83">
        <f t="shared" si="149"/>
        <v>0</v>
      </c>
      <c r="O577" s="83">
        <f t="shared" si="145"/>
        <v>0</v>
      </c>
      <c r="P577" s="83">
        <f t="shared" si="146"/>
        <v>0</v>
      </c>
      <c r="Q577" s="83">
        <f t="shared" ref="Q577:S578" si="150">Q580+Q583</f>
        <v>0</v>
      </c>
      <c r="R577" s="83">
        <f t="shared" si="150"/>
        <v>0</v>
      </c>
      <c r="S577" s="83">
        <f t="shared" si="150"/>
        <v>0</v>
      </c>
      <c r="T577" s="83">
        <f t="shared" si="147"/>
        <v>0</v>
      </c>
      <c r="U577" s="83">
        <f t="shared" si="148"/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468">
        <f t="shared" si="149"/>
        <v>0</v>
      </c>
      <c r="M578" s="224">
        <f t="shared" si="149"/>
        <v>0</v>
      </c>
      <c r="N578" s="224">
        <f t="shared" si="149"/>
        <v>0</v>
      </c>
      <c r="O578" s="224">
        <f t="shared" si="145"/>
        <v>0</v>
      </c>
      <c r="P578" s="224">
        <f t="shared" si="146"/>
        <v>0</v>
      </c>
      <c r="Q578" s="224">
        <f t="shared" si="150"/>
        <v>0</v>
      </c>
      <c r="R578" s="224">
        <f t="shared" si="150"/>
        <v>0</v>
      </c>
      <c r="S578" s="224">
        <f t="shared" si="150"/>
        <v>0</v>
      </c>
      <c r="T578" s="224">
        <f t="shared" si="147"/>
        <v>0</v>
      </c>
      <c r="U578" s="224">
        <f t="shared" si="148"/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468">
        <f>L580+L581</f>
        <v>0</v>
      </c>
      <c r="M579" s="224">
        <f>M580+M581</f>
        <v>0</v>
      </c>
      <c r="N579" s="224">
        <f>N580+N581</f>
        <v>0</v>
      </c>
      <c r="O579" s="224">
        <f t="shared" si="145"/>
        <v>0</v>
      </c>
      <c r="P579" s="224">
        <f t="shared" si="146"/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 t="shared" si="147"/>
        <v>0</v>
      </c>
      <c r="U579" s="224">
        <f t="shared" si="148"/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469">
        <v>0</v>
      </c>
      <c r="M580" s="83">
        <v>0</v>
      </c>
      <c r="N580" s="83">
        <v>0</v>
      </c>
      <c r="O580" s="83">
        <f t="shared" si="145"/>
        <v>0</v>
      </c>
      <c r="P580" s="83">
        <f t="shared" si="146"/>
        <v>0</v>
      </c>
      <c r="Q580" s="83">
        <v>0</v>
      </c>
      <c r="R580" s="83">
        <v>0</v>
      </c>
      <c r="S580" s="83">
        <v>0</v>
      </c>
      <c r="T580" s="83">
        <f t="shared" si="147"/>
        <v>0</v>
      </c>
      <c r="U580" s="83">
        <f t="shared" si="148"/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468">
        <v>0</v>
      </c>
      <c r="M581" s="224">
        <v>0</v>
      </c>
      <c r="N581" s="224">
        <v>0</v>
      </c>
      <c r="O581" s="224">
        <f t="shared" si="145"/>
        <v>0</v>
      </c>
      <c r="P581" s="224">
        <f t="shared" si="146"/>
        <v>0</v>
      </c>
      <c r="Q581" s="224">
        <v>0</v>
      </c>
      <c r="R581" s="224">
        <v>0</v>
      </c>
      <c r="S581" s="224">
        <v>0</v>
      </c>
      <c r="T581" s="224">
        <f t="shared" si="147"/>
        <v>0</v>
      </c>
      <c r="U581" s="224">
        <f t="shared" si="148"/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468">
        <f>L583+L584</f>
        <v>0</v>
      </c>
      <c r="M582" s="224">
        <f>M583+M584</f>
        <v>0</v>
      </c>
      <c r="N582" s="224">
        <f>N583+N584</f>
        <v>0</v>
      </c>
      <c r="O582" s="224">
        <f t="shared" si="145"/>
        <v>0</v>
      </c>
      <c r="P582" s="224">
        <f t="shared" si="146"/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 t="shared" si="147"/>
        <v>0</v>
      </c>
      <c r="U582" s="224">
        <f t="shared" si="148"/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469">
        <v>0</v>
      </c>
      <c r="M583" s="83">
        <v>0</v>
      </c>
      <c r="N583" s="83">
        <v>0</v>
      </c>
      <c r="O583" s="83">
        <f t="shared" si="145"/>
        <v>0</v>
      </c>
      <c r="P583" s="83">
        <f t="shared" si="146"/>
        <v>0</v>
      </c>
      <c r="Q583" s="83">
        <v>0</v>
      </c>
      <c r="R583" s="83">
        <v>0</v>
      </c>
      <c r="S583" s="83">
        <v>0</v>
      </c>
      <c r="T583" s="83">
        <f t="shared" si="147"/>
        <v>0</v>
      </c>
      <c r="U583" s="83">
        <f t="shared" si="148"/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468">
        <v>0</v>
      </c>
      <c r="M584" s="224">
        <v>0</v>
      </c>
      <c r="N584" s="224">
        <v>0</v>
      </c>
      <c r="O584" s="224">
        <f t="shared" si="145"/>
        <v>0</v>
      </c>
      <c r="P584" s="224">
        <f t="shared" si="146"/>
        <v>0</v>
      </c>
      <c r="Q584" s="224">
        <v>0</v>
      </c>
      <c r="R584" s="224">
        <v>0</v>
      </c>
      <c r="S584" s="224">
        <v>0</v>
      </c>
      <c r="T584" s="224">
        <f t="shared" si="147"/>
        <v>0</v>
      </c>
      <c r="U584" s="224">
        <f t="shared" si="148"/>
        <v>0</v>
      </c>
    </row>
    <row r="585" spans="1:21" ht="19.5" hidden="1" x14ac:dyDescent="0.3">
      <c r="A585" s="138"/>
      <c r="B585" s="139"/>
      <c r="C585" s="365" t="s">
        <v>18</v>
      </c>
      <c r="D585" s="498" t="s">
        <v>38</v>
      </c>
      <c r="E585" s="141"/>
      <c r="F585" s="141"/>
      <c r="G585" s="142"/>
      <c r="H585" s="143"/>
      <c r="I585" s="135"/>
      <c r="J585" s="44"/>
      <c r="K585" s="45"/>
      <c r="L585" s="465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11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11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11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11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11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11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11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11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11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496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hidden="1" x14ac:dyDescent="0.3">
      <c r="A596" s="366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67" t="s">
        <v>214</v>
      </c>
      <c r="C597" s="172"/>
      <c r="D597" s="125"/>
      <c r="E597" s="27"/>
      <c r="F597" s="27"/>
      <c r="G597" s="27"/>
      <c r="H597" s="368" t="s">
        <v>99</v>
      </c>
      <c r="I597" s="182"/>
      <c r="J597" s="32"/>
      <c r="K597" s="33"/>
      <c r="L597" s="510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369"/>
      <c r="B598" s="370" t="s">
        <v>215</v>
      </c>
      <c r="C598" s="125"/>
      <c r="D598" s="27"/>
      <c r="E598" s="27"/>
      <c r="F598" s="27"/>
      <c r="G598" s="30"/>
      <c r="H598" s="371" t="s">
        <v>35</v>
      </c>
      <c r="I598" s="32"/>
      <c r="J598" s="32"/>
      <c r="K598" s="33"/>
      <c r="L598" s="510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820" t="s">
        <v>19</v>
      </c>
      <c r="E599" s="793"/>
      <c r="F599" s="793"/>
      <c r="G599" s="794"/>
      <c r="H599" s="372" t="s">
        <v>14</v>
      </c>
      <c r="I599" s="44"/>
      <c r="J599" s="44"/>
      <c r="K599" s="45"/>
      <c r="L599" s="471">
        <f>L600+L601</f>
        <v>0</v>
      </c>
      <c r="M599" s="470">
        <f>M600+M601</f>
        <v>0</v>
      </c>
      <c r="N599" s="470">
        <f>N600+N601</f>
        <v>0</v>
      </c>
      <c r="O599" s="470">
        <f t="shared" ref="O599:O607" si="151">IF(L599&gt;0,N599*100/L599,0)</f>
        <v>0</v>
      </c>
      <c r="P599" s="470">
        <f t="shared" ref="P599:P607" si="152">IF(M599&gt;0,N599*100/M599,0)</f>
        <v>0</v>
      </c>
      <c r="Q599" s="470">
        <f>Q600+Q601</f>
        <v>0</v>
      </c>
      <c r="R599" s="470">
        <f>R600+R601</f>
        <v>0</v>
      </c>
      <c r="S599" s="470">
        <f>S600+S601</f>
        <v>0</v>
      </c>
      <c r="T599" s="470">
        <f t="shared" ref="T599:T607" si="153">IF(Q599&gt;0,S599*100/Q599,0)</f>
        <v>0</v>
      </c>
      <c r="U599" s="470">
        <f t="shared" ref="U599:U607" si="154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469">
        <f t="shared" ref="L600:N601" si="155">L603+L606</f>
        <v>0</v>
      </c>
      <c r="M600" s="83">
        <f t="shared" si="155"/>
        <v>0</v>
      </c>
      <c r="N600" s="83">
        <f t="shared" si="155"/>
        <v>0</v>
      </c>
      <c r="O600" s="83">
        <f t="shared" si="151"/>
        <v>0</v>
      </c>
      <c r="P600" s="83">
        <f t="shared" si="152"/>
        <v>0</v>
      </c>
      <c r="Q600" s="83">
        <f t="shared" ref="Q600:S601" si="156">Q603+Q606</f>
        <v>0</v>
      </c>
      <c r="R600" s="83">
        <f t="shared" si="156"/>
        <v>0</v>
      </c>
      <c r="S600" s="83">
        <f t="shared" si="156"/>
        <v>0</v>
      </c>
      <c r="T600" s="83">
        <f t="shared" si="153"/>
        <v>0</v>
      </c>
      <c r="U600" s="83">
        <f t="shared" si="154"/>
        <v>0</v>
      </c>
    </row>
    <row r="601" spans="1:21" ht="18.75" hidden="1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468">
        <f t="shared" si="155"/>
        <v>0</v>
      </c>
      <c r="M601" s="224">
        <f t="shared" si="155"/>
        <v>0</v>
      </c>
      <c r="N601" s="224">
        <f t="shared" si="155"/>
        <v>0</v>
      </c>
      <c r="O601" s="224">
        <f t="shared" si="151"/>
        <v>0</v>
      </c>
      <c r="P601" s="224">
        <f t="shared" si="152"/>
        <v>0</v>
      </c>
      <c r="Q601" s="224">
        <f t="shared" si="156"/>
        <v>0</v>
      </c>
      <c r="R601" s="224">
        <f t="shared" si="156"/>
        <v>0</v>
      </c>
      <c r="S601" s="224">
        <f t="shared" si="156"/>
        <v>0</v>
      </c>
      <c r="T601" s="224">
        <f t="shared" si="153"/>
        <v>0</v>
      </c>
      <c r="U601" s="224">
        <f t="shared" si="154"/>
        <v>0</v>
      </c>
    </row>
    <row r="602" spans="1:21" ht="19.5" hidden="1" x14ac:dyDescent="0.3">
      <c r="A602" s="128"/>
      <c r="B602" s="158"/>
      <c r="C602" s="158"/>
      <c r="D602" s="494" t="s">
        <v>22</v>
      </c>
      <c r="E602" s="40"/>
      <c r="F602" s="40"/>
      <c r="G602" s="42"/>
      <c r="H602" s="372" t="s">
        <v>14</v>
      </c>
      <c r="I602" s="135"/>
      <c r="J602" s="135"/>
      <c r="K602" s="136"/>
      <c r="L602" s="468">
        <f>L603+L604</f>
        <v>0</v>
      </c>
      <c r="M602" s="224">
        <f>M603+M604</f>
        <v>0</v>
      </c>
      <c r="N602" s="224">
        <f>N603+N604</f>
        <v>0</v>
      </c>
      <c r="O602" s="224">
        <f t="shared" si="151"/>
        <v>0</v>
      </c>
      <c r="P602" s="224">
        <f t="shared" si="152"/>
        <v>0</v>
      </c>
      <c r="Q602" s="224">
        <f>Q603+Q604</f>
        <v>0</v>
      </c>
      <c r="R602" s="224">
        <f>R603+R604</f>
        <v>0</v>
      </c>
      <c r="S602" s="224">
        <f>S603+S604</f>
        <v>0</v>
      </c>
      <c r="T602" s="224">
        <f t="shared" si="153"/>
        <v>0</v>
      </c>
      <c r="U602" s="224">
        <f t="shared" si="154"/>
        <v>0</v>
      </c>
    </row>
    <row r="603" spans="1:21" ht="18.75" hidden="1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469">
        <v>0</v>
      </c>
      <c r="M603" s="83">
        <v>0</v>
      </c>
      <c r="N603" s="83">
        <v>0</v>
      </c>
      <c r="O603" s="83">
        <f t="shared" si="151"/>
        <v>0</v>
      </c>
      <c r="P603" s="83">
        <f t="shared" si="152"/>
        <v>0</v>
      </c>
      <c r="Q603" s="83">
        <v>0</v>
      </c>
      <c r="R603" s="83">
        <v>0</v>
      </c>
      <c r="S603" s="83">
        <v>0</v>
      </c>
      <c r="T603" s="83">
        <f t="shared" si="153"/>
        <v>0</v>
      </c>
      <c r="U603" s="83">
        <f t="shared" si="154"/>
        <v>0</v>
      </c>
    </row>
    <row r="604" spans="1:21" ht="18.75" hidden="1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468">
        <v>0</v>
      </c>
      <c r="M604" s="224">
        <v>0</v>
      </c>
      <c r="N604" s="224">
        <v>0</v>
      </c>
      <c r="O604" s="224">
        <f t="shared" si="151"/>
        <v>0</v>
      </c>
      <c r="P604" s="224">
        <f t="shared" si="152"/>
        <v>0</v>
      </c>
      <c r="Q604" s="224">
        <v>0</v>
      </c>
      <c r="R604" s="224">
        <v>0</v>
      </c>
      <c r="S604" s="224">
        <v>0</v>
      </c>
      <c r="T604" s="224">
        <f t="shared" si="153"/>
        <v>0</v>
      </c>
      <c r="U604" s="224">
        <f t="shared" si="154"/>
        <v>0</v>
      </c>
    </row>
    <row r="605" spans="1:21" ht="19.5" hidden="1" x14ac:dyDescent="0.3">
      <c r="A605" s="128"/>
      <c r="B605" s="158"/>
      <c r="C605" s="158"/>
      <c r="D605" s="494" t="s">
        <v>23</v>
      </c>
      <c r="E605" s="158"/>
      <c r="F605" s="40"/>
      <c r="G605" s="42"/>
      <c r="H605" s="374" t="s">
        <v>14</v>
      </c>
      <c r="I605" s="135"/>
      <c r="J605" s="135"/>
      <c r="K605" s="136"/>
      <c r="L605" s="468">
        <f>L606+L607</f>
        <v>0</v>
      </c>
      <c r="M605" s="224">
        <f>M606+M607</f>
        <v>0</v>
      </c>
      <c r="N605" s="224">
        <f>N606+N607</f>
        <v>0</v>
      </c>
      <c r="O605" s="224">
        <f t="shared" si="151"/>
        <v>0</v>
      </c>
      <c r="P605" s="224">
        <f t="shared" si="152"/>
        <v>0</v>
      </c>
      <c r="Q605" s="224">
        <f>Q606+Q607</f>
        <v>0</v>
      </c>
      <c r="R605" s="224">
        <f>R606+R607</f>
        <v>0</v>
      </c>
      <c r="S605" s="224">
        <f>S606+S607</f>
        <v>0</v>
      </c>
      <c r="T605" s="224">
        <f t="shared" si="153"/>
        <v>0</v>
      </c>
      <c r="U605" s="224">
        <f t="shared" si="154"/>
        <v>0</v>
      </c>
    </row>
    <row r="606" spans="1:21" ht="18.75" hidden="1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469">
        <v>0</v>
      </c>
      <c r="M606" s="83">
        <v>0</v>
      </c>
      <c r="N606" s="83">
        <v>0</v>
      </c>
      <c r="O606" s="83">
        <f t="shared" si="151"/>
        <v>0</v>
      </c>
      <c r="P606" s="83">
        <f t="shared" si="152"/>
        <v>0</v>
      </c>
      <c r="Q606" s="83">
        <v>0</v>
      </c>
      <c r="R606" s="83">
        <v>0</v>
      </c>
      <c r="S606" s="83">
        <v>0</v>
      </c>
      <c r="T606" s="83">
        <f t="shared" si="153"/>
        <v>0</v>
      </c>
      <c r="U606" s="83">
        <f t="shared" si="154"/>
        <v>0</v>
      </c>
    </row>
    <row r="607" spans="1:21" ht="18.75" hidden="1" x14ac:dyDescent="0.25">
      <c r="A607" s="128"/>
      <c r="B607" s="158"/>
      <c r="C607" s="158"/>
      <c r="D607" s="40"/>
      <c r="E607" s="314" t="s">
        <v>21</v>
      </c>
      <c r="F607" s="40"/>
      <c r="G607" s="42"/>
      <c r="H607" s="375" t="s">
        <v>14</v>
      </c>
      <c r="I607" s="135"/>
      <c r="J607" s="135"/>
      <c r="K607" s="136"/>
      <c r="L607" s="468">
        <v>0</v>
      </c>
      <c r="M607" s="224">
        <v>0</v>
      </c>
      <c r="N607" s="224">
        <v>0</v>
      </c>
      <c r="O607" s="224">
        <f t="shared" si="151"/>
        <v>0</v>
      </c>
      <c r="P607" s="224">
        <f t="shared" si="152"/>
        <v>0</v>
      </c>
      <c r="Q607" s="224">
        <v>0</v>
      </c>
      <c r="R607" s="224">
        <v>0</v>
      </c>
      <c r="S607" s="224">
        <v>0</v>
      </c>
      <c r="T607" s="224">
        <f t="shared" si="153"/>
        <v>0</v>
      </c>
      <c r="U607" s="224">
        <f t="shared" si="154"/>
        <v>0</v>
      </c>
    </row>
    <row r="608" spans="1:21" ht="19.5" hidden="1" x14ac:dyDescent="0.3">
      <c r="A608" s="138"/>
      <c r="B608" s="139"/>
      <c r="C608" s="177" t="s">
        <v>18</v>
      </c>
      <c r="D608" s="509" t="s">
        <v>38</v>
      </c>
      <c r="E608" s="141"/>
      <c r="F608" s="141"/>
      <c r="G608" s="142"/>
      <c r="H608" s="178"/>
      <c r="I608" s="135"/>
      <c r="J608" s="135"/>
      <c r="K608" s="136"/>
      <c r="L608" s="465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377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465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377" t="s">
        <v>217</v>
      </c>
      <c r="E610" s="145"/>
      <c r="F610" s="145"/>
      <c r="G610" s="143"/>
      <c r="H610" s="372" t="s">
        <v>35</v>
      </c>
      <c r="I610" s="44"/>
      <c r="J610" s="44"/>
      <c r="K610" s="136"/>
      <c r="L610" s="465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377" t="s">
        <v>218</v>
      </c>
      <c r="F611" s="145"/>
      <c r="G611" s="143"/>
      <c r="H611" s="375" t="s">
        <v>35</v>
      </c>
      <c r="I611" s="44"/>
      <c r="J611" s="44"/>
      <c r="K611" s="136"/>
      <c r="L611" s="465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378"/>
      <c r="B612" s="379"/>
      <c r="C612" s="379"/>
      <c r="D612" s="379"/>
      <c r="E612" s="380" t="s">
        <v>219</v>
      </c>
      <c r="F612" s="381"/>
      <c r="G612" s="382"/>
      <c r="H612" s="383" t="s">
        <v>35</v>
      </c>
      <c r="I612" s="384"/>
      <c r="J612" s="384"/>
      <c r="K612" s="385"/>
      <c r="L612" s="508"/>
      <c r="M612" s="386"/>
      <c r="N612" s="386"/>
      <c r="O612" s="386"/>
      <c r="P612" s="386"/>
      <c r="Q612" s="386"/>
      <c r="R612" s="386"/>
      <c r="S612" s="386"/>
      <c r="T612" s="386"/>
      <c r="U612" s="386"/>
    </row>
    <row r="613" spans="1:21" ht="19.5" hidden="1" x14ac:dyDescent="0.3">
      <c r="A613" s="387" t="s">
        <v>220</v>
      </c>
      <c r="B613" s="388"/>
      <c r="C613" s="388"/>
      <c r="D613" s="389"/>
      <c r="E613" s="389"/>
      <c r="F613" s="389"/>
      <c r="G613" s="390"/>
      <c r="H613" s="391"/>
      <c r="I613" s="392"/>
      <c r="J613" s="392"/>
      <c r="K613" s="393"/>
      <c r="L613" s="507"/>
      <c r="M613" s="393"/>
      <c r="N613" s="393"/>
      <c r="O613" s="393"/>
      <c r="P613" s="393"/>
      <c r="Q613" s="393"/>
      <c r="R613" s="393"/>
      <c r="S613" s="393"/>
      <c r="T613" s="393"/>
      <c r="U613" s="393"/>
    </row>
    <row r="614" spans="1:21" ht="19.5" hidden="1" x14ac:dyDescent="0.3">
      <c r="A614" s="394"/>
      <c r="B614" s="395" t="s">
        <v>221</v>
      </c>
      <c r="C614" s="394"/>
      <c r="D614" s="396"/>
      <c r="E614" s="396"/>
      <c r="F614" s="396"/>
      <c r="G614" s="397"/>
      <c r="H614" s="398"/>
      <c r="I614" s="399"/>
      <c r="J614" s="399"/>
      <c r="K614" s="400"/>
      <c r="L614" s="473"/>
      <c r="M614" s="400"/>
      <c r="N614" s="400"/>
      <c r="O614" s="400"/>
      <c r="P614" s="400"/>
      <c r="Q614" s="400"/>
      <c r="R614" s="400"/>
      <c r="S614" s="400"/>
      <c r="T614" s="400"/>
      <c r="U614" s="400"/>
    </row>
    <row r="615" spans="1:21" ht="19.5" hidden="1" x14ac:dyDescent="0.3">
      <c r="A615" s="401"/>
      <c r="B615" s="402" t="s">
        <v>222</v>
      </c>
      <c r="C615" s="401"/>
      <c r="D615" s="403"/>
      <c r="E615" s="403"/>
      <c r="F615" s="403"/>
      <c r="G615" s="404"/>
      <c r="H615" s="405" t="s">
        <v>46</v>
      </c>
      <c r="I615" s="506">
        <f ca="1">I626</f>
        <v>0</v>
      </c>
      <c r="J615" s="506">
        <f>J626</f>
        <v>0</v>
      </c>
      <c r="K615" s="505">
        <f ca="1">IF(I615&gt;0,J615*100/I615,0)</f>
        <v>0</v>
      </c>
      <c r="L615" s="504"/>
      <c r="M615" s="408"/>
      <c r="N615" s="408"/>
      <c r="O615" s="408"/>
      <c r="P615" s="408"/>
      <c r="Q615" s="408"/>
      <c r="R615" s="408"/>
      <c r="S615" s="408"/>
      <c r="T615" s="408"/>
      <c r="U615" s="408"/>
    </row>
    <row r="616" spans="1:21" ht="19.5" hidden="1" x14ac:dyDescent="0.3">
      <c r="A616" s="128"/>
      <c r="B616" s="158"/>
      <c r="C616" s="177" t="s">
        <v>18</v>
      </c>
      <c r="D616" s="821" t="s">
        <v>19</v>
      </c>
      <c r="E616" s="793"/>
      <c r="F616" s="793"/>
      <c r="G616" s="794"/>
      <c r="H616" s="221" t="s">
        <v>14</v>
      </c>
      <c r="I616" s="44"/>
      <c r="J616" s="44"/>
      <c r="K616" s="45"/>
      <c r="L616" s="471">
        <f>L617+L618</f>
        <v>0</v>
      </c>
      <c r="M616" s="470">
        <f>M617+M618</f>
        <v>0</v>
      </c>
      <c r="N616" s="470">
        <f>N617+N618</f>
        <v>0</v>
      </c>
      <c r="O616" s="470">
        <f t="shared" ref="O616:O624" si="157">IF(L616&gt;0,N616*100/L616,0)</f>
        <v>0</v>
      </c>
      <c r="P616" s="470">
        <f t="shared" ref="P616:P624" si="158">IF(M616&gt;0,N616*100/M616,0)</f>
        <v>0</v>
      </c>
      <c r="Q616" s="470">
        <f ca="1">Q617+Q618</f>
        <v>1200</v>
      </c>
      <c r="R616" s="470">
        <f ca="1">R617+R618</f>
        <v>1200</v>
      </c>
      <c r="S616" s="470">
        <f ca="1">S617+S618</f>
        <v>0</v>
      </c>
      <c r="T616" s="470">
        <f t="shared" ref="T616:T624" ca="1" si="159">IF(Q616&gt;0,S616*100/Q616,0)</f>
        <v>0</v>
      </c>
      <c r="U616" s="470">
        <f t="shared" ref="U616:U624" ca="1" si="160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469">
        <f t="shared" ref="L617:N618" si="161">L620+L623</f>
        <v>0</v>
      </c>
      <c r="M617" s="83">
        <f t="shared" si="161"/>
        <v>0</v>
      </c>
      <c r="N617" s="83">
        <f t="shared" si="161"/>
        <v>0</v>
      </c>
      <c r="O617" s="83">
        <f t="shared" si="157"/>
        <v>0</v>
      </c>
      <c r="P617" s="83">
        <f t="shared" si="158"/>
        <v>0</v>
      </c>
      <c r="Q617" s="83">
        <f t="shared" ref="Q617:S618" si="162">Q620+Q623</f>
        <v>0</v>
      </c>
      <c r="R617" s="83">
        <f t="shared" si="162"/>
        <v>0</v>
      </c>
      <c r="S617" s="83">
        <f t="shared" si="162"/>
        <v>0</v>
      </c>
      <c r="T617" s="83">
        <f t="shared" si="159"/>
        <v>0</v>
      </c>
      <c r="U617" s="83">
        <f t="shared" si="160"/>
        <v>0</v>
      </c>
    </row>
    <row r="618" spans="1:21" ht="18.75" hidden="1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468">
        <f t="shared" si="161"/>
        <v>0</v>
      </c>
      <c r="M618" s="224">
        <f t="shared" si="161"/>
        <v>0</v>
      </c>
      <c r="N618" s="224">
        <f t="shared" si="161"/>
        <v>0</v>
      </c>
      <c r="O618" s="224">
        <f t="shared" si="157"/>
        <v>0</v>
      </c>
      <c r="P618" s="224">
        <f t="shared" si="158"/>
        <v>0</v>
      </c>
      <c r="Q618" s="224">
        <f t="shared" ca="1" si="162"/>
        <v>1200</v>
      </c>
      <c r="R618" s="224">
        <f t="shared" ca="1" si="162"/>
        <v>1200</v>
      </c>
      <c r="S618" s="224">
        <f t="shared" ca="1" si="162"/>
        <v>0</v>
      </c>
      <c r="T618" s="224">
        <f t="shared" ca="1" si="159"/>
        <v>0</v>
      </c>
      <c r="U618" s="224">
        <f t="shared" ca="1" si="160"/>
        <v>0</v>
      </c>
    </row>
    <row r="619" spans="1:21" ht="18.75" hidden="1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468">
        <f>L620+L621</f>
        <v>0</v>
      </c>
      <c r="M619" s="224">
        <f>M620+M621</f>
        <v>0</v>
      </c>
      <c r="N619" s="224">
        <f>N620+N621</f>
        <v>0</v>
      </c>
      <c r="O619" s="224">
        <f t="shared" si="157"/>
        <v>0</v>
      </c>
      <c r="P619" s="224">
        <f t="shared" si="158"/>
        <v>0</v>
      </c>
      <c r="Q619" s="224">
        <f ca="1">Q620+Q621</f>
        <v>1200</v>
      </c>
      <c r="R619" s="224">
        <f ca="1">R620+R621</f>
        <v>1200</v>
      </c>
      <c r="S619" s="224">
        <f ca="1">S620+S621</f>
        <v>0</v>
      </c>
      <c r="T619" s="224">
        <f t="shared" ca="1" si="159"/>
        <v>0</v>
      </c>
      <c r="U619" s="224">
        <f t="shared" ca="1" si="160"/>
        <v>0</v>
      </c>
    </row>
    <row r="620" spans="1:21" ht="18.75" hidden="1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469">
        <v>0</v>
      </c>
      <c r="M620" s="83">
        <v>0</v>
      </c>
      <c r="N620" s="83">
        <v>0</v>
      </c>
      <c r="O620" s="83">
        <f t="shared" si="157"/>
        <v>0</v>
      </c>
      <c r="P620" s="83">
        <f t="shared" si="158"/>
        <v>0</v>
      </c>
      <c r="Q620" s="83">
        <v>0</v>
      </c>
      <c r="R620" s="83">
        <v>0</v>
      </c>
      <c r="S620" s="83">
        <v>0</v>
      </c>
      <c r="T620" s="83">
        <f t="shared" si="159"/>
        <v>0</v>
      </c>
      <c r="U620" s="83">
        <f t="shared" si="160"/>
        <v>0</v>
      </c>
    </row>
    <row r="621" spans="1:21" ht="18.75" hidden="1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468">
        <v>0</v>
      </c>
      <c r="M621" s="224">
        <v>0</v>
      </c>
      <c r="N621" s="224">
        <v>0</v>
      </c>
      <c r="O621" s="224">
        <f t="shared" si="157"/>
        <v>0</v>
      </c>
      <c r="P621" s="224">
        <f t="shared" si="158"/>
        <v>0</v>
      </c>
      <c r="Q621" s="224">
        <f ca="1">IFERROR(__xludf.DUMMYFUNCTION("IMPORTRANGE(""https://docs.google.com/spreadsheets/d/1ItG2mGa2ceCfYo0BwxsXqNm01IGEUdYcSSLTEv9YCik/edit?usp=sharing"",""เบิกจ่ายกองทุน!F30"")"),1200)</f>
        <v>1200</v>
      </c>
      <c r="R621" s="224">
        <f ca="1">IFERROR(__xludf.DUMMYFUNCTION("IMPORTRANGE(""https://docs.google.com/spreadsheets/d/1ItG2mGa2ceCfYo0BwxsXqNm01IGEUdYcSSLTEv9YCik/edit?usp=sharing"",""เบิกจ่ายกองทุน!G30"")"),1200)</f>
        <v>1200</v>
      </c>
      <c r="S621" s="224">
        <f ca="1">IFERROR(__xludf.DUMMYFUNCTION("IMPORTRANGE(""https://docs.google.com/spreadsheets/d/1ItG2mGa2ceCfYo0BwxsXqNm01IGEUdYcSSLTEv9YCik/edit?usp=sharing"",""เบิกจ่ายกองทุน!H30"")"),0)</f>
        <v>0</v>
      </c>
      <c r="T621" s="224">
        <f t="shared" ca="1" si="159"/>
        <v>0</v>
      </c>
      <c r="U621" s="224">
        <f t="shared" ca="1" si="160"/>
        <v>0</v>
      </c>
    </row>
    <row r="622" spans="1:21" ht="18.75" hidden="1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468">
        <f>L623+L624</f>
        <v>0</v>
      </c>
      <c r="M622" s="224">
        <f>M623+M624</f>
        <v>0</v>
      </c>
      <c r="N622" s="224">
        <f>N623+N624</f>
        <v>0</v>
      </c>
      <c r="O622" s="224">
        <f t="shared" si="157"/>
        <v>0</v>
      </c>
      <c r="P622" s="224">
        <f t="shared" si="158"/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 t="shared" si="159"/>
        <v>0</v>
      </c>
      <c r="U622" s="224">
        <f t="shared" si="160"/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469">
        <v>0</v>
      </c>
      <c r="M623" s="83">
        <v>0</v>
      </c>
      <c r="N623" s="83">
        <v>0</v>
      </c>
      <c r="O623" s="83">
        <f t="shared" si="157"/>
        <v>0</v>
      </c>
      <c r="P623" s="83">
        <f t="shared" si="158"/>
        <v>0</v>
      </c>
      <c r="Q623" s="83">
        <v>0</v>
      </c>
      <c r="R623" s="83">
        <v>0</v>
      </c>
      <c r="S623" s="83">
        <v>0</v>
      </c>
      <c r="T623" s="83">
        <f t="shared" si="159"/>
        <v>0</v>
      </c>
      <c r="U623" s="83">
        <f t="shared" si="160"/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468">
        <v>0</v>
      </c>
      <c r="M624" s="224">
        <v>0</v>
      </c>
      <c r="N624" s="224">
        <v>0</v>
      </c>
      <c r="O624" s="224">
        <f t="shared" si="157"/>
        <v>0</v>
      </c>
      <c r="P624" s="224">
        <f t="shared" si="158"/>
        <v>0</v>
      </c>
      <c r="Q624" s="224">
        <v>0</v>
      </c>
      <c r="R624" s="224">
        <v>0</v>
      </c>
      <c r="S624" s="224">
        <v>0</v>
      </c>
      <c r="T624" s="224">
        <f t="shared" si="159"/>
        <v>0</v>
      </c>
      <c r="U624" s="224">
        <f t="shared" si="160"/>
        <v>0</v>
      </c>
    </row>
    <row r="625" spans="1:21" ht="19.5" hidden="1" x14ac:dyDescent="0.3">
      <c r="A625" s="138"/>
      <c r="B625" s="139"/>
      <c r="C625" s="177" t="s">
        <v>18</v>
      </c>
      <c r="D625" s="467" t="s">
        <v>38</v>
      </c>
      <c r="E625" s="141"/>
      <c r="F625" s="141"/>
      <c r="G625" s="142"/>
      <c r="H625" s="178"/>
      <c r="I625" s="135"/>
      <c r="J625" s="135"/>
      <c r="K625" s="136"/>
      <c r="L625" s="4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hidden="1" x14ac:dyDescent="0.3">
      <c r="A626" s="138"/>
      <c r="B626" s="139"/>
      <c r="C626" s="139"/>
      <c r="D626" s="410" t="s">
        <v>223</v>
      </c>
      <c r="E626" s="145"/>
      <c r="F626" s="145"/>
      <c r="G626" s="143"/>
      <c r="H626" s="411" t="s">
        <v>46</v>
      </c>
      <c r="I626" s="328">
        <f ca="1">IFERROR(__xludf.DUMMYFUNCTION("IMPORTRANGE(""https://docs.google.com/spreadsheets/d/1eHaY18a8A9IcSdp1K8H6x8fbOy06t2VsZHhMHf-1x7Y/edit?usp=sharing"",""แผน!ID30"")"),0)</f>
        <v>0</v>
      </c>
      <c r="J626" s="328">
        <f>J632</f>
        <v>0</v>
      </c>
      <c r="K626" s="470">
        <f ca="1">IF(I626&gt;0,J626*100/I626,0)</f>
        <v>0</v>
      </c>
      <c r="L626" s="4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hidden="1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IFERROR(__xludf.DUMMYFUNCTION("IMPORTRANGE(""https://docs.google.com/spreadsheets/d/1eHaY18a8A9IcSdp1K8H6x8fbOy06t2VsZHhMHf-1x7Y/edit?usp=sharing"",""แผน!IC30"")"),0)</f>
        <v>0</v>
      </c>
      <c r="J627" s="466">
        <v>0</v>
      </c>
      <c r="K627" s="224">
        <f ca="1">IF(I627&gt;0,(J627*100)/I627,0)</f>
        <v>0</v>
      </c>
      <c r="L627" s="4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hidden="1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IFERROR(__xludf.DUMMYFUNCTION("IMPORTRANGE(""https://docs.google.com/spreadsheets/d/1eHaY18a8A9IcSdp1K8H6x8fbOy06t2VsZHhMHf-1x7Y/edit?usp=sharing"",""แผน!IC30"")"),0)</f>
        <v>0</v>
      </c>
      <c r="J628" s="466">
        <v>0</v>
      </c>
      <c r="K628" s="224">
        <f ca="1">IF(I628&gt;0,(J628*100)/I628,0)</f>
        <v>0</v>
      </c>
      <c r="L628" s="4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hidden="1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466">
        <v>0</v>
      </c>
      <c r="K629" s="224">
        <f ca="1">IF(I$626&gt;0,J629*100/I$626,0)</f>
        <v>0</v>
      </c>
      <c r="L629" s="4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hidden="1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466">
        <v>0</v>
      </c>
      <c r="K630" s="224">
        <f ca="1">IF(I$626&gt;0,J630*100/I$626,0)</f>
        <v>0</v>
      </c>
      <c r="L630" s="4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hidden="1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466">
        <v>0</v>
      </c>
      <c r="K631" s="224">
        <f ca="1">IF(I$626&gt;0,J631*100/I$626,0)</f>
        <v>0</v>
      </c>
      <c r="L631" s="4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hidden="1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470">
        <f ca="1">IF(I626&gt;0,J632*100/I626,0)</f>
        <v>0</v>
      </c>
      <c r="L632" s="4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hidden="1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466">
        <v>0</v>
      </c>
      <c r="K633" s="45"/>
      <c r="L633" s="4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hidden="1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466">
        <v>0</v>
      </c>
      <c r="K634" s="45"/>
      <c r="L634" s="4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hidden="1" x14ac:dyDescent="0.3">
      <c r="A635" s="138"/>
      <c r="B635" s="139"/>
      <c r="C635" s="139"/>
      <c r="D635" s="410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IFERROR(__xludf.DUMMYFUNCTION("IMPORTRANGE(""https://docs.google.com/spreadsheets/d/1eHaY18a8A9IcSdp1K8H6x8fbOy06t2VsZHhMHf-1x7Y/edit?usp=sharing"",""แผน!IE30"")"),0)</f>
        <v>0</v>
      </c>
      <c r="J635" s="328">
        <f>J636</f>
        <v>0</v>
      </c>
      <c r="K635" s="470">
        <f ca="1">IF(I635&gt;0,J635*100/I635,0)</f>
        <v>0</v>
      </c>
      <c r="L635" s="4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hidden="1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4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hidden="1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466">
        <v>0</v>
      </c>
      <c r="K637" s="45"/>
      <c r="L637" s="4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hidden="1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466">
        <v>0</v>
      </c>
      <c r="K638" s="45"/>
      <c r="L638" s="4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hidden="1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466">
        <v>0</v>
      </c>
      <c r="K639" s="45"/>
      <c r="L639" s="4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hidden="1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466">
        <v>0</v>
      </c>
      <c r="K640" s="45"/>
      <c r="L640" s="4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01"/>
      <c r="B641" s="402" t="s">
        <v>236</v>
      </c>
      <c r="C641" s="401"/>
      <c r="D641" s="403"/>
      <c r="E641" s="403"/>
      <c r="F641" s="403"/>
      <c r="G641" s="404"/>
      <c r="H641" s="412"/>
      <c r="I641" s="413"/>
      <c r="J641" s="413"/>
      <c r="K641" s="408"/>
      <c r="L641" s="504"/>
      <c r="M641" s="408"/>
      <c r="N641" s="408"/>
      <c r="O641" s="408"/>
      <c r="P641" s="408"/>
      <c r="Q641" s="408"/>
      <c r="R641" s="408"/>
      <c r="S641" s="408"/>
      <c r="T641" s="408"/>
      <c r="U641" s="408"/>
    </row>
    <row r="642" spans="1:21" ht="19.5" x14ac:dyDescent="0.3">
      <c r="A642" s="128"/>
      <c r="B642" s="158"/>
      <c r="C642" s="209" t="s">
        <v>18</v>
      </c>
      <c r="D642" s="821" t="s">
        <v>19</v>
      </c>
      <c r="E642" s="793"/>
      <c r="F642" s="793"/>
      <c r="G642" s="794"/>
      <c r="H642" s="221" t="s">
        <v>14</v>
      </c>
      <c r="I642" s="44"/>
      <c r="J642" s="44"/>
      <c r="K642" s="45"/>
      <c r="L642" s="471">
        <f>L643+L644</f>
        <v>0</v>
      </c>
      <c r="M642" s="470">
        <f>M643+M644</f>
        <v>0</v>
      </c>
      <c r="N642" s="470">
        <f>N643+N644</f>
        <v>0</v>
      </c>
      <c r="O642" s="470">
        <f t="shared" ref="O642:O650" si="163">IF(L642&gt;0,N642*100/L642,0)</f>
        <v>0</v>
      </c>
      <c r="P642" s="470">
        <f t="shared" ref="P642:P650" si="164">IF(M642&gt;0,N642*100/M642,0)</f>
        <v>0</v>
      </c>
      <c r="Q642" s="470">
        <f ca="1">Q643+Q644</f>
        <v>34240</v>
      </c>
      <c r="R642" s="470">
        <f ca="1">R643+R644</f>
        <v>34240</v>
      </c>
      <c r="S642" s="470">
        <f ca="1">S643+S644</f>
        <v>150</v>
      </c>
      <c r="T642" s="470">
        <f t="shared" ref="T642:T650" ca="1" si="165">IF(Q642&gt;0,S642*100/Q642,0)</f>
        <v>0.43808411214953269</v>
      </c>
      <c r="U642" s="470">
        <f t="shared" ref="U642:U650" ca="1" si="166">IF(R642&gt;0,S642*100/R642,0)</f>
        <v>0.43808411214953269</v>
      </c>
    </row>
    <row r="643" spans="1:21" ht="18.75" hidden="1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469">
        <f t="shared" ref="L643:N644" si="167">L646+L649</f>
        <v>0</v>
      </c>
      <c r="M643" s="83">
        <f t="shared" si="167"/>
        <v>0</v>
      </c>
      <c r="N643" s="83">
        <f t="shared" si="167"/>
        <v>0</v>
      </c>
      <c r="O643" s="83">
        <f t="shared" si="163"/>
        <v>0</v>
      </c>
      <c r="P643" s="83">
        <f t="shared" si="164"/>
        <v>0</v>
      </c>
      <c r="Q643" s="83">
        <f t="shared" ref="Q643:S644" si="168">Q646+Q649</f>
        <v>0</v>
      </c>
      <c r="R643" s="83">
        <f t="shared" si="168"/>
        <v>0</v>
      </c>
      <c r="S643" s="83">
        <f t="shared" si="168"/>
        <v>0</v>
      </c>
      <c r="T643" s="83">
        <f t="shared" si="165"/>
        <v>0</v>
      </c>
      <c r="U643" s="83">
        <f t="shared" si="166"/>
        <v>0</v>
      </c>
    </row>
    <row r="644" spans="1:21" ht="18.75" hidden="1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468">
        <f t="shared" si="167"/>
        <v>0</v>
      </c>
      <c r="M644" s="224">
        <f t="shared" si="167"/>
        <v>0</v>
      </c>
      <c r="N644" s="224">
        <f t="shared" si="167"/>
        <v>0</v>
      </c>
      <c r="O644" s="224">
        <f t="shared" si="163"/>
        <v>0</v>
      </c>
      <c r="P644" s="224">
        <f t="shared" si="164"/>
        <v>0</v>
      </c>
      <c r="Q644" s="224">
        <f t="shared" ca="1" si="168"/>
        <v>34240</v>
      </c>
      <c r="R644" s="224">
        <f t="shared" ca="1" si="168"/>
        <v>34240</v>
      </c>
      <c r="S644" s="224">
        <f t="shared" ca="1" si="168"/>
        <v>150</v>
      </c>
      <c r="T644" s="224">
        <f t="shared" ca="1" si="165"/>
        <v>0.43808411214953269</v>
      </c>
      <c r="U644" s="224">
        <f t="shared" ca="1" si="166"/>
        <v>0.43808411214953269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468">
        <f>L646+L647</f>
        <v>0</v>
      </c>
      <c r="M645" s="224">
        <f>M646+M647</f>
        <v>0</v>
      </c>
      <c r="N645" s="224">
        <f>N646+N647</f>
        <v>0</v>
      </c>
      <c r="O645" s="224">
        <f t="shared" si="163"/>
        <v>0</v>
      </c>
      <c r="P645" s="224">
        <f t="shared" si="164"/>
        <v>0</v>
      </c>
      <c r="Q645" s="224">
        <f ca="1">Q646+Q647</f>
        <v>34240</v>
      </c>
      <c r="R645" s="224">
        <f ca="1">R646+R647</f>
        <v>34240</v>
      </c>
      <c r="S645" s="224">
        <f ca="1">S646+S647</f>
        <v>150</v>
      </c>
      <c r="T645" s="224">
        <f t="shared" ca="1" si="165"/>
        <v>0.43808411214953269</v>
      </c>
      <c r="U645" s="224">
        <f t="shared" ca="1" si="166"/>
        <v>0.43808411214953269</v>
      </c>
    </row>
    <row r="646" spans="1:21" ht="18.75" hidden="1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469">
        <v>0</v>
      </c>
      <c r="M646" s="83">
        <v>0</v>
      </c>
      <c r="N646" s="83">
        <v>0</v>
      </c>
      <c r="O646" s="83">
        <f t="shared" si="163"/>
        <v>0</v>
      </c>
      <c r="P646" s="83">
        <f t="shared" si="164"/>
        <v>0</v>
      </c>
      <c r="Q646" s="83">
        <v>0</v>
      </c>
      <c r="R646" s="83">
        <v>0</v>
      </c>
      <c r="S646" s="83">
        <v>0</v>
      </c>
      <c r="T646" s="83">
        <f t="shared" si="165"/>
        <v>0</v>
      </c>
      <c r="U646" s="83">
        <f t="shared" si="166"/>
        <v>0</v>
      </c>
    </row>
    <row r="647" spans="1:21" ht="18.75" hidden="1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468">
        <v>0</v>
      </c>
      <c r="M647" s="224">
        <v>0</v>
      </c>
      <c r="N647" s="224">
        <v>0</v>
      </c>
      <c r="O647" s="224">
        <f t="shared" si="163"/>
        <v>0</v>
      </c>
      <c r="P647" s="224">
        <f t="shared" si="164"/>
        <v>0</v>
      </c>
      <c r="Q647" s="224">
        <f ca="1">IFERROR(__xludf.DUMMYFUNCTION("IMPORTRANGE(""https://docs.google.com/spreadsheets/d/1ItG2mGa2ceCfYo0BwxsXqNm01IGEUdYcSSLTEv9YCik/edit?usp=sharing"",""เบิกจ่ายกองทุน!I30"")"),34240)</f>
        <v>34240</v>
      </c>
      <c r="R647" s="224">
        <f ca="1">IFERROR(__xludf.DUMMYFUNCTION("IMPORTRANGE(""https://docs.google.com/spreadsheets/d/1ItG2mGa2ceCfYo0BwxsXqNm01IGEUdYcSSLTEv9YCik/edit?usp=sharing"",""เบิกจ่ายกองทุน!J30"")"),34240)</f>
        <v>34240</v>
      </c>
      <c r="S647" s="224">
        <f ca="1">IFERROR(__xludf.DUMMYFUNCTION("IMPORTRANGE(""https://docs.google.com/spreadsheets/d/1ItG2mGa2ceCfYo0BwxsXqNm01IGEUdYcSSLTEv9YCik/edit?usp=sharing"",""เบิกจ่ายกองทุน!K30"")"),150)</f>
        <v>150</v>
      </c>
      <c r="T647" s="224">
        <f t="shared" ca="1" si="165"/>
        <v>0.43808411214953269</v>
      </c>
      <c r="U647" s="224">
        <f t="shared" ca="1" si="166"/>
        <v>0.43808411214953269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468">
        <f>L649+L650</f>
        <v>0</v>
      </c>
      <c r="M648" s="224">
        <f>M649+M650</f>
        <v>0</v>
      </c>
      <c r="N648" s="224">
        <f>N649+N650</f>
        <v>0</v>
      </c>
      <c r="O648" s="224">
        <f t="shared" si="163"/>
        <v>0</v>
      </c>
      <c r="P648" s="224">
        <f t="shared" si="164"/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 t="shared" si="165"/>
        <v>0</v>
      </c>
      <c r="U648" s="224">
        <f t="shared" si="166"/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469">
        <v>0</v>
      </c>
      <c r="M649" s="83">
        <v>0</v>
      </c>
      <c r="N649" s="83">
        <v>0</v>
      </c>
      <c r="O649" s="83">
        <f t="shared" si="163"/>
        <v>0</v>
      </c>
      <c r="P649" s="83">
        <f t="shared" si="164"/>
        <v>0</v>
      </c>
      <c r="Q649" s="83">
        <v>0</v>
      </c>
      <c r="R649" s="83">
        <v>0</v>
      </c>
      <c r="S649" s="83">
        <v>0</v>
      </c>
      <c r="T649" s="83">
        <f t="shared" si="165"/>
        <v>0</v>
      </c>
      <c r="U649" s="83">
        <f t="shared" si="166"/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468">
        <v>0</v>
      </c>
      <c r="M650" s="224">
        <v>0</v>
      </c>
      <c r="N650" s="224">
        <v>0</v>
      </c>
      <c r="O650" s="224">
        <f t="shared" si="163"/>
        <v>0</v>
      </c>
      <c r="P650" s="224">
        <f t="shared" si="164"/>
        <v>0</v>
      </c>
      <c r="Q650" s="224">
        <v>0</v>
      </c>
      <c r="R650" s="224">
        <v>0</v>
      </c>
      <c r="S650" s="224">
        <v>0</v>
      </c>
      <c r="T650" s="224">
        <f t="shared" si="165"/>
        <v>0</v>
      </c>
      <c r="U650" s="224">
        <f t="shared" si="166"/>
        <v>0</v>
      </c>
    </row>
    <row r="651" spans="1:21" ht="19.5" x14ac:dyDescent="0.3">
      <c r="A651" s="138"/>
      <c r="B651" s="139"/>
      <c r="C651" s="209" t="s">
        <v>18</v>
      </c>
      <c r="D651" s="503" t="s">
        <v>38</v>
      </c>
      <c r="E651" s="141"/>
      <c r="F651" s="141"/>
      <c r="G651" s="142"/>
      <c r="H651" s="178"/>
      <c r="I651" s="135"/>
      <c r="J651" s="135"/>
      <c r="K651" s="136"/>
      <c r="L651" s="4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502">
        <f ca="1">IFERROR(__xludf.DUMMYFUNCTION("IMPORTRANGE(""https://docs.google.com/spreadsheets/d/1eHaY18a8A9IcSdp1K8H6x8fbOy06t2VsZHhMHf-1x7Y/edit?usp=sharing"",""แผน!IF30"")"),0)</f>
        <v>0</v>
      </c>
      <c r="J652" s="184">
        <f ca="1">IFERROR(__xludf.DUMMYFUNCTION("IMPORTRANGE(""https://docs.google.com/spreadsheets/d/1tdoBKaGub7dwA3U6UFTqxio9LNnvDCQjHKmttSEBsFQ/edit?usp=sharing"",""จัดที่ดิน!AU30"")"),0)</f>
        <v>0</v>
      </c>
      <c r="K652" s="224">
        <f ca="1">IF(I652&gt;0,J652*100/I652,0)</f>
        <v>0</v>
      </c>
      <c r="L652" s="465"/>
      <c r="M652" s="45"/>
      <c r="N652" s="416"/>
      <c r="O652" s="45"/>
      <c r="P652" s="45"/>
      <c r="Q652" s="45"/>
      <c r="R652" s="45"/>
      <c r="S652" s="416"/>
      <c r="T652" s="45"/>
      <c r="U652" s="45"/>
    </row>
    <row r="653" spans="1:21" ht="18.75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502">
        <f ca="1">IFERROR(__xludf.DUMMYFUNCTION("IMPORTRANGE(""https://docs.google.com/spreadsheets/d/1eHaY18a8A9IcSdp1K8H6x8fbOy06t2VsZHhMHf-1x7Y/edit?usp=sharing"",""แผน!IG30"")"),0)</f>
        <v>0</v>
      </c>
      <c r="J653" s="184">
        <f ca="1">IFERROR(__xludf.DUMMYFUNCTION("IMPORTRANGE(""https://docs.google.com/spreadsheets/d/1tdoBKaGub7dwA3U6UFTqxio9LNnvDCQjHKmttSEBsFQ/edit?usp=sharing"",""จัดที่ดิน!AW30"")"),0)</f>
        <v>0</v>
      </c>
      <c r="K653" s="224">
        <f ca="1">IF(I653&gt;0,J653*100/I653,0)</f>
        <v>0</v>
      </c>
      <c r="L653" s="465"/>
      <c r="M653" s="45"/>
      <c r="N653" s="416"/>
      <c r="O653" s="45"/>
      <c r="P653" s="45"/>
      <c r="Q653" s="45"/>
      <c r="R653" s="45"/>
      <c r="S653" s="416"/>
      <c r="T653" s="45"/>
      <c r="U653" s="45"/>
    </row>
    <row r="654" spans="1:21" ht="19.5" x14ac:dyDescent="0.3">
      <c r="A654" s="208"/>
      <c r="B654" s="158"/>
      <c r="C654" s="158"/>
      <c r="D654" s="47" t="s">
        <v>239</v>
      </c>
      <c r="E654" s="40"/>
      <c r="F654" s="40"/>
      <c r="G654" s="42"/>
      <c r="H654" s="411" t="s">
        <v>46</v>
      </c>
      <c r="I654" s="501">
        <f ca="1">IFERROR(__xludf.DUMMYFUNCTION("IMPORTRANGE(""https://docs.google.com/spreadsheets/d/1eHaY18a8A9IcSdp1K8H6x8fbOy06t2VsZHhMHf-1x7Y/edit?usp=sharing"",""แผน!IH30"")"),60)</f>
        <v>60</v>
      </c>
      <c r="J654" s="328">
        <f>J657+J660</f>
        <v>60</v>
      </c>
      <c r="K654" s="470">
        <f ca="1">IF(I654&gt;0,J654*100/I654,0)</f>
        <v>100</v>
      </c>
      <c r="L654" s="465"/>
      <c r="M654" s="45"/>
      <c r="N654" s="416"/>
      <c r="O654" s="45"/>
      <c r="P654" s="45"/>
      <c r="Q654" s="45"/>
      <c r="R654" s="45"/>
      <c r="S654" s="416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466">
        <v>2</v>
      </c>
      <c r="K655" s="45"/>
      <c r="L655" s="465"/>
      <c r="M655" s="45"/>
      <c r="N655" s="416"/>
      <c r="O655" s="45"/>
      <c r="P655" s="45"/>
      <c r="Q655" s="45"/>
      <c r="R655" s="45"/>
      <c r="S655" s="416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466">
        <v>2</v>
      </c>
      <c r="K656" s="45"/>
      <c r="L656" s="465"/>
      <c r="M656" s="45"/>
      <c r="N656" s="416"/>
      <c r="O656" s="45"/>
      <c r="P656" s="45"/>
      <c r="Q656" s="45"/>
      <c r="R656" s="45"/>
      <c r="S656" s="416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02">
        <f ca="1">IFERROR(__xludf.DUMMYFUNCTION("IMPORTRANGE(""https://docs.google.com/spreadsheets/d/1eHaY18a8A9IcSdp1K8H6x8fbOy06t2VsZHhMHf-1x7Y/edit?usp=sharing"",""แผน!II30"")"),45)</f>
        <v>45</v>
      </c>
      <c r="J657" s="466">
        <v>39</v>
      </c>
      <c r="K657" s="45"/>
      <c r="L657" s="465"/>
      <c r="M657" s="45"/>
      <c r="N657" s="416"/>
      <c r="O657" s="45"/>
      <c r="P657" s="45"/>
      <c r="Q657" s="45"/>
      <c r="R657" s="45"/>
      <c r="S657" s="416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466">
        <v>1</v>
      </c>
      <c r="K658" s="45"/>
      <c r="L658" s="465"/>
      <c r="M658" s="45"/>
      <c r="N658" s="416"/>
      <c r="O658" s="45"/>
      <c r="P658" s="45"/>
      <c r="Q658" s="45"/>
      <c r="R658" s="45"/>
      <c r="S658" s="416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466">
        <v>1</v>
      </c>
      <c r="K659" s="45"/>
      <c r="L659" s="465"/>
      <c r="M659" s="45"/>
      <c r="N659" s="416"/>
      <c r="O659" s="45"/>
      <c r="P659" s="45"/>
      <c r="Q659" s="45"/>
      <c r="R659" s="45"/>
      <c r="S659" s="416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02">
        <f ca="1">IFERROR(__xludf.DUMMYFUNCTION("IMPORTRANGE(""https://docs.google.com/spreadsheets/d/1eHaY18a8A9IcSdp1K8H6x8fbOy06t2VsZHhMHf-1x7Y/edit?usp=sharing"",""แผน!IJ30"")"),15)</f>
        <v>15</v>
      </c>
      <c r="J660" s="466">
        <v>21</v>
      </c>
      <c r="K660" s="45"/>
      <c r="L660" s="465"/>
      <c r="M660" s="45"/>
      <c r="N660" s="416"/>
      <c r="O660" s="45"/>
      <c r="P660" s="45"/>
      <c r="Q660" s="45"/>
      <c r="R660" s="45"/>
      <c r="S660" s="416"/>
      <c r="T660" s="45"/>
      <c r="U660" s="45"/>
    </row>
    <row r="661" spans="1:21" ht="19.5" x14ac:dyDescent="0.3">
      <c r="A661" s="208"/>
      <c r="B661" s="158"/>
      <c r="C661" s="158"/>
      <c r="D661" s="332" t="s">
        <v>242</v>
      </c>
      <c r="E661" s="40"/>
      <c r="F661" s="40"/>
      <c r="G661" s="42"/>
      <c r="H661" s="411" t="s">
        <v>46</v>
      </c>
      <c r="I661" s="501">
        <f ca="1">IFERROR(__xludf.DUMMYFUNCTION("IMPORTRANGE(""https://docs.google.com/spreadsheets/d/1eHaY18a8A9IcSdp1K8H6x8fbOy06t2VsZHhMHf-1x7Y/edit?usp=sharing"",""แผน!IK30"")"),102)</f>
        <v>102</v>
      </c>
      <c r="J661" s="328">
        <f>J667+J670</f>
        <v>64</v>
      </c>
      <c r="K661" s="470">
        <f ca="1">IF(I661&gt;0,J661*100/I661,0)</f>
        <v>62.745098039215684</v>
      </c>
      <c r="L661" s="465"/>
      <c r="M661" s="45"/>
      <c r="N661" s="416"/>
      <c r="O661" s="45"/>
      <c r="P661" s="45"/>
      <c r="Q661" s="45"/>
      <c r="R661" s="45"/>
      <c r="S661" s="416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466">
        <v>3</v>
      </c>
      <c r="K662" s="45"/>
      <c r="L662" s="500"/>
      <c r="M662" s="45"/>
      <c r="N662" s="416"/>
      <c r="O662" s="45"/>
      <c r="P662" s="45"/>
      <c r="Q662" s="416"/>
      <c r="R662" s="45"/>
      <c r="S662" s="416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466">
        <v>64</v>
      </c>
      <c r="K663" s="45"/>
      <c r="L663" s="500"/>
      <c r="M663" s="45"/>
      <c r="N663" s="416"/>
      <c r="O663" s="45"/>
      <c r="P663" s="45"/>
      <c r="Q663" s="416"/>
      <c r="R663" s="45"/>
      <c r="S663" s="416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500"/>
      <c r="M664" s="45"/>
      <c r="N664" s="416"/>
      <c r="O664" s="45"/>
      <c r="P664" s="45"/>
      <c r="Q664" s="416"/>
      <c r="R664" s="45"/>
      <c r="S664" s="416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466">
        <v>8</v>
      </c>
      <c r="K665" s="45"/>
      <c r="L665" s="500"/>
      <c r="M665" s="45"/>
      <c r="N665" s="416"/>
      <c r="O665" s="45"/>
      <c r="P665" s="45"/>
      <c r="Q665" s="416"/>
      <c r="R665" s="45"/>
      <c r="S665" s="416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466">
        <v>9</v>
      </c>
      <c r="K666" s="45"/>
      <c r="L666" s="500"/>
      <c r="M666" s="45"/>
      <c r="N666" s="416"/>
      <c r="O666" s="45"/>
      <c r="P666" s="45"/>
      <c r="Q666" s="416"/>
      <c r="R666" s="45"/>
      <c r="S666" s="416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466">
        <v>64</v>
      </c>
      <c r="K667" s="45"/>
      <c r="L667" s="500"/>
      <c r="M667" s="45"/>
      <c r="N667" s="416"/>
      <c r="O667" s="45"/>
      <c r="P667" s="45"/>
      <c r="Q667" s="416"/>
      <c r="R667" s="45"/>
      <c r="S667" s="416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466">
        <v>0</v>
      </c>
      <c r="K668" s="45"/>
      <c r="L668" s="500"/>
      <c r="M668" s="45"/>
      <c r="N668" s="416"/>
      <c r="O668" s="45"/>
      <c r="P668" s="45"/>
      <c r="Q668" s="416"/>
      <c r="R668" s="45"/>
      <c r="S668" s="416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466">
        <v>0</v>
      </c>
      <c r="K669" s="45"/>
      <c r="L669" s="500"/>
      <c r="M669" s="45"/>
      <c r="N669" s="416"/>
      <c r="O669" s="45"/>
      <c r="P669" s="45"/>
      <c r="Q669" s="416"/>
      <c r="R669" s="45"/>
      <c r="S669" s="416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466">
        <v>0</v>
      </c>
      <c r="K670" s="45"/>
      <c r="L670" s="500"/>
      <c r="M670" s="45"/>
      <c r="N670" s="416"/>
      <c r="O670" s="45"/>
      <c r="P670" s="45"/>
      <c r="Q670" s="416"/>
      <c r="R670" s="45"/>
      <c r="S670" s="416"/>
      <c r="T670" s="45"/>
      <c r="U670" s="45"/>
    </row>
    <row r="671" spans="1:21" ht="18.75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IFERROR(__xludf.DUMMYFUNCTION("IMPORTRANGE(""https://docs.google.com/spreadsheets/d/1tdoBKaGub7dwA3U6UFTqxio9LNnvDCQjHKmttSEBsFQ/edit?usp=sharing"",""จัดที่ดิน!AY30"")"),0)</f>
        <v>0</v>
      </c>
      <c r="K671" s="45"/>
      <c r="L671" s="465"/>
      <c r="M671" s="45"/>
      <c r="N671" s="416"/>
      <c r="O671" s="45"/>
      <c r="P671" s="45"/>
      <c r="Q671" s="45"/>
      <c r="R671" s="45"/>
      <c r="S671" s="416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IFERROR(__xludf.DUMMYFUNCTION("IMPORTRANGE(""https://docs.google.com/spreadsheets/d/1tdoBKaGub7dwA3U6UFTqxio9LNnvDCQjHKmttSEBsFQ/edit?usp=sharing"",""จัดที่ดิน!AZ30"")"),0)</f>
        <v>0</v>
      </c>
      <c r="K672" s="45"/>
      <c r="L672" s="500"/>
      <c r="M672" s="45"/>
      <c r="N672" s="416"/>
      <c r="O672" s="45"/>
      <c r="P672" s="45"/>
      <c r="Q672" s="416"/>
      <c r="R672" s="45"/>
      <c r="S672" s="416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02">
        <f ca="1">IFERROR(__xludf.DUMMYFUNCTION("IMPORTRANGE(""https://docs.google.com/spreadsheets/d/1eHaY18a8A9IcSdp1K8H6x8fbOy06t2VsZHhMHf-1x7Y/edit?usp=sharing"",""แผน!IL30"")"),225)</f>
        <v>225</v>
      </c>
      <c r="J673" s="184">
        <f ca="1">IFERROR(__xludf.DUMMYFUNCTION("IMPORTRANGE(""https://docs.google.com/spreadsheets/d/1tdoBKaGub7dwA3U6UFTqxio9LNnvDCQjHKmttSEBsFQ/edit?usp=sharing"",""จัดที่ดิน!BA30"")"),0)</f>
        <v>0</v>
      </c>
      <c r="K673" s="224">
        <f ca="1">IF(I673&gt;0,J673*100/I673,0)</f>
        <v>0</v>
      </c>
      <c r="L673" s="500"/>
      <c r="M673" s="45"/>
      <c r="N673" s="416"/>
      <c r="O673" s="45"/>
      <c r="P673" s="45"/>
      <c r="Q673" s="416"/>
      <c r="R673" s="45"/>
      <c r="S673" s="416"/>
      <c r="T673" s="45"/>
      <c r="U673" s="45"/>
    </row>
    <row r="674" spans="1:21" ht="19.5" x14ac:dyDescent="0.3">
      <c r="A674" s="208"/>
      <c r="B674" s="158"/>
      <c r="C674" s="158"/>
      <c r="D674" s="47" t="s">
        <v>248</v>
      </c>
      <c r="E674" s="40"/>
      <c r="F674" s="40"/>
      <c r="G674" s="42"/>
      <c r="H674" s="411" t="s">
        <v>35</v>
      </c>
      <c r="I674" s="501">
        <f ca="1">IFERROR(__xludf.DUMMYFUNCTION("IMPORTRANGE(""https://docs.google.com/spreadsheets/d/1eHaY18a8A9IcSdp1K8H6x8fbOy06t2VsZHhMHf-1x7Y/edit?usp=sharing"",""แผน!IM30"")"),13)</f>
        <v>13</v>
      </c>
      <c r="J674" s="328">
        <f ca="1">J676+J679</f>
        <v>7</v>
      </c>
      <c r="K674" s="470">
        <f ca="1">IF(I674&gt;0,J674*100/I674,0)</f>
        <v>53.846153846153847</v>
      </c>
      <c r="L674" s="500"/>
      <c r="M674" s="45"/>
      <c r="N674" s="416"/>
      <c r="O674" s="45"/>
      <c r="P674" s="45"/>
      <c r="Q674" s="416"/>
      <c r="R674" s="45"/>
      <c r="S674" s="416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11" t="s">
        <v>46</v>
      </c>
      <c r="I675" s="501">
        <f ca="1">IFERROR(__xludf.DUMMYFUNCTION("IMPORTRANGE(""https://docs.google.com/spreadsheets/d/1eHaY18a8A9IcSdp1K8H6x8fbOy06t2VsZHhMHf-1x7Y/edit?usp=sharing"",""แผน!IN30"")"),155)</f>
        <v>155</v>
      </c>
      <c r="J675" s="328">
        <f ca="1">J678+J681</f>
        <v>155.16</v>
      </c>
      <c r="K675" s="470">
        <f ca="1">IF(I675&gt;0,J675*100/I675,0)</f>
        <v>100.10322580645162</v>
      </c>
      <c r="L675" s="465"/>
      <c r="M675" s="45"/>
      <c r="N675" s="416"/>
      <c r="O675" s="45"/>
      <c r="P675" s="45"/>
      <c r="Q675" s="45"/>
      <c r="R675" s="45"/>
      <c r="S675" s="416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502">
        <f ca="1">IFERROR(__xludf.DUMMYFUNCTION("IMPORTRANGE(""https://docs.google.com/spreadsheets/d/1eHaY18a8A9IcSdp1K8H6x8fbOy06t2VsZHhMHf-1x7Y/edit?usp=sharing"",""แผน!IO30"")"),10)</f>
        <v>10</v>
      </c>
      <c r="J676" s="184">
        <f ca="1">IFERROR(__xludf.DUMMYFUNCTION("IMPORTRANGE(""https://docs.google.com/spreadsheets/d/1tdoBKaGub7dwA3U6UFTqxio9LNnvDCQjHKmttSEBsFQ/edit?usp=sharing"",""จัดที่ดิน!BF30"")"),7)</f>
        <v>7</v>
      </c>
      <c r="K676" s="224">
        <f ca="1">IF(I676&gt;0,J676*100/I676,0)</f>
        <v>70</v>
      </c>
      <c r="L676" s="465"/>
      <c r="M676" s="45"/>
      <c r="N676" s="416"/>
      <c r="O676" s="45"/>
      <c r="P676" s="45"/>
      <c r="Q676" s="45"/>
      <c r="R676" s="45"/>
      <c r="S676" s="416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IFERROR(__xludf.DUMMYFUNCTION("IMPORTRANGE(""https://docs.google.com/spreadsheets/d/1tdoBKaGub7dwA3U6UFTqxio9LNnvDCQjHKmttSEBsFQ/edit?usp=sharing"",""จัดที่ดิน!BG30"")"),9)</f>
        <v>9</v>
      </c>
      <c r="K677" s="45"/>
      <c r="L677" s="500"/>
      <c r="M677" s="45"/>
      <c r="N677" s="416"/>
      <c r="O677" s="45"/>
      <c r="P677" s="45"/>
      <c r="Q677" s="416"/>
      <c r="R677" s="45"/>
      <c r="S677" s="416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02">
        <f ca="1">IFERROR(__xludf.DUMMYFUNCTION("IMPORTRANGE(""https://docs.google.com/spreadsheets/d/1eHaY18a8A9IcSdp1K8H6x8fbOy06t2VsZHhMHf-1x7Y/edit?usp=sharing"",""แผน!IP30"")"),125)</f>
        <v>125</v>
      </c>
      <c r="J678" s="184">
        <f ca="1">IFERROR(__xludf.DUMMYFUNCTION("IMPORTRANGE(""https://docs.google.com/spreadsheets/d/1tdoBKaGub7dwA3U6UFTqxio9LNnvDCQjHKmttSEBsFQ/edit?usp=sharing"",""จัดที่ดิน!BH30"")"),155.16)</f>
        <v>155.16</v>
      </c>
      <c r="K678" s="224">
        <f ca="1">IF(I678&gt;0,J678*100/I678,0)</f>
        <v>124.128</v>
      </c>
      <c r="L678" s="500"/>
      <c r="M678" s="45"/>
      <c r="N678" s="416"/>
      <c r="O678" s="45"/>
      <c r="P678" s="45"/>
      <c r="Q678" s="416"/>
      <c r="R678" s="45"/>
      <c r="S678" s="416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502">
        <f ca="1">IFERROR(__xludf.DUMMYFUNCTION("IMPORTRANGE(""https://docs.google.com/spreadsheets/d/1eHaY18a8A9IcSdp1K8H6x8fbOy06t2VsZHhMHf-1x7Y/edit?usp=sharing"",""แผน!IQ30"")"),3)</f>
        <v>3</v>
      </c>
      <c r="J679" s="184">
        <f ca="1">IFERROR(__xludf.DUMMYFUNCTION("IMPORTRANGE(""https://docs.google.com/spreadsheets/d/1tdoBKaGub7dwA3U6UFTqxio9LNnvDCQjHKmttSEBsFQ/edit?usp=sharing"",""จัดที่ดิน!BK30"")"),0)</f>
        <v>0</v>
      </c>
      <c r="K679" s="224">
        <f ca="1">IF(I679&gt;0,J679*100/I679,0)</f>
        <v>0</v>
      </c>
      <c r="L679" s="465"/>
      <c r="M679" s="45"/>
      <c r="N679" s="416"/>
      <c r="O679" s="45"/>
      <c r="P679" s="45"/>
      <c r="Q679" s="45"/>
      <c r="R679" s="45"/>
      <c r="S679" s="416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IFERROR(__xludf.DUMMYFUNCTION("IMPORTRANGE(""https://docs.google.com/spreadsheets/d/1tdoBKaGub7dwA3U6UFTqxio9LNnvDCQjHKmttSEBsFQ/edit?usp=sharing"",""จัดที่ดิน!BL30"")"),0)</f>
        <v>0</v>
      </c>
      <c r="K680" s="45"/>
      <c r="L680" s="500"/>
      <c r="M680" s="45"/>
      <c r="N680" s="416"/>
      <c r="O680" s="45"/>
      <c r="P680" s="45"/>
      <c r="Q680" s="416"/>
      <c r="R680" s="45"/>
      <c r="S680" s="416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02">
        <f ca="1">IFERROR(__xludf.DUMMYFUNCTION("IMPORTRANGE(""https://docs.google.com/spreadsheets/d/1eHaY18a8A9IcSdp1K8H6x8fbOy06t2VsZHhMHf-1x7Y/edit?usp=sharing"",""แผน!IR30"")"),30)</f>
        <v>30</v>
      </c>
      <c r="J681" s="184">
        <f ca="1">IFERROR(__xludf.DUMMYFUNCTION("IMPORTRANGE(""https://docs.google.com/spreadsheets/d/1tdoBKaGub7dwA3U6UFTqxio9LNnvDCQjHKmttSEBsFQ/edit?usp=sharing"",""จัดที่ดิน!BM30"")"),0)</f>
        <v>0</v>
      </c>
      <c r="K681" s="224">
        <f ca="1">IF(I681&gt;0,J681*100/I681,0)</f>
        <v>0</v>
      </c>
      <c r="L681" s="500"/>
      <c r="M681" s="45"/>
      <c r="N681" s="416"/>
      <c r="O681" s="45"/>
      <c r="P681" s="45"/>
      <c r="Q681" s="416"/>
      <c r="R681" s="45"/>
      <c r="S681" s="416"/>
      <c r="T681" s="45"/>
      <c r="U681" s="45"/>
    </row>
    <row r="682" spans="1:21" ht="19.5" x14ac:dyDescent="0.3">
      <c r="A682" s="208"/>
      <c r="B682" s="158"/>
      <c r="C682" s="158"/>
      <c r="D682" s="47" t="s">
        <v>251</v>
      </c>
      <c r="E682" s="40"/>
      <c r="F682" s="40"/>
      <c r="G682" s="42"/>
      <c r="H682" s="411" t="s">
        <v>46</v>
      </c>
      <c r="I682" s="501">
        <f ca="1">IFERROR(__xludf.DUMMYFUNCTION("IMPORTRANGE(""https://docs.google.com/spreadsheets/d/1eHaY18a8A9IcSdp1K8H6x8fbOy06t2VsZHhMHf-1x7Y/edit?usp=sharing"",""แผน!IS30"")"),99)</f>
        <v>99</v>
      </c>
      <c r="J682" s="328">
        <f>J685+J688</f>
        <v>95</v>
      </c>
      <c r="K682" s="470">
        <f ca="1">IF(I682&gt;0,J682*100/I682,0)</f>
        <v>95.959595959595958</v>
      </c>
      <c r="L682" s="465"/>
      <c r="M682" s="45"/>
      <c r="N682" s="416"/>
      <c r="O682" s="45"/>
      <c r="P682" s="45"/>
      <c r="Q682" s="45"/>
      <c r="R682" s="45"/>
      <c r="S682" s="416"/>
      <c r="T682" s="45"/>
      <c r="U682" s="45"/>
    </row>
    <row r="683" spans="1:21" ht="18.75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466">
        <v>3</v>
      </c>
      <c r="K683" s="45"/>
      <c r="L683" s="500"/>
      <c r="M683" s="45"/>
      <c r="N683" s="416"/>
      <c r="O683" s="45"/>
      <c r="P683" s="45"/>
      <c r="Q683" s="416"/>
      <c r="R683" s="45"/>
      <c r="S683" s="416"/>
      <c r="T683" s="45"/>
      <c r="U683" s="45"/>
    </row>
    <row r="684" spans="1:21" ht="18.75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466">
        <v>3</v>
      </c>
      <c r="K684" s="45"/>
      <c r="L684" s="500"/>
      <c r="M684" s="45"/>
      <c r="N684" s="416"/>
      <c r="O684" s="45"/>
      <c r="P684" s="45"/>
      <c r="Q684" s="416"/>
      <c r="R684" s="45"/>
      <c r="S684" s="416"/>
      <c r="T684" s="45"/>
      <c r="U684" s="45"/>
    </row>
    <row r="685" spans="1:21" ht="18.75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466">
        <v>65</v>
      </c>
      <c r="K685" s="45"/>
      <c r="L685" s="500"/>
      <c r="M685" s="45"/>
      <c r="N685" s="416"/>
      <c r="O685" s="45"/>
      <c r="P685" s="45"/>
      <c r="Q685" s="416"/>
      <c r="R685" s="45"/>
      <c r="S685" s="416"/>
      <c r="T685" s="45"/>
      <c r="U685" s="45"/>
    </row>
    <row r="686" spans="1:21" ht="18.75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466">
        <v>2</v>
      </c>
      <c r="K686" s="45"/>
      <c r="L686" s="500"/>
      <c r="M686" s="45"/>
      <c r="N686" s="416"/>
      <c r="O686" s="45"/>
      <c r="P686" s="45"/>
      <c r="Q686" s="416"/>
      <c r="R686" s="45"/>
      <c r="S686" s="416"/>
      <c r="T686" s="45"/>
      <c r="U686" s="45"/>
    </row>
    <row r="687" spans="1:21" ht="18.75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466">
        <v>2</v>
      </c>
      <c r="K687" s="45"/>
      <c r="L687" s="500"/>
      <c r="M687" s="45"/>
      <c r="N687" s="416"/>
      <c r="O687" s="45"/>
      <c r="P687" s="45"/>
      <c r="Q687" s="416"/>
      <c r="R687" s="45"/>
      <c r="S687" s="416"/>
      <c r="T687" s="45"/>
      <c r="U687" s="45"/>
    </row>
    <row r="688" spans="1:21" ht="19.5" x14ac:dyDescent="0.3">
      <c r="A688" s="249"/>
      <c r="B688" s="419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464">
        <v>30</v>
      </c>
      <c r="K688" s="3"/>
      <c r="L688" s="499"/>
      <c r="M688" s="3"/>
      <c r="N688" s="420"/>
      <c r="O688" s="3"/>
      <c r="P688" s="3"/>
      <c r="Q688" s="420"/>
      <c r="R688" s="3"/>
      <c r="S688" s="420"/>
      <c r="T688" s="3"/>
      <c r="U688" s="3"/>
    </row>
    <row r="689" spans="1:21" ht="19.5" x14ac:dyDescent="0.3">
      <c r="A689" s="394"/>
      <c r="B689" s="395" t="s">
        <v>255</v>
      </c>
      <c r="C689" s="394"/>
      <c r="D689" s="396"/>
      <c r="E689" s="396"/>
      <c r="F689" s="396"/>
      <c r="G689" s="397"/>
      <c r="H689" s="421" t="s">
        <v>35</v>
      </c>
      <c r="I689" s="750">
        <f ca="1">I707</f>
        <v>55</v>
      </c>
      <c r="J689" s="750">
        <f ca="1">J707</f>
        <v>28</v>
      </c>
      <c r="K689" s="474">
        <f ca="1">IF(I689&gt;0,J689*100/I689,0)</f>
        <v>50.909090909090907</v>
      </c>
      <c r="L689" s="473"/>
      <c r="M689" s="400"/>
      <c r="N689" s="400"/>
      <c r="O689" s="400"/>
      <c r="P689" s="400"/>
      <c r="Q689" s="400"/>
      <c r="R689" s="400"/>
      <c r="S689" s="400"/>
      <c r="T689" s="400"/>
      <c r="U689" s="400"/>
    </row>
    <row r="690" spans="1:21" ht="19.5" x14ac:dyDescent="0.3">
      <c r="A690" s="128"/>
      <c r="B690" s="158"/>
      <c r="C690" s="177" t="s">
        <v>18</v>
      </c>
      <c r="D690" s="821" t="s">
        <v>19</v>
      </c>
      <c r="E690" s="793"/>
      <c r="F690" s="793"/>
      <c r="G690" s="794"/>
      <c r="H690" s="221" t="s">
        <v>14</v>
      </c>
      <c r="I690" s="44"/>
      <c r="J690" s="44"/>
      <c r="K690" s="45"/>
      <c r="L690" s="471">
        <f>L691+L692</f>
        <v>0</v>
      </c>
      <c r="M690" s="470">
        <f>M691+M692</f>
        <v>0</v>
      </c>
      <c r="N690" s="470">
        <f>N691+N692</f>
        <v>0</v>
      </c>
      <c r="O690" s="470">
        <f t="shared" ref="O690:O698" si="169">IF(L690&gt;0,N690*100/L690,0)</f>
        <v>0</v>
      </c>
      <c r="P690" s="470">
        <f t="shared" ref="P690:P698" si="170">IF(M690&gt;0,N690*100/M690,0)</f>
        <v>0</v>
      </c>
      <c r="Q690" s="470">
        <f ca="1">Q691+Q692</f>
        <v>159650</v>
      </c>
      <c r="R690" s="470">
        <f ca="1">R691+R692</f>
        <v>159650</v>
      </c>
      <c r="S690" s="470">
        <f ca="1">S691+S692</f>
        <v>116931.2</v>
      </c>
      <c r="T690" s="470">
        <f t="shared" ref="T690:T698" ca="1" si="171">IF(Q690&gt;0,S690*100/Q690,0)</f>
        <v>73.242217350454112</v>
      </c>
      <c r="U690" s="470">
        <f t="shared" ref="U690:U698" ca="1" si="172">IF(R690&gt;0,S690*100/R690,0)</f>
        <v>73.242217350454112</v>
      </c>
    </row>
    <row r="691" spans="1:21" ht="18.75" hidden="1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469">
        <f t="shared" ref="L691:N692" si="173">L694+L697</f>
        <v>0</v>
      </c>
      <c r="M691" s="83">
        <f t="shared" si="173"/>
        <v>0</v>
      </c>
      <c r="N691" s="83">
        <f t="shared" si="173"/>
        <v>0</v>
      </c>
      <c r="O691" s="83">
        <f t="shared" si="169"/>
        <v>0</v>
      </c>
      <c r="P691" s="83">
        <f t="shared" si="170"/>
        <v>0</v>
      </c>
      <c r="Q691" s="83">
        <f t="shared" ref="Q691:S692" si="174">Q694+Q697</f>
        <v>0</v>
      </c>
      <c r="R691" s="83">
        <f t="shared" si="174"/>
        <v>0</v>
      </c>
      <c r="S691" s="83">
        <f t="shared" si="174"/>
        <v>0</v>
      </c>
      <c r="T691" s="83">
        <f t="shared" si="171"/>
        <v>0</v>
      </c>
      <c r="U691" s="83">
        <f t="shared" si="172"/>
        <v>0</v>
      </c>
    </row>
    <row r="692" spans="1:21" ht="18.75" hidden="1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468">
        <f t="shared" si="173"/>
        <v>0</v>
      </c>
      <c r="M692" s="224">
        <f t="shared" si="173"/>
        <v>0</v>
      </c>
      <c r="N692" s="224">
        <f t="shared" si="173"/>
        <v>0</v>
      </c>
      <c r="O692" s="224">
        <f t="shared" si="169"/>
        <v>0</v>
      </c>
      <c r="P692" s="224">
        <f t="shared" si="170"/>
        <v>0</v>
      </c>
      <c r="Q692" s="224">
        <f t="shared" ca="1" si="174"/>
        <v>159650</v>
      </c>
      <c r="R692" s="224">
        <f t="shared" ca="1" si="174"/>
        <v>159650</v>
      </c>
      <c r="S692" s="224">
        <f t="shared" ca="1" si="174"/>
        <v>116931.2</v>
      </c>
      <c r="T692" s="224">
        <f t="shared" ca="1" si="171"/>
        <v>73.242217350454112</v>
      </c>
      <c r="U692" s="224">
        <f t="shared" ca="1" si="172"/>
        <v>73.242217350454112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468">
        <f>L694+L695</f>
        <v>0</v>
      </c>
      <c r="M693" s="224">
        <f>M694+M695</f>
        <v>0</v>
      </c>
      <c r="N693" s="224">
        <f>N694+N695</f>
        <v>0</v>
      </c>
      <c r="O693" s="224">
        <f t="shared" si="169"/>
        <v>0</v>
      </c>
      <c r="P693" s="224">
        <f t="shared" si="170"/>
        <v>0</v>
      </c>
      <c r="Q693" s="224">
        <f ca="1">Q694+Q695</f>
        <v>159650</v>
      </c>
      <c r="R693" s="224">
        <f ca="1">R694+R695</f>
        <v>159650</v>
      </c>
      <c r="S693" s="224">
        <f ca="1">S694+S695</f>
        <v>116931.2</v>
      </c>
      <c r="T693" s="224">
        <f t="shared" ca="1" si="171"/>
        <v>73.242217350454112</v>
      </c>
      <c r="U693" s="224">
        <f t="shared" ca="1" si="172"/>
        <v>73.242217350454112</v>
      </c>
    </row>
    <row r="694" spans="1:21" ht="18.75" hidden="1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469">
        <v>0</v>
      </c>
      <c r="M694" s="83">
        <v>0</v>
      </c>
      <c r="N694" s="83">
        <v>0</v>
      </c>
      <c r="O694" s="83">
        <f t="shared" si="169"/>
        <v>0</v>
      </c>
      <c r="P694" s="83">
        <f t="shared" si="170"/>
        <v>0</v>
      </c>
      <c r="Q694" s="83">
        <v>0</v>
      </c>
      <c r="R694" s="83">
        <v>0</v>
      </c>
      <c r="S694" s="83">
        <v>0</v>
      </c>
      <c r="T694" s="83">
        <f t="shared" si="171"/>
        <v>0</v>
      </c>
      <c r="U694" s="83">
        <f t="shared" si="172"/>
        <v>0</v>
      </c>
    </row>
    <row r="695" spans="1:21" ht="18.75" hidden="1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468">
        <v>0</v>
      </c>
      <c r="M695" s="224">
        <v>0</v>
      </c>
      <c r="N695" s="224">
        <v>0</v>
      </c>
      <c r="O695" s="224">
        <f t="shared" si="169"/>
        <v>0</v>
      </c>
      <c r="P695" s="224">
        <f t="shared" si="170"/>
        <v>0</v>
      </c>
      <c r="Q695" s="224">
        <f ca="1">IFERROR(__xludf.DUMMYFUNCTION("IMPORTRANGE(""https://docs.google.com/spreadsheets/d/1ItG2mGa2ceCfYo0BwxsXqNm01IGEUdYcSSLTEv9YCik/edit?usp=sharing"",""เบิกจ่ายกองทุน!L30"")"),159650)</f>
        <v>159650</v>
      </c>
      <c r="R695" s="224">
        <f ca="1">IFERROR(__xludf.DUMMYFUNCTION("IMPORTRANGE(""https://docs.google.com/spreadsheets/d/1ItG2mGa2ceCfYo0BwxsXqNm01IGEUdYcSSLTEv9YCik/edit?usp=sharing"",""เบิกจ่ายกองทุน!M30"")"),159650)</f>
        <v>159650</v>
      </c>
      <c r="S695" s="224">
        <f ca="1">IFERROR(__xludf.DUMMYFUNCTION("IMPORTRANGE(""https://docs.google.com/spreadsheets/d/1ItG2mGa2ceCfYo0BwxsXqNm01IGEUdYcSSLTEv9YCik/edit?usp=sharing"",""เบิกจ่ายกองทุน!N30"")"),116931.2)</f>
        <v>116931.2</v>
      </c>
      <c r="T695" s="224">
        <f t="shared" ca="1" si="171"/>
        <v>73.242217350454112</v>
      </c>
      <c r="U695" s="224">
        <f t="shared" ca="1" si="172"/>
        <v>73.242217350454112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468">
        <f>L697+L698</f>
        <v>0</v>
      </c>
      <c r="M696" s="224">
        <f>M697+M698</f>
        <v>0</v>
      </c>
      <c r="N696" s="224">
        <f>N697+N698</f>
        <v>0</v>
      </c>
      <c r="O696" s="224">
        <f t="shared" si="169"/>
        <v>0</v>
      </c>
      <c r="P696" s="224">
        <f t="shared" si="170"/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 t="shared" si="171"/>
        <v>0</v>
      </c>
      <c r="U696" s="224">
        <f t="shared" si="172"/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469">
        <v>0</v>
      </c>
      <c r="M697" s="83">
        <v>0</v>
      </c>
      <c r="N697" s="83">
        <v>0</v>
      </c>
      <c r="O697" s="83">
        <f t="shared" si="169"/>
        <v>0</v>
      </c>
      <c r="P697" s="83">
        <f t="shared" si="170"/>
        <v>0</v>
      </c>
      <c r="Q697" s="83">
        <v>0</v>
      </c>
      <c r="R697" s="83">
        <v>0</v>
      </c>
      <c r="S697" s="83">
        <v>0</v>
      </c>
      <c r="T697" s="83">
        <f t="shared" si="171"/>
        <v>0</v>
      </c>
      <c r="U697" s="83">
        <f t="shared" si="172"/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468">
        <v>0</v>
      </c>
      <c r="M698" s="224">
        <v>0</v>
      </c>
      <c r="N698" s="224">
        <v>0</v>
      </c>
      <c r="O698" s="224">
        <f t="shared" si="169"/>
        <v>0</v>
      </c>
      <c r="P698" s="224">
        <f t="shared" si="170"/>
        <v>0</v>
      </c>
      <c r="Q698" s="224">
        <v>0</v>
      </c>
      <c r="R698" s="224">
        <v>0</v>
      </c>
      <c r="S698" s="224">
        <v>0</v>
      </c>
      <c r="T698" s="224">
        <f t="shared" si="171"/>
        <v>0</v>
      </c>
      <c r="U698" s="224">
        <f t="shared" si="172"/>
        <v>0</v>
      </c>
    </row>
    <row r="699" spans="1:21" ht="19.5" x14ac:dyDescent="0.3">
      <c r="A699" s="138"/>
      <c r="B699" s="139"/>
      <c r="C699" s="177" t="s">
        <v>18</v>
      </c>
      <c r="D699" s="498" t="s">
        <v>38</v>
      </c>
      <c r="E699" s="141"/>
      <c r="F699" s="141"/>
      <c r="G699" s="141"/>
      <c r="H699" s="178"/>
      <c r="I699" s="135"/>
      <c r="J699" s="135"/>
      <c r="K699" s="136"/>
      <c r="L699" s="465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IFERROR(__xludf.DUMMYFUNCTION("IMPORTRANGE(""https://docs.google.com/spreadsheets/d/1eHaY18a8A9IcSdp1K8H6x8fbOy06t2VsZHhMHf-1x7Y/edit?usp=sharing"",""แผน!LC30"")"),0)</f>
        <v>0</v>
      </c>
      <c r="J700" s="466">
        <v>0</v>
      </c>
      <c r="K700" s="497">
        <f t="shared" ref="K700:K710" ca="1" si="175">IF(I700&gt;0,J700*100/I700,0)</f>
        <v>0</v>
      </c>
      <c r="L700" s="4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24" t="s">
        <v>258</v>
      </c>
      <c r="F701" s="145"/>
      <c r="G701" s="143"/>
      <c r="H701" s="131" t="s">
        <v>35</v>
      </c>
      <c r="I701" s="328">
        <f ca="1">I703+I705</f>
        <v>59</v>
      </c>
      <c r="J701" s="328">
        <f ca="1">J703+J705</f>
        <v>30</v>
      </c>
      <c r="K701" s="470">
        <f t="shared" ca="1" si="175"/>
        <v>50.847457627118644</v>
      </c>
      <c r="L701" s="4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28.87</v>
      </c>
      <c r="K702" s="470">
        <f t="shared" si="175"/>
        <v>0</v>
      </c>
      <c r="L702" s="4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IFERROR(__xludf.DUMMYFUNCTION("IMPORTRANGE(""https://docs.google.com/spreadsheets/d/1eHaY18a8A9IcSdp1K8H6x8fbOy06t2VsZHhMHf-1x7Y/edit?usp=sharing"",""แผน!LJ30"")"),55)</f>
        <v>55</v>
      </c>
      <c r="J703" s="184">
        <f ca="1">IFERROR(__xludf.DUMMYFUNCTION("IMPORTRANGE(""https://docs.google.com/spreadsheets/d/1tdoBKaGub7dwA3U6UFTqxio9LNnvDCQjHKmttSEBsFQ/edit?usp=sharing"",""จัดที่ดิน!AP30"")"),30)</f>
        <v>30</v>
      </c>
      <c r="K703" s="224">
        <f t="shared" ca="1" si="175"/>
        <v>54.545454545454547</v>
      </c>
      <c r="L703" s="4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IFERROR(__xludf.DUMMYFUNCTION("IMPORTRANGE(""https://docs.google.com/spreadsheets/d/1tdoBKaGub7dwA3U6UFTqxio9LNnvDCQjHKmttSEBsFQ/edit?usp=sharing"",""จัดที่ดิน!AQ30"")"),28.87)</f>
        <v>28.87</v>
      </c>
      <c r="K704" s="224">
        <f t="shared" si="175"/>
        <v>0</v>
      </c>
      <c r="L704" s="4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IFERROR(__xludf.DUMMYFUNCTION("IMPORTRANGE(""https://docs.google.com/spreadsheets/d/1eHaY18a8A9IcSdp1K8H6x8fbOy06t2VsZHhMHf-1x7Y/edit?usp=sharing"",""แผน!LK30"")"),4)</f>
        <v>4</v>
      </c>
      <c r="J705" s="184">
        <f ca="1">IFERROR(__xludf.DUMMYFUNCTION("IMPORTRANGE(""https://docs.google.com/spreadsheets/d/1tdoBKaGub7dwA3U6UFTqxio9LNnvDCQjHKmttSEBsFQ/edit?usp=sharing"",""จัดที่ดิน!AR30"")"),0)</f>
        <v>0</v>
      </c>
      <c r="K705" s="497">
        <f t="shared" ca="1" si="175"/>
        <v>0</v>
      </c>
      <c r="L705" s="4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IFERROR(__xludf.DUMMYFUNCTION("IMPORTRANGE(""https://docs.google.com/spreadsheets/d/1tdoBKaGub7dwA3U6UFTqxio9LNnvDCQjHKmttSEBsFQ/edit?usp=sharing"",""จัดที่ดิน!AS30"")"),0)</f>
        <v>0</v>
      </c>
      <c r="K706" s="224">
        <f t="shared" si="175"/>
        <v>0</v>
      </c>
      <c r="L706" s="4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IFERROR(__xludf.DUMMYFUNCTION("IMPORTRANGE(""https://docs.google.com/spreadsheets/d/1eHaY18a8A9IcSdp1K8H6x8fbOy06t2VsZHhMHf-1x7Y/edit?usp=sharing"",""แผน!LJ30"")"),55)</f>
        <v>55</v>
      </c>
      <c r="J707" s="184">
        <f ca="1">IFERROR(__xludf.DUMMYFUNCTION("IMPORTRANGE(""https://docs.google.com/spreadsheets/d/1tdoBKaGub7dwA3U6UFTqxio9LNnvDCQjHKmttSEBsFQ/edit?usp=sharing"",""จัดที่ดิน!BN30"")"),28)</f>
        <v>28</v>
      </c>
      <c r="K707" s="224">
        <f t="shared" ca="1" si="175"/>
        <v>50.909090909090907</v>
      </c>
      <c r="L707" s="4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25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IFERROR(__xludf.DUMMYFUNCTION("IMPORTRANGE(""https://docs.google.com/spreadsheets/d/1tdoBKaGub7dwA3U6UFTqxio9LNnvDCQjHKmttSEBsFQ/edit?usp=sharing"",""จัดที่ดิน!BO30"")"),22)</f>
        <v>22</v>
      </c>
      <c r="K708" s="224">
        <f t="shared" si="175"/>
        <v>0</v>
      </c>
      <c r="L708" s="4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IFERROR(__xludf.DUMMYFUNCTION("IMPORTRANGE(""https://docs.google.com/spreadsheets/d/1eHaY18a8A9IcSdp1K8H6x8fbOy06t2VsZHhMHf-1x7Y/edit?usp=sharing"",""แผน!LK30"")"),4)</f>
        <v>4</v>
      </c>
      <c r="J709" s="184">
        <f ca="1">IFERROR(__xludf.DUMMYFUNCTION("IMPORTRANGE(""https://docs.google.com/spreadsheets/d/1tdoBKaGub7dwA3U6UFTqxio9LNnvDCQjHKmttSEBsFQ/edit?usp=sharing"",""จัดที่ดิน!BP30"")"),3)</f>
        <v>3</v>
      </c>
      <c r="K709" s="224">
        <f t="shared" ca="1" si="175"/>
        <v>75</v>
      </c>
      <c r="L709" s="465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25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IFERROR(__xludf.DUMMYFUNCTION("IMPORTRANGE(""https://docs.google.com/spreadsheets/d/1tdoBKaGub7dwA3U6UFTqxio9LNnvDCQjHKmttSEBsFQ/edit?usp=sharing"",""จัดที่ดิน!BQ30"")"),0)</f>
        <v>0</v>
      </c>
      <c r="K710" s="224">
        <f t="shared" si="175"/>
        <v>0</v>
      </c>
      <c r="L710" s="465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496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hidden="1" x14ac:dyDescent="0.3">
      <c r="A712" s="394"/>
      <c r="B712" s="426" t="s">
        <v>265</v>
      </c>
      <c r="C712" s="394"/>
      <c r="D712" s="396"/>
      <c r="E712" s="396"/>
      <c r="F712" s="396"/>
      <c r="G712" s="397"/>
      <c r="H712" s="427" t="s">
        <v>46</v>
      </c>
      <c r="I712" s="399"/>
      <c r="J712" s="399">
        <f>J724</f>
        <v>0</v>
      </c>
      <c r="K712" s="495">
        <f>IF(I712&gt;0,J712*100/I712,0)</f>
        <v>0</v>
      </c>
      <c r="L712" s="473"/>
      <c r="M712" s="400"/>
      <c r="N712" s="400"/>
      <c r="O712" s="400"/>
      <c r="P712" s="400"/>
      <c r="Q712" s="400"/>
      <c r="R712" s="400"/>
      <c r="S712" s="400"/>
      <c r="T712" s="400"/>
      <c r="U712" s="400"/>
    </row>
    <row r="713" spans="1:21" ht="19.5" hidden="1" x14ac:dyDescent="0.3">
      <c r="A713" s="394"/>
      <c r="B713" s="426" t="s">
        <v>266</v>
      </c>
      <c r="C713" s="394"/>
      <c r="D713" s="396"/>
      <c r="E713" s="396"/>
      <c r="F713" s="396"/>
      <c r="G713" s="397"/>
      <c r="H713" s="398"/>
      <c r="I713" s="399"/>
      <c r="J713" s="399"/>
      <c r="K713" s="400"/>
      <c r="L713" s="47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128"/>
      <c r="B714" s="158"/>
      <c r="C714" s="314" t="s">
        <v>18</v>
      </c>
      <c r="D714" s="820" t="s">
        <v>19</v>
      </c>
      <c r="E714" s="793"/>
      <c r="F714" s="793"/>
      <c r="G714" s="794"/>
      <c r="H714" s="372" t="s">
        <v>14</v>
      </c>
      <c r="I714" s="44"/>
      <c r="J714" s="44"/>
      <c r="K714" s="45"/>
      <c r="L714" s="471">
        <f>L715+L716</f>
        <v>0</v>
      </c>
      <c r="M714" s="470">
        <f>M715+M716</f>
        <v>0</v>
      </c>
      <c r="N714" s="470">
        <f>N715+N716</f>
        <v>0</v>
      </c>
      <c r="O714" s="470">
        <f t="shared" ref="O714:O722" si="176">IF(L714&gt;0,N714*100/L714,0)</f>
        <v>0</v>
      </c>
      <c r="P714" s="470">
        <f t="shared" ref="P714:P722" si="177">IF(M714&gt;0,N714*100/M714,0)</f>
        <v>0</v>
      </c>
      <c r="Q714" s="470">
        <f>Q715+Q716</f>
        <v>0</v>
      </c>
      <c r="R714" s="470">
        <f>R715+R716</f>
        <v>0</v>
      </c>
      <c r="S714" s="470">
        <f>S715+S716</f>
        <v>0</v>
      </c>
      <c r="T714" s="470">
        <f t="shared" ref="T714:T722" si="178">IF(Q714&gt;0,S714*100/Q714,0)</f>
        <v>0</v>
      </c>
      <c r="U714" s="470">
        <f t="shared" ref="U714:U722" si="179"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469">
        <f t="shared" ref="L715:N716" si="180">L718+L721</f>
        <v>0</v>
      </c>
      <c r="M715" s="83">
        <f t="shared" si="180"/>
        <v>0</v>
      </c>
      <c r="N715" s="83">
        <f t="shared" si="180"/>
        <v>0</v>
      </c>
      <c r="O715" s="83">
        <f t="shared" si="176"/>
        <v>0</v>
      </c>
      <c r="P715" s="83">
        <f t="shared" si="177"/>
        <v>0</v>
      </c>
      <c r="Q715" s="83">
        <f t="shared" ref="Q715:S716" si="181">Q718+Q721</f>
        <v>0</v>
      </c>
      <c r="R715" s="83">
        <f t="shared" si="181"/>
        <v>0</v>
      </c>
      <c r="S715" s="83">
        <f t="shared" si="181"/>
        <v>0</v>
      </c>
      <c r="T715" s="83">
        <f t="shared" si="178"/>
        <v>0</v>
      </c>
      <c r="U715" s="83">
        <f t="shared" si="179"/>
        <v>0</v>
      </c>
    </row>
    <row r="716" spans="1:21" ht="18.75" hidden="1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468">
        <f t="shared" si="180"/>
        <v>0</v>
      </c>
      <c r="M716" s="224">
        <f t="shared" si="180"/>
        <v>0</v>
      </c>
      <c r="N716" s="224">
        <f t="shared" si="180"/>
        <v>0</v>
      </c>
      <c r="O716" s="224">
        <f t="shared" si="176"/>
        <v>0</v>
      </c>
      <c r="P716" s="224">
        <f t="shared" si="177"/>
        <v>0</v>
      </c>
      <c r="Q716" s="224">
        <f t="shared" si="181"/>
        <v>0</v>
      </c>
      <c r="R716" s="224">
        <f t="shared" si="181"/>
        <v>0</v>
      </c>
      <c r="S716" s="224">
        <f t="shared" si="181"/>
        <v>0</v>
      </c>
      <c r="T716" s="224">
        <f t="shared" si="178"/>
        <v>0</v>
      </c>
      <c r="U716" s="224">
        <f t="shared" si="179"/>
        <v>0</v>
      </c>
    </row>
    <row r="717" spans="1:21" ht="19.5" hidden="1" x14ac:dyDescent="0.3">
      <c r="A717" s="128"/>
      <c r="B717" s="158"/>
      <c r="C717" s="158"/>
      <c r="D717" s="494" t="s">
        <v>22</v>
      </c>
      <c r="E717" s="40"/>
      <c r="F717" s="40"/>
      <c r="G717" s="42"/>
      <c r="H717" s="372" t="s">
        <v>14</v>
      </c>
      <c r="I717" s="135"/>
      <c r="J717" s="135"/>
      <c r="K717" s="136"/>
      <c r="L717" s="468">
        <f>L718+L719</f>
        <v>0</v>
      </c>
      <c r="M717" s="224">
        <f>M718+M719</f>
        <v>0</v>
      </c>
      <c r="N717" s="224">
        <f>N718+N719</f>
        <v>0</v>
      </c>
      <c r="O717" s="224">
        <f t="shared" si="176"/>
        <v>0</v>
      </c>
      <c r="P717" s="224">
        <f t="shared" si="177"/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 t="shared" si="178"/>
        <v>0</v>
      </c>
      <c r="U717" s="224">
        <f t="shared" si="179"/>
        <v>0</v>
      </c>
    </row>
    <row r="718" spans="1:21" ht="18.75" hidden="1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469">
        <v>0</v>
      </c>
      <c r="M718" s="83">
        <v>0</v>
      </c>
      <c r="N718" s="83">
        <v>0</v>
      </c>
      <c r="O718" s="83">
        <f t="shared" si="176"/>
        <v>0</v>
      </c>
      <c r="P718" s="83">
        <f t="shared" si="177"/>
        <v>0</v>
      </c>
      <c r="Q718" s="83">
        <v>0</v>
      </c>
      <c r="R718" s="83">
        <v>0</v>
      </c>
      <c r="S718" s="83">
        <v>0</v>
      </c>
      <c r="T718" s="83">
        <f t="shared" si="178"/>
        <v>0</v>
      </c>
      <c r="U718" s="83">
        <f t="shared" si="179"/>
        <v>0</v>
      </c>
    </row>
    <row r="719" spans="1:21" ht="18.75" hidden="1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468">
        <v>0</v>
      </c>
      <c r="M719" s="224">
        <v>0</v>
      </c>
      <c r="N719" s="224">
        <v>0</v>
      </c>
      <c r="O719" s="224">
        <f t="shared" si="176"/>
        <v>0</v>
      </c>
      <c r="P719" s="224">
        <f t="shared" si="177"/>
        <v>0</v>
      </c>
      <c r="Q719" s="224">
        <v>0</v>
      </c>
      <c r="R719" s="224">
        <v>0</v>
      </c>
      <c r="S719" s="224">
        <v>0</v>
      </c>
      <c r="T719" s="224">
        <f t="shared" si="178"/>
        <v>0</v>
      </c>
      <c r="U719" s="224">
        <f t="shared" si="179"/>
        <v>0</v>
      </c>
    </row>
    <row r="720" spans="1:21" ht="19.5" hidden="1" x14ac:dyDescent="0.3">
      <c r="A720" s="128"/>
      <c r="B720" s="158"/>
      <c r="C720" s="158"/>
      <c r="D720" s="494" t="s">
        <v>23</v>
      </c>
      <c r="E720" s="40"/>
      <c r="F720" s="40"/>
      <c r="G720" s="42"/>
      <c r="H720" s="374" t="s">
        <v>14</v>
      </c>
      <c r="I720" s="135"/>
      <c r="J720" s="135"/>
      <c r="K720" s="136"/>
      <c r="L720" s="468">
        <f>L721+L722</f>
        <v>0</v>
      </c>
      <c r="M720" s="224">
        <f>M721+M722</f>
        <v>0</v>
      </c>
      <c r="N720" s="224">
        <f>N721+N722</f>
        <v>0</v>
      </c>
      <c r="O720" s="224">
        <f t="shared" si="176"/>
        <v>0</v>
      </c>
      <c r="P720" s="224">
        <f t="shared" si="177"/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 t="shared" si="178"/>
        <v>0</v>
      </c>
      <c r="U720" s="224">
        <f t="shared" si="179"/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469">
        <v>0</v>
      </c>
      <c r="M721" s="83">
        <v>0</v>
      </c>
      <c r="N721" s="83">
        <v>0</v>
      </c>
      <c r="O721" s="83">
        <f t="shared" si="176"/>
        <v>0</v>
      </c>
      <c r="P721" s="83">
        <f t="shared" si="177"/>
        <v>0</v>
      </c>
      <c r="Q721" s="83">
        <v>0</v>
      </c>
      <c r="R721" s="83">
        <v>0</v>
      </c>
      <c r="S721" s="83">
        <v>0</v>
      </c>
      <c r="T721" s="83">
        <f t="shared" si="178"/>
        <v>0</v>
      </c>
      <c r="U721" s="83">
        <f t="shared" si="179"/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375" t="s">
        <v>14</v>
      </c>
      <c r="I722" s="135"/>
      <c r="J722" s="135"/>
      <c r="K722" s="136"/>
      <c r="L722" s="468">
        <v>0</v>
      </c>
      <c r="M722" s="224">
        <v>0</v>
      </c>
      <c r="N722" s="224">
        <v>0</v>
      </c>
      <c r="O722" s="224">
        <f t="shared" si="176"/>
        <v>0</v>
      </c>
      <c r="P722" s="224">
        <f t="shared" si="177"/>
        <v>0</v>
      </c>
      <c r="Q722" s="224">
        <v>0</v>
      </c>
      <c r="R722" s="224">
        <v>0</v>
      </c>
      <c r="S722" s="224">
        <v>0</v>
      </c>
      <c r="T722" s="224">
        <f t="shared" si="178"/>
        <v>0</v>
      </c>
      <c r="U722" s="224">
        <f t="shared" si="179"/>
        <v>0</v>
      </c>
    </row>
    <row r="723" spans="1:21" ht="19.5" hidden="1" x14ac:dyDescent="0.3">
      <c r="A723" s="138"/>
      <c r="B723" s="139"/>
      <c r="C723" s="314" t="s">
        <v>18</v>
      </c>
      <c r="D723" s="493" t="s">
        <v>38</v>
      </c>
      <c r="E723" s="141"/>
      <c r="F723" s="141"/>
      <c r="G723" s="142"/>
      <c r="H723" s="178"/>
      <c r="I723" s="135"/>
      <c r="J723" s="135"/>
      <c r="K723" s="136"/>
      <c r="L723" s="4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30">
        <v>0</v>
      </c>
      <c r="J724" s="44"/>
      <c r="K724" s="45"/>
      <c r="L724" s="465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29"/>
      <c r="B725" s="2"/>
      <c r="C725" s="2"/>
      <c r="D725" s="1"/>
      <c r="E725" s="431" t="s">
        <v>268</v>
      </c>
      <c r="F725" s="1"/>
      <c r="G725" s="52"/>
      <c r="H725" s="432" t="s">
        <v>46</v>
      </c>
      <c r="I725" s="433">
        <v>0</v>
      </c>
      <c r="J725" s="54"/>
      <c r="K725" s="3"/>
      <c r="L725" s="46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94"/>
      <c r="B726" s="395" t="s">
        <v>269</v>
      </c>
      <c r="C726" s="394"/>
      <c r="D726" s="396"/>
      <c r="E726" s="396"/>
      <c r="F726" s="396"/>
      <c r="G726" s="397"/>
      <c r="H726" s="434" t="s">
        <v>35</v>
      </c>
      <c r="I726" s="475">
        <f ca="1">IFERROR(__xludf.DUMMYFUNCTION("IMPORTRANGE(""https://docs.google.com/spreadsheets/d/1eHaY18a8A9IcSdp1K8H6x8fbOy06t2VsZHhMHf-1x7Y/edit?usp=sharing"",""แผน!GA30"")"),128)</f>
        <v>128</v>
      </c>
      <c r="J726" s="475">
        <f>J742+J746+J749</f>
        <v>0</v>
      </c>
      <c r="K726" s="474">
        <f ca="1">IF(I726&gt;0,J726*100/I726,0)</f>
        <v>0</v>
      </c>
      <c r="L726" s="473"/>
      <c r="M726" s="400"/>
      <c r="N726" s="400"/>
      <c r="O726" s="400"/>
      <c r="P726" s="400"/>
      <c r="Q726" s="400"/>
      <c r="R726" s="400"/>
      <c r="S726" s="400"/>
      <c r="T726" s="400"/>
      <c r="U726" s="400"/>
    </row>
    <row r="727" spans="1:21" ht="19.5" x14ac:dyDescent="0.3">
      <c r="A727" s="436"/>
      <c r="B727" s="394"/>
      <c r="C727" s="394"/>
      <c r="D727" s="396"/>
      <c r="E727" s="396"/>
      <c r="F727" s="396"/>
      <c r="G727" s="397"/>
      <c r="H727" s="434" t="s">
        <v>46</v>
      </c>
      <c r="I727" s="475">
        <f ca="1">IFERROR(__xludf.DUMMYFUNCTION("IMPORTRANGE(""https://docs.google.com/spreadsheets/d/1eHaY18a8A9IcSdp1K8H6x8fbOy06t2VsZHhMHf-1x7Y/edit?usp=sharing"",""แผน!FZ30"")"),1250)</f>
        <v>1250</v>
      </c>
      <c r="J727" s="475">
        <f>J752+J755</f>
        <v>0</v>
      </c>
      <c r="K727" s="474">
        <f ca="1">IF(I727&gt;0,J727*100/I727,0)</f>
        <v>0</v>
      </c>
      <c r="L727" s="47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128"/>
      <c r="B728" s="158"/>
      <c r="C728" s="177" t="s">
        <v>18</v>
      </c>
      <c r="D728" s="821" t="s">
        <v>19</v>
      </c>
      <c r="E728" s="793"/>
      <c r="F728" s="793"/>
      <c r="G728" s="794"/>
      <c r="H728" s="221" t="s">
        <v>14</v>
      </c>
      <c r="I728" s="44"/>
      <c r="J728" s="44"/>
      <c r="K728" s="45"/>
      <c r="L728" s="471">
        <f>L729+L730</f>
        <v>0</v>
      </c>
      <c r="M728" s="470">
        <f>M729+M730</f>
        <v>0</v>
      </c>
      <c r="N728" s="470">
        <f>N729+N730</f>
        <v>0</v>
      </c>
      <c r="O728" s="470">
        <f t="shared" ref="O728:O736" si="182">IF(L728&gt;0,N728*100/L728,0)</f>
        <v>0</v>
      </c>
      <c r="P728" s="470">
        <f t="shared" ref="P728:P736" si="183">IF(M728&gt;0,N728*100/M728,0)</f>
        <v>0</v>
      </c>
      <c r="Q728" s="470">
        <f ca="1">Q729+Q730</f>
        <v>1008470</v>
      </c>
      <c r="R728" s="470">
        <f ca="1">R729+R730</f>
        <v>1008470</v>
      </c>
      <c r="S728" s="470">
        <f ca="1">S729+S730</f>
        <v>138840</v>
      </c>
      <c r="T728" s="470">
        <f t="shared" ref="T728:T736" ca="1" si="184">IF(Q728&gt;0,S728*100/Q728,0)</f>
        <v>13.767390204963956</v>
      </c>
      <c r="U728" s="470">
        <f t="shared" ref="U728:U736" ca="1" si="185">IF(R728&gt;0,S728*100/R728,0)</f>
        <v>13.767390204963956</v>
      </c>
    </row>
    <row r="729" spans="1:21" ht="18.75" hidden="1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469">
        <f t="shared" ref="L729:N730" si="186">L732+L735</f>
        <v>0</v>
      </c>
      <c r="M729" s="83">
        <f t="shared" si="186"/>
        <v>0</v>
      </c>
      <c r="N729" s="83">
        <f t="shared" si="186"/>
        <v>0</v>
      </c>
      <c r="O729" s="83">
        <f t="shared" si="182"/>
        <v>0</v>
      </c>
      <c r="P729" s="83">
        <f t="shared" si="183"/>
        <v>0</v>
      </c>
      <c r="Q729" s="83">
        <f t="shared" ref="Q729:S730" si="187">Q732+Q735</f>
        <v>0</v>
      </c>
      <c r="R729" s="83">
        <f t="shared" si="187"/>
        <v>0</v>
      </c>
      <c r="S729" s="83">
        <f t="shared" si="187"/>
        <v>0</v>
      </c>
      <c r="T729" s="83">
        <f t="shared" si="184"/>
        <v>0</v>
      </c>
      <c r="U729" s="83">
        <f t="shared" si="185"/>
        <v>0</v>
      </c>
    </row>
    <row r="730" spans="1:21" ht="18.75" hidden="1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468">
        <f t="shared" si="186"/>
        <v>0</v>
      </c>
      <c r="M730" s="224">
        <f t="shared" si="186"/>
        <v>0</v>
      </c>
      <c r="N730" s="224">
        <f t="shared" si="186"/>
        <v>0</v>
      </c>
      <c r="O730" s="224">
        <f t="shared" si="182"/>
        <v>0</v>
      </c>
      <c r="P730" s="224">
        <f t="shared" si="183"/>
        <v>0</v>
      </c>
      <c r="Q730" s="224">
        <f t="shared" ca="1" si="187"/>
        <v>1008470</v>
      </c>
      <c r="R730" s="224">
        <f t="shared" ca="1" si="187"/>
        <v>1008470</v>
      </c>
      <c r="S730" s="224">
        <f t="shared" ca="1" si="187"/>
        <v>138840</v>
      </c>
      <c r="T730" s="224">
        <f t="shared" ca="1" si="184"/>
        <v>13.767390204963956</v>
      </c>
      <c r="U730" s="224">
        <f t="shared" ca="1" si="185"/>
        <v>13.767390204963956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468">
        <f>L732+L733</f>
        <v>0</v>
      </c>
      <c r="M731" s="224">
        <f>M732+M733</f>
        <v>0</v>
      </c>
      <c r="N731" s="224">
        <f>N732+N733</f>
        <v>0</v>
      </c>
      <c r="O731" s="224">
        <f t="shared" si="182"/>
        <v>0</v>
      </c>
      <c r="P731" s="224">
        <f t="shared" si="183"/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138840</v>
      </c>
      <c r="T731" s="224">
        <f t="shared" ca="1" si="184"/>
        <v>13.767390204963956</v>
      </c>
      <c r="U731" s="224">
        <f t="shared" ca="1" si="185"/>
        <v>13.767390204963956</v>
      </c>
    </row>
    <row r="732" spans="1:21" ht="18.75" hidden="1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469">
        <v>0</v>
      </c>
      <c r="M732" s="83">
        <v>0</v>
      </c>
      <c r="N732" s="83">
        <v>0</v>
      </c>
      <c r="O732" s="83">
        <f t="shared" si="182"/>
        <v>0</v>
      </c>
      <c r="P732" s="83">
        <f t="shared" si="183"/>
        <v>0</v>
      </c>
      <c r="Q732" s="83">
        <v>0</v>
      </c>
      <c r="R732" s="83">
        <v>0</v>
      </c>
      <c r="S732" s="83">
        <v>0</v>
      </c>
      <c r="T732" s="83">
        <f t="shared" si="184"/>
        <v>0</v>
      </c>
      <c r="U732" s="83">
        <f t="shared" si="185"/>
        <v>0</v>
      </c>
    </row>
    <row r="733" spans="1:21" ht="18.75" hidden="1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468">
        <v>0</v>
      </c>
      <c r="M733" s="224">
        <v>0</v>
      </c>
      <c r="N733" s="224">
        <v>0</v>
      </c>
      <c r="O733" s="224">
        <f t="shared" si="182"/>
        <v>0</v>
      </c>
      <c r="P733" s="224">
        <f t="shared" si="183"/>
        <v>0</v>
      </c>
      <c r="Q733" s="224">
        <f ca="1">IFERROR(__xludf.DUMMYFUNCTION("IMPORTRANGE(""https://docs.google.com/spreadsheets/d/1ItG2mGa2ceCfYo0BwxsXqNm01IGEUdYcSSLTEv9YCik/edit?usp=sharing"",""เบิกจ่ายกองทุน!O30"")"),1008470)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IFERROR(__xludf.DUMMYFUNCTION("IMPORTRANGE(""https://docs.google.com/spreadsheets/d/1ItG2mGa2ceCfYo0BwxsXqNm01IGEUdYcSSLTEv9YCik/edit?usp=sharing"",""เบิกจ่ายกองทุน!P30"")"),1008470)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IFERROR(__xludf.DUMMYFUNCTION("IMPORTRANGE(""https://docs.google.com/spreadsheets/d/1ItG2mGa2ceCfYo0BwxsXqNm01IGEUdYcSSLTEv9YCik/edit?usp=sharing"",""เบิกจ่ายกองทุน!Q30"")"),138840)</f>
        <v>138840</v>
      </c>
      <c r="T733" s="224">
        <f t="shared" ca="1" si="184"/>
        <v>13.767390204963956</v>
      </c>
      <c r="U733" s="224">
        <f t="shared" ca="1" si="185"/>
        <v>13.767390204963956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468">
        <f>L735+L736</f>
        <v>0</v>
      </c>
      <c r="M734" s="224">
        <f>M735+M736</f>
        <v>0</v>
      </c>
      <c r="N734" s="224">
        <f>N735+N736</f>
        <v>0</v>
      </c>
      <c r="O734" s="224">
        <f t="shared" si="182"/>
        <v>0</v>
      </c>
      <c r="P734" s="224">
        <f t="shared" si="183"/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 t="shared" si="184"/>
        <v>0</v>
      </c>
      <c r="U734" s="224">
        <f t="shared" si="185"/>
        <v>0</v>
      </c>
    </row>
    <row r="735" spans="1:21" ht="18.75" hidden="1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469">
        <v>0</v>
      </c>
      <c r="M735" s="83">
        <v>0</v>
      </c>
      <c r="N735" s="83">
        <v>0</v>
      </c>
      <c r="O735" s="83">
        <f t="shared" si="182"/>
        <v>0</v>
      </c>
      <c r="P735" s="83">
        <f t="shared" si="183"/>
        <v>0</v>
      </c>
      <c r="Q735" s="83">
        <v>0</v>
      </c>
      <c r="R735" s="83">
        <v>0</v>
      </c>
      <c r="S735" s="83">
        <v>0</v>
      </c>
      <c r="T735" s="83">
        <f t="shared" si="184"/>
        <v>0</v>
      </c>
      <c r="U735" s="83">
        <f t="shared" si="185"/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468">
        <v>0</v>
      </c>
      <c r="M736" s="224">
        <v>0</v>
      </c>
      <c r="N736" s="224">
        <v>0</v>
      </c>
      <c r="O736" s="224">
        <f t="shared" si="182"/>
        <v>0</v>
      </c>
      <c r="P736" s="224">
        <f t="shared" si="183"/>
        <v>0</v>
      </c>
      <c r="Q736" s="224">
        <v>0</v>
      </c>
      <c r="R736" s="224">
        <v>0</v>
      </c>
      <c r="S736" s="224">
        <v>0</v>
      </c>
      <c r="T736" s="224">
        <f t="shared" si="184"/>
        <v>0</v>
      </c>
      <c r="U736" s="224">
        <f t="shared" si="185"/>
        <v>0</v>
      </c>
    </row>
    <row r="737" spans="1:21" ht="19.5" x14ac:dyDescent="0.3">
      <c r="A737" s="138"/>
      <c r="B737" s="139"/>
      <c r="C737" s="177" t="s">
        <v>18</v>
      </c>
      <c r="D737" s="491" t="s">
        <v>38</v>
      </c>
      <c r="E737" s="203"/>
      <c r="F737" s="141"/>
      <c r="G737" s="142"/>
      <c r="H737" s="178"/>
      <c r="I737" s="44"/>
      <c r="J737" s="44"/>
      <c r="K737" s="45"/>
      <c r="L737" s="465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7" t="s">
        <v>121</v>
      </c>
      <c r="E738" s="139"/>
      <c r="F738" s="139"/>
      <c r="G738" s="143"/>
      <c r="H738" s="180"/>
      <c r="I738" s="44"/>
      <c r="J738" s="44"/>
      <c r="K738" s="45"/>
      <c r="L738" s="465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10" t="s">
        <v>270</v>
      </c>
      <c r="F739" s="139"/>
      <c r="G739" s="143"/>
      <c r="H739" s="180"/>
      <c r="I739" s="44"/>
      <c r="J739" s="44"/>
      <c r="K739" s="45"/>
      <c r="L739" s="465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10" t="s">
        <v>271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IFERROR(__xludf.DUMMYFUNCTION("IMPORTRANGE(""https://docs.google.com/spreadsheets/d/1eHaY18a8A9IcSdp1K8H6x8fbOy06t2VsZHhMHf-1x7Y/edit?usp=sharing"",""แผน!GB30"")"),1000)</f>
        <v>1000</v>
      </c>
      <c r="J740" s="466">
        <v>0</v>
      </c>
      <c r="K740" s="224">
        <f ca="1">IF(I740&gt;0,J740*100/I740,0)</f>
        <v>0</v>
      </c>
      <c r="L740" s="465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138"/>
      <c r="B741" s="139"/>
      <c r="C741" s="139"/>
      <c r="D741" s="139"/>
      <c r="E741" s="139"/>
      <c r="F741" s="410" t="s">
        <v>272</v>
      </c>
      <c r="G741" s="143"/>
      <c r="H741" s="133" t="s">
        <v>35</v>
      </c>
      <c r="I741" s="44"/>
      <c r="J741" s="466">
        <v>0</v>
      </c>
      <c r="K741" s="45"/>
      <c r="L741" s="465"/>
      <c r="M741" s="45"/>
      <c r="N741" s="45"/>
      <c r="O741" s="45"/>
      <c r="P741" s="45"/>
      <c r="Q741" s="45"/>
      <c r="R741" s="45"/>
      <c r="S741" s="45"/>
      <c r="T741" s="45"/>
      <c r="U741" s="45"/>
    </row>
    <row r="742" spans="1:21" ht="18.75" x14ac:dyDescent="0.25">
      <c r="A742" s="138"/>
      <c r="B742" s="139"/>
      <c r="C742" s="139"/>
      <c r="D742" s="139"/>
      <c r="E742" s="139"/>
      <c r="F742" s="410" t="s">
        <v>273</v>
      </c>
      <c r="G742" s="143"/>
      <c r="H742" s="133" t="s">
        <v>35</v>
      </c>
      <c r="I742" s="184">
        <f ca="1">IFERROR(__xludf.DUMMYFUNCTION("IMPORTRANGE(""https://docs.google.com/spreadsheets/d/1eHaY18a8A9IcSdp1K8H6x8fbOy06t2VsZHhMHf-1x7Y/edit?usp=sharing"",""แผน!GC30"")"),100)</f>
        <v>100</v>
      </c>
      <c r="J742" s="466">
        <v>0</v>
      </c>
      <c r="K742" s="224">
        <f ca="1">IF(I742&gt;0,J742*100/I742,0)</f>
        <v>0</v>
      </c>
      <c r="L742" s="465"/>
      <c r="M742" s="45"/>
      <c r="N742" s="45"/>
      <c r="O742" s="45"/>
      <c r="P742" s="45"/>
      <c r="Q742" s="45"/>
      <c r="R742" s="45"/>
      <c r="S742" s="45"/>
      <c r="T742" s="45"/>
      <c r="U742" s="45"/>
    </row>
    <row r="743" spans="1:21" ht="18.75" x14ac:dyDescent="0.25">
      <c r="A743" s="138"/>
      <c r="B743" s="139"/>
      <c r="C743" s="139"/>
      <c r="D743" s="139"/>
      <c r="E743" s="410" t="s">
        <v>274</v>
      </c>
      <c r="F743" s="139"/>
      <c r="G743" s="143"/>
      <c r="H743" s="180"/>
      <c r="I743" s="44"/>
      <c r="J743" s="44"/>
      <c r="K743" s="45"/>
      <c r="L743" s="465"/>
      <c r="M743" s="45"/>
      <c r="N743" s="45"/>
      <c r="O743" s="45"/>
      <c r="P743" s="45"/>
      <c r="Q743" s="45"/>
      <c r="R743" s="45"/>
      <c r="S743" s="45"/>
      <c r="T743" s="45"/>
      <c r="U743" s="45"/>
    </row>
    <row r="744" spans="1:21" ht="18.75" x14ac:dyDescent="0.25">
      <c r="A744" s="138"/>
      <c r="B744" s="139"/>
      <c r="C744" s="139"/>
      <c r="D744" s="139"/>
      <c r="E744" s="139"/>
      <c r="F744" s="410" t="s">
        <v>271</v>
      </c>
      <c r="G744" s="143"/>
      <c r="H744" s="133" t="s">
        <v>46</v>
      </c>
      <c r="I744" s="184">
        <f ca="1">IFERROR(__xludf.DUMMYFUNCTION("IMPORTRANGE(""https://docs.google.com/spreadsheets/d/1eHaY18a8A9IcSdp1K8H6x8fbOy06t2VsZHhMHf-1x7Y/edit?usp=sharing"",""แผน!GD30"")"),250)</f>
        <v>250</v>
      </c>
      <c r="J744" s="466">
        <v>0</v>
      </c>
      <c r="K744" s="224">
        <f ca="1">IF(I744&gt;0,J744*100/I744,0)</f>
        <v>0</v>
      </c>
      <c r="L744" s="465"/>
      <c r="M744" s="45"/>
      <c r="N744" s="45"/>
      <c r="O744" s="45"/>
      <c r="P744" s="45"/>
      <c r="Q744" s="45"/>
      <c r="R744" s="45"/>
      <c r="S744" s="45"/>
      <c r="T744" s="45"/>
      <c r="U744" s="45"/>
    </row>
    <row r="745" spans="1:21" ht="18.75" x14ac:dyDescent="0.25">
      <c r="A745" s="138"/>
      <c r="B745" s="139"/>
      <c r="C745" s="139"/>
      <c r="D745" s="139"/>
      <c r="E745" s="139"/>
      <c r="F745" s="410" t="s">
        <v>275</v>
      </c>
      <c r="G745" s="143"/>
      <c r="H745" s="133" t="s">
        <v>35</v>
      </c>
      <c r="I745" s="44"/>
      <c r="J745" s="466">
        <v>0</v>
      </c>
      <c r="K745" s="45"/>
      <c r="L745" s="465"/>
      <c r="M745" s="45"/>
      <c r="N745" s="45"/>
      <c r="O745" s="45"/>
      <c r="P745" s="45"/>
      <c r="Q745" s="45"/>
      <c r="R745" s="45"/>
      <c r="S745" s="45"/>
      <c r="T745" s="45"/>
      <c r="U745" s="45"/>
    </row>
    <row r="746" spans="1:21" ht="18.75" x14ac:dyDescent="0.25">
      <c r="A746" s="138"/>
      <c r="B746" s="139"/>
      <c r="C746" s="139"/>
      <c r="D746" s="139"/>
      <c r="E746" s="139"/>
      <c r="F746" s="410" t="s">
        <v>276</v>
      </c>
      <c r="G746" s="143"/>
      <c r="H746" s="133" t="s">
        <v>35</v>
      </c>
      <c r="I746" s="184">
        <f ca="1">IFERROR(__xludf.DUMMYFUNCTION("IMPORTRANGE(""https://docs.google.com/spreadsheets/d/1eHaY18a8A9IcSdp1K8H6x8fbOy06t2VsZHhMHf-1x7Y/edit?usp=sharing"",""แผน!GE30"")"),25)</f>
        <v>25</v>
      </c>
      <c r="J746" s="466">
        <v>0</v>
      </c>
      <c r="K746" s="224">
        <f ca="1">IF(I746&gt;0,J746*100/I746,0)</f>
        <v>0</v>
      </c>
      <c r="L746" s="465"/>
      <c r="M746" s="45"/>
      <c r="N746" s="45"/>
      <c r="O746" s="45"/>
      <c r="P746" s="45"/>
      <c r="Q746" s="45"/>
      <c r="R746" s="45"/>
      <c r="S746" s="45"/>
      <c r="T746" s="45"/>
      <c r="U746" s="45"/>
    </row>
    <row r="747" spans="1:21" ht="18.75" x14ac:dyDescent="0.25">
      <c r="A747" s="138"/>
      <c r="B747" s="139"/>
      <c r="C747" s="139"/>
      <c r="D747" s="139"/>
      <c r="E747" s="410" t="s">
        <v>277</v>
      </c>
      <c r="F747" s="145"/>
      <c r="G747" s="143"/>
      <c r="H747" s="180"/>
      <c r="I747" s="44"/>
      <c r="J747" s="44"/>
      <c r="K747" s="45"/>
      <c r="L747" s="465"/>
      <c r="M747" s="45"/>
      <c r="N747" s="45"/>
      <c r="O747" s="45"/>
      <c r="P747" s="45"/>
      <c r="Q747" s="45"/>
      <c r="R747" s="45"/>
      <c r="S747" s="45"/>
      <c r="T747" s="45"/>
      <c r="U747" s="45"/>
    </row>
    <row r="748" spans="1:21" ht="18.75" x14ac:dyDescent="0.25">
      <c r="A748" s="138"/>
      <c r="B748" s="139"/>
      <c r="C748" s="139"/>
      <c r="D748" s="139"/>
      <c r="E748" s="139"/>
      <c r="F748" s="410" t="s">
        <v>278</v>
      </c>
      <c r="G748" s="143"/>
      <c r="H748" s="133" t="s">
        <v>35</v>
      </c>
      <c r="I748" s="44"/>
      <c r="J748" s="466">
        <v>0</v>
      </c>
      <c r="K748" s="45"/>
      <c r="L748" s="465"/>
      <c r="M748" s="45"/>
      <c r="N748" s="45"/>
      <c r="O748" s="45"/>
      <c r="P748" s="45"/>
      <c r="Q748" s="45"/>
      <c r="R748" s="45"/>
      <c r="S748" s="45"/>
      <c r="T748" s="45"/>
      <c r="U748" s="45"/>
    </row>
    <row r="749" spans="1:21" ht="18.75" x14ac:dyDescent="0.25">
      <c r="A749" s="138"/>
      <c r="B749" s="139"/>
      <c r="C749" s="139"/>
      <c r="D749" s="139"/>
      <c r="E749" s="139"/>
      <c r="F749" s="410" t="s">
        <v>279</v>
      </c>
      <c r="G749" s="143"/>
      <c r="H749" s="133" t="s">
        <v>35</v>
      </c>
      <c r="I749" s="184">
        <f ca="1">IFERROR(__xludf.DUMMYFUNCTION("IMPORTRANGE(""https://docs.google.com/spreadsheets/d/1eHaY18a8A9IcSdp1K8H6x8fbOy06t2VsZHhMHf-1x7Y/edit?usp=sharing"",""แผน!GF30"")"),3)</f>
        <v>3</v>
      </c>
      <c r="J749" s="466">
        <v>0</v>
      </c>
      <c r="K749" s="224">
        <f ca="1">IF(I749&gt;0,J749*100/I749,0)</f>
        <v>0</v>
      </c>
      <c r="L749" s="465"/>
      <c r="M749" s="45"/>
      <c r="N749" s="45"/>
      <c r="O749" s="45"/>
      <c r="P749" s="45"/>
      <c r="Q749" s="45"/>
      <c r="R749" s="45"/>
      <c r="S749" s="45"/>
      <c r="T749" s="45"/>
      <c r="U749" s="45"/>
    </row>
    <row r="750" spans="1:21" ht="19.5" x14ac:dyDescent="0.3">
      <c r="A750" s="138"/>
      <c r="B750" s="139"/>
      <c r="C750" s="139"/>
      <c r="D750" s="437" t="s">
        <v>50</v>
      </c>
      <c r="E750" s="139"/>
      <c r="F750" s="145"/>
      <c r="G750" s="143"/>
      <c r="H750" s="180"/>
      <c r="I750" s="44"/>
      <c r="J750" s="44"/>
      <c r="K750" s="45"/>
      <c r="L750" s="465"/>
      <c r="M750" s="45"/>
      <c r="N750" s="45"/>
      <c r="O750" s="45"/>
      <c r="P750" s="45"/>
      <c r="Q750" s="45"/>
      <c r="R750" s="45"/>
      <c r="S750" s="45"/>
      <c r="T750" s="45"/>
      <c r="U750" s="45"/>
    </row>
    <row r="751" spans="1:21" ht="18.75" x14ac:dyDescent="0.25">
      <c r="A751" s="138"/>
      <c r="B751" s="139"/>
      <c r="C751" s="139"/>
      <c r="D751" s="139"/>
      <c r="E751" s="410" t="s">
        <v>270</v>
      </c>
      <c r="F751" s="145"/>
      <c r="G751" s="143"/>
      <c r="H751" s="180"/>
      <c r="I751" s="44"/>
      <c r="J751" s="44"/>
      <c r="K751" s="45"/>
      <c r="L751" s="465"/>
      <c r="M751" s="45"/>
      <c r="N751" s="45"/>
      <c r="O751" s="45"/>
      <c r="P751" s="45"/>
      <c r="Q751" s="45"/>
      <c r="R751" s="45"/>
      <c r="S751" s="45"/>
      <c r="T751" s="45"/>
      <c r="U751" s="45"/>
    </row>
    <row r="752" spans="1:21" ht="18.75" x14ac:dyDescent="0.25">
      <c r="A752" s="138"/>
      <c r="B752" s="139"/>
      <c r="C752" s="139"/>
      <c r="D752" s="139"/>
      <c r="E752" s="139"/>
      <c r="F752" s="149" t="s">
        <v>280</v>
      </c>
      <c r="G752" s="143"/>
      <c r="H752" s="133" t="s">
        <v>46</v>
      </c>
      <c r="I752" s="184">
        <f ca="1">IFERROR(__xludf.DUMMYFUNCTION("IMPORTRANGE(""https://docs.google.com/spreadsheets/d/1eHaY18a8A9IcSdp1K8H6x8fbOy06t2VsZHhMHf-1x7Y/edit?usp=sharing"",""แผน!GB30"")"),1000)</f>
        <v>1000</v>
      </c>
      <c r="J752" s="466">
        <v>0</v>
      </c>
      <c r="K752" s="224">
        <f ca="1">IF(I752&gt;0,J752*100/I752,0)</f>
        <v>0</v>
      </c>
      <c r="L752" s="465"/>
      <c r="M752" s="45"/>
      <c r="N752" s="45"/>
      <c r="O752" s="45"/>
      <c r="P752" s="45"/>
      <c r="Q752" s="45"/>
      <c r="R752" s="45"/>
      <c r="S752" s="45"/>
      <c r="T752" s="45"/>
      <c r="U752" s="45"/>
    </row>
    <row r="753" spans="1:21" ht="18.75" x14ac:dyDescent="0.25">
      <c r="A753" s="138"/>
      <c r="B753" s="139"/>
      <c r="C753" s="139"/>
      <c r="D753" s="139"/>
      <c r="E753" s="139"/>
      <c r="F753" s="149" t="s">
        <v>281</v>
      </c>
      <c r="G753" s="143"/>
      <c r="H753" s="133" t="s">
        <v>46</v>
      </c>
      <c r="I753" s="44"/>
      <c r="J753" s="466">
        <v>0</v>
      </c>
      <c r="K753" s="45"/>
      <c r="L753" s="465"/>
      <c r="M753" s="45"/>
      <c r="N753" s="45"/>
      <c r="O753" s="45"/>
      <c r="P753" s="45"/>
      <c r="Q753" s="45"/>
      <c r="R753" s="45"/>
      <c r="S753" s="45"/>
      <c r="T753" s="45"/>
      <c r="U753" s="45"/>
    </row>
    <row r="754" spans="1:21" ht="18.75" x14ac:dyDescent="0.25">
      <c r="A754" s="138"/>
      <c r="B754" s="139"/>
      <c r="C754" s="139"/>
      <c r="D754" s="139"/>
      <c r="E754" s="410" t="s">
        <v>274</v>
      </c>
      <c r="F754" s="145"/>
      <c r="G754" s="143"/>
      <c r="H754" s="180"/>
      <c r="I754" s="44"/>
      <c r="J754" s="44"/>
      <c r="K754" s="45"/>
      <c r="L754" s="465"/>
      <c r="M754" s="45"/>
      <c r="N754" s="45"/>
      <c r="O754" s="45"/>
      <c r="P754" s="45"/>
      <c r="Q754" s="45"/>
      <c r="R754" s="45"/>
      <c r="S754" s="45"/>
      <c r="T754" s="45"/>
      <c r="U754" s="45"/>
    </row>
    <row r="755" spans="1:21" ht="18.75" x14ac:dyDescent="0.25">
      <c r="A755" s="138"/>
      <c r="B755" s="139"/>
      <c r="C755" s="139"/>
      <c r="D755" s="139"/>
      <c r="E755" s="145"/>
      <c r="F755" s="149" t="s">
        <v>282</v>
      </c>
      <c r="G755" s="143"/>
      <c r="H755" s="133" t="s">
        <v>46</v>
      </c>
      <c r="I755" s="184">
        <f ca="1">IFERROR(__xludf.DUMMYFUNCTION("IMPORTRANGE(""https://docs.google.com/spreadsheets/d/1eHaY18a8A9IcSdp1K8H6x8fbOy06t2VsZHhMHf-1x7Y/edit?usp=sharing"",""แผน!GD30"")"),250)</f>
        <v>250</v>
      </c>
      <c r="J755" s="466">
        <v>0</v>
      </c>
      <c r="K755" s="224">
        <f ca="1">IF(I755&gt;0,J755*100/I755,0)</f>
        <v>0</v>
      </c>
      <c r="L755" s="465"/>
      <c r="M755" s="45"/>
      <c r="N755" s="45"/>
      <c r="O755" s="45"/>
      <c r="P755" s="45"/>
      <c r="Q755" s="45"/>
      <c r="R755" s="45"/>
      <c r="S755" s="45"/>
      <c r="T755" s="45"/>
      <c r="U755" s="45"/>
    </row>
    <row r="756" spans="1:21" ht="18.75" x14ac:dyDescent="0.25">
      <c r="A756" s="138"/>
      <c r="B756" s="139"/>
      <c r="C756" s="139"/>
      <c r="D756" s="139"/>
      <c r="E756" s="145"/>
      <c r="F756" s="149" t="s">
        <v>283</v>
      </c>
      <c r="G756" s="143"/>
      <c r="H756" s="133" t="s">
        <v>46</v>
      </c>
      <c r="I756" s="44"/>
      <c r="J756" s="466">
        <v>0</v>
      </c>
      <c r="K756" s="45"/>
      <c r="L756" s="465"/>
      <c r="M756" s="45"/>
      <c r="N756" s="45"/>
      <c r="O756" s="45"/>
      <c r="P756" s="45"/>
      <c r="Q756" s="45"/>
      <c r="R756" s="45"/>
      <c r="S756" s="45"/>
      <c r="T756" s="45"/>
      <c r="U756" s="45"/>
    </row>
    <row r="757" spans="1:21" ht="18.75" x14ac:dyDescent="0.25">
      <c r="A757" s="438"/>
      <c r="B757" s="438"/>
      <c r="C757" s="438"/>
      <c r="D757" s="438"/>
      <c r="E757" s="439" t="s">
        <v>284</v>
      </c>
      <c r="F757" s="440"/>
      <c r="G757" s="441"/>
      <c r="H757" s="442" t="s">
        <v>35</v>
      </c>
      <c r="I757" s="443"/>
      <c r="J757" s="444">
        <v>0</v>
      </c>
      <c r="K757" s="445"/>
      <c r="L757" s="445"/>
      <c r="M757" s="445"/>
      <c r="N757" s="445"/>
      <c r="O757" s="445"/>
      <c r="P757" s="445"/>
      <c r="Q757" s="445"/>
      <c r="R757" s="445"/>
      <c r="S757" s="445"/>
      <c r="T757" s="445"/>
      <c r="U757" s="445"/>
    </row>
    <row r="758" spans="1:21" ht="19.5" x14ac:dyDescent="0.3">
      <c r="A758" s="394"/>
      <c r="B758" s="395" t="s">
        <v>285</v>
      </c>
      <c r="C758" s="394"/>
      <c r="D758" s="396"/>
      <c r="E758" s="396"/>
      <c r="F758" s="396"/>
      <c r="G758" s="397"/>
      <c r="H758" s="434" t="s">
        <v>35</v>
      </c>
      <c r="I758" s="475">
        <f ca="1">I772</f>
        <v>80</v>
      </c>
      <c r="J758" s="475">
        <f>J772</f>
        <v>40</v>
      </c>
      <c r="K758" s="474">
        <f ca="1">IF(I758&gt;0,J758*100/I758,0)</f>
        <v>50</v>
      </c>
      <c r="L758" s="47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6"/>
      <c r="B759" s="394"/>
      <c r="C759" s="394"/>
      <c r="D759" s="396"/>
      <c r="E759" s="396"/>
      <c r="F759" s="396"/>
      <c r="G759" s="397"/>
      <c r="H759" s="434" t="s">
        <v>46</v>
      </c>
      <c r="I759" s="475">
        <f ca="1">I774</f>
        <v>120</v>
      </c>
      <c r="J759" s="475">
        <f>J774</f>
        <v>0</v>
      </c>
      <c r="K759" s="474">
        <f ca="1">IF(I759&gt;0,J759*100/I759,0)</f>
        <v>0</v>
      </c>
      <c r="L759" s="47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8"/>
      <c r="C760" s="177" t="s">
        <v>18</v>
      </c>
      <c r="D760" s="821" t="s">
        <v>19</v>
      </c>
      <c r="E760" s="793"/>
      <c r="F760" s="793"/>
      <c r="G760" s="794"/>
      <c r="H760" s="221" t="s">
        <v>14</v>
      </c>
      <c r="I760" s="44"/>
      <c r="J760" s="44"/>
      <c r="K760" s="45"/>
      <c r="L760" s="471">
        <f>L761+L762</f>
        <v>0</v>
      </c>
      <c r="M760" s="470">
        <f>M761+M762</f>
        <v>0</v>
      </c>
      <c r="N760" s="470">
        <f>N761+N762</f>
        <v>0</v>
      </c>
      <c r="O760" s="470">
        <f t="shared" ref="O760:O768" si="188">IF(L760&gt;0,N760*100/L760,0)</f>
        <v>0</v>
      </c>
      <c r="P760" s="470">
        <f t="shared" ref="P760:P768" si="189">IF(M760&gt;0,N760*100/M760,0)</f>
        <v>0</v>
      </c>
      <c r="Q760" s="470">
        <f ca="1">Q761+Q762</f>
        <v>460700</v>
      </c>
      <c r="R760" s="470">
        <f ca="1">R761+R762</f>
        <v>460700</v>
      </c>
      <c r="S760" s="470">
        <f ca="1">S761+S762</f>
        <v>48450</v>
      </c>
      <c r="T760" s="470">
        <f t="shared" ref="T760:T768" ca="1" si="190">IF(Q760&gt;0,S760*100/Q760,0)</f>
        <v>10.51660516605166</v>
      </c>
      <c r="U760" s="470">
        <f t="shared" ref="U760:U768" ca="1" si="191">IF(R760&gt;0,S760*100/R760,0)</f>
        <v>10.51660516605166</v>
      </c>
    </row>
    <row r="761" spans="1:21" ht="18.75" hidden="1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469">
        <f t="shared" ref="L761:N762" si="192">L764+L767</f>
        <v>0</v>
      </c>
      <c r="M761" s="83">
        <f t="shared" si="192"/>
        <v>0</v>
      </c>
      <c r="N761" s="83">
        <f t="shared" si="192"/>
        <v>0</v>
      </c>
      <c r="O761" s="83">
        <f t="shared" si="188"/>
        <v>0</v>
      </c>
      <c r="P761" s="83">
        <f t="shared" si="189"/>
        <v>0</v>
      </c>
      <c r="Q761" s="83">
        <f t="shared" ref="Q761:S762" si="193">Q764+Q767</f>
        <v>0</v>
      </c>
      <c r="R761" s="83">
        <f t="shared" si="193"/>
        <v>0</v>
      </c>
      <c r="S761" s="83">
        <f t="shared" si="193"/>
        <v>0</v>
      </c>
      <c r="T761" s="83">
        <f t="shared" si="190"/>
        <v>0</v>
      </c>
      <c r="U761" s="83">
        <f t="shared" si="191"/>
        <v>0</v>
      </c>
    </row>
    <row r="762" spans="1:21" ht="18.75" hidden="1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468">
        <f t="shared" si="192"/>
        <v>0</v>
      </c>
      <c r="M762" s="224">
        <f t="shared" si="192"/>
        <v>0</v>
      </c>
      <c r="N762" s="224">
        <f t="shared" si="192"/>
        <v>0</v>
      </c>
      <c r="O762" s="224">
        <f t="shared" si="188"/>
        <v>0</v>
      </c>
      <c r="P762" s="224">
        <f t="shared" si="189"/>
        <v>0</v>
      </c>
      <c r="Q762" s="224">
        <f t="shared" ca="1" si="193"/>
        <v>460700</v>
      </c>
      <c r="R762" s="224">
        <f t="shared" ca="1" si="193"/>
        <v>460700</v>
      </c>
      <c r="S762" s="224">
        <f t="shared" ca="1" si="193"/>
        <v>48450</v>
      </c>
      <c r="T762" s="224">
        <f t="shared" ca="1" si="190"/>
        <v>10.51660516605166</v>
      </c>
      <c r="U762" s="224">
        <f t="shared" ca="1" si="191"/>
        <v>10.51660516605166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468">
        <f>L764+L765</f>
        <v>0</v>
      </c>
      <c r="M763" s="224">
        <f>M764+M765</f>
        <v>0</v>
      </c>
      <c r="N763" s="224">
        <f>N764+N765</f>
        <v>0</v>
      </c>
      <c r="O763" s="224">
        <f t="shared" si="188"/>
        <v>0</v>
      </c>
      <c r="P763" s="224">
        <f t="shared" si="189"/>
        <v>0</v>
      </c>
      <c r="Q763" s="224">
        <f ca="1">Q764+Q765</f>
        <v>460700</v>
      </c>
      <c r="R763" s="224">
        <f ca="1">R764+R765</f>
        <v>460700</v>
      </c>
      <c r="S763" s="224">
        <f ca="1">S764+S765</f>
        <v>48450</v>
      </c>
      <c r="T763" s="224">
        <f t="shared" ca="1" si="190"/>
        <v>10.51660516605166</v>
      </c>
      <c r="U763" s="224">
        <f t="shared" ca="1" si="191"/>
        <v>10.51660516605166</v>
      </c>
    </row>
    <row r="764" spans="1:21" ht="18.75" hidden="1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469">
        <v>0</v>
      </c>
      <c r="M764" s="83">
        <v>0</v>
      </c>
      <c r="N764" s="83">
        <v>0</v>
      </c>
      <c r="O764" s="83">
        <f t="shared" si="188"/>
        <v>0</v>
      </c>
      <c r="P764" s="83">
        <f t="shared" si="189"/>
        <v>0</v>
      </c>
      <c r="Q764" s="83">
        <v>0</v>
      </c>
      <c r="R764" s="83">
        <v>0</v>
      </c>
      <c r="S764" s="83">
        <v>0</v>
      </c>
      <c r="T764" s="83">
        <f t="shared" si="190"/>
        <v>0</v>
      </c>
      <c r="U764" s="83">
        <f t="shared" si="191"/>
        <v>0</v>
      </c>
    </row>
    <row r="765" spans="1:21" ht="18.75" hidden="1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468">
        <v>0</v>
      </c>
      <c r="M765" s="224">
        <v>0</v>
      </c>
      <c r="N765" s="224">
        <v>0</v>
      </c>
      <c r="O765" s="224">
        <f t="shared" si="188"/>
        <v>0</v>
      </c>
      <c r="P765" s="224">
        <f t="shared" si="189"/>
        <v>0</v>
      </c>
      <c r="Q765" s="224">
        <f ca="1">IFERROR(__xludf.DUMMYFUNCTION("IMPORTRANGE(""https://docs.google.com/spreadsheets/d/1ItG2mGa2ceCfYo0BwxsXqNm01IGEUdYcSSLTEv9YCik/edit?usp=sharing"",""เบิกจ่ายกองทุน!U30"")"),460700)</f>
        <v>460700</v>
      </c>
      <c r="R765" s="224">
        <f ca="1">IFERROR(__xludf.DUMMYFUNCTION("IMPORTRANGE(""https://docs.google.com/spreadsheets/d/1ItG2mGa2ceCfYo0BwxsXqNm01IGEUdYcSSLTEv9YCik/edit?usp=sharing"",""เบิกจ่ายกองทุน!V30"")"),460700)</f>
        <v>460700</v>
      </c>
      <c r="S765" s="224">
        <f ca="1">IFERROR(__xludf.DUMMYFUNCTION("IMPORTRANGE(""https://docs.google.com/spreadsheets/d/1ItG2mGa2ceCfYo0BwxsXqNm01IGEUdYcSSLTEv9YCik/edit?usp=sharing"",""เบิกจ่ายกองทุน!W30"")"),48450)</f>
        <v>48450</v>
      </c>
      <c r="T765" s="224">
        <f t="shared" ca="1" si="190"/>
        <v>10.51660516605166</v>
      </c>
      <c r="U765" s="224">
        <f t="shared" ca="1" si="191"/>
        <v>10.51660516605166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468">
        <f>L767+L768</f>
        <v>0</v>
      </c>
      <c r="M766" s="224">
        <f>M767+M768</f>
        <v>0</v>
      </c>
      <c r="N766" s="224">
        <f>N767+N768</f>
        <v>0</v>
      </c>
      <c r="O766" s="224">
        <f t="shared" si="188"/>
        <v>0</v>
      </c>
      <c r="P766" s="224">
        <f t="shared" si="189"/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 t="shared" si="190"/>
        <v>0</v>
      </c>
      <c r="U766" s="224">
        <f t="shared" si="191"/>
        <v>0</v>
      </c>
    </row>
    <row r="767" spans="1:21" ht="18.75" hidden="1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469">
        <v>0</v>
      </c>
      <c r="M767" s="83">
        <v>0</v>
      </c>
      <c r="N767" s="83">
        <v>0</v>
      </c>
      <c r="O767" s="83">
        <f t="shared" si="188"/>
        <v>0</v>
      </c>
      <c r="P767" s="83">
        <f t="shared" si="189"/>
        <v>0</v>
      </c>
      <c r="Q767" s="83">
        <v>0</v>
      </c>
      <c r="R767" s="83">
        <v>0</v>
      </c>
      <c r="S767" s="83">
        <v>0</v>
      </c>
      <c r="T767" s="83">
        <f t="shared" si="190"/>
        <v>0</v>
      </c>
      <c r="U767" s="83">
        <f t="shared" si="191"/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468">
        <v>0</v>
      </c>
      <c r="M768" s="224">
        <v>0</v>
      </c>
      <c r="N768" s="224">
        <v>0</v>
      </c>
      <c r="O768" s="224">
        <f t="shared" si="188"/>
        <v>0</v>
      </c>
      <c r="P768" s="224">
        <f t="shared" si="189"/>
        <v>0</v>
      </c>
      <c r="Q768" s="224">
        <v>0</v>
      </c>
      <c r="R768" s="224">
        <v>0</v>
      </c>
      <c r="S768" s="224">
        <v>0</v>
      </c>
      <c r="T768" s="224">
        <f t="shared" si="190"/>
        <v>0</v>
      </c>
      <c r="U768" s="224">
        <f t="shared" si="191"/>
        <v>0</v>
      </c>
    </row>
    <row r="769" spans="1:21" ht="19.5" x14ac:dyDescent="0.3">
      <c r="A769" s="138"/>
      <c r="B769" s="139"/>
      <c r="C769" s="446" t="s">
        <v>18</v>
      </c>
      <c r="D769" s="467" t="s">
        <v>38</v>
      </c>
      <c r="E769" s="203"/>
      <c r="F769" s="141"/>
      <c r="G769" s="142"/>
      <c r="H769" s="178"/>
      <c r="I769" s="44"/>
      <c r="J769" s="44"/>
      <c r="K769" s="45"/>
      <c r="L769" s="465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377" t="s">
        <v>286</v>
      </c>
      <c r="E770" s="139"/>
      <c r="F770" s="145"/>
      <c r="G770" s="143"/>
      <c r="H770" s="375" t="s">
        <v>35</v>
      </c>
      <c r="I770" s="430">
        <f ca="1">IFERROR(__xludf.DUMMYFUNCTION("IMPORTRANGE(""https://docs.google.com/spreadsheets/d/1eHaY18a8A9IcSdp1K8H6x8fbOy06t2VsZHhMHf-1x7Y/edit?usp=sharing"",""แผน!FI30"")"),0)</f>
        <v>0</v>
      </c>
      <c r="J770" s="430">
        <v>0</v>
      </c>
      <c r="K770" s="83">
        <f ca="1">IF(I770&gt;0,J770*100/I770,0)</f>
        <v>0</v>
      </c>
      <c r="L770" s="465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377" t="s">
        <v>287</v>
      </c>
      <c r="E771" s="139"/>
      <c r="F771" s="145"/>
      <c r="G771" s="143"/>
      <c r="H771" s="178"/>
      <c r="I771" s="44"/>
      <c r="J771" s="44"/>
      <c r="K771" s="45"/>
      <c r="L771" s="465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10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IFERROR(__xludf.DUMMYFUNCTION("IMPORTRANGE(""https://docs.google.com/spreadsheets/d/1eHaY18a8A9IcSdp1K8H6x8fbOy06t2VsZHhMHf-1x7Y/edit?usp=sharing"",""แผน!FQ30"")"),80)</f>
        <v>80</v>
      </c>
      <c r="J772" s="466">
        <v>40</v>
      </c>
      <c r="K772" s="224">
        <f ca="1">IF(I772&gt;0,J772*100/I772,0)</f>
        <v>50</v>
      </c>
      <c r="L772" s="465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10" t="s">
        <v>289</v>
      </c>
      <c r="E773" s="139"/>
      <c r="F773" s="145"/>
      <c r="G773" s="143"/>
      <c r="H773" s="178"/>
      <c r="I773" s="44"/>
      <c r="J773" s="44"/>
      <c r="K773" s="45"/>
      <c r="L773" s="465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10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IFERROR(__xludf.DUMMYFUNCTION("IMPORTRANGE(""https://docs.google.com/spreadsheets/d/1eHaY18a8A9IcSdp1K8H6x8fbOy06t2VsZHhMHf-1x7Y/edit?usp=sharing"",""แผน!FR30"")"),120)</f>
        <v>120</v>
      </c>
      <c r="J774" s="466">
        <v>0</v>
      </c>
      <c r="K774" s="224">
        <f ca="1">IF(I774&gt;0,J774*100/I774,0)</f>
        <v>0</v>
      </c>
      <c r="L774" s="465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10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IFERROR(__xludf.DUMMYFUNCTION("IMPORTRANGE(""https://docs.google.com/spreadsheets/d/1eHaY18a8A9IcSdp1K8H6x8fbOy06t2VsZHhMHf-1x7Y/edit?usp=sharing"",""แผน!FS30"")"),120)</f>
        <v>120</v>
      </c>
      <c r="J775" s="466">
        <v>0</v>
      </c>
      <c r="K775" s="45"/>
      <c r="L775" s="465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IFERROR(__xludf.DUMMYFUNCTION("IMPORTRANGE(""https://docs.google.com/spreadsheets/d/1eHaY18a8A9IcSdp1K8H6x8fbOy06t2VsZHhMHf-1x7Y/edit?usp=sharing"",""แผน!FT30"")"),80)</f>
        <v>80</v>
      </c>
      <c r="J776" s="464">
        <v>0</v>
      </c>
      <c r="K776" s="3"/>
      <c r="L776" s="46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462" t="s">
        <v>291</v>
      </c>
      <c r="B777" s="449"/>
      <c r="C777" s="449"/>
      <c r="D777" s="448"/>
      <c r="E777" s="449"/>
      <c r="F777" s="449"/>
      <c r="G777" s="450"/>
      <c r="H777" s="461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2"/>
      <c r="J777" s="453"/>
      <c r="K777" s="454"/>
      <c r="L777" s="454"/>
      <c r="M777" s="454"/>
      <c r="N777" s="454"/>
      <c r="O777" s="454"/>
      <c r="P777" s="454"/>
      <c r="Q777" s="454"/>
      <c r="R777" s="454"/>
      <c r="S777" s="454"/>
      <c r="T777" s="454"/>
      <c r="U777" s="454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IFERROR(__xludf.DUMMYFUNCTION("IMPORTRANGE(""https://docs.google.com/spreadsheets/d/10OvvATaaLtwErnr3qtWFcTmtbfpFEt5Bsqel9sXx0uE/edit?usp=sharing"",""งานกองทุน!D30"")"),2827112.07)</f>
        <v>2827112.07</v>
      </c>
      <c r="J778" s="184">
        <f ca="1">IFERROR(__xludf.DUMMYFUNCTION("IMPORTRANGE(""https://docs.google.com/spreadsheets/d/10OvvATaaLtwErnr3qtWFcTmtbfpFEt5Bsqel9sXx0uE/edit?usp=sharing"",""งานกองทุน!F30"")"),2174970.9)</f>
        <v>2174970.9</v>
      </c>
      <c r="K778" s="224">
        <f t="shared" ref="K778:K785" ca="1" si="194">IF(I778&gt;0,J778*100/I778,0)</f>
        <v>76.932602816838468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IFERROR(__xludf.DUMMYFUNCTION("IMPORTRANGE(""https://docs.google.com/spreadsheets/d/10OvvATaaLtwErnr3qtWFcTmtbfpFEt5Bsqel9sXx0uE/edit?usp=sharing"",""งานกองทุน!C30"")"),201)</f>
        <v>201</v>
      </c>
      <c r="J779" s="184">
        <f ca="1">IFERROR(__xludf.DUMMYFUNCTION("IMPORTRANGE(""https://docs.google.com/spreadsheets/d/10OvvATaaLtwErnr3qtWFcTmtbfpFEt5Bsqel9sXx0uE/edit?usp=sharing"",""งานกองทุน!E30"")"),233)</f>
        <v>233</v>
      </c>
      <c r="K779" s="224">
        <f t="shared" ca="1" si="194"/>
        <v>115.92039800995025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IFERROR(__xludf.DUMMYFUNCTION("IMPORTRANGE(""https://docs.google.com/spreadsheets/d/10OvvATaaLtwErnr3qtWFcTmtbfpFEt5Bsqel9sXx0uE/edit?usp=sharing"",""งานกองทุน!I30"")"),7374248.32)</f>
        <v>7374248.3200000003</v>
      </c>
      <c r="J780" s="184">
        <f ca="1">IFERROR(__xludf.DUMMYFUNCTION("IMPORTRANGE(""https://docs.google.com/spreadsheets/d/10OvvATaaLtwErnr3qtWFcTmtbfpFEt5Bsqel9sXx0uE/edit?usp=sharing"",""งานกองทุน!K30"")"),491133.24)</f>
        <v>491133.24</v>
      </c>
      <c r="K780" s="224">
        <f t="shared" ca="1" si="194"/>
        <v>6.6601125794472837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IFERROR(__xludf.DUMMYFUNCTION("IMPORTRANGE(""https://docs.google.com/spreadsheets/d/10OvvATaaLtwErnr3qtWFcTmtbfpFEt5Bsqel9sXx0uE/edit?usp=sharing"",""งานกองทุน!H30"")"),447)</f>
        <v>447</v>
      </c>
      <c r="J781" s="184">
        <f ca="1">IFERROR(__xludf.DUMMYFUNCTION("IMPORTRANGE(""https://docs.google.com/spreadsheets/d/10OvvATaaLtwErnr3qtWFcTmtbfpFEt5Bsqel9sXx0uE/edit?usp=sharing"",""งานกองทุน!J30"")"),84)</f>
        <v>84</v>
      </c>
      <c r="K781" s="224">
        <f t="shared" ca="1" si="194"/>
        <v>18.791946308724832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IFERROR(__xludf.DUMMYFUNCTION("IMPORTRANGE(""https://docs.google.com/spreadsheets/d/10OvvATaaLtwErnr3qtWFcTmtbfpFEt5Bsqel9sXx0uE/edit?usp=sharing"",""งานกองทุน!N30"")"),2355666.24)</f>
        <v>2355666.2400000002</v>
      </c>
      <c r="J782" s="184">
        <f ca="1">IFERROR(__xludf.DUMMYFUNCTION("IMPORTRANGE(""https://docs.google.com/spreadsheets/d/10OvvATaaLtwErnr3qtWFcTmtbfpFEt5Bsqel9sXx0uE/edit?usp=sharing"",""งานกองทุน!P30"")"),627426.27)</f>
        <v>627426.27</v>
      </c>
      <c r="K782" s="224">
        <f t="shared" ca="1" si="194"/>
        <v>26.634769363592014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IFERROR(__xludf.DUMMYFUNCTION("IMPORTRANGE(""https://docs.google.com/spreadsheets/d/10OvvATaaLtwErnr3qtWFcTmtbfpFEt5Bsqel9sXx0uE/edit?usp=sharing"",""งานกองทุน!M30"")"),208)</f>
        <v>208</v>
      </c>
      <c r="J783" s="184">
        <f ca="1">IFERROR(__xludf.DUMMYFUNCTION("IMPORTRANGE(""https://docs.google.com/spreadsheets/d/10OvvATaaLtwErnr3qtWFcTmtbfpFEt5Bsqel9sXx0uE/edit?usp=sharing"",""งานกองทุน!O30"")"),74)</f>
        <v>74</v>
      </c>
      <c r="K783" s="224">
        <f t="shared" ca="1" si="194"/>
        <v>35.57692307692308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IFERROR(__xludf.DUMMYFUNCTION("IMPORTRANGE(""https://docs.google.com/spreadsheets/d/10OvvATaaLtwErnr3qtWFcTmtbfpFEt5Bsqel9sXx0uE/edit?usp=sharing"",""งานกองทุน!S30"")"),3136000)</f>
        <v>3136000</v>
      </c>
      <c r="J784" s="184">
        <f ca="1">IFERROR(__xludf.DUMMYFUNCTION("IMPORTRANGE(""https://docs.google.com/spreadsheets/d/10OvvATaaLtwErnr3qtWFcTmtbfpFEt5Bsqel9sXx0uE/edit?usp=sharing"",""งานกองทุน!U30"")"),1980000)</f>
        <v>1980000</v>
      </c>
      <c r="K784" s="224">
        <f t="shared" ca="1" si="194"/>
        <v>63.137755102040813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IFERROR(__xludf.DUMMYFUNCTION("IMPORTRANGE(""https://docs.google.com/spreadsheets/d/10OvvATaaLtwErnr3qtWFcTmtbfpFEt5Bsqel9sXx0uE/edit?usp=sharing"",""งานกองทุน!R30"")"),112)</f>
        <v>112</v>
      </c>
      <c r="J785" s="188">
        <f ca="1">IFERROR(__xludf.DUMMYFUNCTION("IMPORTRANGE(""https://docs.google.com/spreadsheets/d/10OvvATaaLtwErnr3qtWFcTmtbfpFEt5Bsqel9sXx0uE/edit?usp=sharing"",""งานกองทุน!T30"")"),99)</f>
        <v>99</v>
      </c>
      <c r="K785" s="455">
        <f t="shared" ca="1" si="194"/>
        <v>88.392857142857139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460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4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4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horizontalDpi="4294967293" verticalDpi="4294967293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D8A71-2E36-442A-89C2-9C58C04516C7}">
  <sheetPr>
    <outlinePr summaryBelow="0" summaryRight="0"/>
  </sheetPr>
  <dimension ref="A1:U789"/>
  <sheetViews>
    <sheetView view="pageBreakPreview" zoomScale="60" zoomScaleNormal="70" workbookViewId="0">
      <pane xSplit="8" ySplit="6" topLeftCell="I17" activePane="bottomRight" state="frozen"/>
      <selection activeCell="N28" sqref="N28"/>
      <selection pane="topRight" activeCell="N28" sqref="N28"/>
      <selection pane="bottomLeft" activeCell="N28" sqref="N28"/>
      <selection pane="bottomRight" activeCell="N28" sqref="N2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7109375" bestFit="1" customWidth="1"/>
    <col min="11" max="11" width="12.42578125" bestFit="1" customWidth="1"/>
    <col min="12" max="14" width="21" bestFit="1" customWidth="1"/>
    <col min="15" max="15" width="20.140625" bestFit="1" customWidth="1"/>
    <col min="16" max="16" width="22" bestFit="1" customWidth="1"/>
    <col min="17" max="18" width="21" bestFit="1" customWidth="1"/>
    <col min="19" max="19" width="18.57031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815" t="s">
        <v>0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5"/>
      <c r="T1" s="815"/>
      <c r="U1" s="815"/>
    </row>
    <row r="2" spans="1:21" ht="19.5" x14ac:dyDescent="0.3">
      <c r="A2" s="815" t="s">
        <v>310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</row>
    <row r="3" spans="1:21" ht="19.5" x14ac:dyDescent="0.3">
      <c r="A3" s="815" t="s">
        <v>335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709"/>
      <c r="L4" s="816" t="s">
        <v>2</v>
      </c>
      <c r="M4" s="800"/>
      <c r="N4" s="800"/>
      <c r="O4" s="800"/>
      <c r="P4" s="801"/>
      <c r="Q4" s="817" t="s">
        <v>3</v>
      </c>
      <c r="R4" s="800"/>
      <c r="S4" s="800"/>
      <c r="T4" s="800"/>
      <c r="U4" s="801"/>
    </row>
    <row r="5" spans="1:21" ht="19.5" x14ac:dyDescent="0.3">
      <c r="A5" s="822" t="s">
        <v>4</v>
      </c>
      <c r="B5" s="797"/>
      <c r="C5" s="797"/>
      <c r="D5" s="797"/>
      <c r="E5" s="797"/>
      <c r="F5" s="797"/>
      <c r="G5" s="798"/>
      <c r="H5" s="708" t="s">
        <v>5</v>
      </c>
      <c r="I5" s="814" t="s">
        <v>6</v>
      </c>
      <c r="J5" s="800"/>
      <c r="K5" s="801"/>
      <c r="L5" s="818" t="s">
        <v>7</v>
      </c>
      <c r="M5" s="801"/>
      <c r="N5" s="807" t="s">
        <v>8</v>
      </c>
      <c r="O5" s="800"/>
      <c r="P5" s="801"/>
      <c r="Q5" s="808" t="s">
        <v>7</v>
      </c>
      <c r="R5" s="801"/>
      <c r="S5" s="807" t="s">
        <v>8</v>
      </c>
      <c r="T5" s="800"/>
      <c r="U5" s="801"/>
    </row>
    <row r="6" spans="1:21" ht="19.5" x14ac:dyDescent="0.3">
      <c r="A6" s="799"/>
      <c r="B6" s="800"/>
      <c r="C6" s="800"/>
      <c r="D6" s="800"/>
      <c r="E6" s="800"/>
      <c r="F6" s="800"/>
      <c r="G6" s="801"/>
      <c r="H6" s="707"/>
      <c r="I6" s="6" t="s">
        <v>9</v>
      </c>
      <c r="J6" s="7" t="s">
        <v>10</v>
      </c>
      <c r="K6" s="6" t="s">
        <v>11</v>
      </c>
      <c r="L6" s="706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823"/>
      <c r="B7" s="800"/>
      <c r="C7" s="800"/>
      <c r="D7" s="800"/>
      <c r="E7" s="800"/>
      <c r="F7" s="800"/>
      <c r="G7" s="801"/>
      <c r="H7" s="14"/>
      <c r="I7" s="15"/>
      <c r="J7" s="15"/>
      <c r="K7" s="16"/>
      <c r="L7" s="580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571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71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71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71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71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71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71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71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580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803" t="s">
        <v>309</v>
      </c>
      <c r="B17" s="800"/>
      <c r="C17" s="800"/>
      <c r="D17" s="800"/>
      <c r="E17" s="800"/>
      <c r="F17" s="800"/>
      <c r="G17" s="801"/>
      <c r="H17" s="23"/>
      <c r="I17" s="24"/>
      <c r="J17" s="24"/>
      <c r="K17" s="25"/>
      <c r="L17" s="705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704">
        <f ca="1">L19+L20</f>
        <v>2275199</v>
      </c>
      <c r="M18" s="664">
        <f ca="1">M19+M20</f>
        <v>2315421</v>
      </c>
      <c r="N18" s="664">
        <f ca="1">N19+N20</f>
        <v>1860160.65</v>
      </c>
      <c r="O18" s="664">
        <f t="shared" ref="O18:O26" ca="1" si="0">IF(L18&gt;0,N18*100/L18,0)</f>
        <v>81.758151704532224</v>
      </c>
      <c r="P18" s="664">
        <f t="shared" ref="P18:P26" ca="1" si="1">IF(M18&gt;0,N18*100/M18,0)</f>
        <v>80.337901832971198</v>
      </c>
      <c r="Q18" s="664">
        <f ca="1">Q19+Q20</f>
        <v>3263134.24</v>
      </c>
      <c r="R18" s="664">
        <f ca="1">R19+R20</f>
        <v>3281134</v>
      </c>
      <c r="S18" s="664">
        <f ca="1">S19+S20</f>
        <v>363380</v>
      </c>
      <c r="T18" s="664">
        <f t="shared" ref="T18:T26" ca="1" si="2">IF(Q18&gt;0,S18*100/Q18,0)</f>
        <v>11.135919434316621</v>
      </c>
      <c r="U18" s="664">
        <f t="shared" ref="U18:U26" ca="1" si="3">IF(R18&gt;0,S18*100/R18,0)</f>
        <v>11.074829616833693</v>
      </c>
    </row>
    <row r="19" spans="1:21" ht="18.75" hidden="1" x14ac:dyDescent="0.25">
      <c r="A19" s="26"/>
      <c r="B19" s="27"/>
      <c r="C19" s="27"/>
      <c r="D19" s="27"/>
      <c r="E19" s="703" t="s">
        <v>20</v>
      </c>
      <c r="F19" s="27"/>
      <c r="G19" s="30"/>
      <c r="H19" s="702" t="s">
        <v>14</v>
      </c>
      <c r="I19" s="32"/>
      <c r="J19" s="32"/>
      <c r="K19" s="33"/>
      <c r="L19" s="701">
        <f t="shared" ref="L19:N20" si="4">L22+L25</f>
        <v>0</v>
      </c>
      <c r="M19" s="700">
        <f t="shared" si="4"/>
        <v>0</v>
      </c>
      <c r="N19" s="700">
        <f t="shared" si="4"/>
        <v>0</v>
      </c>
      <c r="O19" s="700">
        <f t="shared" si="0"/>
        <v>0</v>
      </c>
      <c r="P19" s="700">
        <f t="shared" si="1"/>
        <v>0</v>
      </c>
      <c r="Q19" s="700">
        <f t="shared" ref="Q19:S20" si="5">Q22+Q25</f>
        <v>0</v>
      </c>
      <c r="R19" s="700">
        <f t="shared" si="5"/>
        <v>0</v>
      </c>
      <c r="S19" s="700">
        <f t="shared" si="5"/>
        <v>0</v>
      </c>
      <c r="T19" s="700">
        <f t="shared" si="2"/>
        <v>0</v>
      </c>
      <c r="U19" s="700">
        <f t="shared" si="3"/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699">
        <f t="shared" ca="1" si="4"/>
        <v>2275199</v>
      </c>
      <c r="M20" s="698">
        <f t="shared" ca="1" si="4"/>
        <v>2315421</v>
      </c>
      <c r="N20" s="698">
        <f t="shared" ca="1" si="4"/>
        <v>1860160.65</v>
      </c>
      <c r="O20" s="698">
        <f t="shared" ca="1" si="0"/>
        <v>81.758151704532224</v>
      </c>
      <c r="P20" s="698">
        <f t="shared" ca="1" si="1"/>
        <v>80.337901832971198</v>
      </c>
      <c r="Q20" s="698">
        <f t="shared" ca="1" si="5"/>
        <v>3263134.24</v>
      </c>
      <c r="R20" s="698">
        <f t="shared" ca="1" si="5"/>
        <v>3281134</v>
      </c>
      <c r="S20" s="698">
        <f t="shared" ca="1" si="5"/>
        <v>363380</v>
      </c>
      <c r="T20" s="698">
        <f t="shared" ca="1" si="2"/>
        <v>11.135919434316621</v>
      </c>
      <c r="U20" s="698">
        <f t="shared" ca="1" si="3"/>
        <v>11.074829616833693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468">
        <f ca="1">L22+L23</f>
        <v>2275199</v>
      </c>
      <c r="M21" s="224">
        <f ca="1">M22+M23</f>
        <v>2315421</v>
      </c>
      <c r="N21" s="224">
        <f ca="1">N22+N23</f>
        <v>1860160.65</v>
      </c>
      <c r="O21" s="224">
        <f t="shared" ca="1" si="0"/>
        <v>81.758151704532224</v>
      </c>
      <c r="P21" s="224">
        <f t="shared" ca="1" si="1"/>
        <v>80.337901832971198</v>
      </c>
      <c r="Q21" s="224">
        <f ca="1">Q22+Q23</f>
        <v>3263134.24</v>
      </c>
      <c r="R21" s="224">
        <f ca="1">R22+R23</f>
        <v>3281134</v>
      </c>
      <c r="S21" s="224">
        <f ca="1">S22+S23</f>
        <v>363380</v>
      </c>
      <c r="T21" s="224">
        <f t="shared" ca="1" si="2"/>
        <v>11.135919434316621</v>
      </c>
      <c r="U21" s="224">
        <f t="shared" ca="1" si="3"/>
        <v>11.074829616833693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674" t="s">
        <v>14</v>
      </c>
      <c r="I22" s="44"/>
      <c r="J22" s="44"/>
      <c r="K22" s="45"/>
      <c r="L22" s="469">
        <f t="shared" ref="L22:N23" si="6">L48+L63+L76+L98+L129+L143+L161+L190+L177+L270+L286+L307+L324+L337+L360+L517</f>
        <v>0</v>
      </c>
      <c r="M22" s="83">
        <f t="shared" si="6"/>
        <v>0</v>
      </c>
      <c r="N22" s="83">
        <f t="shared" si="6"/>
        <v>0</v>
      </c>
      <c r="O22" s="83">
        <f t="shared" si="0"/>
        <v>0</v>
      </c>
      <c r="P22" s="83">
        <f t="shared" si="1"/>
        <v>0</v>
      </c>
      <c r="Q22" s="83">
        <f t="shared" ref="Q22:S23" si="7">Q76+Q98+Q121+Q143+Q161+Q177+Q190+Q270+Q286+Q307+Q337+Q379+Q396+Q417+Q497+Q603+Q620+Q646+Q694+Q718+Q732+Q764</f>
        <v>0</v>
      </c>
      <c r="R22" s="83">
        <f t="shared" si="7"/>
        <v>0</v>
      </c>
      <c r="S22" s="83">
        <f t="shared" si="7"/>
        <v>0</v>
      </c>
      <c r="T22" s="83">
        <f t="shared" si="2"/>
        <v>0</v>
      </c>
      <c r="U22" s="83">
        <f t="shared" si="3"/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468">
        <f t="shared" ca="1" si="6"/>
        <v>2275199</v>
      </c>
      <c r="M23" s="224">
        <f t="shared" ca="1" si="6"/>
        <v>2315421</v>
      </c>
      <c r="N23" s="224">
        <f t="shared" ca="1" si="6"/>
        <v>1860160.65</v>
      </c>
      <c r="O23" s="224">
        <f t="shared" ca="1" si="0"/>
        <v>81.758151704532224</v>
      </c>
      <c r="P23" s="224">
        <f t="shared" ca="1" si="1"/>
        <v>80.337901832971198</v>
      </c>
      <c r="Q23" s="224">
        <f t="shared" ca="1" si="7"/>
        <v>3263134.24</v>
      </c>
      <c r="R23" s="224">
        <f t="shared" ca="1" si="7"/>
        <v>3281134</v>
      </c>
      <c r="S23" s="224">
        <f t="shared" ca="1" si="7"/>
        <v>363380</v>
      </c>
      <c r="T23" s="224">
        <f t="shared" ca="1" si="2"/>
        <v>11.135919434316621</v>
      </c>
      <c r="U23" s="224">
        <f t="shared" ca="1" si="3"/>
        <v>11.074829616833693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468">
        <f ca="1">L25+L26</f>
        <v>0</v>
      </c>
      <c r="M24" s="224">
        <f ca="1">M25+M26</f>
        <v>0</v>
      </c>
      <c r="N24" s="224">
        <f ca="1">N25+N26</f>
        <v>0</v>
      </c>
      <c r="O24" s="224">
        <f t="shared" ca="1" si="0"/>
        <v>0</v>
      </c>
      <c r="P24" s="224">
        <f t="shared" ca="1" si="1"/>
        <v>0</v>
      </c>
      <c r="Q24" s="224">
        <f>Q25+Q26</f>
        <v>0</v>
      </c>
      <c r="R24" s="224">
        <f>R25+R26</f>
        <v>0</v>
      </c>
      <c r="S24" s="224">
        <f>S25+S26</f>
        <v>0</v>
      </c>
      <c r="T24" s="224">
        <f t="shared" si="2"/>
        <v>0</v>
      </c>
      <c r="U24" s="224">
        <f t="shared" si="3"/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674" t="s">
        <v>14</v>
      </c>
      <c r="I25" s="44"/>
      <c r="J25" s="44"/>
      <c r="K25" s="45"/>
      <c r="L25" s="469">
        <f t="shared" ref="L25:N26" si="8">L51+L66+L79+L101+L132+L146+L164+L193+L180+L273+L289+L310+L327+L340+L363+L520</f>
        <v>0</v>
      </c>
      <c r="M25" s="83">
        <f t="shared" si="8"/>
        <v>0</v>
      </c>
      <c r="N25" s="83">
        <f t="shared" si="8"/>
        <v>0</v>
      </c>
      <c r="O25" s="83">
        <f t="shared" si="0"/>
        <v>0</v>
      </c>
      <c r="P25" s="83">
        <f t="shared" si="1"/>
        <v>0</v>
      </c>
      <c r="Q25" s="83">
        <f t="shared" ref="Q25:S26" si="9">Q79+Q101+Q124+Q146+Q164+Q180+Q193+Q273+Q289+Q310+Q340+Q382+Q399+Q420+Q500+Q606+Q623+Q649+Q697+Q721+Q735+Q767</f>
        <v>0</v>
      </c>
      <c r="R25" s="83">
        <f t="shared" si="9"/>
        <v>0</v>
      </c>
      <c r="S25" s="83">
        <f t="shared" si="9"/>
        <v>0</v>
      </c>
      <c r="T25" s="83">
        <f t="shared" si="2"/>
        <v>0</v>
      </c>
      <c r="U25" s="83">
        <f t="shared" si="3"/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468">
        <f t="shared" ca="1" si="8"/>
        <v>0</v>
      </c>
      <c r="M26" s="224">
        <f t="shared" ca="1" si="8"/>
        <v>0</v>
      </c>
      <c r="N26" s="224">
        <f t="shared" ca="1" si="8"/>
        <v>0</v>
      </c>
      <c r="O26" s="224">
        <f t="shared" ca="1" si="0"/>
        <v>0</v>
      </c>
      <c r="P26" s="224">
        <f t="shared" ca="1" si="1"/>
        <v>0</v>
      </c>
      <c r="Q26" s="83">
        <f t="shared" si="9"/>
        <v>0</v>
      </c>
      <c r="R26" s="83">
        <f t="shared" si="9"/>
        <v>0</v>
      </c>
      <c r="S26" s="83">
        <f t="shared" si="9"/>
        <v>0</v>
      </c>
      <c r="T26" s="224">
        <f t="shared" si="2"/>
        <v>0</v>
      </c>
      <c r="U26" s="224">
        <f t="shared" si="3"/>
        <v>0</v>
      </c>
    </row>
    <row r="27" spans="1:21" ht="18.75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465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674" t="s">
        <v>14</v>
      </c>
      <c r="I28" s="44"/>
      <c r="J28" s="44"/>
      <c r="K28" s="45"/>
      <c r="L28" s="465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463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823"/>
      <c r="B30" s="800"/>
      <c r="C30" s="800"/>
      <c r="D30" s="800"/>
      <c r="E30" s="800"/>
      <c r="F30" s="800"/>
      <c r="G30" s="801"/>
      <c r="H30" s="14"/>
      <c r="I30" s="15"/>
      <c r="J30" s="15"/>
      <c r="K30" s="16"/>
      <c r="L30" s="580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571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7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71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7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7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7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7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71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580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697">
        <f ca="1">L44+L59+L72+L94+L125+L139+L157+L173+L186+L266+L282+L303+L320+L333+L356</f>
        <v>2275199</v>
      </c>
      <c r="M40" s="696">
        <f ca="1">M44+M59+M72+M94+M125+M139+M157+M173+M186+M266+M282+M303+M320+M333+M356</f>
        <v>2315421</v>
      </c>
      <c r="N40" s="696">
        <f ca="1">N44+N59+N72+N94+N125+N139+N157+N173+N186+N266+N282+N303+N320+N333+N356</f>
        <v>1860160.65</v>
      </c>
      <c r="O40" s="696">
        <f ca="1">IF(L40&gt;0,N40*100/L40,0)</f>
        <v>81.758151704532224</v>
      </c>
      <c r="P40" s="696">
        <f ca="1">IF(M40&gt;0,N40*100/M40,0)</f>
        <v>80.337901832971198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695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571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694" t="s">
        <v>19</v>
      </c>
      <c r="E44" s="71"/>
      <c r="F44" s="71"/>
      <c r="G44" s="74"/>
      <c r="H44" s="75" t="s">
        <v>14</v>
      </c>
      <c r="I44" s="76"/>
      <c r="J44" s="76"/>
      <c r="K44" s="77"/>
      <c r="L44" s="693">
        <f ca="1">L45+L46</f>
        <v>319029</v>
      </c>
      <c r="M44" s="692">
        <f ca="1">M45+M46</f>
        <v>330489</v>
      </c>
      <c r="N44" s="692">
        <f ca="1">N45+N46</f>
        <v>319592</v>
      </c>
      <c r="O44" s="692">
        <f t="shared" ref="O44:O52" ca="1" si="10">IF(L44&gt;0,N44*100/L44,0)</f>
        <v>100.17647298521452</v>
      </c>
      <c r="P44" s="692">
        <f t="shared" ref="P44:P52" ca="1" si="11">IF(M44&gt;0,N44*100/M44,0)</f>
        <v>96.702764691109238</v>
      </c>
      <c r="Q44" s="692">
        <f>Q45+Q46</f>
        <v>0</v>
      </c>
      <c r="R44" s="692">
        <f>R45+R46</f>
        <v>0</v>
      </c>
      <c r="S44" s="692">
        <f>S45+S46</f>
        <v>0</v>
      </c>
      <c r="T44" s="692">
        <f t="shared" ref="T44:T52" si="12">IF(Q44&gt;0,S44*100/Q44,0)</f>
        <v>0</v>
      </c>
      <c r="U44" s="692">
        <f t="shared" ref="U44:U52" si="13">IF(R44&gt;0,S44*100/R44,0)</f>
        <v>0</v>
      </c>
    </row>
    <row r="45" spans="1:21" ht="18.75" hidden="1" x14ac:dyDescent="0.25">
      <c r="A45" s="70"/>
      <c r="B45" s="71"/>
      <c r="C45" s="71"/>
      <c r="D45" s="71"/>
      <c r="E45" s="691" t="s">
        <v>20</v>
      </c>
      <c r="F45" s="71"/>
      <c r="G45" s="74"/>
      <c r="H45" s="690" t="s">
        <v>14</v>
      </c>
      <c r="I45" s="76"/>
      <c r="J45" s="76"/>
      <c r="K45" s="77"/>
      <c r="L45" s="689">
        <f t="shared" ref="L45:N46" si="14">L48+L51</f>
        <v>0</v>
      </c>
      <c r="M45" s="688">
        <f t="shared" si="14"/>
        <v>0</v>
      </c>
      <c r="N45" s="688">
        <f t="shared" si="14"/>
        <v>0</v>
      </c>
      <c r="O45" s="688">
        <f t="shared" si="10"/>
        <v>0</v>
      </c>
      <c r="P45" s="688">
        <f t="shared" si="11"/>
        <v>0</v>
      </c>
      <c r="Q45" s="688">
        <f t="shared" ref="Q45:S46" si="15">Q48+Q51</f>
        <v>0</v>
      </c>
      <c r="R45" s="688">
        <f t="shared" si="15"/>
        <v>0</v>
      </c>
      <c r="S45" s="688">
        <f t="shared" si="15"/>
        <v>0</v>
      </c>
      <c r="T45" s="688">
        <f t="shared" si="12"/>
        <v>0</v>
      </c>
      <c r="U45" s="688">
        <f t="shared" si="13"/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687">
        <f t="shared" ca="1" si="14"/>
        <v>319029</v>
      </c>
      <c r="M46" s="686">
        <f t="shared" ca="1" si="14"/>
        <v>330489</v>
      </c>
      <c r="N46" s="686">
        <f t="shared" ca="1" si="14"/>
        <v>319592</v>
      </c>
      <c r="O46" s="686">
        <f t="shared" ca="1" si="10"/>
        <v>100.17647298521452</v>
      </c>
      <c r="P46" s="686">
        <f t="shared" ca="1" si="11"/>
        <v>96.702764691109238</v>
      </c>
      <c r="Q46" s="686">
        <f t="shared" si="15"/>
        <v>0</v>
      </c>
      <c r="R46" s="686">
        <f t="shared" si="15"/>
        <v>0</v>
      </c>
      <c r="S46" s="686">
        <f t="shared" si="15"/>
        <v>0</v>
      </c>
      <c r="T46" s="686">
        <f t="shared" si="12"/>
        <v>0</v>
      </c>
      <c r="U46" s="686">
        <f t="shared" si="13"/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468">
        <f ca="1">L48+L49</f>
        <v>319029</v>
      </c>
      <c r="M47" s="224">
        <f ca="1">M48+M49</f>
        <v>330489</v>
      </c>
      <c r="N47" s="224">
        <f ca="1">N48+N49</f>
        <v>319592</v>
      </c>
      <c r="O47" s="224">
        <f t="shared" ca="1" si="10"/>
        <v>100.17647298521452</v>
      </c>
      <c r="P47" s="224">
        <f t="shared" ca="1" si="11"/>
        <v>96.702764691109238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 t="shared" si="12"/>
        <v>0</v>
      </c>
      <c r="U47" s="224">
        <f t="shared" si="13"/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674" t="s">
        <v>14</v>
      </c>
      <c r="I48" s="44"/>
      <c r="J48" s="44"/>
      <c r="K48" s="45"/>
      <c r="L48" s="469">
        <v>0</v>
      </c>
      <c r="M48" s="83">
        <v>0</v>
      </c>
      <c r="N48" s="83">
        <v>0</v>
      </c>
      <c r="O48" s="83">
        <f t="shared" si="10"/>
        <v>0</v>
      </c>
      <c r="P48" s="83">
        <f t="shared" si="11"/>
        <v>0</v>
      </c>
      <c r="Q48" s="83">
        <v>0</v>
      </c>
      <c r="R48" s="83">
        <v>0</v>
      </c>
      <c r="S48" s="83">
        <v>0</v>
      </c>
      <c r="T48" s="83">
        <f t="shared" si="12"/>
        <v>0</v>
      </c>
      <c r="U48" s="83">
        <f t="shared" si="13"/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468">
        <f ca="1">IFERROR(__xludf.DUMMYFUNCTION("IMPORTRANGE(""https://docs.google.com/spreadsheets/d/1-uDff_7J0KD5mKrp0Vvzr7lt3OU09vwQwhkpOPPYv2Y/edit?usp=sharing"",""งบพรบ!P14"")"),319029)</f>
        <v>319029</v>
      </c>
      <c r="M49" s="224">
        <f ca="1">IFERROR(__xludf.DUMMYFUNCTION("IMPORTRANGE(""https://docs.google.com/spreadsheets/d/1-uDff_7J0KD5mKrp0Vvzr7lt3OU09vwQwhkpOPPYv2Y/edit?usp=sharing"",""งบพรบ!V14"")"),330489)</f>
        <v>330489</v>
      </c>
      <c r="N49" s="224">
        <f ca="1">IFERROR(__xludf.DUMMYFUNCTION("IMPORTRANGE(""https://docs.google.com/spreadsheets/d/1-uDff_7J0KD5mKrp0Vvzr7lt3OU09vwQwhkpOPPYv2Y/edit?usp=sharing"",""งบพรบ!Y14"")"),319592)</f>
        <v>319592</v>
      </c>
      <c r="O49" s="224">
        <f t="shared" ca="1" si="10"/>
        <v>100.17647298521452</v>
      </c>
      <c r="P49" s="224">
        <f t="shared" ca="1" si="11"/>
        <v>96.702764691109238</v>
      </c>
      <c r="Q49" s="224">
        <v>0</v>
      </c>
      <c r="R49" s="224">
        <v>0</v>
      </c>
      <c r="S49" s="224">
        <v>0</v>
      </c>
      <c r="T49" s="224">
        <f t="shared" si="12"/>
        <v>0</v>
      </c>
      <c r="U49" s="224">
        <f t="shared" si="13"/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468">
        <f ca="1">L51+L52</f>
        <v>0</v>
      </c>
      <c r="M50" s="224">
        <f ca="1">M51+M52</f>
        <v>0</v>
      </c>
      <c r="N50" s="224">
        <f ca="1">N51+N52</f>
        <v>0</v>
      </c>
      <c r="O50" s="224">
        <f t="shared" ca="1" si="10"/>
        <v>0</v>
      </c>
      <c r="P50" s="224">
        <f t="shared" ca="1" si="11"/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 t="shared" si="12"/>
        <v>0</v>
      </c>
      <c r="U50" s="224">
        <f t="shared" si="13"/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674" t="s">
        <v>14</v>
      </c>
      <c r="I51" s="44"/>
      <c r="J51" s="44"/>
      <c r="K51" s="45"/>
      <c r="L51" s="469">
        <v>0</v>
      </c>
      <c r="M51" s="83">
        <v>0</v>
      </c>
      <c r="N51" s="83">
        <v>0</v>
      </c>
      <c r="O51" s="83">
        <f t="shared" si="10"/>
        <v>0</v>
      </c>
      <c r="P51" s="83">
        <f t="shared" si="11"/>
        <v>0</v>
      </c>
      <c r="Q51" s="83">
        <v>0</v>
      </c>
      <c r="R51" s="83">
        <v>0</v>
      </c>
      <c r="S51" s="83">
        <v>0</v>
      </c>
      <c r="T51" s="83">
        <f t="shared" si="12"/>
        <v>0</v>
      </c>
      <c r="U51" s="83">
        <f t="shared" si="13"/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468">
        <f ca="1">IFERROR(__xludf.DUMMYFUNCTION("IMPORTRANGE(""https://docs.google.com/spreadsheets/d/1-uDff_7J0KD5mKrp0Vvzr7lt3OU09vwQwhkpOPPYv2Y/edit?usp=sharing"",""งบพรบ!S14"")"),0)</f>
        <v>0</v>
      </c>
      <c r="M52" s="224">
        <f ca="1">IFERROR(__xludf.DUMMYFUNCTION("IMPORTRANGE(""https://docs.google.com/spreadsheets/d/1-uDff_7J0KD5mKrp0Vvzr7lt3OU09vwQwhkpOPPYv2Y/edit?usp=sharing"",""งบพรบ!W14"")"),0)</f>
        <v>0</v>
      </c>
      <c r="N52" s="224">
        <f ca="1">IFERROR(__xludf.DUMMYFUNCTION("IMPORTRANGE(""https://docs.google.com/spreadsheets/d/1-uDff_7J0KD5mKrp0Vvzr7lt3OU09vwQwhkpOPPYv2Y/edit?usp=sharing"",""งบพรบ!Z14"")"),0)</f>
        <v>0</v>
      </c>
      <c r="O52" s="224">
        <f t="shared" ca="1" si="10"/>
        <v>0</v>
      </c>
      <c r="P52" s="224">
        <f t="shared" ca="1" si="11"/>
        <v>0</v>
      </c>
      <c r="Q52" s="224">
        <v>0</v>
      </c>
      <c r="R52" s="224">
        <v>0</v>
      </c>
      <c r="S52" s="224">
        <v>0</v>
      </c>
      <c r="T52" s="224">
        <f t="shared" si="12"/>
        <v>0</v>
      </c>
      <c r="U52" s="224">
        <f t="shared" si="13"/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465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674" t="s">
        <v>14</v>
      </c>
      <c r="I54" s="44"/>
      <c r="J54" s="44"/>
      <c r="K54" s="45"/>
      <c r="L54" s="465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463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804" t="s">
        <v>28</v>
      </c>
      <c r="B56" s="800"/>
      <c r="C56" s="800"/>
      <c r="D56" s="800"/>
      <c r="E56" s="800"/>
      <c r="F56" s="800"/>
      <c r="G56" s="80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805" t="s">
        <v>29</v>
      </c>
      <c r="C57" s="793"/>
      <c r="D57" s="793"/>
      <c r="E57" s="793"/>
      <c r="F57" s="793"/>
      <c r="G57" s="794"/>
      <c r="H57" s="89"/>
      <c r="I57" s="90"/>
      <c r="J57" s="90"/>
      <c r="K57" s="91"/>
      <c r="L57" s="68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8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8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82">
        <f ca="1">L60+L61</f>
        <v>569900</v>
      </c>
      <c r="M59" s="681">
        <f ca="1">M60+M61</f>
        <v>569900</v>
      </c>
      <c r="N59" s="681">
        <f ca="1">N60+N61</f>
        <v>487927.2</v>
      </c>
      <c r="O59" s="681">
        <f t="shared" ref="O59:O67" ca="1" si="16">IF(L59&gt;0,N59*100/L59,0)</f>
        <v>85.616283558519044</v>
      </c>
      <c r="P59" s="681">
        <f t="shared" ref="P59:P67" ca="1" si="17">IF(M59&gt;0,N59*100/M59,0)</f>
        <v>85.616283558519044</v>
      </c>
      <c r="Q59" s="681">
        <f>Q60+Q61</f>
        <v>0</v>
      </c>
      <c r="R59" s="681">
        <f>R60+R61</f>
        <v>0</v>
      </c>
      <c r="S59" s="681">
        <f>S60+S61</f>
        <v>0</v>
      </c>
      <c r="T59" s="681">
        <f t="shared" ref="T59:T67" si="18">IF(Q59&gt;0,S59*100/Q59,0)</f>
        <v>0</v>
      </c>
      <c r="U59" s="681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80" t="s">
        <v>20</v>
      </c>
      <c r="F60" s="99"/>
      <c r="G60" s="102"/>
      <c r="H60" s="679" t="s">
        <v>14</v>
      </c>
      <c r="I60" s="104"/>
      <c r="J60" s="104"/>
      <c r="K60" s="105"/>
      <c r="L60" s="678">
        <f t="shared" ref="L60:N61" si="20">L63+L66</f>
        <v>0</v>
      </c>
      <c r="M60" s="677">
        <f t="shared" si="20"/>
        <v>0</v>
      </c>
      <c r="N60" s="677">
        <f t="shared" si="20"/>
        <v>0</v>
      </c>
      <c r="O60" s="677">
        <f t="shared" si="16"/>
        <v>0</v>
      </c>
      <c r="P60" s="677">
        <f t="shared" si="17"/>
        <v>0</v>
      </c>
      <c r="Q60" s="677">
        <f t="shared" ref="Q60:S61" si="21">Q63+Q66</f>
        <v>0</v>
      </c>
      <c r="R60" s="677">
        <f t="shared" si="21"/>
        <v>0</v>
      </c>
      <c r="S60" s="677">
        <f t="shared" si="21"/>
        <v>0</v>
      </c>
      <c r="T60" s="677">
        <f t="shared" si="18"/>
        <v>0</v>
      </c>
      <c r="U60" s="677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76">
        <f t="shared" ca="1" si="20"/>
        <v>569900</v>
      </c>
      <c r="M61" s="675">
        <f t="shared" ca="1" si="20"/>
        <v>569900</v>
      </c>
      <c r="N61" s="675">
        <f t="shared" ca="1" si="20"/>
        <v>487927.2</v>
      </c>
      <c r="O61" s="675">
        <f t="shared" ca="1" si="16"/>
        <v>85.616283558519044</v>
      </c>
      <c r="P61" s="675">
        <f t="shared" ca="1" si="17"/>
        <v>85.616283558519044</v>
      </c>
      <c r="Q61" s="675">
        <f t="shared" si="21"/>
        <v>0</v>
      </c>
      <c r="R61" s="675">
        <f t="shared" si="21"/>
        <v>0</v>
      </c>
      <c r="S61" s="675">
        <f t="shared" si="21"/>
        <v>0</v>
      </c>
      <c r="T61" s="675">
        <f t="shared" si="18"/>
        <v>0</v>
      </c>
      <c r="U61" s="675">
        <f t="shared" si="19"/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468">
        <f ca="1">L63+L64</f>
        <v>569900</v>
      </c>
      <c r="M62" s="224">
        <f ca="1">M63+M64</f>
        <v>569900</v>
      </c>
      <c r="N62" s="224">
        <f ca="1">N63+N64</f>
        <v>487927.2</v>
      </c>
      <c r="O62" s="224">
        <f t="shared" ca="1" si="16"/>
        <v>85.616283558519044</v>
      </c>
      <c r="P62" s="224">
        <f t="shared" ca="1" si="17"/>
        <v>85.616283558519044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 t="shared" si="18"/>
        <v>0</v>
      </c>
      <c r="U62" s="224">
        <f t="shared" si="19"/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674" t="s">
        <v>14</v>
      </c>
      <c r="I63" s="44"/>
      <c r="J63" s="44"/>
      <c r="K63" s="45"/>
      <c r="L63" s="469">
        <v>0</v>
      </c>
      <c r="M63" s="83">
        <v>0</v>
      </c>
      <c r="N63" s="83">
        <v>0</v>
      </c>
      <c r="O63" s="83">
        <f t="shared" si="16"/>
        <v>0</v>
      </c>
      <c r="P63" s="83">
        <f t="shared" si="17"/>
        <v>0</v>
      </c>
      <c r="Q63" s="83">
        <v>0</v>
      </c>
      <c r="R63" s="83">
        <v>0</v>
      </c>
      <c r="S63" s="83">
        <v>0</v>
      </c>
      <c r="T63" s="83">
        <f t="shared" si="18"/>
        <v>0</v>
      </c>
      <c r="U63" s="83">
        <f t="shared" si="19"/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468">
        <f ca="1">IFERROR(__xludf.DUMMYFUNCTION("IMPORTRANGE(""https://docs.google.com/spreadsheets/d/1-uDff_7J0KD5mKrp0Vvzr7lt3OU09vwQwhkpOPPYv2Y/edit?usp=sharing"",""งบพรบ!AC14"")"),569900)</f>
        <v>569900</v>
      </c>
      <c r="M64" s="224">
        <f ca="1">IFERROR(__xludf.DUMMYFUNCTION("IMPORTRANGE(""https://docs.google.com/spreadsheets/d/1-uDff_7J0KD5mKrp0Vvzr7lt3OU09vwQwhkpOPPYv2Y/edit?usp=sharing"",""งบพรบ!AH14"")"),569900)</f>
        <v>569900</v>
      </c>
      <c r="N64" s="224">
        <f ca="1">IFERROR(__xludf.DUMMYFUNCTION("IMPORTRANGE(""https://docs.google.com/spreadsheets/d/1-uDff_7J0KD5mKrp0Vvzr7lt3OU09vwQwhkpOPPYv2Y/edit?usp=sharing"",""งบพรบ!AJ14"")"),487927.2)</f>
        <v>487927.2</v>
      </c>
      <c r="O64" s="224">
        <f t="shared" ca="1" si="16"/>
        <v>85.616283558519044</v>
      </c>
      <c r="P64" s="224">
        <f t="shared" ca="1" si="17"/>
        <v>85.616283558519044</v>
      </c>
      <c r="Q64" s="224">
        <v>0</v>
      </c>
      <c r="R64" s="224">
        <v>0</v>
      </c>
      <c r="S64" s="224">
        <v>0</v>
      </c>
      <c r="T64" s="224">
        <f t="shared" si="18"/>
        <v>0</v>
      </c>
      <c r="U64" s="224">
        <f t="shared" si="19"/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468">
        <f ca="1">L66+L67</f>
        <v>0</v>
      </c>
      <c r="M65" s="224">
        <f ca="1">M66+M67</f>
        <v>0</v>
      </c>
      <c r="N65" s="224">
        <f ca="1">N66+N67</f>
        <v>0</v>
      </c>
      <c r="O65" s="224">
        <f t="shared" ca="1" si="16"/>
        <v>0</v>
      </c>
      <c r="P65" s="224">
        <f t="shared" ca="1" si="17"/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 t="shared" si="18"/>
        <v>0</v>
      </c>
      <c r="U65" s="224">
        <f t="shared" si="19"/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674" t="s">
        <v>14</v>
      </c>
      <c r="I66" s="44"/>
      <c r="J66" s="44"/>
      <c r="K66" s="45"/>
      <c r="L66" s="469">
        <v>0</v>
      </c>
      <c r="M66" s="83">
        <v>0</v>
      </c>
      <c r="N66" s="83">
        <v>0</v>
      </c>
      <c r="O66" s="83">
        <f t="shared" si="16"/>
        <v>0</v>
      </c>
      <c r="P66" s="83">
        <f t="shared" si="17"/>
        <v>0</v>
      </c>
      <c r="Q66" s="83">
        <v>0</v>
      </c>
      <c r="R66" s="83">
        <v>0</v>
      </c>
      <c r="S66" s="83">
        <v>0</v>
      </c>
      <c r="T66" s="83">
        <f t="shared" si="18"/>
        <v>0</v>
      </c>
      <c r="U66" s="83">
        <f t="shared" si="19"/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673">
        <f ca="1">IFERROR(__xludf.DUMMYFUNCTION("IMPORTRANGE(""https://docs.google.com/spreadsheets/d/1-uDff_7J0KD5mKrp0Vvzr7lt3OU09vwQwhkpOPPYv2Y/edit?usp=sharing"",""งบพรบ!AF14"")"),0)</f>
        <v>0</v>
      </c>
      <c r="M67" s="455">
        <f ca="1">IFERROR(__xludf.DUMMYFUNCTION("IMPORTRANGE(""https://docs.google.com/spreadsheets/d/1-uDff_7J0KD5mKrp0Vvzr7lt3OU09vwQwhkpOPPYv2Y/edit?usp=sharing"",""งบพรบ!AI14"")"),0)</f>
        <v>0</v>
      </c>
      <c r="N67" s="455">
        <f ca="1">IFERROR(__xludf.DUMMYFUNCTION("IMPORTRANGE(""https://docs.google.com/spreadsheets/d/1-uDff_7J0KD5mKrp0Vvzr7lt3OU09vwQwhkpOPPYv2Y/edit?usp=sharing"",""งบพรบ!AK14"")"),0)</f>
        <v>0</v>
      </c>
      <c r="O67" s="455">
        <f t="shared" ca="1" si="16"/>
        <v>0</v>
      </c>
      <c r="P67" s="455">
        <f t="shared" ca="1" si="17"/>
        <v>0</v>
      </c>
      <c r="Q67" s="455">
        <v>0</v>
      </c>
      <c r="R67" s="455">
        <v>0</v>
      </c>
      <c r="S67" s="455">
        <v>0</v>
      </c>
      <c r="T67" s="455">
        <f t="shared" si="18"/>
        <v>0</v>
      </c>
      <c r="U67" s="455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7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665">
        <f ca="1">I82</f>
        <v>0</v>
      </c>
      <c r="J70" s="665">
        <f>J82</f>
        <v>0</v>
      </c>
      <c r="K70" s="664">
        <f ca="1">IF(I70&gt;0,J70*100/I70,0)</f>
        <v>0</v>
      </c>
      <c r="L70" s="510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hidden="1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665">
        <f ca="1">I83</f>
        <v>0</v>
      </c>
      <c r="J71" s="665">
        <f>J83</f>
        <v>0</v>
      </c>
      <c r="K71" s="664">
        <f ca="1">IF(I71&gt;0,J71*100/I71,0)</f>
        <v>0</v>
      </c>
      <c r="L71" s="510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8"/>
      <c r="B72" s="40"/>
      <c r="C72" s="129" t="s">
        <v>18</v>
      </c>
      <c r="D72" s="472" t="s">
        <v>19</v>
      </c>
      <c r="E72" s="40"/>
      <c r="F72" s="40"/>
      <c r="G72" s="42"/>
      <c r="H72" s="131" t="s">
        <v>14</v>
      </c>
      <c r="I72" s="44"/>
      <c r="J72" s="44"/>
      <c r="K72" s="45"/>
      <c r="L72" s="471">
        <f ca="1">L73+L74</f>
        <v>0</v>
      </c>
      <c r="M72" s="470">
        <f ca="1">M73+M74</f>
        <v>0</v>
      </c>
      <c r="N72" s="470">
        <f ca="1">N73+N74</f>
        <v>0</v>
      </c>
      <c r="O72" s="470">
        <f t="shared" ref="O72:O80" ca="1" si="22">IF(L72&gt;0,N72*100/L72,0)</f>
        <v>0</v>
      </c>
      <c r="P72" s="470">
        <f t="shared" ref="P72:P80" ca="1" si="23">IF(M72&gt;0,N72*100/M72,0)</f>
        <v>0</v>
      </c>
      <c r="Q72" s="470">
        <f ca="1">Q73+Q74</f>
        <v>0</v>
      </c>
      <c r="R72" s="470">
        <f ca="1">R73+R74</f>
        <v>0</v>
      </c>
      <c r="S72" s="470">
        <f ca="1">S73+S74</f>
        <v>0</v>
      </c>
      <c r="T72" s="470">
        <f t="shared" ref="T72:T80" ca="1" si="24">IF(Q72&gt;0,S72*100/Q72,0)</f>
        <v>0</v>
      </c>
      <c r="U72" s="470">
        <f t="shared" ref="U72:U80" ca="1" si="25">IF(R72&gt;0,S72*100/R72,0)</f>
        <v>0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469">
        <f t="shared" ref="L73:N74" si="26">L76+L79</f>
        <v>0</v>
      </c>
      <c r="M73" s="83">
        <f t="shared" si="26"/>
        <v>0</v>
      </c>
      <c r="N73" s="83">
        <f t="shared" si="26"/>
        <v>0</v>
      </c>
      <c r="O73" s="83">
        <f t="shared" si="22"/>
        <v>0</v>
      </c>
      <c r="P73" s="83">
        <f t="shared" si="23"/>
        <v>0</v>
      </c>
      <c r="Q73" s="83">
        <f t="shared" ref="Q73:S74" si="27">Q76+Q79</f>
        <v>0</v>
      </c>
      <c r="R73" s="83">
        <f t="shared" si="27"/>
        <v>0</v>
      </c>
      <c r="S73" s="83">
        <f t="shared" si="27"/>
        <v>0</v>
      </c>
      <c r="T73" s="83">
        <f t="shared" si="24"/>
        <v>0</v>
      </c>
      <c r="U73" s="83">
        <f t="shared" si="25"/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468">
        <f t="shared" ca="1" si="26"/>
        <v>0</v>
      </c>
      <c r="M74" s="224">
        <f t="shared" ca="1" si="26"/>
        <v>0</v>
      </c>
      <c r="N74" s="224">
        <f t="shared" ca="1" si="26"/>
        <v>0</v>
      </c>
      <c r="O74" s="224">
        <f t="shared" ca="1" si="22"/>
        <v>0</v>
      </c>
      <c r="P74" s="224">
        <f t="shared" ca="1" si="23"/>
        <v>0</v>
      </c>
      <c r="Q74" s="224">
        <f t="shared" ca="1" si="27"/>
        <v>0</v>
      </c>
      <c r="R74" s="224">
        <f t="shared" ca="1" si="27"/>
        <v>0</v>
      </c>
      <c r="S74" s="224">
        <f t="shared" ca="1" si="27"/>
        <v>0</v>
      </c>
      <c r="T74" s="224">
        <f t="shared" ca="1" si="24"/>
        <v>0</v>
      </c>
      <c r="U74" s="224">
        <f t="shared" ca="1" si="25"/>
        <v>0</v>
      </c>
    </row>
    <row r="75" spans="1:21" ht="18.75" hidden="1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468">
        <f ca="1">L76+L77</f>
        <v>0</v>
      </c>
      <c r="M75" s="224">
        <f ca="1">M76+M77</f>
        <v>0</v>
      </c>
      <c r="N75" s="224">
        <f ca="1">N76+N77</f>
        <v>0</v>
      </c>
      <c r="O75" s="224">
        <f t="shared" ca="1" si="22"/>
        <v>0</v>
      </c>
      <c r="P75" s="224">
        <f t="shared" ca="1" si="23"/>
        <v>0</v>
      </c>
      <c r="Q75" s="224">
        <f ca="1">Q76+Q77</f>
        <v>0</v>
      </c>
      <c r="R75" s="224">
        <f ca="1">R76+R77</f>
        <v>0</v>
      </c>
      <c r="S75" s="224">
        <f ca="1">S76+S77</f>
        <v>0</v>
      </c>
      <c r="T75" s="224">
        <f t="shared" ca="1" si="24"/>
        <v>0</v>
      </c>
      <c r="U75" s="224">
        <f t="shared" ca="1" si="25"/>
        <v>0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469">
        <v>0</v>
      </c>
      <c r="M76" s="83">
        <v>0</v>
      </c>
      <c r="N76" s="83">
        <v>0</v>
      </c>
      <c r="O76" s="83">
        <f t="shared" si="22"/>
        <v>0</v>
      </c>
      <c r="P76" s="83">
        <f t="shared" si="23"/>
        <v>0</v>
      </c>
      <c r="Q76" s="83">
        <v>0</v>
      </c>
      <c r="R76" s="83">
        <v>0</v>
      </c>
      <c r="S76" s="83">
        <v>0</v>
      </c>
      <c r="T76" s="83">
        <f t="shared" si="24"/>
        <v>0</v>
      </c>
      <c r="U76" s="83">
        <f t="shared" si="25"/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468">
        <f ca="1">IFERROR(__xludf.DUMMYFUNCTION("IMPORTRANGE(""https://docs.google.com/spreadsheets/d/1-uDff_7J0KD5mKrp0Vvzr7lt3OU09vwQwhkpOPPYv2Y/edit?usp=sharing"",""งบพรบ!AM14"")"),0)</f>
        <v>0</v>
      </c>
      <c r="M77" s="224">
        <f ca="1">IFERROR(__xludf.DUMMYFUNCTION("IMPORTRANGE(""https://docs.google.com/spreadsheets/d/1-uDff_7J0KD5mKrp0Vvzr7lt3OU09vwQwhkpOPPYv2Y/edit?usp=sharing"",""งบพรบ!AR14"")"),0)</f>
        <v>0</v>
      </c>
      <c r="N77" s="224">
        <f ca="1">IFERROR(__xludf.DUMMYFUNCTION("IMPORTRANGE(""https://docs.google.com/spreadsheets/d/1-uDff_7J0KD5mKrp0Vvzr7lt3OU09vwQwhkpOPPYv2Y/edit?usp=sharing"",""งบพรบ!AT14"")"),0)</f>
        <v>0</v>
      </c>
      <c r="O77" s="224">
        <f t="shared" ca="1" si="22"/>
        <v>0</v>
      </c>
      <c r="P77" s="224">
        <f t="shared" ca="1" si="23"/>
        <v>0</v>
      </c>
      <c r="Q77" s="224">
        <f ca="1">IFERROR(__xludf.DUMMYFUNCTION("IMPORTRANGE(""https://docs.google.com/spreadsheets/d/1ItG2mGa2ceCfYo0BwxsXqNm01IGEUdYcSSLTEv9YCik/edit?usp=sharing"",""เบิกจ่ายกองทุน!AS14"")"),0)</f>
        <v>0</v>
      </c>
      <c r="R77" s="224">
        <f ca="1">IFERROR(__xludf.DUMMYFUNCTION("IMPORTRANGE(""https://docs.google.com/spreadsheets/d/1ItG2mGa2ceCfYo0BwxsXqNm01IGEUdYcSSLTEv9YCik/edit?usp=sharing"",""เบิกจ่ายกองทุน!AT14"")"),0)</f>
        <v>0</v>
      </c>
      <c r="S77" s="224">
        <f ca="1">IFERROR(__xludf.DUMMYFUNCTION("IMPORTRANGE(""https://docs.google.com/spreadsheets/d/1ItG2mGa2ceCfYo0BwxsXqNm01IGEUdYcSSLTEv9YCik/edit?usp=sharing"",""เบิกจ่ายกองทุน!AU14"")"),0)</f>
        <v>0</v>
      </c>
      <c r="T77" s="224">
        <f t="shared" ca="1" si="24"/>
        <v>0</v>
      </c>
      <c r="U77" s="224">
        <f t="shared" ca="1" si="25"/>
        <v>0</v>
      </c>
    </row>
    <row r="78" spans="1:21" ht="18.75" hidden="1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468">
        <f ca="1">L79+L80</f>
        <v>0</v>
      </c>
      <c r="M78" s="224">
        <f ca="1">M79+M80</f>
        <v>0</v>
      </c>
      <c r="N78" s="224">
        <f ca="1">N79+N80</f>
        <v>0</v>
      </c>
      <c r="O78" s="224">
        <f t="shared" ca="1" si="22"/>
        <v>0</v>
      </c>
      <c r="P78" s="224">
        <f t="shared" ca="1" si="23"/>
        <v>0</v>
      </c>
      <c r="Q78" s="224">
        <f>Q79+Q80</f>
        <v>0</v>
      </c>
      <c r="R78" s="224">
        <f>R79+R80</f>
        <v>0</v>
      </c>
      <c r="S78" s="224">
        <f>S79+S80</f>
        <v>0</v>
      </c>
      <c r="T78" s="224">
        <f t="shared" si="24"/>
        <v>0</v>
      </c>
      <c r="U78" s="224">
        <f t="shared" si="25"/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469">
        <v>0</v>
      </c>
      <c r="M79" s="224">
        <v>0</v>
      </c>
      <c r="N79" s="224">
        <v>0</v>
      </c>
      <c r="O79" s="83">
        <f t="shared" si="22"/>
        <v>0</v>
      </c>
      <c r="P79" s="83">
        <f t="shared" si="23"/>
        <v>0</v>
      </c>
      <c r="Q79" s="83">
        <v>0</v>
      </c>
      <c r="R79" s="224">
        <v>0</v>
      </c>
      <c r="S79" s="224">
        <v>0</v>
      </c>
      <c r="T79" s="83">
        <f t="shared" si="24"/>
        <v>0</v>
      </c>
      <c r="U79" s="83">
        <f t="shared" si="25"/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468">
        <f ca="1">IFERROR(__xludf.DUMMYFUNCTION("IMPORTRANGE(""https://docs.google.com/spreadsheets/d/1-uDff_7J0KD5mKrp0Vvzr7lt3OU09vwQwhkpOPPYv2Y/edit?usp=sharing"",""งบพรบ!AP14"")"),0)</f>
        <v>0</v>
      </c>
      <c r="M80" s="224">
        <f ca="1">IFERROR(__xludf.DUMMYFUNCTION("IMPORTRANGE(""https://docs.google.com/spreadsheets/d/1-uDff_7J0KD5mKrp0Vvzr7lt3OU09vwQwhkpOPPYv2Y/edit?usp=sharing"",""งบพรบ!AS14"")"),0)</f>
        <v>0</v>
      </c>
      <c r="N80" s="224">
        <f ca="1">IFERROR(__xludf.DUMMYFUNCTION("IMPORTRANGE(""https://docs.google.com/spreadsheets/d/1-uDff_7J0KD5mKrp0Vvzr7lt3OU09vwQwhkpOPPYv2Y/edit?usp=sharing"",""งบพรบ!AU14"")"),0)</f>
        <v>0</v>
      </c>
      <c r="O80" s="224">
        <f t="shared" ca="1" si="22"/>
        <v>0</v>
      </c>
      <c r="P80" s="224">
        <f t="shared" ca="1" si="23"/>
        <v>0</v>
      </c>
      <c r="Q80" s="224">
        <v>0</v>
      </c>
      <c r="R80" s="224">
        <v>0</v>
      </c>
      <c r="S80" s="224">
        <v>0</v>
      </c>
      <c r="T80" s="224">
        <f t="shared" si="24"/>
        <v>0</v>
      </c>
      <c r="U80" s="224">
        <f t="shared" si="25"/>
        <v>0</v>
      </c>
    </row>
    <row r="81" spans="1:21" ht="19.5" hidden="1" x14ac:dyDescent="0.3">
      <c r="A81" s="138"/>
      <c r="B81" s="139"/>
      <c r="C81" s="129" t="s">
        <v>18</v>
      </c>
      <c r="D81" s="498" t="s">
        <v>38</v>
      </c>
      <c r="E81" s="141"/>
      <c r="F81" s="141"/>
      <c r="G81" s="142"/>
      <c r="H81" s="143"/>
      <c r="I81" s="135"/>
      <c r="J81" s="135"/>
      <c r="K81" s="136"/>
      <c r="L81" s="4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ca="1">I84+I86+I88</f>
        <v>0</v>
      </c>
      <c r="J82" s="328">
        <f>J84+J86+J88</f>
        <v>0</v>
      </c>
      <c r="K82" s="582">
        <f t="shared" ref="K82:K90" ca="1" si="28">IF(I82&gt;0,J82*100/I82,0)</f>
        <v>0</v>
      </c>
      <c r="L82" s="4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ca="1">I85+I87+I89</f>
        <v>0</v>
      </c>
      <c r="J83" s="328">
        <f>J85+J87+J89</f>
        <v>0</v>
      </c>
      <c r="K83" s="582">
        <f t="shared" ca="1" si="28"/>
        <v>0</v>
      </c>
      <c r="L83" s="4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581">
        <f ca="1">IFERROR(__xludf.DUMMYFUNCTION("IMPORTRANGE(""https://docs.google.com/spreadsheets/d/1eHaY18a8A9IcSdp1K8H6x8fbOy06t2VsZHhMHf-1x7Y/edit?usp=sharing"",""แผน!H14"")"),0)</f>
        <v>0</v>
      </c>
      <c r="J84" s="466">
        <v>0</v>
      </c>
      <c r="K84" s="497">
        <f t="shared" ca="1" si="28"/>
        <v>0</v>
      </c>
      <c r="L84" s="4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581">
        <f ca="1">IFERROR(__xludf.DUMMYFUNCTION("IMPORTRANGE(""https://docs.google.com/spreadsheets/d/1eHaY18a8A9IcSdp1K8H6x8fbOy06t2VsZHhMHf-1x7Y/edit?usp=sharing"",""แผน!I14"")"),0)</f>
        <v>0</v>
      </c>
      <c r="J85" s="466">
        <v>0</v>
      </c>
      <c r="K85" s="497">
        <f t="shared" ca="1" si="28"/>
        <v>0</v>
      </c>
      <c r="L85" s="4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581">
        <f ca="1">IFERROR(__xludf.DUMMYFUNCTION("IMPORTRANGE(""https://docs.google.com/spreadsheets/d/1eHaY18a8A9IcSdp1K8H6x8fbOy06t2VsZHhMHf-1x7Y/edit?usp=sharing"",""แผน!F14"")"),0)</f>
        <v>0</v>
      </c>
      <c r="J86" s="466">
        <v>0</v>
      </c>
      <c r="K86" s="497">
        <f t="shared" ca="1" si="28"/>
        <v>0</v>
      </c>
      <c r="L86" s="4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581">
        <f ca="1">IFERROR(__xludf.DUMMYFUNCTION("IMPORTRANGE(""https://docs.google.com/spreadsheets/d/1eHaY18a8A9IcSdp1K8H6x8fbOy06t2VsZHhMHf-1x7Y/edit?usp=sharing"",""แผน!G14"")"),0)</f>
        <v>0</v>
      </c>
      <c r="J87" s="466">
        <v>0</v>
      </c>
      <c r="K87" s="497">
        <f t="shared" ca="1" si="28"/>
        <v>0</v>
      </c>
      <c r="L87" s="4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581">
        <f ca="1">IFERROR(__xludf.DUMMYFUNCTION("IMPORTRANGE(""https://docs.google.com/spreadsheets/d/1eHaY18a8A9IcSdp1K8H6x8fbOy06t2VsZHhMHf-1x7Y/edit?usp=sharing"",""แผน!D14"")"),0)</f>
        <v>0</v>
      </c>
      <c r="J88" s="466">
        <v>0</v>
      </c>
      <c r="K88" s="497">
        <f t="shared" ca="1" si="28"/>
        <v>0</v>
      </c>
      <c r="L88" s="4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581">
        <f ca="1">IFERROR(__xludf.DUMMYFUNCTION("IMPORTRANGE(""https://docs.google.com/spreadsheets/d/1eHaY18a8A9IcSdp1K8H6x8fbOy06t2VsZHhMHf-1x7Y/edit?usp=sharing"",""แผน!E14"")"),0)</f>
        <v>0</v>
      </c>
      <c r="J89" s="466">
        <v>0</v>
      </c>
      <c r="K89" s="497">
        <f t="shared" ca="1" si="28"/>
        <v>0</v>
      </c>
      <c r="L89" s="4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581">
        <f ca="1">IFERROR(__xludf.DUMMYFUNCTION("IMPORTRANGE(""https://docs.google.com/spreadsheets/d/1eHaY18a8A9IcSdp1K8H6x8fbOy06t2VsZHhMHf-1x7Y/edit?usp=sharing"",""แผน!J14"")"),0)</f>
        <v>0</v>
      </c>
      <c r="J90" s="466">
        <v>0</v>
      </c>
      <c r="K90" s="497">
        <f t="shared" ca="1" si="28"/>
        <v>0</v>
      </c>
      <c r="L90" s="4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7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665">
        <f ca="1">I108</f>
        <v>0</v>
      </c>
      <c r="J92" s="665">
        <f>J108</f>
        <v>0</v>
      </c>
      <c r="K92" s="664">
        <f ca="1">IF(I92&gt;0,J92*100/I92,0)</f>
        <v>0</v>
      </c>
      <c r="L92" s="510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665">
        <f ca="1">I109</f>
        <v>0</v>
      </c>
      <c r="J93" s="665">
        <f>J109</f>
        <v>0</v>
      </c>
      <c r="K93" s="664">
        <f ca="1">IF(I93&gt;0,J93*100/I93,0)</f>
        <v>0</v>
      </c>
      <c r="L93" s="510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472" t="s">
        <v>19</v>
      </c>
      <c r="E94" s="40"/>
      <c r="F94" s="40"/>
      <c r="G94" s="42"/>
      <c r="H94" s="131" t="s">
        <v>14</v>
      </c>
      <c r="I94" s="44"/>
      <c r="J94" s="44"/>
      <c r="K94" s="45"/>
      <c r="L94" s="471">
        <f ca="1">L95+L96</f>
        <v>0</v>
      </c>
      <c r="M94" s="470">
        <f ca="1">M95+M96</f>
        <v>0</v>
      </c>
      <c r="N94" s="470">
        <f ca="1">N95+N96</f>
        <v>0</v>
      </c>
      <c r="O94" s="470">
        <f t="shared" ref="O94:O102" ca="1" si="29">IF(L94&gt;0,N94*100/L94,0)</f>
        <v>0</v>
      </c>
      <c r="P94" s="470">
        <f t="shared" ref="P94:P102" ca="1" si="30">IF(M94&gt;0,N94*100/M94,0)</f>
        <v>0</v>
      </c>
      <c r="Q94" s="470">
        <f ca="1">Q95+Q96</f>
        <v>0</v>
      </c>
      <c r="R94" s="470">
        <f ca="1">R95+R96</f>
        <v>0</v>
      </c>
      <c r="S94" s="470">
        <f ca="1">S95+S96</f>
        <v>0</v>
      </c>
      <c r="T94" s="470">
        <f t="shared" ref="T94:T102" ca="1" si="31">IF(Q94&gt;0,S94*100/Q94,0)</f>
        <v>0</v>
      </c>
      <c r="U94" s="470">
        <f t="shared" ref="U94:U102" ca="1" si="32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469">
        <f t="shared" ref="L95:N96" si="33">L98+L101</f>
        <v>0</v>
      </c>
      <c r="M95" s="83">
        <f t="shared" si="33"/>
        <v>0</v>
      </c>
      <c r="N95" s="83">
        <f t="shared" si="33"/>
        <v>0</v>
      </c>
      <c r="O95" s="83">
        <f t="shared" si="29"/>
        <v>0</v>
      </c>
      <c r="P95" s="83">
        <f t="shared" si="30"/>
        <v>0</v>
      </c>
      <c r="Q95" s="83">
        <f t="shared" ref="Q95:S96" si="34">Q98+Q101</f>
        <v>0</v>
      </c>
      <c r="R95" s="83">
        <f t="shared" si="34"/>
        <v>0</v>
      </c>
      <c r="S95" s="83">
        <f t="shared" si="34"/>
        <v>0</v>
      </c>
      <c r="T95" s="83">
        <f t="shared" si="31"/>
        <v>0</v>
      </c>
      <c r="U95" s="83">
        <f t="shared" si="32"/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468">
        <f t="shared" ca="1" si="33"/>
        <v>0</v>
      </c>
      <c r="M96" s="224">
        <f t="shared" ca="1" si="33"/>
        <v>0</v>
      </c>
      <c r="N96" s="224">
        <f t="shared" ca="1" si="33"/>
        <v>0</v>
      </c>
      <c r="O96" s="224">
        <f t="shared" ca="1" si="29"/>
        <v>0</v>
      </c>
      <c r="P96" s="224">
        <f t="shared" ca="1" si="30"/>
        <v>0</v>
      </c>
      <c r="Q96" s="224">
        <f t="shared" ca="1" si="34"/>
        <v>0</v>
      </c>
      <c r="R96" s="224">
        <f t="shared" ca="1" si="34"/>
        <v>0</v>
      </c>
      <c r="S96" s="224">
        <f t="shared" ca="1" si="34"/>
        <v>0</v>
      </c>
      <c r="T96" s="224">
        <f t="shared" ca="1" si="31"/>
        <v>0</v>
      </c>
      <c r="U96" s="224">
        <f t="shared" ca="1" si="32"/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468">
        <f ca="1">L98+L99</f>
        <v>0</v>
      </c>
      <c r="M97" s="224">
        <f ca="1">M98+M99</f>
        <v>0</v>
      </c>
      <c r="N97" s="224">
        <f ca="1">N98+N99</f>
        <v>0</v>
      </c>
      <c r="O97" s="224">
        <f t="shared" ca="1" si="29"/>
        <v>0</v>
      </c>
      <c r="P97" s="224">
        <f t="shared" ca="1" si="30"/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t="shared" ca="1" si="31"/>
        <v>0</v>
      </c>
      <c r="U97" s="224">
        <f t="shared" ca="1" si="32"/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469">
        <v>0</v>
      </c>
      <c r="M98" s="83">
        <v>0</v>
      </c>
      <c r="N98" s="83">
        <v>0</v>
      </c>
      <c r="O98" s="83">
        <f t="shared" si="29"/>
        <v>0</v>
      </c>
      <c r="P98" s="83">
        <f t="shared" si="30"/>
        <v>0</v>
      </c>
      <c r="Q98" s="83">
        <v>0</v>
      </c>
      <c r="R98" s="83">
        <v>0</v>
      </c>
      <c r="S98" s="83">
        <v>0</v>
      </c>
      <c r="T98" s="83">
        <f t="shared" si="31"/>
        <v>0</v>
      </c>
      <c r="U98" s="83">
        <f t="shared" si="32"/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468">
        <f ca="1">IFERROR(__xludf.DUMMYFUNCTION("IMPORTRANGE(""https://docs.google.com/spreadsheets/d/1-uDff_7J0KD5mKrp0Vvzr7lt3OU09vwQwhkpOPPYv2Y/edit?usp=sharing"",""งบพรบ!AW14"")"),0)</f>
        <v>0</v>
      </c>
      <c r="M99" s="224">
        <f ca="1">IFERROR(__xludf.DUMMYFUNCTION("IMPORTRANGE(""https://docs.google.com/spreadsheets/d/1-uDff_7J0KD5mKrp0Vvzr7lt3OU09vwQwhkpOPPYv2Y/edit?usp=sharing"",""งบพรบ!BB14"")"),0)</f>
        <v>0</v>
      </c>
      <c r="N99" s="224">
        <f ca="1">IFERROR(__xludf.DUMMYFUNCTION("IMPORTRANGE(""https://docs.google.com/spreadsheets/d/1-uDff_7J0KD5mKrp0Vvzr7lt3OU09vwQwhkpOPPYv2Y/edit?usp=sharing"",""งบพรบ!BD14"")"),0)</f>
        <v>0</v>
      </c>
      <c r="O99" s="224">
        <f t="shared" ca="1" si="29"/>
        <v>0</v>
      </c>
      <c r="P99" s="224">
        <f t="shared" ca="1" si="30"/>
        <v>0</v>
      </c>
      <c r="Q99" s="224">
        <f ca="1">IFERROR(__xludf.DUMMYFUNCTION("IMPORTRANGE(""https://docs.google.com/spreadsheets/d/1ItG2mGa2ceCfYo0BwxsXqNm01IGEUdYcSSLTEv9YCik/edit?usp=sharing"",""เบิกจ่ายกองทุน!AD14"")"),0)</f>
        <v>0</v>
      </c>
      <c r="R99" s="224">
        <f ca="1">IFERROR(__xludf.DUMMYFUNCTION("IMPORTRANGE(""https://docs.google.com/spreadsheets/d/1ItG2mGa2ceCfYo0BwxsXqNm01IGEUdYcSSLTEv9YCik/edit?usp=sharing"",""เบิกจ่ายกองทุน!AE14"")"),0)</f>
        <v>0</v>
      </c>
      <c r="S99" s="224">
        <f ca="1">IFERROR(__xludf.DUMMYFUNCTION("IMPORTRANGE(""https://docs.google.com/spreadsheets/d/1ItG2mGa2ceCfYo0BwxsXqNm01IGEUdYcSSLTEv9YCik/edit?usp=sharing"",""เบิกจ่ายกองทุน!AF14"")"),0)</f>
        <v>0</v>
      </c>
      <c r="T99" s="224">
        <f t="shared" ca="1" si="31"/>
        <v>0</v>
      </c>
      <c r="U99" s="224">
        <f t="shared" ca="1" si="32"/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468">
        <f ca="1">L101+L102</f>
        <v>0</v>
      </c>
      <c r="M100" s="224">
        <f ca="1">M101+M102</f>
        <v>0</v>
      </c>
      <c r="N100" s="224">
        <f ca="1">N101+N102</f>
        <v>0</v>
      </c>
      <c r="O100" s="224">
        <f t="shared" ca="1" si="29"/>
        <v>0</v>
      </c>
      <c r="P100" s="224">
        <f t="shared" ca="1" si="30"/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 t="shared" si="31"/>
        <v>0</v>
      </c>
      <c r="U100" s="224">
        <f t="shared" si="32"/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469">
        <v>0</v>
      </c>
      <c r="M101" s="83">
        <v>0</v>
      </c>
      <c r="N101" s="83">
        <v>0</v>
      </c>
      <c r="O101" s="83">
        <f t="shared" si="29"/>
        <v>0</v>
      </c>
      <c r="P101" s="83">
        <f t="shared" si="30"/>
        <v>0</v>
      </c>
      <c r="Q101" s="83">
        <v>0</v>
      </c>
      <c r="R101" s="83">
        <v>0</v>
      </c>
      <c r="S101" s="83">
        <v>0</v>
      </c>
      <c r="T101" s="83">
        <f t="shared" si="31"/>
        <v>0</v>
      </c>
      <c r="U101" s="83">
        <f t="shared" si="32"/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468">
        <f ca="1">IFERROR(__xludf.DUMMYFUNCTION("IMPORTRANGE(""https://docs.google.com/spreadsheets/d/1-uDff_7J0KD5mKrp0Vvzr7lt3OU09vwQwhkpOPPYv2Y/edit?usp=sharing"",""งบพรบ!AZ14"")"),0)</f>
        <v>0</v>
      </c>
      <c r="M102" s="224">
        <f ca="1">IFERROR(__xludf.DUMMYFUNCTION("IMPORTRANGE(""https://docs.google.com/spreadsheets/d/1-uDff_7J0KD5mKrp0Vvzr7lt3OU09vwQwhkpOPPYv2Y/edit?usp=sharing"",""งบพรบ!BC14"")"),0)</f>
        <v>0</v>
      </c>
      <c r="N102" s="224">
        <f ca="1">IFERROR(__xludf.DUMMYFUNCTION("IMPORTRANGE(""https://docs.google.com/spreadsheets/d/1-uDff_7J0KD5mKrp0Vvzr7lt3OU09vwQwhkpOPPYv2Y/edit?usp=sharing"",""งบพรบ!BE14"")"),0)</f>
        <v>0</v>
      </c>
      <c r="O102" s="224">
        <f t="shared" ca="1" si="29"/>
        <v>0</v>
      </c>
      <c r="P102" s="224">
        <f t="shared" ca="1" si="30"/>
        <v>0</v>
      </c>
      <c r="Q102" s="224">
        <v>0</v>
      </c>
      <c r="R102" s="224">
        <v>0</v>
      </c>
      <c r="S102" s="224">
        <v>0</v>
      </c>
      <c r="T102" s="224">
        <f t="shared" si="31"/>
        <v>0</v>
      </c>
      <c r="U102" s="224">
        <f t="shared" si="32"/>
        <v>0</v>
      </c>
    </row>
    <row r="103" spans="1:21" ht="19.5" hidden="1" x14ac:dyDescent="0.3">
      <c r="A103" s="138"/>
      <c r="B103" s="139"/>
      <c r="C103" s="129" t="s">
        <v>18</v>
      </c>
      <c r="D103" s="498" t="s">
        <v>38</v>
      </c>
      <c r="E103" s="141"/>
      <c r="F103" s="141"/>
      <c r="G103" s="142"/>
      <c r="H103" s="143"/>
      <c r="I103" s="135"/>
      <c r="J103" s="44"/>
      <c r="K103" s="45"/>
      <c r="L103" s="465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571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571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571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465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IFERROR(__xludf.DUMMYFUNCTION("IMPORTRANGE(""https://docs.google.com/spreadsheets/d/1eHaY18a8A9IcSdp1K8H6x8fbOy06t2VsZHhMHf-1x7Y/edit?usp=sharing"",""แผน!N14"")"),0)</f>
        <v>0</v>
      </c>
      <c r="J108" s="466">
        <v>0</v>
      </c>
      <c r="K108" s="224">
        <f ca="1">IF(I108&gt;0,J108*100/I108,0)</f>
        <v>0</v>
      </c>
      <c r="L108" s="465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IFERROR(__xludf.DUMMYFUNCTION("IMPORTRANGE(""https://docs.google.com/spreadsheets/d/1eHaY18a8A9IcSdp1K8H6x8fbOy06t2VsZHhMHf-1x7Y/edit?usp=sharing"",""แผน!O14"")"),0)</f>
        <v>0</v>
      </c>
      <c r="J109" s="466">
        <v>0</v>
      </c>
      <c r="K109" s="224">
        <f ca="1">IF(I109&gt;0,J109*100/I109,0)</f>
        <v>0</v>
      </c>
      <c r="L109" s="465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571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571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571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571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581">
        <f ca="1">IFERROR(__xludf.DUMMYFUNCTION("IMPORTRANGE(""https://docs.google.com/spreadsheets/d/1eHaY18a8A9IcSdp1K8H6x8fbOy06t2VsZHhMHf-1x7Y/edit?usp=sharing"",""แผน!R14"")"),0)</f>
        <v>0</v>
      </c>
      <c r="J114" s="466">
        <v>0</v>
      </c>
      <c r="K114" s="224">
        <f ca="1">IF(I114&gt;0,J114*100/I114,0)</f>
        <v>0</v>
      </c>
      <c r="L114" s="46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671" t="s">
        <v>51</v>
      </c>
      <c r="B115" s="668"/>
      <c r="C115" s="670"/>
      <c r="D115" s="669"/>
      <c r="E115" s="669"/>
      <c r="F115" s="669"/>
      <c r="G115" s="669"/>
      <c r="H115" s="668"/>
      <c r="I115" s="667"/>
      <c r="J115" s="667"/>
      <c r="K115" s="66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665">
        <f ca="1">I127</f>
        <v>70</v>
      </c>
      <c r="J116" s="665">
        <f>J127</f>
        <v>70</v>
      </c>
      <c r="K116" s="664">
        <f ca="1">IF(I116&gt;0,J116*100/I116,0)</f>
        <v>100</v>
      </c>
      <c r="L116" s="510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472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471">
        <f ca="1">L118+L119</f>
        <v>0</v>
      </c>
      <c r="M117" s="470">
        <f ca="1">M118+M119</f>
        <v>0</v>
      </c>
      <c r="N117" s="470">
        <f ca="1">N118+N119</f>
        <v>0</v>
      </c>
      <c r="O117" s="470">
        <f t="shared" ref="O117:O125" ca="1" si="35">IF(L117&gt;0,N117*100/L117,0)</f>
        <v>0</v>
      </c>
      <c r="P117" s="470">
        <f t="shared" ref="P117:P125" ca="1" si="36">IF(M117&gt;0,N117*100/M117,0)</f>
        <v>0</v>
      </c>
      <c r="Q117" s="470">
        <f ca="1">Q118+Q119</f>
        <v>333320</v>
      </c>
      <c r="R117" s="470">
        <f ca="1">R118+R119</f>
        <v>333320</v>
      </c>
      <c r="S117" s="470">
        <f ca="1">S118+S119</f>
        <v>77190</v>
      </c>
      <c r="T117" s="470">
        <f t="shared" ref="T117:T125" ca="1" si="37">IF(Q117&gt;0,S117*100/Q117,0)</f>
        <v>23.157926317052681</v>
      </c>
      <c r="U117" s="470">
        <f t="shared" ref="U117:U125" ca="1" si="38">IF(R117&gt;0,S117*100/R117,0)</f>
        <v>23.157926317052681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469">
        <f t="shared" ref="L118:N119" si="39">L121+L124</f>
        <v>0</v>
      </c>
      <c r="M118" s="83">
        <f t="shared" si="39"/>
        <v>0</v>
      </c>
      <c r="N118" s="83">
        <f t="shared" si="39"/>
        <v>0</v>
      </c>
      <c r="O118" s="83">
        <f t="shared" si="35"/>
        <v>0</v>
      </c>
      <c r="P118" s="83">
        <f t="shared" si="36"/>
        <v>0</v>
      </c>
      <c r="Q118" s="83">
        <f t="shared" ref="Q118:S119" si="40">Q121+Q124</f>
        <v>0</v>
      </c>
      <c r="R118" s="83">
        <f t="shared" si="40"/>
        <v>0</v>
      </c>
      <c r="S118" s="83">
        <f t="shared" si="40"/>
        <v>0</v>
      </c>
      <c r="T118" s="83">
        <f t="shared" si="37"/>
        <v>0</v>
      </c>
      <c r="U118" s="83">
        <f t="shared" si="38"/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468">
        <f t="shared" ca="1" si="39"/>
        <v>0</v>
      </c>
      <c r="M119" s="224">
        <f t="shared" ca="1" si="39"/>
        <v>0</v>
      </c>
      <c r="N119" s="224">
        <f t="shared" ca="1" si="39"/>
        <v>0</v>
      </c>
      <c r="O119" s="224">
        <f t="shared" ca="1" si="35"/>
        <v>0</v>
      </c>
      <c r="P119" s="224">
        <f t="shared" ca="1" si="36"/>
        <v>0</v>
      </c>
      <c r="Q119" s="224">
        <f t="shared" ca="1" si="40"/>
        <v>333320</v>
      </c>
      <c r="R119" s="224">
        <f t="shared" ca="1" si="40"/>
        <v>333320</v>
      </c>
      <c r="S119" s="224">
        <f t="shared" ca="1" si="40"/>
        <v>77190</v>
      </c>
      <c r="T119" s="224">
        <f t="shared" ca="1" si="37"/>
        <v>23.157926317052681</v>
      </c>
      <c r="U119" s="224">
        <f t="shared" ca="1" si="38"/>
        <v>23.157926317052681</v>
      </c>
    </row>
    <row r="120" spans="1:21" ht="18.75" x14ac:dyDescent="0.25">
      <c r="A120" s="128"/>
      <c r="B120" s="158"/>
      <c r="C120" s="174"/>
      <c r="D120" s="53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468">
        <f ca="1">L121+L122</f>
        <v>0</v>
      </c>
      <c r="M120" s="224">
        <f ca="1">M121+M122</f>
        <v>0</v>
      </c>
      <c r="N120" s="224">
        <f ca="1">N121+N122</f>
        <v>0</v>
      </c>
      <c r="O120" s="224">
        <f t="shared" ca="1" si="35"/>
        <v>0</v>
      </c>
      <c r="P120" s="224">
        <f t="shared" ca="1" si="36"/>
        <v>0</v>
      </c>
      <c r="Q120" s="224">
        <f ca="1">Q121+Q122</f>
        <v>333320</v>
      </c>
      <c r="R120" s="224">
        <f ca="1">R121+R122</f>
        <v>333320</v>
      </c>
      <c r="S120" s="224">
        <f ca="1">S121+S122</f>
        <v>77190</v>
      </c>
      <c r="T120" s="224">
        <f t="shared" ca="1" si="37"/>
        <v>23.157926317052681</v>
      </c>
      <c r="U120" s="224">
        <f t="shared" ca="1" si="38"/>
        <v>23.157926317052681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469">
        <v>0</v>
      </c>
      <c r="M121" s="83">
        <v>0</v>
      </c>
      <c r="N121" s="83">
        <v>0</v>
      </c>
      <c r="O121" s="83">
        <f t="shared" si="35"/>
        <v>0</v>
      </c>
      <c r="P121" s="83">
        <f t="shared" si="36"/>
        <v>0</v>
      </c>
      <c r="Q121" s="83">
        <v>0</v>
      </c>
      <c r="R121" s="83">
        <v>0</v>
      </c>
      <c r="S121" s="83">
        <v>0</v>
      </c>
      <c r="T121" s="83">
        <f t="shared" si="37"/>
        <v>0</v>
      </c>
      <c r="U121" s="83">
        <f t="shared" si="38"/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468">
        <f ca="1">IFERROR(__xludf.DUMMYFUNCTION("IMPORTRANGE(""https://docs.google.com/spreadsheets/d/1-uDff_7J0KD5mKrp0Vvzr7lt3OU09vwQwhkpOPPYv2Y/edit?usp=sharing"",""งบพรบ!BG14"")"),0)</f>
        <v>0</v>
      </c>
      <c r="M122" s="224">
        <f ca="1">IFERROR(__xludf.DUMMYFUNCTION("IMPORTRANGE(""https://docs.google.com/spreadsheets/d/1-uDff_7J0KD5mKrp0Vvzr7lt3OU09vwQwhkpOPPYv2Y/edit?usp=sharing"",""งบพรบ!BL14"")"),0)</f>
        <v>0</v>
      </c>
      <c r="N122" s="224">
        <f ca="1">IFERROR(__xludf.DUMMYFUNCTION("IMPORTRANGE(""https://docs.google.com/spreadsheets/d/1-uDff_7J0KD5mKrp0Vvzr7lt3OU09vwQwhkpOPPYv2Y/edit?usp=sharing"",""งบพรบ!BN14"")"),0)</f>
        <v>0</v>
      </c>
      <c r="O122" s="224">
        <f t="shared" ca="1" si="35"/>
        <v>0</v>
      </c>
      <c r="P122" s="224">
        <f t="shared" ca="1" si="36"/>
        <v>0</v>
      </c>
      <c r="Q122" s="224">
        <f ca="1">IFERROR(__xludf.DUMMYFUNCTION("IMPORTRANGE(""https://docs.google.com/spreadsheets/d/1ItG2mGa2ceCfYo0BwxsXqNm01IGEUdYcSSLTEv9YCik/edit?usp=sharing"",""เบิกจ่ายกองทุน!R14"")"),333320)</f>
        <v>333320</v>
      </c>
      <c r="R122" s="224">
        <f ca="1">IFERROR(__xludf.DUMMYFUNCTION("IMPORTRANGE(""https://docs.google.com/spreadsheets/d/1ItG2mGa2ceCfYo0BwxsXqNm01IGEUdYcSSLTEv9YCik/edit?usp=sharing"",""เบิกจ่ายกองทุน!S14"")"),333320)</f>
        <v>333320</v>
      </c>
      <c r="S122" s="224">
        <f ca="1">IFERROR(__xludf.DUMMYFUNCTION("IMPORTRANGE(""https://docs.google.com/spreadsheets/d/1ItG2mGa2ceCfYo0BwxsXqNm01IGEUdYcSSLTEv9YCik/edit?usp=sharing"",""เบิกจ่ายกองทุน!T14"")"),77190)</f>
        <v>77190</v>
      </c>
      <c r="T122" s="224">
        <f t="shared" ca="1" si="37"/>
        <v>23.157926317052681</v>
      </c>
      <c r="U122" s="224">
        <f t="shared" ca="1" si="38"/>
        <v>23.157926317052681</v>
      </c>
    </row>
    <row r="123" spans="1:21" ht="18.75" x14ac:dyDescent="0.25">
      <c r="A123" s="128"/>
      <c r="B123" s="40"/>
      <c r="C123" s="174"/>
      <c r="D123" s="53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468">
        <f ca="1">L124+L125</f>
        <v>0</v>
      </c>
      <c r="M123" s="224">
        <f ca="1">M124+M125</f>
        <v>0</v>
      </c>
      <c r="N123" s="224">
        <f ca="1">N124+N125</f>
        <v>0</v>
      </c>
      <c r="O123" s="224">
        <f t="shared" ca="1" si="35"/>
        <v>0</v>
      </c>
      <c r="P123" s="224">
        <f t="shared" ca="1" si="36"/>
        <v>0</v>
      </c>
      <c r="Q123" s="224">
        <f>Q124+Q125</f>
        <v>0</v>
      </c>
      <c r="R123" s="224">
        <f>R124+R125</f>
        <v>0</v>
      </c>
      <c r="S123" s="224">
        <f>S124+S125</f>
        <v>0</v>
      </c>
      <c r="T123" s="224">
        <f t="shared" si="37"/>
        <v>0</v>
      </c>
      <c r="U123" s="224">
        <f t="shared" si="38"/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469">
        <v>0</v>
      </c>
      <c r="M124" s="83">
        <v>0</v>
      </c>
      <c r="N124" s="83">
        <v>0</v>
      </c>
      <c r="O124" s="83">
        <f t="shared" si="35"/>
        <v>0</v>
      </c>
      <c r="P124" s="83">
        <f t="shared" si="36"/>
        <v>0</v>
      </c>
      <c r="Q124" s="83">
        <v>0</v>
      </c>
      <c r="R124" s="83">
        <v>0</v>
      </c>
      <c r="S124" s="83">
        <v>0</v>
      </c>
      <c r="T124" s="83">
        <f t="shared" si="37"/>
        <v>0</v>
      </c>
      <c r="U124" s="83">
        <f t="shared" si="38"/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468">
        <f ca="1">IFERROR(__xludf.DUMMYFUNCTION("IMPORTRANGE(""https://docs.google.com/spreadsheets/d/1-uDff_7J0KD5mKrp0Vvzr7lt3OU09vwQwhkpOPPYv2Y/edit?usp=sharing"",""งบพรบ!BJ14"")"),0)</f>
        <v>0</v>
      </c>
      <c r="M125" s="224">
        <f ca="1">IFERROR(__xludf.DUMMYFUNCTION("IMPORTRANGE(""https://docs.google.com/spreadsheets/d/1-uDff_7J0KD5mKrp0Vvzr7lt3OU09vwQwhkpOPPYv2Y/edit?usp=sharing"",""งบพรบ!BM14"")"),0)</f>
        <v>0</v>
      </c>
      <c r="N125" s="224">
        <f ca="1">IFERROR(__xludf.DUMMYFUNCTION("IMPORTRANGE(""https://docs.google.com/spreadsheets/d/1-uDff_7J0KD5mKrp0Vvzr7lt3OU09vwQwhkpOPPYv2Y/edit?usp=sharing"",""งบพรบ!BO14"")"),0)</f>
        <v>0</v>
      </c>
      <c r="O125" s="224">
        <f t="shared" ca="1" si="35"/>
        <v>0</v>
      </c>
      <c r="P125" s="224">
        <f t="shared" ca="1" si="36"/>
        <v>0</v>
      </c>
      <c r="Q125" s="224">
        <v>0</v>
      </c>
      <c r="R125" s="224">
        <v>0</v>
      </c>
      <c r="S125" s="224">
        <v>0</v>
      </c>
      <c r="T125" s="224">
        <f t="shared" si="37"/>
        <v>0</v>
      </c>
      <c r="U125" s="224">
        <f t="shared" si="38"/>
        <v>0</v>
      </c>
    </row>
    <row r="126" spans="1:21" ht="19.5" x14ac:dyDescent="0.3">
      <c r="A126" s="138"/>
      <c r="B126" s="139"/>
      <c r="C126" s="177" t="s">
        <v>18</v>
      </c>
      <c r="D126" s="498" t="s">
        <v>38</v>
      </c>
      <c r="E126" s="141"/>
      <c r="F126" s="141"/>
      <c r="G126" s="142"/>
      <c r="H126" s="178"/>
      <c r="I126" s="44"/>
      <c r="J126" s="44"/>
      <c r="K126" s="45"/>
      <c r="L126" s="465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IFERROR(__xludf.DUMMYFUNCTION("IMPORTRANGE(""https://docs.google.com/spreadsheets/d/1eHaY18a8A9IcSdp1K8H6x8fbOy06t2VsZHhMHf-1x7Y/edit?usp=sharing"",""แผน!FF14"")"),70)</f>
        <v>70</v>
      </c>
      <c r="J127" s="466">
        <v>70</v>
      </c>
      <c r="K127" s="224">
        <f ca="1">IF(I127&gt;0,J127*100/I127,0)</f>
        <v>100</v>
      </c>
      <c r="L127" s="465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IFERROR(__xludf.DUMMYFUNCTION("IMPORTRANGE(""https://docs.google.com/spreadsheets/d/1eHaY18a8A9IcSdp1K8H6x8fbOy06t2VsZHhMHf-1x7Y/edit?usp=sharing"",""แผน!FG14"")"),0)</f>
        <v>0</v>
      </c>
      <c r="J128" s="466">
        <v>0</v>
      </c>
      <c r="K128" s="224">
        <f ca="1">IF(I128&gt;0,J128*100/I128,0)</f>
        <v>0</v>
      </c>
      <c r="L128" s="465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IFERROR(__xludf.DUMMYFUNCTION("IMPORTRANGE(""https://docs.google.com/spreadsheets/d/1eHaY18a8A9IcSdp1K8H6x8fbOy06t2VsZHhMHf-1x7Y/edit?usp=sharing"",""แผน!FH14"")"),20)</f>
        <v>20</v>
      </c>
      <c r="J129" s="466">
        <v>20</v>
      </c>
      <c r="K129" s="224">
        <f ca="1">IF(I129&gt;0,J129*100/I129,0)</f>
        <v>100</v>
      </c>
      <c r="L129" s="465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IFERROR(__xludf.DUMMYFUNCTION("IMPORTRANGE(""https://docs.google.com/spreadsheets/d/1eHaY18a8A9IcSdp1K8H6x8fbOy06t2VsZHhMHf-1x7Y/edit?usp=sharing"",""แผน!FI14"")"),0)</f>
        <v>0</v>
      </c>
      <c r="J130" s="466">
        <v>0</v>
      </c>
      <c r="K130" s="224">
        <f ca="1">IF(I130&gt;0,J130*100/I130,0)</f>
        <v>0</v>
      </c>
      <c r="L130" s="465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465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465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57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hidden="1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10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hidden="1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665">
        <f ca="1">I154</f>
        <v>0</v>
      </c>
      <c r="J136" s="665">
        <f>J154</f>
        <v>0</v>
      </c>
      <c r="K136" s="664">
        <f ca="1">IF(I136&gt;0,J136*100/I136,0)</f>
        <v>0</v>
      </c>
      <c r="L136" s="510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665">
        <f ca="1">I152</f>
        <v>0</v>
      </c>
      <c r="J137" s="665">
        <f>J152</f>
        <v>0</v>
      </c>
      <c r="K137" s="664">
        <f ca="1">IF(I137&gt;0,J137*100/I137,0)</f>
        <v>0</v>
      </c>
      <c r="L137" s="510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665">
        <f ca="1">I153</f>
        <v>0</v>
      </c>
      <c r="J138" s="665">
        <f>J153</f>
        <v>0</v>
      </c>
      <c r="K138" s="664">
        <f ca="1">IF(I138&gt;0,J138*100/I138,0)</f>
        <v>0</v>
      </c>
      <c r="L138" s="510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8"/>
      <c r="B139" s="40"/>
      <c r="C139" s="129" t="s">
        <v>18</v>
      </c>
      <c r="D139" s="472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471">
        <f ca="1">L140+L141</f>
        <v>0</v>
      </c>
      <c r="M139" s="470">
        <f ca="1">M140+M141</f>
        <v>0</v>
      </c>
      <c r="N139" s="470">
        <f ca="1">N140+N141</f>
        <v>0</v>
      </c>
      <c r="O139" s="470">
        <f t="shared" ref="O139:O147" ca="1" si="41">IF(L139&gt;0,N139*100/L139,0)</f>
        <v>0</v>
      </c>
      <c r="P139" s="470">
        <f t="shared" ref="P139:P147" ca="1" si="42">IF(M139&gt;0,N139*100/M139,0)</f>
        <v>0</v>
      </c>
      <c r="Q139" s="470">
        <f ca="1">Q140+Q141</f>
        <v>0</v>
      </c>
      <c r="R139" s="470">
        <f ca="1">R140+R141</f>
        <v>0</v>
      </c>
      <c r="S139" s="470">
        <f ca="1">S140+S141</f>
        <v>0</v>
      </c>
      <c r="T139" s="470">
        <f t="shared" ref="T139:T147" ca="1" si="43">IF(Q139&gt;0,S139*100/Q139,0)</f>
        <v>0</v>
      </c>
      <c r="U139" s="470">
        <f t="shared" ref="U139:U147" ca="1" si="44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469">
        <f t="shared" ref="L140:N141" si="45">L143+L146</f>
        <v>0</v>
      </c>
      <c r="M140" s="83">
        <f t="shared" si="45"/>
        <v>0</v>
      </c>
      <c r="N140" s="83">
        <f t="shared" si="45"/>
        <v>0</v>
      </c>
      <c r="O140" s="83">
        <f t="shared" si="41"/>
        <v>0</v>
      </c>
      <c r="P140" s="83">
        <f t="shared" si="42"/>
        <v>0</v>
      </c>
      <c r="Q140" s="83">
        <f t="shared" ref="Q140:S141" si="46">Q143+Q146</f>
        <v>0</v>
      </c>
      <c r="R140" s="83">
        <f t="shared" si="46"/>
        <v>0</v>
      </c>
      <c r="S140" s="83">
        <f t="shared" si="46"/>
        <v>0</v>
      </c>
      <c r="T140" s="83">
        <f t="shared" si="43"/>
        <v>0</v>
      </c>
      <c r="U140" s="83">
        <f t="shared" si="44"/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468">
        <f t="shared" ca="1" si="45"/>
        <v>0</v>
      </c>
      <c r="M141" s="224">
        <f t="shared" ca="1" si="45"/>
        <v>0</v>
      </c>
      <c r="N141" s="224">
        <f t="shared" ca="1" si="45"/>
        <v>0</v>
      </c>
      <c r="O141" s="224">
        <f t="shared" ca="1" si="41"/>
        <v>0</v>
      </c>
      <c r="P141" s="224">
        <f t="shared" ca="1" si="42"/>
        <v>0</v>
      </c>
      <c r="Q141" s="224">
        <f t="shared" ca="1" si="46"/>
        <v>0</v>
      </c>
      <c r="R141" s="224">
        <f t="shared" ca="1" si="46"/>
        <v>0</v>
      </c>
      <c r="S141" s="224">
        <f t="shared" ca="1" si="46"/>
        <v>0</v>
      </c>
      <c r="T141" s="224">
        <f t="shared" ca="1" si="43"/>
        <v>0</v>
      </c>
      <c r="U141" s="224">
        <f t="shared" ca="1" si="44"/>
        <v>0</v>
      </c>
    </row>
    <row r="142" spans="1:21" ht="18.75" hidden="1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468">
        <f ca="1">L143+L144</f>
        <v>0</v>
      </c>
      <c r="M142" s="224">
        <f ca="1">M143+M144</f>
        <v>0</v>
      </c>
      <c r="N142" s="224">
        <f ca="1">N143+N144</f>
        <v>0</v>
      </c>
      <c r="O142" s="224">
        <f t="shared" ca="1" si="41"/>
        <v>0</v>
      </c>
      <c r="P142" s="224">
        <f t="shared" ca="1" si="42"/>
        <v>0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t="shared" ca="1" si="43"/>
        <v>0</v>
      </c>
      <c r="U142" s="224">
        <f t="shared" ca="1" si="44"/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469">
        <v>0</v>
      </c>
      <c r="M143" s="83">
        <v>0</v>
      </c>
      <c r="N143" s="83">
        <v>0</v>
      </c>
      <c r="O143" s="83">
        <f t="shared" si="41"/>
        <v>0</v>
      </c>
      <c r="P143" s="83">
        <f t="shared" si="42"/>
        <v>0</v>
      </c>
      <c r="Q143" s="83">
        <v>0</v>
      </c>
      <c r="R143" s="83">
        <v>0</v>
      </c>
      <c r="S143" s="83">
        <v>0</v>
      </c>
      <c r="T143" s="83">
        <f t="shared" si="43"/>
        <v>0</v>
      </c>
      <c r="U143" s="83">
        <f t="shared" si="44"/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468">
        <f ca="1">IFERROR(__xludf.DUMMYFUNCTION("IMPORTRANGE(""https://docs.google.com/spreadsheets/d/1-uDff_7J0KD5mKrp0Vvzr7lt3OU09vwQwhkpOPPYv2Y/edit?usp=sharing"",""งบพรบ!BQ14"")"),0)</f>
        <v>0</v>
      </c>
      <c r="M144" s="224">
        <f ca="1">IFERROR(__xludf.DUMMYFUNCTION("IMPORTRANGE(""https://docs.google.com/spreadsheets/d/1-uDff_7J0KD5mKrp0Vvzr7lt3OU09vwQwhkpOPPYv2Y/edit?usp=sharing"",""งบพรบ!BV14"")"),0)</f>
        <v>0</v>
      </c>
      <c r="N144" s="224">
        <f ca="1">IFERROR(__xludf.DUMMYFUNCTION("IMPORTRANGE(""https://docs.google.com/spreadsheets/d/1-uDff_7J0KD5mKrp0Vvzr7lt3OU09vwQwhkpOPPYv2Y/edit?usp=sharing"",""งบพรบ!BX14"")"),0)</f>
        <v>0</v>
      </c>
      <c r="O144" s="224">
        <f t="shared" ca="1" si="41"/>
        <v>0</v>
      </c>
      <c r="P144" s="224">
        <f t="shared" ca="1" si="42"/>
        <v>0</v>
      </c>
      <c r="Q144" s="224">
        <f ca="1">IFERROR(__xludf.DUMMYFUNCTION("IMPORTRANGE(""https://docs.google.com/spreadsheets/d/1ItG2mGa2ceCfYo0BwxsXqNm01IGEUdYcSSLTEv9YCik/edit?usp=sharing"",""เบิกจ่ายกองทุน!BB14"")"),0)</f>
        <v>0</v>
      </c>
      <c r="R144" s="224">
        <f ca="1">IFERROR(__xludf.DUMMYFUNCTION("IMPORTRANGE(""https://docs.google.com/spreadsheets/d/1ItG2mGa2ceCfYo0BwxsXqNm01IGEUdYcSSLTEv9YCik/edit?usp=sharing"",""เบิกจ่ายกองทุน!BC14"")"),0)</f>
        <v>0</v>
      </c>
      <c r="S144" s="224">
        <f ca="1">IFERROR(__xludf.DUMMYFUNCTION("IMPORTRANGE(""https://docs.google.com/spreadsheets/d/1ItG2mGa2ceCfYo0BwxsXqNm01IGEUdYcSSLTEv9YCik/edit?usp=sharing"",""เบิกจ่ายกองทุน!BD14"")"),0)</f>
        <v>0</v>
      </c>
      <c r="T144" s="224">
        <f t="shared" ca="1" si="43"/>
        <v>0</v>
      </c>
      <c r="U144" s="224">
        <f t="shared" ca="1" si="44"/>
        <v>0</v>
      </c>
    </row>
    <row r="145" spans="1:21" ht="18.75" hidden="1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468">
        <f ca="1">L146+L147</f>
        <v>0</v>
      </c>
      <c r="M145" s="224">
        <f ca="1">M146+M147</f>
        <v>0</v>
      </c>
      <c r="N145" s="224">
        <f ca="1">N146+N147</f>
        <v>0</v>
      </c>
      <c r="O145" s="224">
        <f t="shared" ca="1" si="41"/>
        <v>0</v>
      </c>
      <c r="P145" s="224">
        <f t="shared" ca="1" si="42"/>
        <v>0</v>
      </c>
      <c r="Q145" s="224">
        <f>Q146+Q147</f>
        <v>0</v>
      </c>
      <c r="R145" s="224">
        <f>R146+R147</f>
        <v>0</v>
      </c>
      <c r="S145" s="224">
        <f>S146+S147</f>
        <v>0</v>
      </c>
      <c r="T145" s="224">
        <f t="shared" si="43"/>
        <v>0</v>
      </c>
      <c r="U145" s="224">
        <f t="shared" si="44"/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469">
        <v>0</v>
      </c>
      <c r="M146" s="83">
        <v>0</v>
      </c>
      <c r="N146" s="83">
        <v>0</v>
      </c>
      <c r="O146" s="83">
        <f t="shared" si="41"/>
        <v>0</v>
      </c>
      <c r="P146" s="83">
        <f t="shared" si="42"/>
        <v>0</v>
      </c>
      <c r="Q146" s="83">
        <v>0</v>
      </c>
      <c r="R146" s="83">
        <v>0</v>
      </c>
      <c r="S146" s="83">
        <v>0</v>
      </c>
      <c r="T146" s="83">
        <f t="shared" si="43"/>
        <v>0</v>
      </c>
      <c r="U146" s="83">
        <f t="shared" si="44"/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468">
        <f ca="1">IFERROR(__xludf.DUMMYFUNCTION("IMPORTRANGE(""https://docs.google.com/spreadsheets/d/1-uDff_7J0KD5mKrp0Vvzr7lt3OU09vwQwhkpOPPYv2Y/edit?usp=sharing"",""งบพรบ!BT14"")"),0)</f>
        <v>0</v>
      </c>
      <c r="M147" s="224">
        <f ca="1">IFERROR(__xludf.DUMMYFUNCTION("IMPORTRANGE(""https://docs.google.com/spreadsheets/d/1-uDff_7J0KD5mKrp0Vvzr7lt3OU09vwQwhkpOPPYv2Y/edit?usp=sharing"",""งบพรบ!BW14"")"),0)</f>
        <v>0</v>
      </c>
      <c r="N147" s="224">
        <f ca="1">IFERROR(__xludf.DUMMYFUNCTION("IMPORTRANGE(""https://docs.google.com/spreadsheets/d/1-uDff_7J0KD5mKrp0Vvzr7lt3OU09vwQwhkpOPPYv2Y/edit?usp=sharing"",""งบพรบ!BY14"")"),0)</f>
        <v>0</v>
      </c>
      <c r="O147" s="224">
        <f t="shared" ca="1" si="41"/>
        <v>0</v>
      </c>
      <c r="P147" s="224">
        <f t="shared" ca="1" si="42"/>
        <v>0</v>
      </c>
      <c r="Q147" s="224">
        <v>0</v>
      </c>
      <c r="R147" s="224">
        <v>0</v>
      </c>
      <c r="S147" s="224">
        <v>0</v>
      </c>
      <c r="T147" s="224">
        <f t="shared" si="43"/>
        <v>0</v>
      </c>
      <c r="U147" s="224">
        <f t="shared" si="44"/>
        <v>0</v>
      </c>
    </row>
    <row r="148" spans="1:21" ht="19.5" hidden="1" x14ac:dyDescent="0.3">
      <c r="A148" s="138"/>
      <c r="B148" s="139"/>
      <c r="C148" s="129" t="s">
        <v>18</v>
      </c>
      <c r="D148" s="498" t="s">
        <v>38</v>
      </c>
      <c r="E148" s="141"/>
      <c r="F148" s="141"/>
      <c r="G148" s="142"/>
      <c r="H148" s="178"/>
      <c r="I148" s="44"/>
      <c r="J148" s="44"/>
      <c r="K148" s="45"/>
      <c r="L148" s="465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hidden="1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466">
        <v>0</v>
      </c>
      <c r="K149" s="45"/>
      <c r="L149" s="465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hidden="1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IFERROR(__xludf.DUMMYFUNCTION("IMPORTRANGE(""https://docs.google.com/spreadsheets/d/1eHaY18a8A9IcSdp1K8H6x8fbOy06t2VsZHhMHf-1x7Y/edit?usp=sharing"",""แผน!U14"")"),0)</f>
        <v>0</v>
      </c>
      <c r="J150" s="466">
        <v>0</v>
      </c>
      <c r="K150" s="224">
        <f ca="1">IF(I150&gt;0,J150*100/I150,0)</f>
        <v>0</v>
      </c>
      <c r="L150" s="465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hidden="1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IFERROR(__xludf.DUMMYFUNCTION("IMPORTRANGE(""https://docs.google.com/spreadsheets/d/1eHaY18a8A9IcSdp1K8H6x8fbOy06t2VsZHhMHf-1x7Y/edit?usp=sharing"",""แผน!V14"")"),0)</f>
        <v>0</v>
      </c>
      <c r="J151" s="466">
        <v>0</v>
      </c>
      <c r="K151" s="224">
        <f ca="1">IF(I151&gt;0,J151*100/I151,0)</f>
        <v>0</v>
      </c>
      <c r="L151" s="465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hidden="1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IFERROR(__xludf.DUMMYFUNCTION("IMPORTRANGE(""https://docs.google.com/spreadsheets/d/1eHaY18a8A9IcSdp1K8H6x8fbOy06t2VsZHhMHf-1x7Y/edit?usp=sharing"",""แผน!W14"")"),0)</f>
        <v>0</v>
      </c>
      <c r="J152" s="466">
        <v>0</v>
      </c>
      <c r="K152" s="224">
        <f ca="1">IF(I152&gt;0,J152*100/I152,0)</f>
        <v>0</v>
      </c>
      <c r="L152" s="465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hidden="1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IFERROR(__xludf.DUMMYFUNCTION("IMPORTRANGE(""https://docs.google.com/spreadsheets/d/1eHaY18a8A9IcSdp1K8H6x8fbOy06t2VsZHhMHf-1x7Y/edit?usp=sharing"",""แผน!X14"")"),0)</f>
        <v>0</v>
      </c>
      <c r="J153" s="466">
        <v>0</v>
      </c>
      <c r="K153" s="224">
        <f ca="1">IF(I153&gt;0,J153*100/I153,0)</f>
        <v>0</v>
      </c>
      <c r="L153" s="465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IFERROR(__xludf.DUMMYFUNCTION("IMPORTRANGE(""https://docs.google.com/spreadsheets/d/1eHaY18a8A9IcSdp1K8H6x8fbOy06t2VsZHhMHf-1x7Y/edit?usp=sharing"",""แผน!Y14"")"),0)</f>
        <v>0</v>
      </c>
      <c r="J154" s="466">
        <v>0</v>
      </c>
      <c r="K154" s="224">
        <f ca="1">IF(I154&gt;0,J154*100/I154,0)</f>
        <v>0</v>
      </c>
      <c r="L154" s="465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hidden="1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665">
        <f ca="1">I169</f>
        <v>0</v>
      </c>
      <c r="J156" s="665">
        <f>J169</f>
        <v>0</v>
      </c>
      <c r="K156" s="664">
        <f ca="1">IF(I156&gt;0,J156*100/I156,0)</f>
        <v>0</v>
      </c>
      <c r="L156" s="510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hidden="1" x14ac:dyDescent="0.3">
      <c r="A157" s="128"/>
      <c r="B157" s="40"/>
      <c r="C157" s="129" t="s">
        <v>18</v>
      </c>
      <c r="D157" s="472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471">
        <f ca="1">L158+L159</f>
        <v>0</v>
      </c>
      <c r="M157" s="470">
        <f ca="1">M158+M159</f>
        <v>1392</v>
      </c>
      <c r="N157" s="470">
        <f ca="1">N158+N159</f>
        <v>0</v>
      </c>
      <c r="O157" s="470">
        <f t="shared" ref="O157:O165" ca="1" si="47">IF(L157&gt;0,N157*100/L157,0)</f>
        <v>0</v>
      </c>
      <c r="P157" s="470">
        <f t="shared" ref="P157:P165" ca="1" si="48">IF(M157&gt;0,N157*100/M157,0)</f>
        <v>0</v>
      </c>
      <c r="Q157" s="470">
        <f ca="1">Q158+Q159</f>
        <v>0</v>
      </c>
      <c r="R157" s="470">
        <f ca="1">R158+R159</f>
        <v>0</v>
      </c>
      <c r="S157" s="470">
        <f ca="1">S158+S159</f>
        <v>0</v>
      </c>
      <c r="T157" s="470">
        <f t="shared" ref="T157:T165" ca="1" si="49">IF(Q157&gt;0,S157*100/Q157,0)</f>
        <v>0</v>
      </c>
      <c r="U157" s="470">
        <f t="shared" ref="U157:U165" ca="1" si="50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469">
        <f t="shared" ref="L158:N159" si="51">L161+L164</f>
        <v>0</v>
      </c>
      <c r="M158" s="83">
        <f t="shared" si="51"/>
        <v>0</v>
      </c>
      <c r="N158" s="83">
        <f t="shared" si="51"/>
        <v>0</v>
      </c>
      <c r="O158" s="83">
        <f t="shared" si="47"/>
        <v>0</v>
      </c>
      <c r="P158" s="83">
        <f t="shared" si="48"/>
        <v>0</v>
      </c>
      <c r="Q158" s="83">
        <f t="shared" ref="Q158:S159" si="52">Q161+Q164</f>
        <v>0</v>
      </c>
      <c r="R158" s="83">
        <f t="shared" si="52"/>
        <v>0</v>
      </c>
      <c r="S158" s="83">
        <f t="shared" si="52"/>
        <v>0</v>
      </c>
      <c r="T158" s="83">
        <f t="shared" si="49"/>
        <v>0</v>
      </c>
      <c r="U158" s="83">
        <f t="shared" si="50"/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468">
        <f t="shared" ca="1" si="51"/>
        <v>0</v>
      </c>
      <c r="M159" s="224">
        <f t="shared" ca="1" si="51"/>
        <v>1392</v>
      </c>
      <c r="N159" s="224">
        <f t="shared" ca="1" si="51"/>
        <v>0</v>
      </c>
      <c r="O159" s="224">
        <f t="shared" ca="1" si="47"/>
        <v>0</v>
      </c>
      <c r="P159" s="224">
        <f t="shared" ca="1" si="48"/>
        <v>0</v>
      </c>
      <c r="Q159" s="224">
        <f t="shared" ca="1" si="52"/>
        <v>0</v>
      </c>
      <c r="R159" s="224">
        <f t="shared" ca="1" si="52"/>
        <v>0</v>
      </c>
      <c r="S159" s="224">
        <f t="shared" ca="1" si="52"/>
        <v>0</v>
      </c>
      <c r="T159" s="224">
        <f t="shared" ca="1" si="49"/>
        <v>0</v>
      </c>
      <c r="U159" s="224">
        <f t="shared" ca="1" si="50"/>
        <v>0</v>
      </c>
    </row>
    <row r="160" spans="1:21" ht="18.75" hidden="1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468">
        <f ca="1">L161+L162</f>
        <v>0</v>
      </c>
      <c r="M160" s="224">
        <f ca="1">M161+M162</f>
        <v>1392</v>
      </c>
      <c r="N160" s="224">
        <f ca="1">N161+N162</f>
        <v>0</v>
      </c>
      <c r="O160" s="224">
        <f t="shared" ca="1" si="47"/>
        <v>0</v>
      </c>
      <c r="P160" s="224">
        <f t="shared" ca="1" si="48"/>
        <v>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t="shared" ca="1" si="49"/>
        <v>0</v>
      </c>
      <c r="U160" s="224">
        <f t="shared" ca="1" si="50"/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469">
        <v>0</v>
      </c>
      <c r="M161" s="83">
        <v>0</v>
      </c>
      <c r="N161" s="83">
        <v>0</v>
      </c>
      <c r="O161" s="83">
        <f t="shared" si="47"/>
        <v>0</v>
      </c>
      <c r="P161" s="83">
        <f t="shared" si="48"/>
        <v>0</v>
      </c>
      <c r="Q161" s="83">
        <v>0</v>
      </c>
      <c r="R161" s="83">
        <v>0</v>
      </c>
      <c r="S161" s="83">
        <v>0</v>
      </c>
      <c r="T161" s="83">
        <f t="shared" si="49"/>
        <v>0</v>
      </c>
      <c r="U161" s="83">
        <f t="shared" si="50"/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468">
        <f ca="1">IFERROR(__xludf.DUMMYFUNCTION("IMPORTRANGE(""https://docs.google.com/spreadsheets/d/1-uDff_7J0KD5mKrp0Vvzr7lt3OU09vwQwhkpOPPYv2Y/edit?usp=sharing"",""งบพรบ!CA14"")"),0)</f>
        <v>0</v>
      </c>
      <c r="M162" s="224">
        <f ca="1">IFERROR(__xludf.DUMMYFUNCTION("IMPORTRANGE(""https://docs.google.com/spreadsheets/d/1-uDff_7J0KD5mKrp0Vvzr7lt3OU09vwQwhkpOPPYv2Y/edit?usp=sharing"",""งบพรบ!CF14"")"),1392)</f>
        <v>1392</v>
      </c>
      <c r="N162" s="224">
        <f ca="1">IFERROR(__xludf.DUMMYFUNCTION("IMPORTRANGE(""https://docs.google.com/spreadsheets/d/1-uDff_7J0KD5mKrp0Vvzr7lt3OU09vwQwhkpOPPYv2Y/edit?usp=sharing"",""งบพรบ!CH14"")"),0)</f>
        <v>0</v>
      </c>
      <c r="O162" s="224">
        <f t="shared" ca="1" si="47"/>
        <v>0</v>
      </c>
      <c r="P162" s="224">
        <f t="shared" ca="1" si="48"/>
        <v>0</v>
      </c>
      <c r="Q162" s="224">
        <f ca="1">IFERROR(__xludf.DUMMYFUNCTION("IMPORTRANGE(""https://docs.google.com/spreadsheets/d/1ItG2mGa2ceCfYo0BwxsXqNm01IGEUdYcSSLTEv9YCik/edit?usp=sharing"",""เบิกจ่ายกองทุน!AG14"")"),0)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IFERROR(__xludf.DUMMYFUNCTION("IMPORTRANGE(""https://docs.google.com/spreadsheets/d/1ItG2mGa2ceCfYo0BwxsXqNm01IGEUdYcSSLTEv9YCik/edit?usp=sharing"",""เบิกจ่ายกองทุน!AH14"")"),0)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IFERROR(__xludf.DUMMYFUNCTION("IMPORTRANGE(""https://docs.google.com/spreadsheets/d/1ItG2mGa2ceCfYo0BwxsXqNm01IGEUdYcSSLTEv9YCik/edit?usp=sharing"",""เบิกจ่ายกองทุน!AI14"")"),0)</f>
        <v>0</v>
      </c>
      <c r="T162" s="224">
        <f t="shared" ca="1" si="49"/>
        <v>0</v>
      </c>
      <c r="U162" s="224">
        <f t="shared" ca="1" si="50"/>
        <v>0</v>
      </c>
    </row>
    <row r="163" spans="1:21" ht="18.75" hidden="1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468">
        <f ca="1">L164+L165</f>
        <v>0</v>
      </c>
      <c r="M163" s="224">
        <f ca="1">M164+M165</f>
        <v>0</v>
      </c>
      <c r="N163" s="224">
        <f ca="1">N164+N165</f>
        <v>0</v>
      </c>
      <c r="O163" s="224">
        <f t="shared" ca="1" si="47"/>
        <v>0</v>
      </c>
      <c r="P163" s="224">
        <f t="shared" ca="1" si="48"/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 t="shared" si="49"/>
        <v>0</v>
      </c>
      <c r="U163" s="224">
        <f t="shared" si="50"/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469">
        <v>0</v>
      </c>
      <c r="M164" s="83">
        <v>0</v>
      </c>
      <c r="N164" s="83">
        <v>0</v>
      </c>
      <c r="O164" s="83">
        <f t="shared" si="47"/>
        <v>0</v>
      </c>
      <c r="P164" s="83">
        <f t="shared" si="48"/>
        <v>0</v>
      </c>
      <c r="Q164" s="83">
        <v>0</v>
      </c>
      <c r="R164" s="83">
        <v>0</v>
      </c>
      <c r="S164" s="83">
        <v>0</v>
      </c>
      <c r="T164" s="83">
        <f t="shared" si="49"/>
        <v>0</v>
      </c>
      <c r="U164" s="83">
        <f t="shared" si="50"/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468">
        <f ca="1">IFERROR(__xludf.DUMMYFUNCTION("IMPORTRANGE(""https://docs.google.com/spreadsheets/d/1-uDff_7J0KD5mKrp0Vvzr7lt3OU09vwQwhkpOPPYv2Y/edit?usp=sharing"",""งบพรบ!CD14"")"),0)</f>
        <v>0</v>
      </c>
      <c r="M165" s="224">
        <f ca="1">IFERROR(__xludf.DUMMYFUNCTION("IMPORTRANGE(""https://docs.google.com/spreadsheets/d/1-uDff_7J0KD5mKrp0Vvzr7lt3OU09vwQwhkpOPPYv2Y/edit?usp=sharing"",""งบพรบ!CG14"")"),0)</f>
        <v>0</v>
      </c>
      <c r="N165" s="224">
        <f ca="1">IFERROR(__xludf.DUMMYFUNCTION("IMPORTRANGE(""https://docs.google.com/spreadsheets/d/1-uDff_7J0KD5mKrp0Vvzr7lt3OU09vwQwhkpOPPYv2Y/edit?usp=sharing"",""งบพรบ!CI14"")"),0)</f>
        <v>0</v>
      </c>
      <c r="O165" s="224">
        <f t="shared" ca="1" si="47"/>
        <v>0</v>
      </c>
      <c r="P165" s="224">
        <f t="shared" ca="1" si="48"/>
        <v>0</v>
      </c>
      <c r="Q165" s="224">
        <v>0</v>
      </c>
      <c r="R165" s="224">
        <v>0</v>
      </c>
      <c r="S165" s="224">
        <v>0</v>
      </c>
      <c r="T165" s="224">
        <f t="shared" si="49"/>
        <v>0</v>
      </c>
      <c r="U165" s="224">
        <f t="shared" si="50"/>
        <v>0</v>
      </c>
    </row>
    <row r="166" spans="1:21" ht="19.5" hidden="1" x14ac:dyDescent="0.3">
      <c r="A166" s="138"/>
      <c r="B166" s="139"/>
      <c r="C166" s="129" t="s">
        <v>18</v>
      </c>
      <c r="D166" s="498" t="s">
        <v>38</v>
      </c>
      <c r="E166" s="141"/>
      <c r="F166" s="141"/>
      <c r="G166" s="142"/>
      <c r="H166" s="178"/>
      <c r="I166" s="44"/>
      <c r="J166" s="44"/>
      <c r="K166" s="45"/>
      <c r="L166" s="465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hidden="1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IFERROR(__xludf.DUMMYFUNCTION("IMPORTRANGE(""https://docs.google.com/spreadsheets/d/1eHaY18a8A9IcSdp1K8H6x8fbOy06t2VsZHhMHf-1x7Y/edit?usp=sharing"",""แผน!Z14"")"),0)</f>
        <v>0</v>
      </c>
      <c r="J167" s="466">
        <v>0</v>
      </c>
      <c r="K167" s="224">
        <f ca="1">IF(I167&gt;0,J167*100/I167,0)</f>
        <v>0</v>
      </c>
      <c r="L167" s="465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375" t="s">
        <v>35</v>
      </c>
      <c r="I168" s="430">
        <f ca="1">IFERROR(__xludf.DUMMYFUNCTION("IMPORTRANGE(""https://docs.google.com/spreadsheets/d/1eHaY18a8A9IcSdp1K8H6x8fbOy06t2VsZHhMHf-1x7Y/edit?usp=sharing"",""แผน!Z14"")"),0)</f>
        <v>0</v>
      </c>
      <c r="J168" s="525">
        <v>0</v>
      </c>
      <c r="K168" s="83">
        <f ca="1">IF(I168&gt;0,J168*100/I168,0)</f>
        <v>0</v>
      </c>
      <c r="L168" s="465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31" t="s">
        <v>71</v>
      </c>
      <c r="E169" s="1"/>
      <c r="F169" s="1"/>
      <c r="G169" s="52"/>
      <c r="H169" s="663" t="s">
        <v>35</v>
      </c>
      <c r="I169" s="433">
        <f ca="1">IFERROR(__xludf.DUMMYFUNCTION("IMPORTRANGE(""https://docs.google.com/spreadsheets/d/1eHaY18a8A9IcSdp1K8H6x8fbOy06t2VsZHhMHf-1x7Y/edit?usp=sharing"",""แผน!Z14"")"),0)</f>
        <v>0</v>
      </c>
      <c r="J169" s="522">
        <v>0</v>
      </c>
      <c r="K169" s="521">
        <f ca="1">IF(I169&gt;0,J169*100/I169,0)</f>
        <v>0</v>
      </c>
      <c r="L169" s="46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662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661">
        <f ca="1">I183+I184</f>
        <v>7</v>
      </c>
      <c r="J172" s="661">
        <f>J183+J184</f>
        <v>7</v>
      </c>
      <c r="K172" s="660">
        <f ca="1">IF(I172&gt;0,J172*100/I172,0)</f>
        <v>100</v>
      </c>
      <c r="L172" s="659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472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471">
        <f ca="1">L174+L175</f>
        <v>19590</v>
      </c>
      <c r="M173" s="470">
        <f ca="1">M174+M175</f>
        <v>31260</v>
      </c>
      <c r="N173" s="470">
        <f ca="1">N174+N175</f>
        <v>30308</v>
      </c>
      <c r="O173" s="470">
        <f t="shared" ref="O173:O181" ca="1" si="53">IF(L173&gt;0,N173*100/L173,0)</f>
        <v>154.71158754466563</v>
      </c>
      <c r="P173" s="470">
        <f t="shared" ref="P173:P181" ca="1" si="54">IF(M173&gt;0,N173*100/M173,0)</f>
        <v>96.954574536148428</v>
      </c>
      <c r="Q173" s="470">
        <f ca="1">Q174+Q175</f>
        <v>0</v>
      </c>
      <c r="R173" s="470">
        <f ca="1">R174+R175</f>
        <v>0</v>
      </c>
      <c r="S173" s="470">
        <f ca="1">S174+S175</f>
        <v>0</v>
      </c>
      <c r="T173" s="470">
        <f t="shared" ref="T173:T181" ca="1" si="55">IF(Q173&gt;0,S173*100/Q173,0)</f>
        <v>0</v>
      </c>
      <c r="U173" s="470">
        <f t="shared" ref="U173:U181" ca="1" si="56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469">
        <f t="shared" ref="L174:N175" si="57">L177+L180</f>
        <v>0</v>
      </c>
      <c r="M174" s="83">
        <f t="shared" si="57"/>
        <v>0</v>
      </c>
      <c r="N174" s="83">
        <f t="shared" si="57"/>
        <v>0</v>
      </c>
      <c r="O174" s="83">
        <f t="shared" si="53"/>
        <v>0</v>
      </c>
      <c r="P174" s="83">
        <f t="shared" si="54"/>
        <v>0</v>
      </c>
      <c r="Q174" s="83">
        <f t="shared" ref="Q174:S175" si="58">Q177+Q180</f>
        <v>0</v>
      </c>
      <c r="R174" s="83">
        <f t="shared" si="58"/>
        <v>0</v>
      </c>
      <c r="S174" s="83">
        <f t="shared" si="58"/>
        <v>0</v>
      </c>
      <c r="T174" s="83">
        <f t="shared" si="55"/>
        <v>0</v>
      </c>
      <c r="U174" s="83">
        <f t="shared" si="56"/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468">
        <f t="shared" ca="1" si="57"/>
        <v>19590</v>
      </c>
      <c r="M175" s="224">
        <f t="shared" ca="1" si="57"/>
        <v>31260</v>
      </c>
      <c r="N175" s="224">
        <f t="shared" ca="1" si="57"/>
        <v>30308</v>
      </c>
      <c r="O175" s="224">
        <f t="shared" ca="1" si="53"/>
        <v>154.71158754466563</v>
      </c>
      <c r="P175" s="224">
        <f t="shared" ca="1" si="54"/>
        <v>96.954574536148428</v>
      </c>
      <c r="Q175" s="224">
        <f t="shared" ca="1" si="58"/>
        <v>0</v>
      </c>
      <c r="R175" s="224">
        <f t="shared" ca="1" si="58"/>
        <v>0</v>
      </c>
      <c r="S175" s="224">
        <f t="shared" ca="1" si="58"/>
        <v>0</v>
      </c>
      <c r="T175" s="224">
        <f t="shared" ca="1" si="55"/>
        <v>0</v>
      </c>
      <c r="U175" s="224">
        <f t="shared" ca="1" si="56"/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468">
        <f ca="1">L177+L178</f>
        <v>19590</v>
      </c>
      <c r="M176" s="224">
        <f ca="1">M177+M178</f>
        <v>31260</v>
      </c>
      <c r="N176" s="224">
        <f ca="1">N177+N178</f>
        <v>30308</v>
      </c>
      <c r="O176" s="224">
        <f t="shared" ca="1" si="53"/>
        <v>154.71158754466563</v>
      </c>
      <c r="P176" s="224">
        <f t="shared" ca="1" si="54"/>
        <v>96.954574536148428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t="shared" ca="1" si="55"/>
        <v>0</v>
      </c>
      <c r="U176" s="224">
        <f t="shared" ca="1" si="56"/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469">
        <v>0</v>
      </c>
      <c r="M177" s="83">
        <v>0</v>
      </c>
      <c r="N177" s="83">
        <v>0</v>
      </c>
      <c r="O177" s="83">
        <f t="shared" si="53"/>
        <v>0</v>
      </c>
      <c r="P177" s="83">
        <f t="shared" si="54"/>
        <v>0</v>
      </c>
      <c r="Q177" s="83">
        <v>0</v>
      </c>
      <c r="R177" s="83">
        <v>0</v>
      </c>
      <c r="S177" s="83">
        <v>0</v>
      </c>
      <c r="T177" s="83">
        <f t="shared" si="55"/>
        <v>0</v>
      </c>
      <c r="U177" s="83">
        <f t="shared" si="56"/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468">
        <f ca="1">IFERROR(__xludf.DUMMYFUNCTION("IMPORTRANGE(""https://docs.google.com/spreadsheets/d/1-uDff_7J0KD5mKrp0Vvzr7lt3OU09vwQwhkpOPPYv2Y/edit?usp=sharing"",""งบพรบ!CK14"")"),19590)</f>
        <v>19590</v>
      </c>
      <c r="M178" s="224">
        <f ca="1">IFERROR(__xludf.DUMMYFUNCTION("IMPORTRANGE(""https://docs.google.com/spreadsheets/d/1-uDff_7J0KD5mKrp0Vvzr7lt3OU09vwQwhkpOPPYv2Y/edit?usp=sharing"",""งบพรบ!CP14"")"),31260)</f>
        <v>31260</v>
      </c>
      <c r="N178" s="224">
        <f ca="1">IFERROR(__xludf.DUMMYFUNCTION("IMPORTRANGE(""https://docs.google.com/spreadsheets/d/1-uDff_7J0KD5mKrp0Vvzr7lt3OU09vwQwhkpOPPYv2Y/edit?usp=sharing"",""งบพรบ!CR14"")"),30308)</f>
        <v>30308</v>
      </c>
      <c r="O178" s="224">
        <f t="shared" ca="1" si="53"/>
        <v>154.71158754466563</v>
      </c>
      <c r="P178" s="224">
        <f t="shared" ca="1" si="54"/>
        <v>96.954574536148428</v>
      </c>
      <c r="Q178" s="224">
        <f ca="1">IFERROR(__xludf.DUMMYFUNCTION("IMPORTRANGE(""https://docs.google.com/spreadsheets/d/1ItG2mGa2ceCfYo0BwxsXqNm01IGEUdYcSSLTEv9YCik/edit?usp=sharing"",""เบิกจ่ายกองทุน!BE14"")"),0)</f>
        <v>0</v>
      </c>
      <c r="R178" s="224">
        <f ca="1">IFERROR(__xludf.DUMMYFUNCTION("IMPORTRANGE(""https://docs.google.com/spreadsheets/d/1ItG2mGa2ceCfYo0BwxsXqNm01IGEUdYcSSLTEv9YCik/edit?usp=sharing"",""เบิกจ่ายกองทุน!BF14"")"),0)</f>
        <v>0</v>
      </c>
      <c r="S178" s="224">
        <f ca="1">IFERROR(__xludf.DUMMYFUNCTION("IMPORTRANGE(""https://docs.google.com/spreadsheets/d/1ItG2mGa2ceCfYo0BwxsXqNm01IGEUdYcSSLTEv9YCik/edit?usp=sharing"",""เบิกจ่ายกองทุน!BG14"")"),0)</f>
        <v>0</v>
      </c>
      <c r="T178" s="224">
        <f t="shared" ca="1" si="55"/>
        <v>0</v>
      </c>
      <c r="U178" s="224">
        <f t="shared" ca="1" si="56"/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468">
        <f ca="1">L180+L181</f>
        <v>0</v>
      </c>
      <c r="M179" s="224">
        <f ca="1">M180+M181</f>
        <v>0</v>
      </c>
      <c r="N179" s="224">
        <f ca="1">N180+N181</f>
        <v>0</v>
      </c>
      <c r="O179" s="224">
        <f t="shared" ca="1" si="53"/>
        <v>0</v>
      </c>
      <c r="P179" s="224">
        <f t="shared" ca="1" si="54"/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 t="shared" si="55"/>
        <v>0</v>
      </c>
      <c r="U179" s="224">
        <f t="shared" si="56"/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469">
        <v>0</v>
      </c>
      <c r="M180" s="83">
        <v>0</v>
      </c>
      <c r="N180" s="83">
        <v>0</v>
      </c>
      <c r="O180" s="83">
        <f t="shared" si="53"/>
        <v>0</v>
      </c>
      <c r="P180" s="83">
        <f t="shared" si="54"/>
        <v>0</v>
      </c>
      <c r="Q180" s="83">
        <v>0</v>
      </c>
      <c r="R180" s="83">
        <v>0</v>
      </c>
      <c r="S180" s="83">
        <v>0</v>
      </c>
      <c r="T180" s="83">
        <f t="shared" si="55"/>
        <v>0</v>
      </c>
      <c r="U180" s="83">
        <f t="shared" si="56"/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468">
        <f ca="1">IFERROR(__xludf.DUMMYFUNCTION("IMPORTRANGE(""https://docs.google.com/spreadsheets/d/1-uDff_7J0KD5mKrp0Vvzr7lt3OU09vwQwhkpOPPYv2Y/edit?usp=sharing"",""งบพรบ!CN14"")"),0)</f>
        <v>0</v>
      </c>
      <c r="M181" s="224">
        <f ca="1">IFERROR(__xludf.DUMMYFUNCTION("IMPORTRANGE(""https://docs.google.com/spreadsheets/d/1-uDff_7J0KD5mKrp0Vvzr7lt3OU09vwQwhkpOPPYv2Y/edit?usp=sharing"",""งบพรบ!CQ14"")"),0)</f>
        <v>0</v>
      </c>
      <c r="N181" s="224">
        <f ca="1">IFERROR(__xludf.DUMMYFUNCTION("IMPORTRANGE(""https://docs.google.com/spreadsheets/d/1-uDff_7J0KD5mKrp0Vvzr7lt3OU09vwQwhkpOPPYv2Y/edit?usp=sharing"",""งบพรบ!CS14"")"),0)</f>
        <v>0</v>
      </c>
      <c r="O181" s="224">
        <f t="shared" ca="1" si="53"/>
        <v>0</v>
      </c>
      <c r="P181" s="224">
        <f t="shared" ca="1" si="54"/>
        <v>0</v>
      </c>
      <c r="Q181" s="224">
        <v>0</v>
      </c>
      <c r="R181" s="224">
        <v>0</v>
      </c>
      <c r="S181" s="224">
        <v>0</v>
      </c>
      <c r="T181" s="224">
        <f t="shared" si="55"/>
        <v>0</v>
      </c>
      <c r="U181" s="224">
        <f t="shared" si="56"/>
        <v>0</v>
      </c>
    </row>
    <row r="182" spans="1:21" ht="19.5" x14ac:dyDescent="0.3">
      <c r="A182" s="138"/>
      <c r="B182" s="139"/>
      <c r="C182" s="129" t="s">
        <v>18</v>
      </c>
      <c r="D182" s="498" t="s">
        <v>38</v>
      </c>
      <c r="E182" s="141"/>
      <c r="F182" s="141"/>
      <c r="G182" s="142"/>
      <c r="H182" s="178"/>
      <c r="I182" s="44"/>
      <c r="J182" s="44"/>
      <c r="K182" s="45"/>
      <c r="L182" s="465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IFERROR(__xludf.DUMMYFUNCTION("IMPORTRANGE(""https://docs.google.com/spreadsheets/d/1eHaY18a8A9IcSdp1K8H6x8fbOy06t2VsZHhMHf-1x7Y/edit?usp=sharing"",""แผน!AA14"")"),7)</f>
        <v>7</v>
      </c>
      <c r="J183" s="466">
        <v>7</v>
      </c>
      <c r="K183" s="224">
        <f ca="1">IF(I183&gt;0,J183*100/I183,0)</f>
        <v>100</v>
      </c>
      <c r="L183" s="465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14" t="s">
        <v>76</v>
      </c>
      <c r="E184" s="40"/>
      <c r="F184" s="40"/>
      <c r="G184" s="42"/>
      <c r="H184" s="526" t="s">
        <v>35</v>
      </c>
      <c r="I184" s="430">
        <v>0</v>
      </c>
      <c r="J184" s="430">
        <v>0</v>
      </c>
      <c r="K184" s="83">
        <f>IF(I184&gt;0,J184*100/I184,0)</f>
        <v>0</v>
      </c>
      <c r="L184" s="465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661">
        <f ca="1">I230+I231</f>
        <v>0</v>
      </c>
      <c r="J185" s="661">
        <f>J230+J231</f>
        <v>0</v>
      </c>
      <c r="K185" s="660">
        <f ca="1">IF(I185&gt;0,J185*100/I185,0)</f>
        <v>0</v>
      </c>
      <c r="L185" s="659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472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471">
        <f ca="1">L187+L188</f>
        <v>235500</v>
      </c>
      <c r="M186" s="470">
        <f ca="1">M187+M188</f>
        <v>241200</v>
      </c>
      <c r="N186" s="470">
        <f ca="1">N187+N188</f>
        <v>173380</v>
      </c>
      <c r="O186" s="470">
        <f t="shared" ref="O186:O194" ca="1" si="59">IF(L186&gt;0,N186*100/L186,0)</f>
        <v>73.622080679405514</v>
      </c>
      <c r="P186" s="470">
        <f t="shared" ref="P186:P194" ca="1" si="60">IF(M186&gt;0,N186*100/M186,0)</f>
        <v>71.882255389718082</v>
      </c>
      <c r="Q186" s="470">
        <f ca="1">Q187+Q188</f>
        <v>0</v>
      </c>
      <c r="R186" s="470">
        <f ca="1">R187+R188</f>
        <v>18000</v>
      </c>
      <c r="S186" s="470">
        <f ca="1">S187+S188</f>
        <v>0</v>
      </c>
      <c r="T186" s="470">
        <f t="shared" ref="T186:T194" ca="1" si="61">IF(Q186&gt;0,S186*100/Q186,0)</f>
        <v>0</v>
      </c>
      <c r="U186" s="470">
        <f t="shared" ref="U186:U194" ca="1" si="62">IF(R186&gt;0,S186*100/R186,0)</f>
        <v>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469">
        <f t="shared" ref="L187:N188" si="63">L190+L193</f>
        <v>0</v>
      </c>
      <c r="M187" s="83">
        <f t="shared" si="63"/>
        <v>0</v>
      </c>
      <c r="N187" s="83">
        <f t="shared" si="63"/>
        <v>0</v>
      </c>
      <c r="O187" s="83">
        <f t="shared" si="59"/>
        <v>0</v>
      </c>
      <c r="P187" s="83">
        <f t="shared" si="60"/>
        <v>0</v>
      </c>
      <c r="Q187" s="83">
        <f t="shared" ref="Q187:S188" si="64">Q190+Q193</f>
        <v>0</v>
      </c>
      <c r="R187" s="83">
        <f t="shared" si="64"/>
        <v>0</v>
      </c>
      <c r="S187" s="83">
        <f t="shared" si="64"/>
        <v>0</v>
      </c>
      <c r="T187" s="83">
        <f t="shared" si="61"/>
        <v>0</v>
      </c>
      <c r="U187" s="83">
        <f t="shared" si="62"/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468">
        <f t="shared" ca="1" si="63"/>
        <v>235500</v>
      </c>
      <c r="M188" s="224">
        <f t="shared" ca="1" si="63"/>
        <v>241200</v>
      </c>
      <c r="N188" s="224">
        <f t="shared" ca="1" si="63"/>
        <v>173380</v>
      </c>
      <c r="O188" s="224">
        <f t="shared" ca="1" si="59"/>
        <v>73.622080679405514</v>
      </c>
      <c r="P188" s="224">
        <f t="shared" ca="1" si="60"/>
        <v>71.882255389718082</v>
      </c>
      <c r="Q188" s="224">
        <f t="shared" ca="1" si="64"/>
        <v>0</v>
      </c>
      <c r="R188" s="224">
        <f t="shared" ca="1" si="64"/>
        <v>18000</v>
      </c>
      <c r="S188" s="224">
        <f t="shared" ca="1" si="64"/>
        <v>0</v>
      </c>
      <c r="T188" s="224">
        <f t="shared" ca="1" si="61"/>
        <v>0</v>
      </c>
      <c r="U188" s="224">
        <f t="shared" ca="1" si="62"/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468">
        <f ca="1">L190+L191</f>
        <v>235500</v>
      </c>
      <c r="M189" s="224">
        <f ca="1">M190+M191</f>
        <v>241200</v>
      </c>
      <c r="N189" s="224">
        <f ca="1">N190+N191</f>
        <v>173380</v>
      </c>
      <c r="O189" s="224">
        <f t="shared" ca="1" si="59"/>
        <v>73.622080679405514</v>
      </c>
      <c r="P189" s="224">
        <f t="shared" ca="1" si="60"/>
        <v>71.882255389718082</v>
      </c>
      <c r="Q189" s="224">
        <f ca="1">Q190+Q191</f>
        <v>0</v>
      </c>
      <c r="R189" s="224">
        <f ca="1">R190+R191</f>
        <v>18000</v>
      </c>
      <c r="S189" s="224">
        <f ca="1">S190+S191</f>
        <v>0</v>
      </c>
      <c r="T189" s="224">
        <f t="shared" ca="1" si="61"/>
        <v>0</v>
      </c>
      <c r="U189" s="224">
        <f t="shared" ca="1" si="62"/>
        <v>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469">
        <v>0</v>
      </c>
      <c r="M190" s="83">
        <v>0</v>
      </c>
      <c r="N190" s="83">
        <v>0</v>
      </c>
      <c r="O190" s="83">
        <f t="shared" si="59"/>
        <v>0</v>
      </c>
      <c r="P190" s="83">
        <f t="shared" si="60"/>
        <v>0</v>
      </c>
      <c r="Q190" s="83">
        <v>0</v>
      </c>
      <c r="R190" s="83">
        <v>0</v>
      </c>
      <c r="S190" s="83">
        <v>0</v>
      </c>
      <c r="T190" s="83">
        <f t="shared" si="61"/>
        <v>0</v>
      </c>
      <c r="U190" s="83">
        <f t="shared" si="62"/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468">
        <f ca="1">IFERROR(__xludf.DUMMYFUNCTION("IMPORTRANGE(""https://docs.google.com/spreadsheets/d/1-uDff_7J0KD5mKrp0Vvzr7lt3OU09vwQwhkpOPPYv2Y/edit?usp=sharing"",""งบพรบ!CU14"")"),235500)</f>
        <v>235500</v>
      </c>
      <c r="M191" s="224">
        <f ca="1">IFERROR(__xludf.DUMMYFUNCTION("IMPORTRANGE(""https://docs.google.com/spreadsheets/d/1-uDff_7J0KD5mKrp0Vvzr7lt3OU09vwQwhkpOPPYv2Y/edit?usp=sharing"",""งบพรบ!CZ14"")"),241200)</f>
        <v>241200</v>
      </c>
      <c r="N191" s="224">
        <f ca="1">IFERROR(__xludf.DUMMYFUNCTION("IMPORTRANGE(""https://docs.google.com/spreadsheets/d/1-uDff_7J0KD5mKrp0Vvzr7lt3OU09vwQwhkpOPPYv2Y/edit?usp=sharing"",""งบพรบ!DB14"")"),173380)</f>
        <v>173380</v>
      </c>
      <c r="O191" s="224">
        <f t="shared" ca="1" si="59"/>
        <v>73.622080679405514</v>
      </c>
      <c r="P191" s="224">
        <f t="shared" ca="1" si="60"/>
        <v>71.882255389718082</v>
      </c>
      <c r="Q191" s="224">
        <f ca="1">IFERROR(__xludf.DUMMYFUNCTION("IMPORTRANGE(""https://docs.google.com/spreadsheets/d/1ItG2mGa2ceCfYo0BwxsXqNm01IGEUdYcSSLTEv9YCik/edit?usp=sharing"",""เบิกจ่ายกองทุน!AV14"")"),0)</f>
        <v>0</v>
      </c>
      <c r="R191" s="224">
        <f ca="1">IFERROR(__xludf.DUMMYFUNCTION("IMPORTRANGE(""https://docs.google.com/spreadsheets/d/1ItG2mGa2ceCfYo0BwxsXqNm01IGEUdYcSSLTEv9YCik/edit?usp=sharing"",""เบิกจ่ายกองทุน!AW14"")"),18000)</f>
        <v>18000</v>
      </c>
      <c r="S191" s="224">
        <f ca="1">IFERROR(__xludf.DUMMYFUNCTION("IMPORTRANGE(""https://docs.google.com/spreadsheets/d/1ItG2mGa2ceCfYo0BwxsXqNm01IGEUdYcSSLTEv9YCik/edit?usp=sharing"",""เบิกจ่ายกองทุน!AX14"")"),0)</f>
        <v>0</v>
      </c>
      <c r="T191" s="224">
        <f t="shared" ca="1" si="61"/>
        <v>0</v>
      </c>
      <c r="U191" s="224">
        <f t="shared" ca="1" si="62"/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468">
        <f ca="1">L193+L194</f>
        <v>0</v>
      </c>
      <c r="M192" s="224">
        <f ca="1">M193+M194</f>
        <v>0</v>
      </c>
      <c r="N192" s="224">
        <f ca="1">N193+N194</f>
        <v>0</v>
      </c>
      <c r="O192" s="224">
        <f t="shared" ca="1" si="59"/>
        <v>0</v>
      </c>
      <c r="P192" s="224">
        <f t="shared" ca="1" si="60"/>
        <v>0</v>
      </c>
      <c r="Q192" s="224">
        <f>Q193+Q194</f>
        <v>0</v>
      </c>
      <c r="R192" s="224">
        <f>R193+R194</f>
        <v>0</v>
      </c>
      <c r="S192" s="224">
        <f>S193+S194</f>
        <v>0</v>
      </c>
      <c r="T192" s="224">
        <f t="shared" si="61"/>
        <v>0</v>
      </c>
      <c r="U192" s="224">
        <f t="shared" si="62"/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469">
        <v>0</v>
      </c>
      <c r="M193" s="83">
        <v>0</v>
      </c>
      <c r="N193" s="83">
        <v>0</v>
      </c>
      <c r="O193" s="83">
        <f t="shared" si="59"/>
        <v>0</v>
      </c>
      <c r="P193" s="83">
        <f t="shared" si="60"/>
        <v>0</v>
      </c>
      <c r="Q193" s="83">
        <v>0</v>
      </c>
      <c r="R193" s="83">
        <v>0</v>
      </c>
      <c r="S193" s="83">
        <v>0</v>
      </c>
      <c r="T193" s="83">
        <f t="shared" si="61"/>
        <v>0</v>
      </c>
      <c r="U193" s="83">
        <f t="shared" si="62"/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468">
        <f ca="1">IFERROR(__xludf.DUMMYFUNCTION("IMPORTRANGE(""https://docs.google.com/spreadsheets/d/1-uDff_7J0KD5mKrp0Vvzr7lt3OU09vwQwhkpOPPYv2Y/edit?usp=sharing"",""งบพรบ!CX14"")"),0)</f>
        <v>0</v>
      </c>
      <c r="M194" s="224">
        <f ca="1">IFERROR(__xludf.DUMMYFUNCTION("IMPORTRANGE(""https://docs.google.com/spreadsheets/d/1-uDff_7J0KD5mKrp0Vvzr7lt3OU09vwQwhkpOPPYv2Y/edit?usp=sharing"",""งบพรบ!DA14"")"),0)</f>
        <v>0</v>
      </c>
      <c r="N194" s="224">
        <f ca="1">IFERROR(__xludf.DUMMYFUNCTION("IMPORTRANGE(""https://docs.google.com/spreadsheets/d/1-uDff_7J0KD5mKrp0Vvzr7lt3OU09vwQwhkpOPPYv2Y/edit?usp=sharing"",""งบพรบ!DC14"")"),0)</f>
        <v>0</v>
      </c>
      <c r="O194" s="224">
        <f t="shared" ca="1" si="59"/>
        <v>0</v>
      </c>
      <c r="P194" s="224">
        <f t="shared" ca="1" si="60"/>
        <v>0</v>
      </c>
      <c r="Q194" s="224">
        <v>0</v>
      </c>
      <c r="R194" s="224">
        <v>0</v>
      </c>
      <c r="S194" s="224">
        <v>0</v>
      </c>
      <c r="T194" s="224">
        <f t="shared" si="61"/>
        <v>0</v>
      </c>
      <c r="U194" s="224">
        <f t="shared" si="62"/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ca="1">I198</f>
        <v>4</v>
      </c>
      <c r="J195" s="303">
        <f>J198</f>
        <v>1</v>
      </c>
      <c r="K195" s="304">
        <f ca="1">IF(I195&gt;0,J195*100/I195,0)</f>
        <v>25</v>
      </c>
      <c r="L195" s="557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654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471">
        <f ca="1">IFERROR(__xludf.DUMMYFUNCTION("IMPORTRANGE(""https://docs.google.com/spreadsheets/d/1eHaY18a8A9IcSdp1K8H6x8fbOy06t2VsZHhMHf-1x7Y/edit?usp=sharing"",""แผน!AB14"")"),6000)</f>
        <v>6000</v>
      </c>
      <c r="M196" s="45"/>
      <c r="N196" s="658">
        <v>0</v>
      </c>
      <c r="O196" s="470">
        <f ca="1">IF(L196&gt;0,N196*100/L196,0)</f>
        <v>0</v>
      </c>
      <c r="P196" s="47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498" t="s">
        <v>38</v>
      </c>
      <c r="E197" s="141"/>
      <c r="F197" s="141"/>
      <c r="G197" s="142"/>
      <c r="H197" s="143"/>
      <c r="I197" s="44"/>
      <c r="J197" s="44"/>
      <c r="K197" s="45"/>
      <c r="L197" s="465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IFERROR(__xludf.DUMMYFUNCTION("IMPORTRANGE(""https://docs.google.com/spreadsheets/d/1eHaY18a8A9IcSdp1K8H6x8fbOy06t2VsZHhMHf-1x7Y/edit?usp=sharing"",""แผน!AE14"")"),4)</f>
        <v>4</v>
      </c>
      <c r="J198" s="466">
        <v>1</v>
      </c>
      <c r="K198" s="224">
        <f ca="1">IF(I198&gt;0,J198*100/I198,0)</f>
        <v>25</v>
      </c>
      <c r="L198" s="465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0</v>
      </c>
      <c r="K199" s="45"/>
      <c r="L199" s="465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466">
        <v>0</v>
      </c>
      <c r="K200" s="45"/>
      <c r="L200" s="465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466">
        <v>0</v>
      </c>
      <c r="K201" s="45"/>
      <c r="L201" s="465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ca="1">I209</f>
        <v>3</v>
      </c>
      <c r="J202" s="303">
        <f>J209</f>
        <v>3</v>
      </c>
      <c r="K202" s="304">
        <f ca="1">IF(I202&gt;0,J202*100/I202,0)</f>
        <v>100</v>
      </c>
      <c r="L202" s="557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654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471">
        <f ca="1">L204+L205+L206+L207</f>
        <v>39000</v>
      </c>
      <c r="M203" s="45"/>
      <c r="N203" s="470">
        <f>N204+N205+N206+N207</f>
        <v>39000</v>
      </c>
      <c r="O203" s="470">
        <f ca="1">IF(L203&gt;0,N203*100/L203,0)</f>
        <v>100</v>
      </c>
      <c r="P203" s="470">
        <f>IF(M203&gt;0,N203*100/M203,0)</f>
        <v>0</v>
      </c>
      <c r="Q203" s="657">
        <f ca="1">Q204+Q205+Q206+Q207</f>
        <v>0</v>
      </c>
      <c r="R203" s="656"/>
      <c r="S203" s="655">
        <f>S204+S205+S206+S207</f>
        <v>0</v>
      </c>
      <c r="T203" s="655">
        <f ca="1">IF(Q203&gt;0,S203*100/Q203,0)</f>
        <v>0</v>
      </c>
      <c r="U203" s="655">
        <f>IF(R203&gt;0,S203*100/R203,0)</f>
        <v>0</v>
      </c>
    </row>
    <row r="204" spans="1:21" ht="18.75" x14ac:dyDescent="0.25">
      <c r="A204" s="128"/>
      <c r="B204" s="158"/>
      <c r="C204" s="40"/>
      <c r="D204" s="47" t="s">
        <v>86</v>
      </c>
      <c r="E204" s="40"/>
      <c r="F204" s="40"/>
      <c r="G204" s="42"/>
      <c r="H204" s="134" t="s">
        <v>14</v>
      </c>
      <c r="I204" s="135"/>
      <c r="J204" s="135"/>
      <c r="K204" s="136"/>
      <c r="L204" s="468">
        <f ca="1">IFERROR(__xludf.DUMMYFUNCTION("IMPORTRANGE(""https://docs.google.com/spreadsheets/d/1eHaY18a8A9IcSdp1K8H6x8fbOy06t2VsZHhMHf-1x7Y/edit?usp=sharing"",""แผน!AG14"")"),3000)</f>
        <v>3000</v>
      </c>
      <c r="M204" s="45"/>
      <c r="N204" s="644">
        <v>3000</v>
      </c>
      <c r="O204" s="136"/>
      <c r="P204" s="45"/>
      <c r="Q204" s="468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307</v>
      </c>
      <c r="E205" s="40"/>
      <c r="F205" s="40"/>
      <c r="G205" s="42"/>
      <c r="H205" s="43" t="s">
        <v>14</v>
      </c>
      <c r="I205" s="44"/>
      <c r="J205" s="44"/>
      <c r="K205" s="45"/>
      <c r="L205" s="468">
        <f ca="1">IFERROR(__xludf.DUMMYFUNCTION("IMPORTRANGE(""https://docs.google.com/spreadsheets/d/1eHaY18a8A9IcSdp1K8H6x8fbOy06t2VsZHhMHf-1x7Y/edit?usp=sharing"",""แผน!AH14"")"),0)</f>
        <v>0</v>
      </c>
      <c r="M205" s="45"/>
      <c r="N205" s="644">
        <v>0</v>
      </c>
      <c r="O205" s="136"/>
      <c r="P205" s="45"/>
      <c r="Q205" s="468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468">
        <f ca="1">IFERROR(__xludf.DUMMYFUNCTION("IMPORTRANGE(""https://docs.google.com/spreadsheets/d/1eHaY18a8A9IcSdp1K8H6x8fbOy06t2VsZHhMHf-1x7Y/edit?usp=sharing"",""แผน!AI14"")"),24000)</f>
        <v>24000</v>
      </c>
      <c r="M206" s="45"/>
      <c r="N206" s="644">
        <v>24000</v>
      </c>
      <c r="O206" s="136"/>
      <c r="P206" s="45"/>
      <c r="Q206" s="468">
        <f ca="1">IFERROR(__xludf.DUMMYFUNCTION("IMPORTRANGE(""https://docs.google.com/spreadsheets/d/1eHaY18a8A9IcSdp1K8H6x8fbOy06t2VsZHhMHf-1x7Y/edit?usp=sharing"",""แผน!LV14"")"),0)</f>
        <v>0</v>
      </c>
      <c r="R206" s="45"/>
      <c r="S206" s="644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468">
        <f ca="1">IFERROR(__xludf.DUMMYFUNCTION("IMPORTRANGE(""https://docs.google.com/spreadsheets/d/1eHaY18a8A9IcSdp1K8H6x8fbOy06t2VsZHhMHf-1x7Y/edit?usp=sharing"",""แผน!AJ14"")"),12000)</f>
        <v>12000</v>
      </c>
      <c r="M207" s="45"/>
      <c r="N207" s="644">
        <v>12000</v>
      </c>
      <c r="O207" s="136"/>
      <c r="P207" s="45"/>
      <c r="Q207" s="468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498" t="s">
        <v>38</v>
      </c>
      <c r="E208" s="141"/>
      <c r="F208" s="141"/>
      <c r="G208" s="142"/>
      <c r="H208" s="143"/>
      <c r="I208" s="135"/>
      <c r="J208" s="135"/>
      <c r="K208" s="136"/>
      <c r="L208" s="492"/>
      <c r="M208" s="136"/>
      <c r="N208" s="136"/>
      <c r="O208" s="136"/>
      <c r="P208" s="136"/>
      <c r="Q208" s="4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IFERROR(__xludf.DUMMYFUNCTION("IMPORTRANGE(""https://docs.google.com/spreadsheets/d/1eHaY18a8A9IcSdp1K8H6x8fbOy06t2VsZHhMHf-1x7Y/edit?usp=sharing"",""แผน!AK14"")"),3)</f>
        <v>3</v>
      </c>
      <c r="J209" s="466">
        <v>3</v>
      </c>
      <c r="K209" s="497">
        <f ca="1">IF(I209&gt;0,J209*100/I209,0)</f>
        <v>100</v>
      </c>
      <c r="L209" s="465"/>
      <c r="M209" s="45"/>
      <c r="N209" s="45"/>
      <c r="O209" s="45"/>
      <c r="P209" s="45"/>
      <c r="Q209" s="465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465"/>
      <c r="M210" s="45"/>
      <c r="N210" s="45"/>
      <c r="O210" s="45"/>
      <c r="P210" s="45"/>
      <c r="Q210" s="46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IFERROR(__xludf.DUMMYFUNCTION("IMPORTRANGE(""https://docs.google.com/spreadsheets/d/1eHaY18a8A9IcSdp1K8H6x8fbOy06t2VsZHhMHf-1x7Y/edit?usp=sharing"",""แผน!JX14"")"),3)</f>
        <v>3</v>
      </c>
      <c r="J211" s="466">
        <v>3</v>
      </c>
      <c r="K211" s="497">
        <f ca="1">IF(I211&gt;0,J211*100/I211,0)</f>
        <v>100</v>
      </c>
      <c r="L211" s="465"/>
      <c r="M211" s="45"/>
      <c r="N211" s="45"/>
      <c r="O211" s="45"/>
      <c r="P211" s="45"/>
      <c r="Q211" s="46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IFERROR(__xludf.DUMMYFUNCTION("IMPORTRANGE(""https://docs.google.com/spreadsheets/d/1eHaY18a8A9IcSdp1K8H6x8fbOy06t2VsZHhMHf-1x7Y/edit?usp=sharing"",""แผน!JY14"")"),0)</f>
        <v>0</v>
      </c>
      <c r="J212" s="466">
        <v>0</v>
      </c>
      <c r="K212" s="497">
        <f ca="1">IF(I212&gt;0,J212*100/I212,0)</f>
        <v>0</v>
      </c>
      <c r="L212" s="465"/>
      <c r="M212" s="45"/>
      <c r="N212" s="45"/>
      <c r="O212" s="45"/>
      <c r="P212" s="45"/>
      <c r="Q212" s="465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ca="1">I220</f>
        <v>0</v>
      </c>
      <c r="J213" s="303">
        <f>J220</f>
        <v>0</v>
      </c>
      <c r="K213" s="304">
        <f ca="1">IF(I213&gt;0,J213*100/I213,0)</f>
        <v>0</v>
      </c>
      <c r="L213" s="557"/>
      <c r="M213" s="219"/>
      <c r="N213" s="219"/>
      <c r="O213" s="219"/>
      <c r="P213" s="219"/>
      <c r="Q213" s="557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654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471">
        <f ca="1">L215+L216+L217</f>
        <v>0</v>
      </c>
      <c r="M214" s="45"/>
      <c r="N214" s="470">
        <f>N215+N216+N217</f>
        <v>0</v>
      </c>
      <c r="O214" s="470">
        <f ca="1">IF(L214&gt;0,N214*100/L214,0)</f>
        <v>0</v>
      </c>
      <c r="P214" s="470">
        <f>IF(M214&gt;0,N214*100/M214,0)</f>
        <v>0</v>
      </c>
      <c r="Q214" s="471">
        <f ca="1">Q215+Q216+Q217</f>
        <v>0</v>
      </c>
      <c r="R214" s="45"/>
      <c r="S214" s="470">
        <f>S215+S216+S217</f>
        <v>0</v>
      </c>
      <c r="T214" s="470">
        <f ca="1">IF(Q214&gt;0,S214*100/Q214,0)</f>
        <v>0</v>
      </c>
      <c r="U214" s="470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468">
        <f ca="1">IFERROR(__xludf.DUMMYFUNCTION("IMPORTRANGE(""https://docs.google.com/spreadsheets/d/1eHaY18a8A9IcSdp1K8H6x8fbOy06t2VsZHhMHf-1x7Y/edit?usp=sharing"",""แผน!AM14"")"),0)</f>
        <v>0</v>
      </c>
      <c r="M215" s="45"/>
      <c r="N215" s="644">
        <v>0</v>
      </c>
      <c r="O215" s="136"/>
      <c r="P215" s="45"/>
      <c r="Q215" s="468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468">
        <f ca="1">IFERROR(__xludf.DUMMYFUNCTION("IMPORTRANGE(""https://docs.google.com/spreadsheets/d/1eHaY18a8A9IcSdp1K8H6x8fbOy06t2VsZHhMHf-1x7Y/edit?usp=sharing"",""แผน!AN14"")"),0)</f>
        <v>0</v>
      </c>
      <c r="M216" s="45"/>
      <c r="N216" s="644">
        <v>0</v>
      </c>
      <c r="O216" s="136"/>
      <c r="P216" s="45"/>
      <c r="Q216" s="468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468">
        <f ca="1">IFERROR(__xludf.DUMMYFUNCTION("IMPORTRANGE(""https://docs.google.com/spreadsheets/d/1eHaY18a8A9IcSdp1K8H6x8fbOy06t2VsZHhMHf-1x7Y/edit?usp=sharing"",""แผน!AO14"")"),0)</f>
        <v>0</v>
      </c>
      <c r="M217" s="45"/>
      <c r="N217" s="644">
        <v>0</v>
      </c>
      <c r="O217" s="136"/>
      <c r="P217" s="45"/>
      <c r="Q217" s="468">
        <f ca="1">IFERROR(__xludf.DUMMYFUNCTION("IMPORTRANGE(""https://docs.google.com/spreadsheets/d/1eHaY18a8A9IcSdp1K8H6x8fbOy06t2VsZHhMHf-1x7Y/edit?usp=sharing"",""แผน!LY14"")"),0)</f>
        <v>0</v>
      </c>
      <c r="R217" s="45"/>
      <c r="S217" s="644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498" t="s">
        <v>38</v>
      </c>
      <c r="E218" s="141"/>
      <c r="F218" s="141"/>
      <c r="G218" s="142"/>
      <c r="H218" s="143"/>
      <c r="I218" s="135"/>
      <c r="J218" s="44"/>
      <c r="K218" s="45"/>
      <c r="L218" s="465"/>
      <c r="M218" s="45"/>
      <c r="N218" s="45"/>
      <c r="O218" s="136"/>
      <c r="P218" s="136"/>
      <c r="Q218" s="465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IFERROR(__xludf.DUMMYFUNCTION("IMPORTRANGE(""https://docs.google.com/spreadsheets/d/1eHaY18a8A9IcSdp1K8H6x8fbOy06t2VsZHhMHf-1x7Y/edit?usp=sharing"",""แผน!AP14"")"),0)</f>
        <v>0</v>
      </c>
      <c r="J219" s="466">
        <v>0</v>
      </c>
      <c r="K219" s="224">
        <f ca="1">IF(I219&gt;0,J219*100/I219,0)</f>
        <v>0</v>
      </c>
      <c r="L219" s="465"/>
      <c r="M219" s="45"/>
      <c r="N219" s="45"/>
      <c r="O219" s="45"/>
      <c r="P219" s="45"/>
      <c r="Q219" s="465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IFERROR(__xludf.DUMMYFUNCTION("IMPORTRANGE(""https://docs.google.com/spreadsheets/d/1eHaY18a8A9IcSdp1K8H6x8fbOy06t2VsZHhMHf-1x7Y/edit?usp=sharing"",""แผน!AP14"")"),0)</f>
        <v>0</v>
      </c>
      <c r="J220" s="466">
        <v>0</v>
      </c>
      <c r="K220" s="224">
        <f ca="1">IF(I220&gt;0,J220*100/I220,0)</f>
        <v>0</v>
      </c>
      <c r="L220" s="465"/>
      <c r="M220" s="45"/>
      <c r="N220" s="45"/>
      <c r="O220" s="45"/>
      <c r="P220" s="45"/>
      <c r="Q220" s="465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ca="1">I229</f>
        <v>50000</v>
      </c>
      <c r="J221" s="303">
        <f>J229</f>
        <v>0</v>
      </c>
      <c r="K221" s="304">
        <f ca="1">IF(I221&gt;0,J221*100/I221,0)</f>
        <v>0</v>
      </c>
      <c r="L221" s="557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654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471">
        <f ca="1">L223+L224+L225</f>
        <v>8500</v>
      </c>
      <c r="M222" s="45"/>
      <c r="N222" s="470">
        <f>N223+N224+N225</f>
        <v>0</v>
      </c>
      <c r="O222" s="470">
        <f ca="1">IF(L222&gt;0,N222*100/L222,0)</f>
        <v>0</v>
      </c>
      <c r="P222" s="47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653" t="s">
        <v>308</v>
      </c>
      <c r="E223" s="40"/>
      <c r="F223" s="40"/>
      <c r="G223" s="42"/>
      <c r="H223" s="134" t="s">
        <v>14</v>
      </c>
      <c r="I223" s="135"/>
      <c r="J223" s="135"/>
      <c r="K223" s="136"/>
      <c r="L223" s="468">
        <f ca="1">IFERROR(__xludf.DUMMYFUNCTION("IMPORTRANGE(""https://docs.google.com/spreadsheets/d/1eHaY18a8A9IcSdp1K8H6x8fbOy06t2VsZHhMHf-1x7Y/edit?usp=sharing"",""แผน!AR14"")"),2500)</f>
        <v>2500</v>
      </c>
      <c r="M223" s="45"/>
      <c r="N223" s="644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307</v>
      </c>
      <c r="E224" s="40"/>
      <c r="F224" s="40"/>
      <c r="G224" s="42"/>
      <c r="H224" s="134" t="s">
        <v>14</v>
      </c>
      <c r="I224" s="44"/>
      <c r="J224" s="44"/>
      <c r="K224" s="45"/>
      <c r="L224" s="468">
        <f ca="1">IFERROR(__xludf.DUMMYFUNCTION("IMPORTRANGE(""https://docs.google.com/spreadsheets/d/1eHaY18a8A9IcSdp1K8H6x8fbOy06t2VsZHhMHf-1x7Y/edit?usp=sharing"",""แผน!AS14"")"),6000)</f>
        <v>6000</v>
      </c>
      <c r="M224" s="45"/>
      <c r="N224" s="644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468">
        <f ca="1">IFERROR(__xludf.DUMMYFUNCTION("IMPORTRANGE(""https://docs.google.com/spreadsheets/d/1eHaY18a8A9IcSdp1K8H6x8fbOy06t2VsZHhMHf-1x7Y/edit?usp=sharing"",""แผน!AT14"")"),0)</f>
        <v>0</v>
      </c>
      <c r="M225" s="45"/>
      <c r="N225" s="644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498" t="s">
        <v>38</v>
      </c>
      <c r="E226" s="141"/>
      <c r="F226" s="141"/>
      <c r="G226" s="142"/>
      <c r="H226" s="143"/>
      <c r="I226" s="135"/>
      <c r="J226" s="135"/>
      <c r="K226" s="136"/>
      <c r="L226" s="4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4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IFERROR(__xludf.DUMMYFUNCTION("IMPORTRANGE(""https://docs.google.com/spreadsheets/d/1eHaY18a8A9IcSdp1K8H6x8fbOy06t2VsZHhMHf-1x7Y/edit?usp=sharing"",""แผน!AV14"")"),50000)</f>
        <v>50000</v>
      </c>
      <c r="J228" s="466">
        <v>0</v>
      </c>
      <c r="K228" s="497">
        <f ca="1">IF(I228&gt;0,J228*100/I228,0)</f>
        <v>0</v>
      </c>
      <c r="L228" s="4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IFERROR(__xludf.DUMMYFUNCTION("IMPORTRANGE(""https://docs.google.com/spreadsheets/d/1eHaY18a8A9IcSdp1K8H6x8fbOy06t2VsZHhMHf-1x7Y/edit?usp=sharing"",""แผน!AV14"")"),50000)</f>
        <v>50000</v>
      </c>
      <c r="J229" s="466">
        <v>0</v>
      </c>
      <c r="K229" s="497">
        <f ca="1">IF(I229&gt;0,J229*100/I229,0)</f>
        <v>0</v>
      </c>
      <c r="L229" s="465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IFERROR(__xludf.DUMMYFUNCTION("IMPORTRANGE(""https://docs.google.com/spreadsheets/d/1eHaY18a8A9IcSdp1K8H6x8fbOy06t2VsZHhMHf-1x7Y/edit?usp=sharing"",""แผน!AU14"")"),0)</f>
        <v>0</v>
      </c>
      <c r="J230" s="466">
        <v>0</v>
      </c>
      <c r="K230" s="497">
        <f ca="1">IF(I230&gt;0,J230*100/I230,0)</f>
        <v>0</v>
      </c>
      <c r="L230" s="465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3">
        <f ca="1">I242+I253</f>
        <v>0</v>
      </c>
      <c r="J231" s="303">
        <f>J242+J253</f>
        <v>0</v>
      </c>
      <c r="K231" s="304">
        <f ca="1">IF(I231&gt;0,J231*100/I231,0)</f>
        <v>0</v>
      </c>
      <c r="L231" s="557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472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652">
        <f ca="1">L243+L254</f>
        <v>0</v>
      </c>
      <c r="M232" s="45"/>
      <c r="N232" s="651">
        <f>N243+N254</f>
        <v>0</v>
      </c>
      <c r="O232" s="45"/>
      <c r="P232" s="45"/>
      <c r="Q232" s="45"/>
      <c r="R232" s="45"/>
      <c r="S232" s="45"/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469">
        <f ca="1">L244+L255</f>
        <v>0</v>
      </c>
      <c r="M233" s="45"/>
      <c r="N233" s="83">
        <f>N244+N255</f>
        <v>0</v>
      </c>
      <c r="O233" s="45"/>
      <c r="P233" s="45"/>
      <c r="Q233" s="650">
        <v>0</v>
      </c>
      <c r="R233" s="650">
        <v>0</v>
      </c>
      <c r="S233" s="650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469">
        <f ca="1">L245+L256</f>
        <v>0</v>
      </c>
      <c r="M234" s="45"/>
      <c r="N234" s="83">
        <f>N245+N256</f>
        <v>0</v>
      </c>
      <c r="O234" s="45"/>
      <c r="P234" s="45"/>
      <c r="Q234" s="650">
        <v>0</v>
      </c>
      <c r="R234" s="650">
        <v>0</v>
      </c>
      <c r="S234" s="650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469">
        <f ca="1">L246+L257</f>
        <v>0</v>
      </c>
      <c r="M235" s="45"/>
      <c r="N235" s="83">
        <f>N246+N257</f>
        <v>0</v>
      </c>
      <c r="O235" s="45"/>
      <c r="P235" s="45"/>
      <c r="Q235" s="650">
        <v>0</v>
      </c>
      <c r="R235" s="650">
        <v>0</v>
      </c>
      <c r="S235" s="650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469">
        <f ca="1">L247+L258</f>
        <v>0</v>
      </c>
      <c r="M236" s="45"/>
      <c r="N236" s="83">
        <f>N247+N258</f>
        <v>0</v>
      </c>
      <c r="O236" s="45"/>
      <c r="P236" s="45"/>
      <c r="Q236" s="650">
        <v>0</v>
      </c>
      <c r="R236" s="650">
        <v>0</v>
      </c>
      <c r="S236" s="650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498" t="s">
        <v>38</v>
      </c>
      <c r="E237" s="141"/>
      <c r="F237" s="141"/>
      <c r="G237" s="142"/>
      <c r="H237" s="143"/>
      <c r="I237" s="135"/>
      <c r="J237" s="44"/>
      <c r="K237" s="45"/>
      <c r="L237" s="465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465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465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465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465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649" t="s">
        <v>111</v>
      </c>
      <c r="D242" s="214"/>
      <c r="E242" s="214"/>
      <c r="F242" s="214"/>
      <c r="G242" s="215"/>
      <c r="H242" s="648" t="s">
        <v>35</v>
      </c>
      <c r="I242" s="647">
        <f ca="1">I249</f>
        <v>0</v>
      </c>
      <c r="J242" s="647">
        <f>J249</f>
        <v>0</v>
      </c>
      <c r="K242" s="646">
        <f ca="1">IF(I242&gt;0,J242*100/I242,0)</f>
        <v>0</v>
      </c>
      <c r="L242" s="557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527" t="s">
        <v>18</v>
      </c>
      <c r="D243" s="494" t="s">
        <v>19</v>
      </c>
      <c r="E243" s="40"/>
      <c r="F243" s="40"/>
      <c r="G243" s="42"/>
      <c r="H243" s="372" t="s">
        <v>14</v>
      </c>
      <c r="I243" s="135"/>
      <c r="J243" s="135"/>
      <c r="K243" s="136"/>
      <c r="L243" s="471">
        <f ca="1">L244+L245+L246+L247</f>
        <v>0</v>
      </c>
      <c r="M243" s="45"/>
      <c r="N243" s="470">
        <f>N244+N245+N246+N247</f>
        <v>0</v>
      </c>
      <c r="O243" s="470">
        <f ca="1">IF(L243&gt;0,N243*100/L243,0)</f>
        <v>0</v>
      </c>
      <c r="P243" s="470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468">
        <f ca="1">IFERROR(__xludf.DUMMYFUNCTION("IMPORTRANGE(""https://docs.google.com/spreadsheets/d/1eHaY18a8A9IcSdp1K8H6x8fbOy06t2VsZHhMHf-1x7Y/edit?usp=sharing"",""แผน!AX14"")"),0)</f>
        <v>0</v>
      </c>
      <c r="M244" s="45"/>
      <c r="N244" s="644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468">
        <f ca="1">IFERROR(__xludf.DUMMYFUNCTION("IMPORTRANGE(""https://docs.google.com/spreadsheets/d/1eHaY18a8A9IcSdp1K8H6x8fbOy06t2VsZHhMHf-1x7Y/edit?usp=sharing"",""แผน!AY14"")"),0)</f>
        <v>0</v>
      </c>
      <c r="M245" s="45"/>
      <c r="N245" s="644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468">
        <f ca="1">IFERROR(__xludf.DUMMYFUNCTION("IMPORTRANGE(""https://docs.google.com/spreadsheets/d/1eHaY18a8A9IcSdp1K8H6x8fbOy06t2VsZHhMHf-1x7Y/edit?usp=sharing"",""แผน!AZ14"")"),0)</f>
        <v>0</v>
      </c>
      <c r="M246" s="45"/>
      <c r="N246" s="644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468">
        <f ca="1">IFERROR(__xludf.DUMMYFUNCTION("IMPORTRANGE(""https://docs.google.com/spreadsheets/d/1eHaY18a8A9IcSdp1K8H6x8fbOy06t2VsZHhMHf-1x7Y/edit?usp=sharing"",""แผน!BA14"")"),0)</f>
        <v>0</v>
      </c>
      <c r="M247" s="45"/>
      <c r="N247" s="644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643" t="s">
        <v>18</v>
      </c>
      <c r="D248" s="509" t="s">
        <v>38</v>
      </c>
      <c r="E248" s="141"/>
      <c r="F248" s="141"/>
      <c r="G248" s="142"/>
      <c r="H248" s="143"/>
      <c r="I248" s="135"/>
      <c r="J248" s="44"/>
      <c r="K248" s="45"/>
      <c r="L248" s="465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640" t="s">
        <v>35</v>
      </c>
      <c r="I249" s="430">
        <f ca="1">IFERROR(__xludf.DUMMYFUNCTION("IMPORTRANGE(""https://docs.google.com/spreadsheets/d/1eHaY18a8A9IcSdp1K8H6x8fbOy06t2VsZHhMHf-1x7Y/edit?usp=sharing"",""แผน!BG14"")"),0)</f>
        <v>0</v>
      </c>
      <c r="J249" s="525">
        <v>0</v>
      </c>
      <c r="K249" s="83">
        <f ca="1">IF(I249&gt;0,J249*100/I249,0)</f>
        <v>0</v>
      </c>
      <c r="L249" s="465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642" t="s">
        <v>43</v>
      </c>
      <c r="E250" s="145"/>
      <c r="F250" s="145"/>
      <c r="G250" s="143"/>
      <c r="H250" s="143"/>
      <c r="I250" s="44"/>
      <c r="J250" s="44"/>
      <c r="K250" s="45"/>
      <c r="L250" s="465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1" t="s">
        <v>109</v>
      </c>
      <c r="F251" s="145"/>
      <c r="G251" s="143"/>
      <c r="H251" s="640" t="s">
        <v>35</v>
      </c>
      <c r="I251" s="430">
        <v>0</v>
      </c>
      <c r="J251" s="525">
        <v>0</v>
      </c>
      <c r="K251" s="83">
        <f>IF(I251&gt;0,J251*100/I251,0)</f>
        <v>0</v>
      </c>
      <c r="L251" s="465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641" t="s">
        <v>110</v>
      </c>
      <c r="F252" s="145"/>
      <c r="G252" s="143"/>
      <c r="H252" s="640" t="s">
        <v>61</v>
      </c>
      <c r="I252" s="430">
        <v>0</v>
      </c>
      <c r="J252" s="525">
        <v>0</v>
      </c>
      <c r="K252" s="83">
        <f>IF(I252&gt;0,J252*100/I252,0)</f>
        <v>0</v>
      </c>
      <c r="L252" s="465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649" t="s">
        <v>112</v>
      </c>
      <c r="D253" s="214"/>
      <c r="E253" s="214"/>
      <c r="F253" s="214"/>
      <c r="G253" s="215"/>
      <c r="H253" s="648" t="s">
        <v>35</v>
      </c>
      <c r="I253" s="647">
        <f ca="1">I260</f>
        <v>0</v>
      </c>
      <c r="J253" s="647">
        <f>J260</f>
        <v>0</v>
      </c>
      <c r="K253" s="646">
        <f ca="1">IF(I253&gt;0,J253*100/I253,0)</f>
        <v>0</v>
      </c>
      <c r="L253" s="557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527" t="s">
        <v>18</v>
      </c>
      <c r="D254" s="645" t="s">
        <v>19</v>
      </c>
      <c r="E254" s="40"/>
      <c r="F254" s="40"/>
      <c r="G254" s="42"/>
      <c r="H254" s="372" t="s">
        <v>14</v>
      </c>
      <c r="I254" s="135"/>
      <c r="J254" s="135"/>
      <c r="K254" s="136"/>
      <c r="L254" s="471">
        <f ca="1">L255+L256+L257+L258</f>
        <v>0</v>
      </c>
      <c r="M254" s="45"/>
      <c r="N254" s="470">
        <f>N255+N256+N257+N258</f>
        <v>0</v>
      </c>
      <c r="O254" s="470">
        <f ca="1">IF(L254&gt;0,N254*100/L254,0)</f>
        <v>0</v>
      </c>
      <c r="P254" s="470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468">
        <f ca="1">IFERROR(__xludf.DUMMYFUNCTION("IMPORTRANGE(""https://docs.google.com/spreadsheets/d/1eHaY18a8A9IcSdp1K8H6x8fbOy06t2VsZHhMHf-1x7Y/edit?usp=sharing"",""แผน!BB14"")"),0)</f>
        <v>0</v>
      </c>
      <c r="M255" s="45"/>
      <c r="N255" s="644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468">
        <f ca="1">IFERROR(__xludf.DUMMYFUNCTION("IMPORTRANGE(""https://docs.google.com/spreadsheets/d/1eHaY18a8A9IcSdp1K8H6x8fbOy06t2VsZHhMHf-1x7Y/edit?usp=sharing"",""แผน!BC14"")"),0)</f>
        <v>0</v>
      </c>
      <c r="M256" s="45"/>
      <c r="N256" s="644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468">
        <f ca="1">IFERROR(__xludf.DUMMYFUNCTION("IMPORTRANGE(""https://docs.google.com/spreadsheets/d/1eHaY18a8A9IcSdp1K8H6x8fbOy06t2VsZHhMHf-1x7Y/edit?usp=sharing"",""แผน!BD14"")"),0)</f>
        <v>0</v>
      </c>
      <c r="M257" s="45"/>
      <c r="N257" s="644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468">
        <f ca="1">IFERROR(__xludf.DUMMYFUNCTION("IMPORTRANGE(""https://docs.google.com/spreadsheets/d/1eHaY18a8A9IcSdp1K8H6x8fbOy06t2VsZHhMHf-1x7Y/edit?usp=sharing"",""แผน!BE14"")"),0)</f>
        <v>0</v>
      </c>
      <c r="M258" s="45"/>
      <c r="N258" s="644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643" t="s">
        <v>18</v>
      </c>
      <c r="D259" s="509" t="s">
        <v>38</v>
      </c>
      <c r="E259" s="141"/>
      <c r="F259" s="141"/>
      <c r="G259" s="142"/>
      <c r="H259" s="143"/>
      <c r="I259" s="135"/>
      <c r="J259" s="44"/>
      <c r="K259" s="45"/>
      <c r="L259" s="465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640" t="s">
        <v>35</v>
      </c>
      <c r="I260" s="430">
        <f ca="1">IFERROR(__xludf.DUMMYFUNCTION("IMPORTRANGE(""https://docs.google.com/spreadsheets/d/1eHaY18a8A9IcSdp1K8H6x8fbOy06t2VsZHhMHf-1x7Y/edit?usp=sharing"",""แผน!BH14"")"),0)</f>
        <v>0</v>
      </c>
      <c r="J260" s="525">
        <v>0</v>
      </c>
      <c r="K260" s="83">
        <f ca="1">IF(I260&gt;0,J260*100/I260,0)</f>
        <v>0</v>
      </c>
      <c r="L260" s="465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642" t="s">
        <v>43</v>
      </c>
      <c r="E261" s="145"/>
      <c r="F261" s="145"/>
      <c r="G261" s="143"/>
      <c r="H261" s="143"/>
      <c r="I261" s="44"/>
      <c r="J261" s="44"/>
      <c r="K261" s="45"/>
      <c r="L261" s="465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1" t="s">
        <v>109</v>
      </c>
      <c r="F262" s="145"/>
      <c r="G262" s="143"/>
      <c r="H262" s="640" t="s">
        <v>35</v>
      </c>
      <c r="I262" s="44"/>
      <c r="J262" s="525">
        <v>0</v>
      </c>
      <c r="K262" s="83">
        <f>IF(I262&gt;0,J262*100/I262,0)</f>
        <v>0</v>
      </c>
      <c r="L262" s="465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641" t="s">
        <v>110</v>
      </c>
      <c r="F263" s="145"/>
      <c r="G263" s="143"/>
      <c r="H263" s="640" t="s">
        <v>61</v>
      </c>
      <c r="I263" s="44"/>
      <c r="J263" s="525">
        <v>0</v>
      </c>
      <c r="K263" s="83">
        <f>IF(I263&gt;0,J263*100/I263,0)</f>
        <v>0</v>
      </c>
      <c r="L263" s="465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639" t="s">
        <v>113</v>
      </c>
      <c r="B264" s="638"/>
      <c r="C264" s="638"/>
      <c r="D264" s="637"/>
      <c r="E264" s="637"/>
      <c r="F264" s="637"/>
      <c r="G264" s="636"/>
      <c r="H264" s="636"/>
      <c r="I264" s="635"/>
      <c r="J264" s="635"/>
      <c r="K264" s="633"/>
      <c r="L264" s="634"/>
      <c r="M264" s="633"/>
      <c r="N264" s="633"/>
      <c r="O264" s="633"/>
      <c r="P264" s="633"/>
      <c r="Q264" s="633"/>
      <c r="R264" s="633"/>
      <c r="S264" s="633"/>
      <c r="T264" s="633"/>
      <c r="U264" s="633"/>
    </row>
    <row r="265" spans="1:21" ht="19.5" x14ac:dyDescent="0.3">
      <c r="A265" s="632"/>
      <c r="B265" s="631" t="s">
        <v>114</v>
      </c>
      <c r="C265" s="630"/>
      <c r="D265" s="603"/>
      <c r="E265" s="603"/>
      <c r="F265" s="603"/>
      <c r="G265" s="602"/>
      <c r="H265" s="629" t="s">
        <v>35</v>
      </c>
      <c r="I265" s="628">
        <f ca="1">I276</f>
        <v>22</v>
      </c>
      <c r="J265" s="628">
        <f>J276</f>
        <v>0</v>
      </c>
      <c r="K265" s="627">
        <f ca="1">IF(I265&gt;0,J265*100/I265,0)</f>
        <v>0</v>
      </c>
      <c r="L265" s="626"/>
      <c r="M265" s="625"/>
      <c r="N265" s="625"/>
      <c r="O265" s="625"/>
      <c r="P265" s="625"/>
      <c r="Q265" s="625"/>
      <c r="R265" s="625"/>
      <c r="S265" s="625"/>
      <c r="T265" s="625"/>
      <c r="U265" s="625"/>
    </row>
    <row r="266" spans="1:21" ht="19.5" x14ac:dyDescent="0.3">
      <c r="A266" s="610"/>
      <c r="B266" s="609"/>
      <c r="C266" s="624" t="s">
        <v>18</v>
      </c>
      <c r="D266" s="623" t="s">
        <v>19</v>
      </c>
      <c r="E266" s="609"/>
      <c r="F266" s="609"/>
      <c r="G266" s="608"/>
      <c r="H266" s="622" t="s">
        <v>14</v>
      </c>
      <c r="I266" s="479"/>
      <c r="J266" s="479"/>
      <c r="K266" s="476"/>
      <c r="L266" s="621">
        <f ca="1">L267+L268</f>
        <v>0</v>
      </c>
      <c r="M266" s="620">
        <f ca="1">M267+M268</f>
        <v>5000</v>
      </c>
      <c r="N266" s="620">
        <f ca="1">N267+N268</f>
        <v>0</v>
      </c>
      <c r="O266" s="620">
        <f t="shared" ref="O266:O274" ca="1" si="65">IF(L266&gt;0,N266*100/L266,0)</f>
        <v>0</v>
      </c>
      <c r="P266" s="620">
        <f t="shared" ref="P266:P274" ca="1" si="66">IF(M266&gt;0,N266*100/M266,0)</f>
        <v>0</v>
      </c>
      <c r="Q266" s="620">
        <f ca="1">Q267+Q268</f>
        <v>50660</v>
      </c>
      <c r="R266" s="620">
        <f ca="1">R267+R268</f>
        <v>50660</v>
      </c>
      <c r="S266" s="620">
        <f ca="1">S267+S268</f>
        <v>0</v>
      </c>
      <c r="T266" s="620">
        <f t="shared" ref="T266:T274" ca="1" si="67">IF(Q266&gt;0,S266*100/Q266,0)</f>
        <v>0</v>
      </c>
      <c r="U266" s="620">
        <f t="shared" ref="U266:U274" ca="1" si="68">IF(R266&gt;0,S266*100/R266,0)</f>
        <v>0</v>
      </c>
    </row>
    <row r="267" spans="1:21" ht="18.75" hidden="1" x14ac:dyDescent="0.25">
      <c r="A267" s="615"/>
      <c r="B267" s="614"/>
      <c r="C267" s="614"/>
      <c r="D267" s="614"/>
      <c r="E267" s="156" t="s">
        <v>20</v>
      </c>
      <c r="F267" s="614"/>
      <c r="G267" s="613"/>
      <c r="H267" s="157" t="s">
        <v>14</v>
      </c>
      <c r="I267" s="619"/>
      <c r="J267" s="619"/>
      <c r="K267" s="618"/>
      <c r="L267" s="469">
        <f t="shared" ref="L267:N268" si="69">L270+L273</f>
        <v>0</v>
      </c>
      <c r="M267" s="83">
        <f t="shared" si="69"/>
        <v>0</v>
      </c>
      <c r="N267" s="83">
        <f t="shared" si="69"/>
        <v>0</v>
      </c>
      <c r="O267" s="83">
        <f t="shared" si="65"/>
        <v>0</v>
      </c>
      <c r="P267" s="83">
        <f t="shared" si="66"/>
        <v>0</v>
      </c>
      <c r="Q267" s="83">
        <f t="shared" ref="Q267:S268" si="70">Q270+Q273</f>
        <v>0</v>
      </c>
      <c r="R267" s="83">
        <f t="shared" si="70"/>
        <v>0</v>
      </c>
      <c r="S267" s="83">
        <f t="shared" si="70"/>
        <v>0</v>
      </c>
      <c r="T267" s="83">
        <f t="shared" si="67"/>
        <v>0</v>
      </c>
      <c r="U267" s="83">
        <f t="shared" si="68"/>
        <v>0</v>
      </c>
    </row>
    <row r="268" spans="1:21" ht="18.75" hidden="1" x14ac:dyDescent="0.25">
      <c r="A268" s="610"/>
      <c r="B268" s="609"/>
      <c r="C268" s="609"/>
      <c r="D268" s="609"/>
      <c r="E268" s="605" t="s">
        <v>21</v>
      </c>
      <c r="F268" s="609"/>
      <c r="G268" s="608"/>
      <c r="H268" s="480" t="s">
        <v>14</v>
      </c>
      <c r="I268" s="479"/>
      <c r="J268" s="479"/>
      <c r="K268" s="476"/>
      <c r="L268" s="606">
        <f t="shared" ca="1" si="69"/>
        <v>0</v>
      </c>
      <c r="M268" s="486">
        <f t="shared" ca="1" si="69"/>
        <v>5000</v>
      </c>
      <c r="N268" s="486">
        <f t="shared" ca="1" si="69"/>
        <v>0</v>
      </c>
      <c r="O268" s="486">
        <f t="shared" ca="1" si="65"/>
        <v>0</v>
      </c>
      <c r="P268" s="486">
        <f t="shared" ca="1" si="66"/>
        <v>0</v>
      </c>
      <c r="Q268" s="486">
        <f t="shared" ca="1" si="70"/>
        <v>50660</v>
      </c>
      <c r="R268" s="486">
        <f t="shared" ca="1" si="70"/>
        <v>50660</v>
      </c>
      <c r="S268" s="486">
        <f t="shared" ca="1" si="70"/>
        <v>0</v>
      </c>
      <c r="T268" s="486">
        <f t="shared" ca="1" si="67"/>
        <v>0</v>
      </c>
      <c r="U268" s="486">
        <f t="shared" ca="1" si="68"/>
        <v>0</v>
      </c>
    </row>
    <row r="269" spans="1:21" ht="18.75" x14ac:dyDescent="0.25">
      <c r="A269" s="610"/>
      <c r="B269" s="609"/>
      <c r="C269" s="609"/>
      <c r="D269" s="616" t="s">
        <v>22</v>
      </c>
      <c r="E269" s="609"/>
      <c r="F269" s="609"/>
      <c r="G269" s="608"/>
      <c r="H269" s="617" t="s">
        <v>14</v>
      </c>
      <c r="I269" s="601"/>
      <c r="J269" s="601"/>
      <c r="K269" s="599"/>
      <c r="L269" s="606">
        <f ca="1">L270+L271</f>
        <v>0</v>
      </c>
      <c r="M269" s="486">
        <f ca="1">M270+M271</f>
        <v>5000</v>
      </c>
      <c r="N269" s="486">
        <f ca="1">N270+N271</f>
        <v>0</v>
      </c>
      <c r="O269" s="486">
        <f t="shared" ca="1" si="65"/>
        <v>0</v>
      </c>
      <c r="P269" s="486">
        <f t="shared" ca="1" si="66"/>
        <v>0</v>
      </c>
      <c r="Q269" s="486">
        <f ca="1">Q270+Q271</f>
        <v>50660</v>
      </c>
      <c r="R269" s="486">
        <f ca="1">R270+R271</f>
        <v>50660</v>
      </c>
      <c r="S269" s="486">
        <f ca="1">S270+S271</f>
        <v>0</v>
      </c>
      <c r="T269" s="486">
        <f t="shared" ca="1" si="67"/>
        <v>0</v>
      </c>
      <c r="U269" s="486">
        <f t="shared" ca="1" si="68"/>
        <v>0</v>
      </c>
    </row>
    <row r="270" spans="1:21" ht="18.75" hidden="1" x14ac:dyDescent="0.25">
      <c r="A270" s="615"/>
      <c r="B270" s="614"/>
      <c r="C270" s="614"/>
      <c r="D270" s="614"/>
      <c r="E270" s="156" t="s">
        <v>36</v>
      </c>
      <c r="F270" s="614"/>
      <c r="G270" s="613"/>
      <c r="H270" s="159" t="s">
        <v>14</v>
      </c>
      <c r="I270" s="612"/>
      <c r="J270" s="612"/>
      <c r="K270" s="611"/>
      <c r="L270" s="469">
        <v>0</v>
      </c>
      <c r="M270" s="83">
        <v>0</v>
      </c>
      <c r="N270" s="83">
        <v>0</v>
      </c>
      <c r="O270" s="83">
        <f t="shared" si="65"/>
        <v>0</v>
      </c>
      <c r="P270" s="83">
        <f t="shared" si="66"/>
        <v>0</v>
      </c>
      <c r="Q270" s="83">
        <v>0</v>
      </c>
      <c r="R270" s="83">
        <v>0</v>
      </c>
      <c r="S270" s="83">
        <v>0</v>
      </c>
      <c r="T270" s="83">
        <f t="shared" si="67"/>
        <v>0</v>
      </c>
      <c r="U270" s="83">
        <f t="shared" si="68"/>
        <v>0</v>
      </c>
    </row>
    <row r="271" spans="1:21" ht="18.75" hidden="1" x14ac:dyDescent="0.25">
      <c r="A271" s="610"/>
      <c r="B271" s="609"/>
      <c r="C271" s="609"/>
      <c r="D271" s="609"/>
      <c r="E271" s="605" t="s">
        <v>37</v>
      </c>
      <c r="F271" s="609"/>
      <c r="G271" s="608"/>
      <c r="H271" s="617" t="s">
        <v>14</v>
      </c>
      <c r="I271" s="601"/>
      <c r="J271" s="601"/>
      <c r="K271" s="599"/>
      <c r="L271" s="606">
        <f ca="1">IFERROR(__xludf.DUMMYFUNCTION("IMPORTRANGE(""https://docs.google.com/spreadsheets/d/1-uDff_7J0KD5mKrp0Vvzr7lt3OU09vwQwhkpOPPYv2Y/edit?usp=sharing"",""งบพรบ!DE14"")"),0)</f>
        <v>0</v>
      </c>
      <c r="M271" s="486">
        <f ca="1">IFERROR(__xludf.DUMMYFUNCTION("IMPORTRANGE(""https://docs.google.com/spreadsheets/d/1-uDff_7J0KD5mKrp0Vvzr7lt3OU09vwQwhkpOPPYv2Y/edit?usp=sharing"",""งบพรบ!DJ14"")"),5000)</f>
        <v>5000</v>
      </c>
      <c r="N271" s="486">
        <f ca="1">IFERROR(__xludf.DUMMYFUNCTION("IMPORTRANGE(""https://docs.google.com/spreadsheets/d/1-uDff_7J0KD5mKrp0Vvzr7lt3OU09vwQwhkpOPPYv2Y/edit?usp=sharing"",""งบพรบ!DL14"")"),0)</f>
        <v>0</v>
      </c>
      <c r="O271" s="486">
        <f t="shared" ca="1" si="65"/>
        <v>0</v>
      </c>
      <c r="P271" s="486">
        <f t="shared" ca="1" si="66"/>
        <v>0</v>
      </c>
      <c r="Q271" s="486">
        <f ca="1">IFERROR(__xludf.DUMMYFUNCTION("IMPORTRANGE(""https://docs.google.com/spreadsheets/d/1ItG2mGa2ceCfYo0BwxsXqNm01IGEUdYcSSLTEv9YCik/edit?usp=sharing"",""เบิกจ่ายกองทุน!AJ14"")"),50660)</f>
        <v>50660</v>
      </c>
      <c r="R271" s="486">
        <f ca="1">IFERROR(__xludf.DUMMYFUNCTION("IMPORTRANGE(""https://docs.google.com/spreadsheets/d/1ItG2mGa2ceCfYo0BwxsXqNm01IGEUdYcSSLTEv9YCik/edit?usp=sharing"",""เบิกจ่ายกองทุน!AK14"")"),50660)</f>
        <v>50660</v>
      </c>
      <c r="S271" s="486">
        <f ca="1">IFERROR(__xludf.DUMMYFUNCTION("IMPORTRANGE(""https://docs.google.com/spreadsheets/d/1ItG2mGa2ceCfYo0BwxsXqNm01IGEUdYcSSLTEv9YCik/edit?usp=sharing"",""เบิกจ่ายกองทุน!AL14"")"),0)</f>
        <v>0</v>
      </c>
      <c r="T271" s="486">
        <f t="shared" ca="1" si="67"/>
        <v>0</v>
      </c>
      <c r="U271" s="486">
        <f t="shared" ca="1" si="68"/>
        <v>0</v>
      </c>
    </row>
    <row r="272" spans="1:21" ht="18.75" x14ac:dyDescent="0.25">
      <c r="A272" s="610"/>
      <c r="B272" s="609"/>
      <c r="C272" s="609"/>
      <c r="D272" s="616" t="s">
        <v>23</v>
      </c>
      <c r="E272" s="609"/>
      <c r="F272" s="609"/>
      <c r="G272" s="608"/>
      <c r="H272" s="607" t="s">
        <v>14</v>
      </c>
      <c r="I272" s="601"/>
      <c r="J272" s="601"/>
      <c r="K272" s="599"/>
      <c r="L272" s="606">
        <f ca="1">L273+L274</f>
        <v>0</v>
      </c>
      <c r="M272" s="486">
        <f ca="1">M273+M274</f>
        <v>0</v>
      </c>
      <c r="N272" s="486">
        <f ca="1">N273+N274</f>
        <v>0</v>
      </c>
      <c r="O272" s="486">
        <f t="shared" ca="1" si="65"/>
        <v>0</v>
      </c>
      <c r="P272" s="486">
        <f t="shared" ca="1" si="66"/>
        <v>0</v>
      </c>
      <c r="Q272" s="486">
        <f>Q273+Q274</f>
        <v>0</v>
      </c>
      <c r="R272" s="486">
        <f>R273+R274</f>
        <v>0</v>
      </c>
      <c r="S272" s="486">
        <f>S273+S274</f>
        <v>0</v>
      </c>
      <c r="T272" s="486">
        <f t="shared" si="67"/>
        <v>0</v>
      </c>
      <c r="U272" s="486">
        <f t="shared" si="68"/>
        <v>0</v>
      </c>
    </row>
    <row r="273" spans="1:21" ht="18.75" hidden="1" x14ac:dyDescent="0.25">
      <c r="A273" s="615"/>
      <c r="B273" s="614"/>
      <c r="C273" s="614"/>
      <c r="D273" s="614"/>
      <c r="E273" s="156" t="s">
        <v>20</v>
      </c>
      <c r="F273" s="614"/>
      <c r="G273" s="613"/>
      <c r="H273" s="159" t="s">
        <v>14</v>
      </c>
      <c r="I273" s="612"/>
      <c r="J273" s="612"/>
      <c r="K273" s="611"/>
      <c r="L273" s="469">
        <v>0</v>
      </c>
      <c r="M273" s="83">
        <v>0</v>
      </c>
      <c r="N273" s="83">
        <v>0</v>
      </c>
      <c r="O273" s="83">
        <f t="shared" si="65"/>
        <v>0</v>
      </c>
      <c r="P273" s="83">
        <f t="shared" si="66"/>
        <v>0</v>
      </c>
      <c r="Q273" s="83">
        <v>0</v>
      </c>
      <c r="R273" s="83">
        <v>0</v>
      </c>
      <c r="S273" s="83">
        <v>0</v>
      </c>
      <c r="T273" s="83">
        <f t="shared" si="67"/>
        <v>0</v>
      </c>
      <c r="U273" s="83">
        <f t="shared" si="68"/>
        <v>0</v>
      </c>
    </row>
    <row r="274" spans="1:21" ht="18.75" hidden="1" x14ac:dyDescent="0.25">
      <c r="A274" s="610"/>
      <c r="B274" s="609"/>
      <c r="C274" s="609"/>
      <c r="D274" s="609"/>
      <c r="E274" s="605" t="s">
        <v>21</v>
      </c>
      <c r="F274" s="609"/>
      <c r="G274" s="608"/>
      <c r="H274" s="607" t="s">
        <v>14</v>
      </c>
      <c r="I274" s="601"/>
      <c r="J274" s="601"/>
      <c r="K274" s="599"/>
      <c r="L274" s="606">
        <f ca="1">IFERROR(__xludf.DUMMYFUNCTION("IMPORTRANGE(""https://docs.google.com/spreadsheets/d/1-uDff_7J0KD5mKrp0Vvzr7lt3OU09vwQwhkpOPPYv2Y/edit?usp=sharing"",""งบพรบ!DH14"")"),0)</f>
        <v>0</v>
      </c>
      <c r="M274" s="486">
        <f ca="1">IFERROR(__xludf.DUMMYFUNCTION("IMPORTRANGE(""https://docs.google.com/spreadsheets/d/1-uDff_7J0KD5mKrp0Vvzr7lt3OU09vwQwhkpOPPYv2Y/edit?usp=sharing"",""งบพรบ!DK14"")"),0)</f>
        <v>0</v>
      </c>
      <c r="N274" s="486">
        <f ca="1">IFERROR(__xludf.DUMMYFUNCTION("IMPORTRANGE(""https://docs.google.com/spreadsheets/d/1-uDff_7J0KD5mKrp0Vvzr7lt3OU09vwQwhkpOPPYv2Y/edit?usp=sharing"",""งบพรบ!DM14"")"),0)</f>
        <v>0</v>
      </c>
      <c r="O274" s="486">
        <f t="shared" ca="1" si="65"/>
        <v>0</v>
      </c>
      <c r="P274" s="486">
        <f t="shared" ca="1" si="66"/>
        <v>0</v>
      </c>
      <c r="Q274" s="486">
        <v>0</v>
      </c>
      <c r="R274" s="486">
        <v>0</v>
      </c>
      <c r="S274" s="486">
        <v>0</v>
      </c>
      <c r="T274" s="486">
        <f t="shared" si="67"/>
        <v>0</v>
      </c>
      <c r="U274" s="486">
        <f t="shared" si="68"/>
        <v>0</v>
      </c>
    </row>
    <row r="275" spans="1:21" ht="19.5" x14ac:dyDescent="0.3">
      <c r="A275" s="485"/>
      <c r="B275" s="484"/>
      <c r="C275" s="605" t="s">
        <v>18</v>
      </c>
      <c r="D275" s="604" t="s">
        <v>38</v>
      </c>
      <c r="E275" s="603"/>
      <c r="F275" s="603"/>
      <c r="G275" s="602"/>
      <c r="H275" s="481"/>
      <c r="I275" s="601"/>
      <c r="J275" s="601"/>
      <c r="K275" s="599"/>
      <c r="L275" s="600"/>
      <c r="M275" s="599"/>
      <c r="N275" s="599"/>
      <c r="O275" s="599"/>
      <c r="P275" s="599"/>
      <c r="Q275" s="599"/>
      <c r="R275" s="599"/>
      <c r="S275" s="599"/>
      <c r="T275" s="599"/>
      <c r="U275" s="599"/>
    </row>
    <row r="276" spans="1:21" ht="18.75" x14ac:dyDescent="0.25">
      <c r="A276" s="598"/>
      <c r="B276" s="597"/>
      <c r="C276" s="597"/>
      <c r="D276" s="596" t="s">
        <v>115</v>
      </c>
      <c r="E276" s="595"/>
      <c r="F276" s="595"/>
      <c r="G276" s="594"/>
      <c r="H276" s="593" t="s">
        <v>35</v>
      </c>
      <c r="I276" s="592">
        <f ca="1">IFERROR(__xludf.DUMMYFUNCTION("IMPORTRANGE(""https://docs.google.com/spreadsheets/d/1eHaY18a8A9IcSdp1K8H6x8fbOy06t2VsZHhMHf-1x7Y/edit?usp=sharing"",""แผน!EC14"")"),22)</f>
        <v>22</v>
      </c>
      <c r="J276" s="444">
        <v>0</v>
      </c>
      <c r="K276" s="591">
        <f ca="1">IF(I276&gt;0,J276*100/I276,0)</f>
        <v>0</v>
      </c>
      <c r="L276" s="465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590" t="s">
        <v>116</v>
      </c>
      <c r="E277" s="252"/>
      <c r="F277" s="252"/>
      <c r="G277" s="253"/>
      <c r="H277" s="589" t="s">
        <v>35</v>
      </c>
      <c r="I277" s="433">
        <v>0</v>
      </c>
      <c r="J277" s="433">
        <v>0</v>
      </c>
      <c r="K277" s="588">
        <v>0</v>
      </c>
      <c r="L277" s="587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58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585">
        <f ca="1">I293</f>
        <v>50</v>
      </c>
      <c r="J280" s="585">
        <f>J293</f>
        <v>50</v>
      </c>
      <c r="K280" s="584">
        <f ca="1">IF(I280&gt;0,J280*100/I280,0)</f>
        <v>100</v>
      </c>
      <c r="L280" s="583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585">
        <f ca="1">I292</f>
        <v>500</v>
      </c>
      <c r="J281" s="585">
        <f>J292</f>
        <v>500</v>
      </c>
      <c r="K281" s="584">
        <f ca="1">IF(I281&gt;0,J281*100/I281,0)</f>
        <v>100</v>
      </c>
      <c r="L281" s="583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472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471">
        <f ca="1">L283+L284</f>
        <v>197520</v>
      </c>
      <c r="M282" s="470">
        <f ca="1">M283+M284</f>
        <v>197520</v>
      </c>
      <c r="N282" s="470">
        <f ca="1">N283+N284</f>
        <v>140036</v>
      </c>
      <c r="O282" s="470">
        <f t="shared" ref="O282:O290" ca="1" si="71">IF(L282&gt;0,N282*100/L282,0)</f>
        <v>70.897124341838804</v>
      </c>
      <c r="P282" s="470">
        <f t="shared" ref="P282:P290" ca="1" si="72">IF(M282&gt;0,N282*100/M282,0)</f>
        <v>70.897124341838804</v>
      </c>
      <c r="Q282" s="470">
        <f>Q283+Q284</f>
        <v>0</v>
      </c>
      <c r="R282" s="470">
        <f>R283+R284</f>
        <v>0</v>
      </c>
      <c r="S282" s="470">
        <f>S283+S284</f>
        <v>0</v>
      </c>
      <c r="T282" s="470">
        <f t="shared" ref="T282:T290" si="73">IF(Q282&gt;0,S282*100/Q282,0)</f>
        <v>0</v>
      </c>
      <c r="U282" s="470">
        <f t="shared" ref="U282:U290" si="74"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469">
        <f t="shared" ref="L283:N284" si="75">L286+L289</f>
        <v>0</v>
      </c>
      <c r="M283" s="83">
        <f t="shared" si="75"/>
        <v>0</v>
      </c>
      <c r="N283" s="83">
        <f t="shared" si="75"/>
        <v>0</v>
      </c>
      <c r="O283" s="83">
        <f t="shared" si="71"/>
        <v>0</v>
      </c>
      <c r="P283" s="83">
        <f t="shared" si="72"/>
        <v>0</v>
      </c>
      <c r="Q283" s="83">
        <f t="shared" ref="Q283:S284" si="76">Q286+Q289</f>
        <v>0</v>
      </c>
      <c r="R283" s="83">
        <f t="shared" si="76"/>
        <v>0</v>
      </c>
      <c r="S283" s="83">
        <f t="shared" si="76"/>
        <v>0</v>
      </c>
      <c r="T283" s="83">
        <f t="shared" si="73"/>
        <v>0</v>
      </c>
      <c r="U283" s="83">
        <f t="shared" si="74"/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468">
        <f t="shared" ca="1" si="75"/>
        <v>197520</v>
      </c>
      <c r="M284" s="224">
        <f t="shared" ca="1" si="75"/>
        <v>197520</v>
      </c>
      <c r="N284" s="224">
        <f t="shared" ca="1" si="75"/>
        <v>140036</v>
      </c>
      <c r="O284" s="224">
        <f t="shared" ca="1" si="71"/>
        <v>70.897124341838804</v>
      </c>
      <c r="P284" s="224">
        <f t="shared" ca="1" si="72"/>
        <v>70.897124341838804</v>
      </c>
      <c r="Q284" s="224">
        <f t="shared" si="76"/>
        <v>0</v>
      </c>
      <c r="R284" s="224">
        <f t="shared" si="76"/>
        <v>0</v>
      </c>
      <c r="S284" s="224">
        <f t="shared" si="76"/>
        <v>0</v>
      </c>
      <c r="T284" s="224">
        <f t="shared" si="73"/>
        <v>0</v>
      </c>
      <c r="U284" s="224">
        <f t="shared" si="74"/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468">
        <f ca="1">L286+L287</f>
        <v>197520</v>
      </c>
      <c r="M285" s="224">
        <f ca="1">M286+M287</f>
        <v>197520</v>
      </c>
      <c r="N285" s="224">
        <f ca="1">N286+N287</f>
        <v>140036</v>
      </c>
      <c r="O285" s="224">
        <f t="shared" ca="1" si="71"/>
        <v>70.897124341838804</v>
      </c>
      <c r="P285" s="224">
        <f t="shared" ca="1" si="72"/>
        <v>70.897124341838804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 t="shared" si="73"/>
        <v>0</v>
      </c>
      <c r="U285" s="224">
        <f t="shared" si="74"/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469">
        <v>0</v>
      </c>
      <c r="M286" s="83">
        <v>0</v>
      </c>
      <c r="N286" s="83">
        <v>0</v>
      </c>
      <c r="O286" s="83">
        <f t="shared" si="71"/>
        <v>0</v>
      </c>
      <c r="P286" s="83">
        <f t="shared" si="72"/>
        <v>0</v>
      </c>
      <c r="Q286" s="83">
        <v>0</v>
      </c>
      <c r="R286" s="83">
        <v>0</v>
      </c>
      <c r="S286" s="83">
        <v>0</v>
      </c>
      <c r="T286" s="83">
        <f t="shared" si="73"/>
        <v>0</v>
      </c>
      <c r="U286" s="83">
        <f t="shared" si="74"/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468">
        <f ca="1">IFERROR(__xludf.DUMMYFUNCTION("IMPORTRANGE(""https://docs.google.com/spreadsheets/d/1-uDff_7J0KD5mKrp0Vvzr7lt3OU09vwQwhkpOPPYv2Y/edit?usp=sharing"",""งบพรบ!DO14"")"),197520)</f>
        <v>197520</v>
      </c>
      <c r="M287" s="224">
        <f ca="1">IFERROR(__xludf.DUMMYFUNCTION("IMPORTRANGE(""https://docs.google.com/spreadsheets/d/1-uDff_7J0KD5mKrp0Vvzr7lt3OU09vwQwhkpOPPYv2Y/edit?usp=sharing"",""งบพรบ!DT14"")"),197520)</f>
        <v>197520</v>
      </c>
      <c r="N287" s="224">
        <f ca="1">IFERROR(__xludf.DUMMYFUNCTION("IMPORTRANGE(""https://docs.google.com/spreadsheets/d/1-uDff_7J0KD5mKrp0Vvzr7lt3OU09vwQwhkpOPPYv2Y/edit?usp=sharing"",""งบพรบ!DV14"")"),140036)</f>
        <v>140036</v>
      </c>
      <c r="O287" s="224">
        <f t="shared" ca="1" si="71"/>
        <v>70.897124341838804</v>
      </c>
      <c r="P287" s="224">
        <f t="shared" ca="1" si="72"/>
        <v>70.897124341838804</v>
      </c>
      <c r="Q287" s="224">
        <v>0</v>
      </c>
      <c r="R287" s="224">
        <v>0</v>
      </c>
      <c r="S287" s="224">
        <v>0</v>
      </c>
      <c r="T287" s="83">
        <f t="shared" si="73"/>
        <v>0</v>
      </c>
      <c r="U287" s="83">
        <f t="shared" si="74"/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468">
        <f ca="1">L289+L290</f>
        <v>0</v>
      </c>
      <c r="M288" s="224">
        <f ca="1">M289+M290</f>
        <v>0</v>
      </c>
      <c r="N288" s="224">
        <f ca="1">N289+N290</f>
        <v>0</v>
      </c>
      <c r="O288" s="224">
        <f t="shared" ca="1" si="71"/>
        <v>0</v>
      </c>
      <c r="P288" s="224">
        <f t="shared" ca="1" si="72"/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 t="shared" si="73"/>
        <v>0</v>
      </c>
      <c r="U288" s="224">
        <f t="shared" si="74"/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469">
        <v>0</v>
      </c>
      <c r="M289" s="83">
        <v>0</v>
      </c>
      <c r="N289" s="83">
        <v>0</v>
      </c>
      <c r="O289" s="83">
        <f t="shared" si="71"/>
        <v>0</v>
      </c>
      <c r="P289" s="83">
        <f t="shared" si="72"/>
        <v>0</v>
      </c>
      <c r="Q289" s="83">
        <v>0</v>
      </c>
      <c r="R289" s="83">
        <v>0</v>
      </c>
      <c r="S289" s="83">
        <v>0</v>
      </c>
      <c r="T289" s="83">
        <f t="shared" si="73"/>
        <v>0</v>
      </c>
      <c r="U289" s="83">
        <f t="shared" si="74"/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468">
        <f ca="1">IFERROR(__xludf.DUMMYFUNCTION("IMPORTRANGE(""https://docs.google.com/spreadsheets/d/1-uDff_7J0KD5mKrp0Vvzr7lt3OU09vwQwhkpOPPYv2Y/edit?usp=sharing"",""งบพรบ!DR14"")"),0)</f>
        <v>0</v>
      </c>
      <c r="M290" s="224">
        <f ca="1">IFERROR(__xludf.DUMMYFUNCTION("IMPORTRANGE(""https://docs.google.com/spreadsheets/d/1-uDff_7J0KD5mKrp0Vvzr7lt3OU09vwQwhkpOPPYv2Y/edit?usp=sharing"",""งบพรบ!DU14"")"),0)</f>
        <v>0</v>
      </c>
      <c r="N290" s="224">
        <f ca="1">IFERROR(__xludf.DUMMYFUNCTION("IMPORTRANGE(""https://docs.google.com/spreadsheets/d/1-uDff_7J0KD5mKrp0Vvzr7lt3OU09vwQwhkpOPPYv2Y/edit?usp=sharing"",""งบพรบ!DW14"")"),0)</f>
        <v>0</v>
      </c>
      <c r="O290" s="224">
        <f t="shared" ca="1" si="71"/>
        <v>0</v>
      </c>
      <c r="P290" s="224">
        <f t="shared" ca="1" si="72"/>
        <v>0</v>
      </c>
      <c r="Q290" s="224">
        <v>0</v>
      </c>
      <c r="R290" s="224">
        <v>0</v>
      </c>
      <c r="S290" s="224">
        <v>0</v>
      </c>
      <c r="T290" s="224">
        <f t="shared" si="73"/>
        <v>0</v>
      </c>
      <c r="U290" s="224">
        <f t="shared" si="74"/>
        <v>0</v>
      </c>
    </row>
    <row r="291" spans="1:21" ht="19.5" x14ac:dyDescent="0.3">
      <c r="A291" s="138"/>
      <c r="B291" s="139"/>
      <c r="C291" s="129" t="s">
        <v>18</v>
      </c>
      <c r="D291" s="498" t="s">
        <v>38</v>
      </c>
      <c r="E291" s="141"/>
      <c r="F291" s="141"/>
      <c r="G291" s="142"/>
      <c r="H291" s="143"/>
      <c r="I291" s="135"/>
      <c r="J291" s="135"/>
      <c r="K291" s="136"/>
      <c r="L291" s="4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IFERROR(__xludf.DUMMYFUNCTION("IMPORTRANGE(""https://docs.google.com/spreadsheets/d/1eHaY18a8A9IcSdp1K8H6x8fbOy06t2VsZHhMHf-1x7Y/edit?usp=sharing"",""แผน!EE14"")"),500)</f>
        <v>500</v>
      </c>
      <c r="J292" s="466">
        <v>500</v>
      </c>
      <c r="K292" s="497">
        <f ca="1">IF(I292&gt;0,J292*100/I292,0)</f>
        <v>100</v>
      </c>
      <c r="L292" s="4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IFERROR(__xludf.DUMMYFUNCTION("IMPORTRANGE(""https://docs.google.com/spreadsheets/d/1eHaY18a8A9IcSdp1K8H6x8fbOy06t2VsZHhMHf-1x7Y/edit?usp=sharing"",""แผน!ED14"")"),50)</f>
        <v>50</v>
      </c>
      <c r="J293" s="328">
        <f>J296</f>
        <v>50</v>
      </c>
      <c r="K293" s="582">
        <f ca="1">IF(I293&gt;0,J293*100/I293,0)</f>
        <v>100</v>
      </c>
      <c r="L293" s="4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4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581">
        <f ca="1">IFERROR(__xludf.DUMMYFUNCTION("IMPORTRANGE(""https://docs.google.com/spreadsheets/d/1eHaY18a8A9IcSdp1K8H6x8fbOy06t2VsZHhMHf-1x7Y/edit?usp=sharing"",""แผน!ED14"")"),50)</f>
        <v>50</v>
      </c>
      <c r="J295" s="466">
        <v>50</v>
      </c>
      <c r="K295" s="497">
        <f ca="1">IF(I295&gt;0,J295*100/I295,0)</f>
        <v>100</v>
      </c>
      <c r="L295" s="4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581">
        <f ca="1">IFERROR(__xludf.DUMMYFUNCTION("IMPORTRANGE(""https://docs.google.com/spreadsheets/d/1eHaY18a8A9IcSdp1K8H6x8fbOy06t2VsZHhMHf-1x7Y/edit?usp=sharing"",""แผน!ED14"")"),50)</f>
        <v>50</v>
      </c>
      <c r="J296" s="466">
        <v>50</v>
      </c>
      <c r="K296" s="497">
        <f ca="1">IF(I296&gt;0,J296*100/I296,0)</f>
        <v>100</v>
      </c>
      <c r="L296" s="4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571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hidden="1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571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580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57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541">
        <f ca="1">I314</f>
        <v>20</v>
      </c>
      <c r="J302" s="541">
        <f>J314</f>
        <v>20</v>
      </c>
      <c r="K302" s="540">
        <f ca="1">IF(I302&gt;0,J302*100/I302,0)</f>
        <v>100</v>
      </c>
      <c r="L302" s="539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472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471">
        <f ca="1">L304+L305</f>
        <v>184600</v>
      </c>
      <c r="M303" s="470">
        <f ca="1">M304+M305</f>
        <v>184600</v>
      </c>
      <c r="N303" s="470">
        <f ca="1">N304+N305</f>
        <v>155400</v>
      </c>
      <c r="O303" s="470">
        <f t="shared" ref="O303:O311" ca="1" si="77">IF(L303&gt;0,N303*100/L303,0)</f>
        <v>84.182015167930658</v>
      </c>
      <c r="P303" s="470">
        <f t="shared" ref="P303:P311" ca="1" si="78">IF(M303&gt;0,N303*100/M303,0)</f>
        <v>84.182015167930658</v>
      </c>
      <c r="Q303" s="470">
        <f ca="1">Q304+Q305</f>
        <v>144609.24</v>
      </c>
      <c r="R303" s="470">
        <f ca="1">R304+R305</f>
        <v>144609</v>
      </c>
      <c r="S303" s="470">
        <f ca="1">S304+S305</f>
        <v>0</v>
      </c>
      <c r="T303" s="470">
        <f t="shared" ref="T303:T311" ca="1" si="79">IF(Q303&gt;0,S303*100/Q303,0)</f>
        <v>0</v>
      </c>
      <c r="U303" s="470">
        <f t="shared" ref="U303:U311" ca="1" si="80">IF(R303&gt;0,S303*100/R303,0)</f>
        <v>0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469">
        <f t="shared" ref="L304:N305" si="81">L307+L310</f>
        <v>0</v>
      </c>
      <c r="M304" s="83">
        <f t="shared" si="81"/>
        <v>0</v>
      </c>
      <c r="N304" s="83">
        <f t="shared" si="81"/>
        <v>0</v>
      </c>
      <c r="O304" s="83">
        <f t="shared" si="77"/>
        <v>0</v>
      </c>
      <c r="P304" s="83">
        <f t="shared" si="78"/>
        <v>0</v>
      </c>
      <c r="Q304" s="83">
        <f t="shared" ref="Q304:S305" si="82">Q307+Q310</f>
        <v>0</v>
      </c>
      <c r="R304" s="83">
        <f t="shared" si="82"/>
        <v>0</v>
      </c>
      <c r="S304" s="83">
        <f t="shared" si="82"/>
        <v>0</v>
      </c>
      <c r="T304" s="83">
        <f t="shared" si="79"/>
        <v>0</v>
      </c>
      <c r="U304" s="83">
        <f t="shared" si="80"/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468">
        <f t="shared" ca="1" si="81"/>
        <v>184600</v>
      </c>
      <c r="M305" s="224">
        <f t="shared" ca="1" si="81"/>
        <v>184600</v>
      </c>
      <c r="N305" s="224">
        <f t="shared" ca="1" si="81"/>
        <v>155400</v>
      </c>
      <c r="O305" s="224">
        <f t="shared" ca="1" si="77"/>
        <v>84.182015167930658</v>
      </c>
      <c r="P305" s="224">
        <f t="shared" ca="1" si="78"/>
        <v>84.182015167930658</v>
      </c>
      <c r="Q305" s="224">
        <f t="shared" ca="1" si="82"/>
        <v>144609.24</v>
      </c>
      <c r="R305" s="224">
        <f t="shared" ca="1" si="82"/>
        <v>144609</v>
      </c>
      <c r="S305" s="224">
        <f t="shared" ca="1" si="82"/>
        <v>0</v>
      </c>
      <c r="T305" s="224">
        <f t="shared" ca="1" si="79"/>
        <v>0</v>
      </c>
      <c r="U305" s="224">
        <f t="shared" ca="1" si="80"/>
        <v>0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468">
        <f ca="1">L307+L308</f>
        <v>184600</v>
      </c>
      <c r="M306" s="224">
        <f ca="1">M307+M308</f>
        <v>184600</v>
      </c>
      <c r="N306" s="224">
        <f ca="1">N307+N308</f>
        <v>155400</v>
      </c>
      <c r="O306" s="224">
        <f t="shared" ca="1" si="77"/>
        <v>84.182015167930658</v>
      </c>
      <c r="P306" s="224">
        <f t="shared" ca="1" si="78"/>
        <v>84.182015167930658</v>
      </c>
      <c r="Q306" s="224">
        <f ca="1">Q307+Q308</f>
        <v>144609.24</v>
      </c>
      <c r="R306" s="224">
        <f ca="1">R307+R308</f>
        <v>144609</v>
      </c>
      <c r="S306" s="224">
        <f ca="1">S307+S308</f>
        <v>0</v>
      </c>
      <c r="T306" s="224">
        <f t="shared" ca="1" si="79"/>
        <v>0</v>
      </c>
      <c r="U306" s="224">
        <f t="shared" ca="1" si="80"/>
        <v>0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469">
        <v>0</v>
      </c>
      <c r="M307" s="83">
        <v>0</v>
      </c>
      <c r="N307" s="83">
        <v>0</v>
      </c>
      <c r="O307" s="83">
        <f t="shared" si="77"/>
        <v>0</v>
      </c>
      <c r="P307" s="83">
        <f t="shared" si="78"/>
        <v>0</v>
      </c>
      <c r="Q307" s="83">
        <v>0</v>
      </c>
      <c r="R307" s="83">
        <v>0</v>
      </c>
      <c r="S307" s="83">
        <v>0</v>
      </c>
      <c r="T307" s="83">
        <f t="shared" si="79"/>
        <v>0</v>
      </c>
      <c r="U307" s="83">
        <f t="shared" si="80"/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468">
        <f ca="1">IFERROR(__xludf.DUMMYFUNCTION("IMPORTRANGE(""https://docs.google.com/spreadsheets/d/1-uDff_7J0KD5mKrp0Vvzr7lt3OU09vwQwhkpOPPYv2Y/edit?usp=sharing"",""งบพรบ!DY14"")"),184600)</f>
        <v>184600</v>
      </c>
      <c r="M308" s="224">
        <f ca="1">IFERROR(__xludf.DUMMYFUNCTION("IMPORTRANGE(""https://docs.google.com/spreadsheets/d/1-uDff_7J0KD5mKrp0Vvzr7lt3OU09vwQwhkpOPPYv2Y/edit?usp=sharing"",""งบพรบ!ED14"")"),184600)</f>
        <v>184600</v>
      </c>
      <c r="N308" s="224">
        <f ca="1">IFERROR(__xludf.DUMMYFUNCTION("IMPORTRANGE(""https://docs.google.com/spreadsheets/d/1-uDff_7J0KD5mKrp0Vvzr7lt3OU09vwQwhkpOPPYv2Y/edit?usp=sharing"",""งบพรบ!EF14"")"),155400)</f>
        <v>155400</v>
      </c>
      <c r="O308" s="224">
        <f t="shared" ca="1" si="77"/>
        <v>84.182015167930658</v>
      </c>
      <c r="P308" s="224">
        <f t="shared" ca="1" si="78"/>
        <v>84.182015167930658</v>
      </c>
      <c r="Q308" s="224">
        <f ca="1">IFERROR(__xludf.DUMMYFUNCTION("IMPORTRANGE(""https://docs.google.com/spreadsheets/d/1ItG2mGa2ceCfYo0BwxsXqNm01IGEUdYcSSLTEv9YCik/edit?usp=sharing"",""เบิกจ่ายกองทุน!AP14"")"),144609.24)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IFERROR(__xludf.DUMMYFUNCTION("IMPORTRANGE(""https://docs.google.com/spreadsheets/d/1ItG2mGa2ceCfYo0BwxsXqNm01IGEUdYcSSLTEv9YCik/edit?usp=sharing"",""เบิกจ่ายกองทุน!AQ14"")"),144609)</f>
        <v>144609</v>
      </c>
      <c r="S308" s="224">
        <f ca="1">IFERROR(__xludf.DUMMYFUNCTION("IMPORTRANGE(""https://docs.google.com/spreadsheets/d/1ItG2mGa2ceCfYo0BwxsXqNm01IGEUdYcSSLTEv9YCik/edit?usp=sharing"",""เบิกจ่ายกองทุน!AR14"")"),0)</f>
        <v>0</v>
      </c>
      <c r="T308" s="224">
        <f t="shared" ca="1" si="79"/>
        <v>0</v>
      </c>
      <c r="U308" s="224">
        <f t="shared" ca="1" si="80"/>
        <v>0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468">
        <f ca="1">L310+L311</f>
        <v>0</v>
      </c>
      <c r="M309" s="224">
        <f ca="1">M310+M311</f>
        <v>0</v>
      </c>
      <c r="N309" s="224">
        <f ca="1">N310+N311</f>
        <v>0</v>
      </c>
      <c r="O309" s="224">
        <f t="shared" ca="1" si="77"/>
        <v>0</v>
      </c>
      <c r="P309" s="224">
        <f t="shared" ca="1" si="78"/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 t="shared" si="79"/>
        <v>0</v>
      </c>
      <c r="U309" s="224">
        <f t="shared" si="80"/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469">
        <v>0</v>
      </c>
      <c r="M310" s="83">
        <v>0</v>
      </c>
      <c r="N310" s="83">
        <v>0</v>
      </c>
      <c r="O310" s="83">
        <f t="shared" si="77"/>
        <v>0</v>
      </c>
      <c r="P310" s="83">
        <f t="shared" si="78"/>
        <v>0</v>
      </c>
      <c r="Q310" s="83">
        <v>0</v>
      </c>
      <c r="R310" s="83">
        <v>0</v>
      </c>
      <c r="S310" s="83">
        <v>0</v>
      </c>
      <c r="T310" s="83">
        <f t="shared" si="79"/>
        <v>0</v>
      </c>
      <c r="U310" s="83">
        <f t="shared" si="80"/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468">
        <f ca="1">IFERROR(__xludf.DUMMYFUNCTION("IMPORTRANGE(""https://docs.google.com/spreadsheets/d/1-uDff_7J0KD5mKrp0Vvzr7lt3OU09vwQwhkpOPPYv2Y/edit?usp=sharing"",""งบพรบ!EB14"")"),0)</f>
        <v>0</v>
      </c>
      <c r="M311" s="224">
        <f ca="1">IFERROR(__xludf.DUMMYFUNCTION("IMPORTRANGE(""https://docs.google.com/spreadsheets/d/1-uDff_7J0KD5mKrp0Vvzr7lt3OU09vwQwhkpOPPYv2Y/edit?usp=sharing"",""งบพรบ!EE14"")"),0)</f>
        <v>0</v>
      </c>
      <c r="N311" s="224">
        <f ca="1">IFERROR(__xludf.DUMMYFUNCTION("IMPORTRANGE(""https://docs.google.com/spreadsheets/d/1-uDff_7J0KD5mKrp0Vvzr7lt3OU09vwQwhkpOPPYv2Y/edit?usp=sharing"",""งบพรบ!EG14"")"),0)</f>
        <v>0</v>
      </c>
      <c r="O311" s="224">
        <f t="shared" ca="1" si="77"/>
        <v>0</v>
      </c>
      <c r="P311" s="224">
        <f t="shared" ca="1" si="78"/>
        <v>0</v>
      </c>
      <c r="Q311" s="224">
        <v>0</v>
      </c>
      <c r="R311" s="224">
        <v>0</v>
      </c>
      <c r="S311" s="224">
        <v>0</v>
      </c>
      <c r="T311" s="224">
        <f t="shared" si="79"/>
        <v>0</v>
      </c>
      <c r="U311" s="224">
        <f t="shared" si="80"/>
        <v>0</v>
      </c>
    </row>
    <row r="312" spans="1:21" ht="19.5" x14ac:dyDescent="0.3">
      <c r="A312" s="138"/>
      <c r="B312" s="139"/>
      <c r="C312" s="129" t="s">
        <v>18</v>
      </c>
      <c r="D312" s="498" t="s">
        <v>38</v>
      </c>
      <c r="E312" s="141"/>
      <c r="F312" s="141"/>
      <c r="G312" s="142"/>
      <c r="H312" s="143"/>
      <c r="I312" s="44"/>
      <c r="J312" s="44"/>
      <c r="K312" s="45"/>
      <c r="L312" s="465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579"/>
      <c r="E313" s="18"/>
      <c r="F313" s="18"/>
      <c r="G313" s="19"/>
      <c r="H313" s="19"/>
      <c r="I313" s="20"/>
      <c r="J313" s="577"/>
      <c r="K313" s="21"/>
      <c r="L313" s="571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IFERROR(__xludf.DUMMYFUNCTION("IMPORTRANGE(""https://docs.google.com/spreadsheets/d/1eHaY18a8A9IcSdp1K8H6x8fbOy06t2VsZHhMHf-1x7Y/edit?usp=sharing"",""แผน!EF14"")"),20)</f>
        <v>20</v>
      </c>
      <c r="J314" s="466">
        <v>20</v>
      </c>
      <c r="K314" s="224">
        <f ca="1">IF(I314&gt;0,J314*100/I314,0)</f>
        <v>100</v>
      </c>
      <c r="L314" s="465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579"/>
      <c r="E315" s="18"/>
      <c r="F315" s="18"/>
      <c r="G315" s="19"/>
      <c r="H315" s="578"/>
      <c r="I315" s="577"/>
      <c r="J315" s="577"/>
      <c r="K315" s="576"/>
      <c r="L315" s="571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579"/>
      <c r="E316" s="18"/>
      <c r="F316" s="18"/>
      <c r="G316" s="19"/>
      <c r="H316" s="578"/>
      <c r="I316" s="577"/>
      <c r="J316" s="577"/>
      <c r="K316" s="576"/>
      <c r="L316" s="571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575"/>
      <c r="E317" s="18"/>
      <c r="F317" s="18"/>
      <c r="G317" s="19"/>
      <c r="H317" s="574"/>
      <c r="I317" s="573"/>
      <c r="J317" s="573"/>
      <c r="K317" s="572"/>
      <c r="L317" s="571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57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hidden="1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541">
        <f ca="1">I330</f>
        <v>0</v>
      </c>
      <c r="J319" s="541">
        <f>J330</f>
        <v>0</v>
      </c>
      <c r="K319" s="540">
        <f ca="1">IF(I319&gt;0,J319*100/I319,0)</f>
        <v>0</v>
      </c>
      <c r="L319" s="539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hidden="1" x14ac:dyDescent="0.3">
      <c r="A320" s="128"/>
      <c r="B320" s="40"/>
      <c r="C320" s="129" t="s">
        <v>18</v>
      </c>
      <c r="D320" s="472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471">
        <f ca="1">L321+L322</f>
        <v>0</v>
      </c>
      <c r="M320" s="470">
        <f ca="1">M321+M322</f>
        <v>0</v>
      </c>
      <c r="N320" s="470">
        <f ca="1">N321+N322</f>
        <v>0</v>
      </c>
      <c r="O320" s="470">
        <f t="shared" ref="O320:O328" ca="1" si="83">IF(L320&gt;0,N320*100/L320,0)</f>
        <v>0</v>
      </c>
      <c r="P320" s="470">
        <f t="shared" ref="P320:P328" ca="1" si="84">IF(M320&gt;0,N320*100/M320,0)</f>
        <v>0</v>
      </c>
      <c r="Q320" s="470">
        <f>Q321+Q322</f>
        <v>0</v>
      </c>
      <c r="R320" s="470">
        <f>R321+R322</f>
        <v>0</v>
      </c>
      <c r="S320" s="470">
        <f>S321+S322</f>
        <v>0</v>
      </c>
      <c r="T320" s="470">
        <f t="shared" ref="T320:T328" si="85">IF(Q320&gt;0,S320*100/Q320,0)</f>
        <v>0</v>
      </c>
      <c r="U320" s="470">
        <f t="shared" ref="U320:U328" si="86"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469">
        <f t="shared" ref="L321:N322" si="87">L324+L327</f>
        <v>0</v>
      </c>
      <c r="M321" s="83">
        <f t="shared" si="87"/>
        <v>0</v>
      </c>
      <c r="N321" s="83">
        <f t="shared" si="87"/>
        <v>0</v>
      </c>
      <c r="O321" s="83">
        <f t="shared" si="83"/>
        <v>0</v>
      </c>
      <c r="P321" s="83">
        <f t="shared" si="84"/>
        <v>0</v>
      </c>
      <c r="Q321" s="83">
        <f t="shared" ref="Q321:S322" si="88">Q324+Q327</f>
        <v>0</v>
      </c>
      <c r="R321" s="83">
        <f t="shared" si="88"/>
        <v>0</v>
      </c>
      <c r="S321" s="83">
        <f t="shared" si="88"/>
        <v>0</v>
      </c>
      <c r="T321" s="83">
        <f t="shared" si="85"/>
        <v>0</v>
      </c>
      <c r="U321" s="83">
        <f t="shared" si="86"/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468">
        <f t="shared" ca="1" si="87"/>
        <v>0</v>
      </c>
      <c r="M322" s="224">
        <f t="shared" ca="1" si="87"/>
        <v>0</v>
      </c>
      <c r="N322" s="224">
        <f t="shared" ca="1" si="87"/>
        <v>0</v>
      </c>
      <c r="O322" s="224">
        <f t="shared" ca="1" si="83"/>
        <v>0</v>
      </c>
      <c r="P322" s="224">
        <f t="shared" ca="1" si="84"/>
        <v>0</v>
      </c>
      <c r="Q322" s="224">
        <f t="shared" si="88"/>
        <v>0</v>
      </c>
      <c r="R322" s="224">
        <f t="shared" si="88"/>
        <v>0</v>
      </c>
      <c r="S322" s="224">
        <f t="shared" si="88"/>
        <v>0</v>
      </c>
      <c r="T322" s="224">
        <f t="shared" si="85"/>
        <v>0</v>
      </c>
      <c r="U322" s="224">
        <f t="shared" si="86"/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468">
        <f ca="1">L324+L325</f>
        <v>0</v>
      </c>
      <c r="M323" s="224">
        <f ca="1">M324+M325</f>
        <v>0</v>
      </c>
      <c r="N323" s="224">
        <f ca="1">N324+N325</f>
        <v>0</v>
      </c>
      <c r="O323" s="224">
        <f t="shared" ca="1" si="83"/>
        <v>0</v>
      </c>
      <c r="P323" s="224">
        <f t="shared" ca="1" si="84"/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 t="shared" si="85"/>
        <v>0</v>
      </c>
      <c r="U323" s="224">
        <f t="shared" si="86"/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469">
        <v>0</v>
      </c>
      <c r="M324" s="83">
        <v>0</v>
      </c>
      <c r="N324" s="83">
        <v>0</v>
      </c>
      <c r="O324" s="83">
        <f t="shared" si="83"/>
        <v>0</v>
      </c>
      <c r="P324" s="83">
        <f t="shared" si="84"/>
        <v>0</v>
      </c>
      <c r="Q324" s="83">
        <v>0</v>
      </c>
      <c r="R324" s="83">
        <v>0</v>
      </c>
      <c r="S324" s="83">
        <v>0</v>
      </c>
      <c r="T324" s="83">
        <f t="shared" si="85"/>
        <v>0</v>
      </c>
      <c r="U324" s="83">
        <f t="shared" si="86"/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468">
        <f ca="1">IFERROR(__xludf.DUMMYFUNCTION("IMPORTRANGE(""https://docs.google.com/spreadsheets/d/1-uDff_7J0KD5mKrp0Vvzr7lt3OU09vwQwhkpOPPYv2Y/edit?usp=sharing"",""งบพรบ!EI14"")"),0)</f>
        <v>0</v>
      </c>
      <c r="M325" s="224">
        <f ca="1">IFERROR(__xludf.DUMMYFUNCTION("IMPORTRANGE(""https://docs.google.com/spreadsheets/d/1-uDff_7J0KD5mKrp0Vvzr7lt3OU09vwQwhkpOPPYv2Y/edit?usp=sharing"",""งบพรบ!EN14"")"),0)</f>
        <v>0</v>
      </c>
      <c r="N325" s="224">
        <f ca="1">IFERROR(__xludf.DUMMYFUNCTION("IMPORTRANGE(""https://docs.google.com/spreadsheets/d/1-uDff_7J0KD5mKrp0Vvzr7lt3OU09vwQwhkpOPPYv2Y/edit?usp=sharing"",""งบพรบ!EP14"")"),0)</f>
        <v>0</v>
      </c>
      <c r="O325" s="224">
        <f t="shared" ca="1" si="83"/>
        <v>0</v>
      </c>
      <c r="P325" s="224">
        <f t="shared" ca="1" si="84"/>
        <v>0</v>
      </c>
      <c r="Q325" s="224">
        <v>0</v>
      </c>
      <c r="R325" s="224">
        <v>0</v>
      </c>
      <c r="S325" s="224">
        <v>0</v>
      </c>
      <c r="T325" s="224">
        <f t="shared" si="85"/>
        <v>0</v>
      </c>
      <c r="U325" s="224">
        <f t="shared" si="86"/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468">
        <f ca="1">L327+L328</f>
        <v>0</v>
      </c>
      <c r="M326" s="224">
        <f ca="1">M327+M328</f>
        <v>0</v>
      </c>
      <c r="N326" s="224">
        <f ca="1">N327+N328</f>
        <v>0</v>
      </c>
      <c r="O326" s="224">
        <f t="shared" ca="1" si="83"/>
        <v>0</v>
      </c>
      <c r="P326" s="224">
        <f t="shared" ca="1" si="84"/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 t="shared" si="85"/>
        <v>0</v>
      </c>
      <c r="U326" s="224">
        <f t="shared" si="86"/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469">
        <v>0</v>
      </c>
      <c r="M327" s="83">
        <v>0</v>
      </c>
      <c r="N327" s="83">
        <v>0</v>
      </c>
      <c r="O327" s="83">
        <f t="shared" si="83"/>
        <v>0</v>
      </c>
      <c r="P327" s="83">
        <f t="shared" si="84"/>
        <v>0</v>
      </c>
      <c r="Q327" s="83">
        <v>0</v>
      </c>
      <c r="R327" s="83">
        <v>0</v>
      </c>
      <c r="S327" s="83">
        <v>0</v>
      </c>
      <c r="T327" s="83">
        <f t="shared" si="85"/>
        <v>0</v>
      </c>
      <c r="U327" s="83">
        <f t="shared" si="86"/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468">
        <f ca="1">IFERROR(__xludf.DUMMYFUNCTION("IMPORTRANGE(""https://docs.google.com/spreadsheets/d/1-uDff_7J0KD5mKrp0Vvzr7lt3OU09vwQwhkpOPPYv2Y/edit?usp=sharing"",""งบพรบ!EL14"")"),0)</f>
        <v>0</v>
      </c>
      <c r="M328" s="224">
        <f ca="1">IFERROR(__xludf.DUMMYFUNCTION("IMPORTRANGE(""https://docs.google.com/spreadsheets/d/1-uDff_7J0KD5mKrp0Vvzr7lt3OU09vwQwhkpOPPYv2Y/edit?usp=sharing"",""งบพรบ!EO14"")"),0)</f>
        <v>0</v>
      </c>
      <c r="N328" s="224">
        <f ca="1">IFERROR(__xludf.DUMMYFUNCTION("IMPORTRANGE(""https://docs.google.com/spreadsheets/d/1-uDff_7J0KD5mKrp0Vvzr7lt3OU09vwQwhkpOPPYv2Y/edit?usp=sharing"",""งบพรบ!EQ14"")"),0)</f>
        <v>0</v>
      </c>
      <c r="O328" s="224">
        <f t="shared" ca="1" si="83"/>
        <v>0</v>
      </c>
      <c r="P328" s="224">
        <f t="shared" ca="1" si="84"/>
        <v>0</v>
      </c>
      <c r="Q328" s="224">
        <v>0</v>
      </c>
      <c r="R328" s="224">
        <v>0</v>
      </c>
      <c r="S328" s="224">
        <v>0</v>
      </c>
      <c r="T328" s="224">
        <f t="shared" si="85"/>
        <v>0</v>
      </c>
      <c r="U328" s="224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8" t="s">
        <v>38</v>
      </c>
      <c r="E329" s="141"/>
      <c r="F329" s="141"/>
      <c r="G329" s="142"/>
      <c r="H329" s="143"/>
      <c r="I329" s="135"/>
      <c r="J329" s="44"/>
      <c r="K329" s="45"/>
      <c r="L329" s="465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IFERROR(__xludf.DUMMYFUNCTION("IMPORTRANGE(""https://docs.google.com/spreadsheets/d/1eHaY18a8A9IcSdp1K8H6x8fbOy06t2VsZHhMHf-1x7Y/edit?usp=sharing"",""แผน!EJ14"")"),0)</f>
        <v>0</v>
      </c>
      <c r="J330" s="466">
        <v>0</v>
      </c>
      <c r="K330" s="224">
        <f ca="1">IF(I330&gt;0,J330*100/I330,0)</f>
        <v>0</v>
      </c>
      <c r="L330" s="465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57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569">
        <f ca="1">I344</f>
        <v>5000</v>
      </c>
      <c r="J332" s="568">
        <f ca="1">J344+J347+J348+J349+J353</f>
        <v>5485</v>
      </c>
      <c r="K332" s="567">
        <f ca="1">IF(I332&gt;0,J332*100/I332,0)</f>
        <v>109.7</v>
      </c>
      <c r="L332" s="539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472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471">
        <f ca="1">L334+L335</f>
        <v>116000</v>
      </c>
      <c r="M333" s="470">
        <f ca="1">M334+M335</f>
        <v>121000</v>
      </c>
      <c r="N333" s="470">
        <f ca="1">N334+N335</f>
        <v>85430</v>
      </c>
      <c r="O333" s="470">
        <f t="shared" ref="O333:O341" ca="1" si="89">IF(L333&gt;0,N333*100/L333,0)</f>
        <v>73.646551724137936</v>
      </c>
      <c r="P333" s="470">
        <f t="shared" ref="P333:P341" ca="1" si="90">IF(M333&gt;0,N333*100/M333,0)</f>
        <v>70.603305785123965</v>
      </c>
      <c r="Q333" s="470">
        <f>Q334+Q335</f>
        <v>0</v>
      </c>
      <c r="R333" s="470">
        <f>R334+R335</f>
        <v>0</v>
      </c>
      <c r="S333" s="470">
        <f>S334+S335</f>
        <v>0</v>
      </c>
      <c r="T333" s="470">
        <f t="shared" ref="T333:T341" si="91">IF(Q333&gt;0,S333*100/Q333,0)</f>
        <v>0</v>
      </c>
      <c r="U333" s="470">
        <f t="shared" ref="U333:U341" si="92"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469">
        <f t="shared" ref="L334:N335" si="93">L337+L340</f>
        <v>0</v>
      </c>
      <c r="M334" s="83">
        <f t="shared" si="93"/>
        <v>0</v>
      </c>
      <c r="N334" s="83">
        <f t="shared" si="93"/>
        <v>0</v>
      </c>
      <c r="O334" s="83">
        <f t="shared" si="89"/>
        <v>0</v>
      </c>
      <c r="P334" s="83">
        <f t="shared" si="90"/>
        <v>0</v>
      </c>
      <c r="Q334" s="83">
        <f t="shared" ref="Q334:S335" si="94">Q337+Q340</f>
        <v>0</v>
      </c>
      <c r="R334" s="83">
        <f t="shared" si="94"/>
        <v>0</v>
      </c>
      <c r="S334" s="83">
        <f t="shared" si="94"/>
        <v>0</v>
      </c>
      <c r="T334" s="83">
        <f t="shared" si="91"/>
        <v>0</v>
      </c>
      <c r="U334" s="83">
        <f t="shared" si="92"/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468">
        <f t="shared" ca="1" si="93"/>
        <v>116000</v>
      </c>
      <c r="M335" s="224">
        <f t="shared" ca="1" si="93"/>
        <v>121000</v>
      </c>
      <c r="N335" s="224">
        <f t="shared" ca="1" si="93"/>
        <v>85430</v>
      </c>
      <c r="O335" s="224">
        <f t="shared" ca="1" si="89"/>
        <v>73.646551724137936</v>
      </c>
      <c r="P335" s="224">
        <f t="shared" ca="1" si="90"/>
        <v>70.603305785123965</v>
      </c>
      <c r="Q335" s="224">
        <f t="shared" si="94"/>
        <v>0</v>
      </c>
      <c r="R335" s="224">
        <f t="shared" si="94"/>
        <v>0</v>
      </c>
      <c r="S335" s="224">
        <f t="shared" si="94"/>
        <v>0</v>
      </c>
      <c r="T335" s="224">
        <f t="shared" si="91"/>
        <v>0</v>
      </c>
      <c r="U335" s="224">
        <f t="shared" si="92"/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468">
        <f ca="1">L337+L338</f>
        <v>116000</v>
      </c>
      <c r="M336" s="224">
        <f ca="1">M337+M338</f>
        <v>121000</v>
      </c>
      <c r="N336" s="224">
        <f ca="1">N337+N338</f>
        <v>85430</v>
      </c>
      <c r="O336" s="224">
        <f t="shared" ca="1" si="89"/>
        <v>73.646551724137936</v>
      </c>
      <c r="P336" s="224">
        <f t="shared" ca="1" si="90"/>
        <v>70.603305785123965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 t="shared" si="91"/>
        <v>0</v>
      </c>
      <c r="U336" s="224">
        <f t="shared" si="92"/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469">
        <v>0</v>
      </c>
      <c r="M337" s="83">
        <v>0</v>
      </c>
      <c r="N337" s="83">
        <v>0</v>
      </c>
      <c r="O337" s="83">
        <f t="shared" si="89"/>
        <v>0</v>
      </c>
      <c r="P337" s="83">
        <f t="shared" si="90"/>
        <v>0</v>
      </c>
      <c r="Q337" s="83">
        <v>0</v>
      </c>
      <c r="R337" s="83">
        <v>0</v>
      </c>
      <c r="S337" s="83">
        <v>0</v>
      </c>
      <c r="T337" s="83">
        <f t="shared" si="91"/>
        <v>0</v>
      </c>
      <c r="U337" s="83">
        <f t="shared" si="92"/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468">
        <f ca="1">IFERROR(__xludf.DUMMYFUNCTION("IMPORTRANGE(""https://docs.google.com/spreadsheets/d/1-uDff_7J0KD5mKrp0Vvzr7lt3OU09vwQwhkpOPPYv2Y/edit?usp=sharing"",""งบพรบ!ES14"")"),116000)</f>
        <v>116000</v>
      </c>
      <c r="M338" s="224">
        <f ca="1">IFERROR(__xludf.DUMMYFUNCTION("IMPORTRANGE(""https://docs.google.com/spreadsheets/d/1-uDff_7J0KD5mKrp0Vvzr7lt3OU09vwQwhkpOPPYv2Y/edit?usp=sharing"",""งบพรบ!EX14"")"),121000)</f>
        <v>121000</v>
      </c>
      <c r="N338" s="224">
        <f ca="1">IFERROR(__xludf.DUMMYFUNCTION("IMPORTRANGE(""https://docs.google.com/spreadsheets/d/1-uDff_7J0KD5mKrp0Vvzr7lt3OU09vwQwhkpOPPYv2Y/edit?usp=sharing"",""งบพรบ!EZ14"")"),85430)</f>
        <v>85430</v>
      </c>
      <c r="O338" s="224">
        <f t="shared" ca="1" si="89"/>
        <v>73.646551724137936</v>
      </c>
      <c r="P338" s="224">
        <f t="shared" ca="1" si="90"/>
        <v>70.603305785123965</v>
      </c>
      <c r="Q338" s="224">
        <v>0</v>
      </c>
      <c r="R338" s="224">
        <v>0</v>
      </c>
      <c r="S338" s="224">
        <v>0</v>
      </c>
      <c r="T338" s="224">
        <f t="shared" si="91"/>
        <v>0</v>
      </c>
      <c r="U338" s="224">
        <f t="shared" si="92"/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468">
        <f ca="1">L340+L341</f>
        <v>0</v>
      </c>
      <c r="M339" s="224">
        <f ca="1">M340+M341</f>
        <v>0</v>
      </c>
      <c r="N339" s="224">
        <f ca="1">N340+N341</f>
        <v>0</v>
      </c>
      <c r="O339" s="224">
        <f t="shared" ca="1" si="89"/>
        <v>0</v>
      </c>
      <c r="P339" s="224">
        <f t="shared" ca="1" si="90"/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 t="shared" si="91"/>
        <v>0</v>
      </c>
      <c r="U339" s="224">
        <f t="shared" si="92"/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469">
        <v>0</v>
      </c>
      <c r="M340" s="83">
        <v>0</v>
      </c>
      <c r="N340" s="83">
        <v>0</v>
      </c>
      <c r="O340" s="83">
        <f t="shared" si="89"/>
        <v>0</v>
      </c>
      <c r="P340" s="83">
        <f t="shared" si="90"/>
        <v>0</v>
      </c>
      <c r="Q340" s="83">
        <v>0</v>
      </c>
      <c r="R340" s="83">
        <v>0</v>
      </c>
      <c r="S340" s="83">
        <v>0</v>
      </c>
      <c r="T340" s="83">
        <f t="shared" si="91"/>
        <v>0</v>
      </c>
      <c r="U340" s="83">
        <f t="shared" si="92"/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468">
        <f ca="1">IFERROR(__xludf.DUMMYFUNCTION("IMPORTRANGE(""https://docs.google.com/spreadsheets/d/1-uDff_7J0KD5mKrp0Vvzr7lt3OU09vwQwhkpOPPYv2Y/edit?usp=sharing"",""งบพรบ!EV14"")"),0)</f>
        <v>0</v>
      </c>
      <c r="M341" s="224">
        <f ca="1">IFERROR(__xludf.DUMMYFUNCTION("IMPORTRANGE(""https://docs.google.com/spreadsheets/d/1-uDff_7J0KD5mKrp0Vvzr7lt3OU09vwQwhkpOPPYv2Y/edit?usp=sharing"",""งบพรบ!EY14"")"),0)</f>
        <v>0</v>
      </c>
      <c r="N341" s="224">
        <f ca="1">IFERROR(__xludf.DUMMYFUNCTION("IMPORTRANGE(""https://docs.google.com/spreadsheets/d/1-uDff_7J0KD5mKrp0Vvzr7lt3OU09vwQwhkpOPPYv2Y/edit?usp=sharing"",""งบพรบ!FA14"")"),0)</f>
        <v>0</v>
      </c>
      <c r="O341" s="224">
        <f t="shared" ca="1" si="89"/>
        <v>0</v>
      </c>
      <c r="P341" s="224">
        <f t="shared" ca="1" si="90"/>
        <v>0</v>
      </c>
      <c r="Q341" s="224">
        <v>0</v>
      </c>
      <c r="R341" s="224">
        <v>0</v>
      </c>
      <c r="S341" s="224">
        <v>0</v>
      </c>
      <c r="T341" s="224">
        <f t="shared" si="91"/>
        <v>0</v>
      </c>
      <c r="U341" s="224">
        <f t="shared" si="92"/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465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566"/>
      <c r="B343" s="563"/>
      <c r="C343" s="565"/>
      <c r="D343" s="563"/>
      <c r="E343" s="564" t="s">
        <v>137</v>
      </c>
      <c r="F343" s="563"/>
      <c r="G343" s="562"/>
      <c r="H343" s="561" t="s">
        <v>35</v>
      </c>
      <c r="I343" s="560">
        <v>0</v>
      </c>
      <c r="J343" s="560">
        <f ca="1">J344+J347+J348+J349</f>
        <v>4459</v>
      </c>
      <c r="K343" s="559">
        <v>0</v>
      </c>
      <c r="L343" s="557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IFERROR(__xludf.DUMMYFUNCTION("IMPORTRANGE(""https://docs.google.com/spreadsheets/d/1eHaY18a8A9IcSdp1K8H6x8fbOy06t2VsZHhMHf-1x7Y/edit?usp=sharing"",""แผน!EK14"")"),5000)</f>
        <v>5000</v>
      </c>
      <c r="J344" s="184">
        <f ca="1">IFERROR(__xludf.DUMMYFUNCTION("IMPORTRANGE(""https://docs.google.com/spreadsheets/d/1awYsYK3VOup2i3Pq_Yjnu8DRu_mYwSBnCR2QPthd0rU/edit?usp=sharing"",""ศูนย์ยกเว้นโฉนด!D14"")"),4452)</f>
        <v>4452</v>
      </c>
      <c r="K344" s="224">
        <f ca="1">IF(I344&gt;0,J344*100/I344,0)</f>
        <v>89.04</v>
      </c>
      <c r="L344" s="465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465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IFERROR(__xludf.DUMMYFUNCTION("IMPORTRANGE(""https://docs.google.com/spreadsheets/d/1eHaY18a8A9IcSdp1K8H6x8fbOy06t2VsZHhMHf-1x7Y/edit?usp=sharing"",""แผน!EL14"")"),5)</f>
        <v>5</v>
      </c>
      <c r="J346" s="184">
        <f ca="1">IFERROR(__xludf.DUMMYFUNCTION("IMPORTRANGE(""https://docs.google.com/spreadsheets/d/1awYsYK3VOup2i3Pq_Yjnu8DRu_mYwSBnCR2QPthd0rU/edit?usp=sharing"",""ศูนย์รวม!E14"")"),5)</f>
        <v>5</v>
      </c>
      <c r="K346" s="224">
        <f ca="1">IF(I346&gt;0,J346*100/I346,0)</f>
        <v>100</v>
      </c>
      <c r="L346" s="465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IFERROR(__xludf.DUMMYFUNCTION("IMPORTRANGE(""https://docs.google.com/spreadsheets/d/1awYsYK3VOup2i3Pq_Yjnu8DRu_mYwSBnCR2QPthd0rU/edit?usp=sharing"",""ศูนย์ยกเว้นโฉนด!F14"")"),0)</f>
        <v>0</v>
      </c>
      <c r="K347" s="45"/>
      <c r="L347" s="465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IFERROR(__xludf.DUMMYFUNCTION("IMPORTRANGE(""https://docs.google.com/spreadsheets/d/1awYsYK3VOup2i3Pq_Yjnu8DRu_mYwSBnCR2QPthd0rU/edit?usp=sharing"",""ศูนย์ยกเว้นโฉนด!G14"")"),7)</f>
        <v>7</v>
      </c>
      <c r="K348" s="45"/>
      <c r="L348" s="465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IFERROR(__xludf.DUMMYFUNCTION("IMPORTRANGE(""https://docs.google.com/spreadsheets/d/1awYsYK3VOup2i3Pq_Yjnu8DRu_mYwSBnCR2QPthd0rU/edit?usp=sharing"",""ศูนย์ยกเว้นโฉนด!H14"")"),0)</f>
        <v>0</v>
      </c>
      <c r="K349" s="45"/>
      <c r="L349" s="465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0"/>
      <c r="F350" s="40"/>
      <c r="G350" s="42"/>
      <c r="H350" s="180"/>
      <c r="I350" s="44"/>
      <c r="J350" s="44"/>
      <c r="K350" s="45"/>
      <c r="L350" s="465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558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6389</v>
      </c>
      <c r="K351" s="304">
        <v>0</v>
      </c>
      <c r="L351" s="557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IFERROR(__xludf.DUMMYFUNCTION("IMPORTRANGE(""https://docs.google.com/spreadsheets/d/1awYsYK3VOup2i3Pq_Yjnu8DRu_mYwSBnCR2QPthd0rU/edit?usp=sharing"",""โฉนดM3!G14"")"),5363)</f>
        <v>5363</v>
      </c>
      <c r="K352" s="45"/>
      <c r="L352" s="465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IFERROR(__xludf.DUMMYFUNCTION("IMPORTRANGE(""https://docs.google.com/spreadsheets/d/1awYsYK3VOup2i3Pq_Yjnu8DRu_mYwSBnCR2QPthd0rU/edit?usp=sharing"",""โฉนดM3!H14"")"),1026)</f>
        <v>1026</v>
      </c>
      <c r="K353" s="45"/>
      <c r="L353" s="465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0"/>
      <c r="F354" s="40"/>
      <c r="G354" s="42"/>
      <c r="H354" s="180"/>
      <c r="I354" s="44"/>
      <c r="J354" s="44"/>
      <c r="K354" s="45"/>
      <c r="L354" s="465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539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472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471">
        <f ca="1">L357+L358</f>
        <v>633060</v>
      </c>
      <c r="M356" s="470">
        <f ca="1">M357+M358</f>
        <v>633060</v>
      </c>
      <c r="N356" s="470">
        <f ca="1">N357+N358</f>
        <v>468087.45</v>
      </c>
      <c r="O356" s="470">
        <f t="shared" ref="O356:O364" ca="1" si="95">IF(L356&gt;0,N356*100/L356,0)</f>
        <v>73.940455880959149</v>
      </c>
      <c r="P356" s="470">
        <f t="shared" ref="P356:P364" ca="1" si="96">IF(M356&gt;0,N356*100/M356,0)</f>
        <v>73.940455880959149</v>
      </c>
      <c r="Q356" s="470">
        <f>Q357+Q358</f>
        <v>0</v>
      </c>
      <c r="R356" s="470">
        <f>R357+R358</f>
        <v>0</v>
      </c>
      <c r="S356" s="470">
        <f>S357+S358</f>
        <v>0</v>
      </c>
      <c r="T356" s="470">
        <f t="shared" ref="T356:T364" si="97">IF(Q356&gt;0,S356*100/Q356,0)</f>
        <v>0</v>
      </c>
      <c r="U356" s="470">
        <f t="shared" ref="U356:U364" si="98"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469">
        <f t="shared" ref="L357:N358" si="99">L360+L363</f>
        <v>0</v>
      </c>
      <c r="M357" s="83">
        <f t="shared" si="99"/>
        <v>0</v>
      </c>
      <c r="N357" s="83">
        <f t="shared" si="99"/>
        <v>0</v>
      </c>
      <c r="O357" s="83">
        <f t="shared" si="95"/>
        <v>0</v>
      </c>
      <c r="P357" s="83">
        <f t="shared" si="96"/>
        <v>0</v>
      </c>
      <c r="Q357" s="83">
        <f t="shared" ref="Q357:S358" si="100">Q360+Q363</f>
        <v>0</v>
      </c>
      <c r="R357" s="83">
        <f t="shared" si="100"/>
        <v>0</v>
      </c>
      <c r="S357" s="83">
        <f t="shared" si="100"/>
        <v>0</v>
      </c>
      <c r="T357" s="83">
        <f t="shared" si="97"/>
        <v>0</v>
      </c>
      <c r="U357" s="83">
        <f t="shared" si="98"/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468">
        <f t="shared" ca="1" si="99"/>
        <v>633060</v>
      </c>
      <c r="M358" s="224">
        <f t="shared" ca="1" si="99"/>
        <v>633060</v>
      </c>
      <c r="N358" s="224">
        <f t="shared" ca="1" si="99"/>
        <v>468087.45</v>
      </c>
      <c r="O358" s="224">
        <f t="shared" ca="1" si="95"/>
        <v>73.940455880959149</v>
      </c>
      <c r="P358" s="224">
        <f t="shared" ca="1" si="96"/>
        <v>73.940455880959149</v>
      </c>
      <c r="Q358" s="224">
        <f t="shared" si="100"/>
        <v>0</v>
      </c>
      <c r="R358" s="224">
        <f t="shared" si="100"/>
        <v>0</v>
      </c>
      <c r="S358" s="224">
        <f t="shared" si="100"/>
        <v>0</v>
      </c>
      <c r="T358" s="224">
        <f t="shared" si="97"/>
        <v>0</v>
      </c>
      <c r="U358" s="224">
        <f t="shared" si="98"/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468">
        <f ca="1">L360+L361</f>
        <v>633060</v>
      </c>
      <c r="M359" s="224">
        <f ca="1">M360+M361</f>
        <v>633060</v>
      </c>
      <c r="N359" s="224">
        <f ca="1">N360+N361</f>
        <v>468087.45</v>
      </c>
      <c r="O359" s="224">
        <f t="shared" ca="1" si="95"/>
        <v>73.940455880959149</v>
      </c>
      <c r="P359" s="224">
        <f t="shared" ca="1" si="96"/>
        <v>73.940455880959149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 t="shared" si="97"/>
        <v>0</v>
      </c>
      <c r="U359" s="224">
        <f t="shared" si="98"/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469">
        <v>0</v>
      </c>
      <c r="M360" s="83">
        <v>0</v>
      </c>
      <c r="N360" s="83">
        <v>0</v>
      </c>
      <c r="O360" s="83">
        <f t="shared" si="95"/>
        <v>0</v>
      </c>
      <c r="P360" s="83">
        <f t="shared" si="96"/>
        <v>0</v>
      </c>
      <c r="Q360" s="83">
        <v>0</v>
      </c>
      <c r="R360" s="83">
        <v>0</v>
      </c>
      <c r="S360" s="83">
        <v>0</v>
      </c>
      <c r="T360" s="83">
        <f t="shared" si="97"/>
        <v>0</v>
      </c>
      <c r="U360" s="83">
        <f t="shared" si="98"/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468">
        <f ca="1">IFERROR(__xludf.DUMMYFUNCTION("IMPORTRANGE(""https://docs.google.com/spreadsheets/d/1-uDff_7J0KD5mKrp0Vvzr7lt3OU09vwQwhkpOPPYv2Y/edit?usp=sharing"",""งบพรบ!FC14"")"),633060)</f>
        <v>633060</v>
      </c>
      <c r="M361" s="224">
        <f ca="1">IFERROR(__xludf.DUMMYFUNCTION("IMPORTRANGE(""https://docs.google.com/spreadsheets/d/1-uDff_7J0KD5mKrp0Vvzr7lt3OU09vwQwhkpOPPYv2Y/edit?usp=sharing"",""งบพรบ!FH14"")"),633060)</f>
        <v>633060</v>
      </c>
      <c r="N361" s="224">
        <f ca="1">IFERROR(__xludf.DUMMYFUNCTION("IMPORTRANGE(""https://docs.google.com/spreadsheets/d/1-uDff_7J0KD5mKrp0Vvzr7lt3OU09vwQwhkpOPPYv2Y/edit?usp=sharing"",""งบพรบ!FJ14"")"),468087.45)</f>
        <v>468087.45</v>
      </c>
      <c r="O361" s="224">
        <f t="shared" ca="1" si="95"/>
        <v>73.940455880959149</v>
      </c>
      <c r="P361" s="224">
        <f t="shared" ca="1" si="96"/>
        <v>73.940455880959149</v>
      </c>
      <c r="Q361" s="224">
        <v>0</v>
      </c>
      <c r="R361" s="224">
        <v>0</v>
      </c>
      <c r="S361" s="224">
        <v>0</v>
      </c>
      <c r="T361" s="224">
        <f t="shared" si="97"/>
        <v>0</v>
      </c>
      <c r="U361" s="224">
        <f t="shared" si="98"/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468">
        <f ca="1">L363+L364</f>
        <v>0</v>
      </c>
      <c r="M362" s="224">
        <f ca="1">M363+M364</f>
        <v>0</v>
      </c>
      <c r="N362" s="224">
        <f ca="1">N363+N364</f>
        <v>0</v>
      </c>
      <c r="O362" s="224">
        <f t="shared" ca="1" si="95"/>
        <v>0</v>
      </c>
      <c r="P362" s="224">
        <f t="shared" ca="1" si="96"/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 t="shared" si="97"/>
        <v>0</v>
      </c>
      <c r="U362" s="224">
        <f t="shared" si="98"/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469">
        <v>0</v>
      </c>
      <c r="M363" s="83">
        <v>0</v>
      </c>
      <c r="N363" s="83">
        <v>0</v>
      </c>
      <c r="O363" s="83">
        <f t="shared" si="95"/>
        <v>0</v>
      </c>
      <c r="P363" s="83">
        <f t="shared" si="96"/>
        <v>0</v>
      </c>
      <c r="Q363" s="83">
        <v>0</v>
      </c>
      <c r="R363" s="83">
        <v>0</v>
      </c>
      <c r="S363" s="83">
        <v>0</v>
      </c>
      <c r="T363" s="83">
        <f t="shared" si="97"/>
        <v>0</v>
      </c>
      <c r="U363" s="83">
        <f t="shared" si="98"/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468">
        <f ca="1">IFERROR(__xludf.DUMMYFUNCTION("IMPORTRANGE(""https://docs.google.com/spreadsheets/d/1-uDff_7J0KD5mKrp0Vvzr7lt3OU09vwQwhkpOPPYv2Y/edit?usp=sharing"",""งบพรบ!FF14"")"),0)</f>
        <v>0</v>
      </c>
      <c r="M364" s="224">
        <f ca="1">IFERROR(__xludf.DUMMYFUNCTION("IMPORTRANGE(""https://docs.google.com/spreadsheets/d/1-uDff_7J0KD5mKrp0Vvzr7lt3OU09vwQwhkpOPPYv2Y/edit?usp=sharing"",""งบพรบ!FI14"")"),0)</f>
        <v>0</v>
      </c>
      <c r="N364" s="224">
        <f ca="1">IFERROR(__xludf.DUMMYFUNCTION("IMPORTRANGE(""https://docs.google.com/spreadsheets/d/1-uDff_7J0KD5mKrp0Vvzr7lt3OU09vwQwhkpOPPYv2Y/edit?usp=sharing"",""งบพรบ!FK14"")"),0)</f>
        <v>0</v>
      </c>
      <c r="O364" s="224">
        <f t="shared" ca="1" si="95"/>
        <v>0</v>
      </c>
      <c r="P364" s="224">
        <f t="shared" ca="1" si="96"/>
        <v>0</v>
      </c>
      <c r="Q364" s="224">
        <v>0</v>
      </c>
      <c r="R364" s="224">
        <v>0</v>
      </c>
      <c r="S364" s="224">
        <v>0</v>
      </c>
      <c r="T364" s="224">
        <f t="shared" si="97"/>
        <v>0</v>
      </c>
      <c r="U364" s="224">
        <f t="shared" si="98"/>
        <v>0</v>
      </c>
    </row>
    <row r="365" spans="1:21" ht="19.5" x14ac:dyDescent="0.3">
      <c r="A365" s="211"/>
      <c r="B365" s="212"/>
      <c r="C365" s="214"/>
      <c r="D365" s="558" t="s">
        <v>149</v>
      </c>
      <c r="E365" s="214"/>
      <c r="F365" s="214"/>
      <c r="G365" s="215"/>
      <c r="H365" s="223" t="s">
        <v>35</v>
      </c>
      <c r="I365" s="303">
        <f ca="1">I371</f>
        <v>381</v>
      </c>
      <c r="J365" s="303">
        <f ca="1">J371</f>
        <v>539</v>
      </c>
      <c r="K365" s="304">
        <f ca="1">IF(I365&gt;0,J365*100/I365,0)</f>
        <v>141.46981627296589</v>
      </c>
      <c r="L365" s="557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498" t="s">
        <v>38</v>
      </c>
      <c r="E366" s="141"/>
      <c r="F366" s="141"/>
      <c r="G366" s="142"/>
      <c r="H366" s="143"/>
      <c r="I366" s="44"/>
      <c r="J366" s="44"/>
      <c r="K366" s="45"/>
      <c r="L366" s="4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IFERROR(__xludf.DUMMYFUNCTION("IMPORTRANGE(""https://docs.google.com/spreadsheets/d/1tdoBKaGub7dwA3U6UFTqxio9LNnvDCQjHKmttSEBsFQ/edit?usp=sharing"",""จัดที่ดิน!AB14"")"),197)</f>
        <v>197</v>
      </c>
      <c r="K367" s="224">
        <f t="shared" ref="K367:K372" si="101">IF(I367&gt;0,J367*100/I367,0)</f>
        <v>0</v>
      </c>
      <c r="L367" s="4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IFERROR(__xludf.DUMMYFUNCTION("IMPORTRANGE(""https://docs.google.com/spreadsheets/d/1eHaY18a8A9IcSdp1K8H6x8fbOy06t2VsZHhMHf-1x7Y/edit?usp=sharing"",""แผน!EW14"")"),850)</f>
        <v>850</v>
      </c>
      <c r="J368" s="556">
        <f ca="1">IFERROR(__xludf.DUMMYFUNCTION("IMPORTRANGE(""https://docs.google.com/spreadsheets/d/1tdoBKaGub7dwA3U6UFTqxio9LNnvDCQjHKmttSEBsFQ/edit?usp=sharing"",""จัดที่ดิน!AC14"")"),2103.15)</f>
        <v>2103.15</v>
      </c>
      <c r="K368" s="224">
        <f t="shared" ca="1" si="101"/>
        <v>247.42941176470589</v>
      </c>
      <c r="L368" s="4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IFERROR(__xludf.DUMMYFUNCTION("IMPORTRANGE(""https://docs.google.com/spreadsheets/d/1eHaY18a8A9IcSdp1K8H6x8fbOy06t2VsZHhMHf-1x7Y/edit?usp=sharing"",""แผน!EX14"")"),381)</f>
        <v>381</v>
      </c>
      <c r="J369" s="184">
        <f ca="1">IFERROR(__xludf.DUMMYFUNCTION("IMPORTRANGE(""https://docs.google.com/spreadsheets/d/1tdoBKaGub7dwA3U6UFTqxio9LNnvDCQjHKmttSEBsFQ/edit?usp=sharing"",""จัดที่ดิน!AD14"")"),598)</f>
        <v>598</v>
      </c>
      <c r="K369" s="224">
        <f t="shared" ca="1" si="101"/>
        <v>156.95538057742783</v>
      </c>
      <c r="L369" s="4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556">
        <f ca="1">IFERROR(__xludf.DUMMYFUNCTION("IMPORTRANGE(""https://docs.google.com/spreadsheets/d/1tdoBKaGub7dwA3U6UFTqxio9LNnvDCQjHKmttSEBsFQ/edit?usp=sharing"",""จัดที่ดิน!AE14"")"),9523.98)</f>
        <v>9523.98</v>
      </c>
      <c r="K370" s="224">
        <f t="shared" si="101"/>
        <v>0</v>
      </c>
      <c r="L370" s="4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IFERROR(__xludf.DUMMYFUNCTION("IMPORTRANGE(""https://docs.google.com/spreadsheets/d/1eHaY18a8A9IcSdp1K8H6x8fbOy06t2VsZHhMHf-1x7Y/edit?usp=sharing"",""แผน!EY14"")"),381)</f>
        <v>381</v>
      </c>
      <c r="J371" s="184">
        <f ca="1">IFERROR(__xludf.DUMMYFUNCTION("IMPORTRANGE(""https://docs.google.com/spreadsheets/d/1tdoBKaGub7dwA3U6UFTqxio9LNnvDCQjHKmttSEBsFQ/edit?usp=sharing"",""จัดที่ดิน!AF14"")"),539)</f>
        <v>539</v>
      </c>
      <c r="K371" s="224">
        <f t="shared" ca="1" si="101"/>
        <v>141.46981627296589</v>
      </c>
      <c r="L371" s="4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556">
        <f ca="1">IFERROR(__xludf.DUMMYFUNCTION("IMPORTRANGE(""https://docs.google.com/spreadsheets/d/1tdoBKaGub7dwA3U6UFTqxio9LNnvDCQjHKmttSEBsFQ/edit?usp=sharing"",""จัดที่ดิน!AG14"")"),8887.87)</f>
        <v>8887.8700000000008</v>
      </c>
      <c r="K372" s="224">
        <f t="shared" si="101"/>
        <v>0</v>
      </c>
      <c r="L372" s="4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2"/>
      <c r="H373" s="52"/>
      <c r="I373" s="54"/>
      <c r="J373" s="54"/>
      <c r="K373" s="3"/>
      <c r="L373" s="46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555"/>
      <c r="B374" s="554" t="s">
        <v>153</v>
      </c>
      <c r="C374" s="553"/>
      <c r="D374" s="552"/>
      <c r="E374" s="551"/>
      <c r="F374" s="551"/>
      <c r="G374" s="550"/>
      <c r="H374" s="549" t="s">
        <v>46</v>
      </c>
      <c r="I374" s="548">
        <f ca="1">I386+I388</f>
        <v>10000</v>
      </c>
      <c r="J374" s="548">
        <f ca="1">J386+J388</f>
        <v>209</v>
      </c>
      <c r="K374" s="547">
        <f ca="1">IF(I374&gt;0,J374*100/I374,0)</f>
        <v>2.09</v>
      </c>
      <c r="L374" s="539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128"/>
      <c r="B375" s="158"/>
      <c r="C375" s="161" t="s">
        <v>18</v>
      </c>
      <c r="D375" s="544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471">
        <f>L376+L377</f>
        <v>0</v>
      </c>
      <c r="M375" s="470">
        <f>M376+M377</f>
        <v>0</v>
      </c>
      <c r="N375" s="470">
        <f>N376+N377</f>
        <v>0</v>
      </c>
      <c r="O375" s="470">
        <f t="shared" ref="O375:O383" si="102">IF(L375&gt;0,N375*100/L375,0)</f>
        <v>0</v>
      </c>
      <c r="P375" s="470">
        <f t="shared" ref="P375:P383" si="103">IF(M375&gt;0,N375*100/M375,0)</f>
        <v>0</v>
      </c>
      <c r="Q375" s="470">
        <f ca="1">Q376+Q377</f>
        <v>625000</v>
      </c>
      <c r="R375" s="470">
        <f ca="1">R376+R377</f>
        <v>625000</v>
      </c>
      <c r="S375" s="470">
        <f ca="1">S376+S377</f>
        <v>0</v>
      </c>
      <c r="T375" s="470">
        <f t="shared" ref="T375:T383" ca="1" si="104">IF(Q375&gt;0,S375*100/Q375,0)</f>
        <v>0</v>
      </c>
      <c r="U375" s="470">
        <f t="shared" ref="U375:U383" ca="1" si="105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469">
        <f t="shared" ref="L376:N377" si="106">L379+L382</f>
        <v>0</v>
      </c>
      <c r="M376" s="83">
        <f t="shared" si="106"/>
        <v>0</v>
      </c>
      <c r="N376" s="83">
        <f t="shared" si="106"/>
        <v>0</v>
      </c>
      <c r="O376" s="83">
        <f t="shared" si="102"/>
        <v>0</v>
      </c>
      <c r="P376" s="83">
        <f t="shared" si="103"/>
        <v>0</v>
      </c>
      <c r="Q376" s="83">
        <f t="shared" ref="Q376:S377" si="107">Q379+Q382</f>
        <v>0</v>
      </c>
      <c r="R376" s="83">
        <f t="shared" si="107"/>
        <v>0</v>
      </c>
      <c r="S376" s="83">
        <f t="shared" si="107"/>
        <v>0</v>
      </c>
      <c r="T376" s="83">
        <f t="shared" si="104"/>
        <v>0</v>
      </c>
      <c r="U376" s="83">
        <f t="shared" si="105"/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468">
        <f t="shared" si="106"/>
        <v>0</v>
      </c>
      <c r="M377" s="224">
        <f t="shared" si="106"/>
        <v>0</v>
      </c>
      <c r="N377" s="224">
        <f t="shared" si="106"/>
        <v>0</v>
      </c>
      <c r="O377" s="224">
        <f t="shared" si="102"/>
        <v>0</v>
      </c>
      <c r="P377" s="224">
        <f t="shared" si="103"/>
        <v>0</v>
      </c>
      <c r="Q377" s="224">
        <f t="shared" ca="1" si="107"/>
        <v>625000</v>
      </c>
      <c r="R377" s="224">
        <f t="shared" ca="1" si="107"/>
        <v>625000</v>
      </c>
      <c r="S377" s="224">
        <f t="shared" ca="1" si="107"/>
        <v>0</v>
      </c>
      <c r="T377" s="224">
        <f t="shared" ca="1" si="104"/>
        <v>0</v>
      </c>
      <c r="U377" s="224">
        <f t="shared" ca="1" si="105"/>
        <v>0</v>
      </c>
    </row>
    <row r="378" spans="1:21" ht="18.75" x14ac:dyDescent="0.25">
      <c r="A378" s="128"/>
      <c r="B378" s="158"/>
      <c r="C378" s="158"/>
      <c r="D378" s="53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468">
        <f>L379+L380</f>
        <v>0</v>
      </c>
      <c r="M378" s="224">
        <f>M379+M380</f>
        <v>0</v>
      </c>
      <c r="N378" s="224">
        <f>N379+N380</f>
        <v>0</v>
      </c>
      <c r="O378" s="224">
        <f t="shared" si="102"/>
        <v>0</v>
      </c>
      <c r="P378" s="224">
        <f t="shared" si="103"/>
        <v>0</v>
      </c>
      <c r="Q378" s="224">
        <f ca="1">Q379+Q380</f>
        <v>625000</v>
      </c>
      <c r="R378" s="224">
        <f ca="1">R379+R380</f>
        <v>625000</v>
      </c>
      <c r="S378" s="224">
        <f ca="1">S379+S380</f>
        <v>0</v>
      </c>
      <c r="T378" s="224">
        <f t="shared" ca="1" si="104"/>
        <v>0</v>
      </c>
      <c r="U378" s="224">
        <f t="shared" ca="1" si="105"/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469">
        <v>0</v>
      </c>
      <c r="M379" s="83">
        <v>0</v>
      </c>
      <c r="N379" s="83">
        <v>0</v>
      </c>
      <c r="O379" s="83">
        <f t="shared" si="102"/>
        <v>0</v>
      </c>
      <c r="P379" s="83">
        <f t="shared" si="103"/>
        <v>0</v>
      </c>
      <c r="Q379" s="83">
        <v>0</v>
      </c>
      <c r="R379" s="83">
        <v>0</v>
      </c>
      <c r="S379" s="83">
        <v>0</v>
      </c>
      <c r="T379" s="83">
        <f t="shared" si="104"/>
        <v>0</v>
      </c>
      <c r="U379" s="83">
        <f t="shared" si="105"/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468">
        <v>0</v>
      </c>
      <c r="M380" s="224">
        <v>0</v>
      </c>
      <c r="N380" s="224">
        <v>0</v>
      </c>
      <c r="O380" s="224">
        <f t="shared" si="102"/>
        <v>0</v>
      </c>
      <c r="P380" s="224">
        <f t="shared" si="103"/>
        <v>0</v>
      </c>
      <c r="Q380" s="224">
        <f ca="1">IFERROR(__xludf.DUMMYFUNCTION("IMPORTRANGE(""https://docs.google.com/spreadsheets/d/1ItG2mGa2ceCfYo0BwxsXqNm01IGEUdYcSSLTEv9YCik/edit?usp=sharing"",""เบิกจ่ายกองทุน!AY14"")"),625000)</f>
        <v>625000</v>
      </c>
      <c r="R380" s="224">
        <f ca="1">IFERROR(__xludf.DUMMYFUNCTION("IMPORTRANGE(""https://docs.google.com/spreadsheets/d/1ItG2mGa2ceCfYo0BwxsXqNm01IGEUdYcSSLTEv9YCik/edit?usp=sharing"",""เบิกจ่ายกองทุน!AZ14"")"),625000)</f>
        <v>625000</v>
      </c>
      <c r="S380" s="224">
        <f ca="1">IFERROR(__xludf.DUMMYFUNCTION("IMPORTRANGE(""https://docs.google.com/spreadsheets/d/1ItG2mGa2ceCfYo0BwxsXqNm01IGEUdYcSSLTEv9YCik/edit?usp=sharing"",""เบิกจ่ายกองทุน!BA14"")"),0)</f>
        <v>0</v>
      </c>
      <c r="T380" s="224">
        <f t="shared" ca="1" si="104"/>
        <v>0</v>
      </c>
      <c r="U380" s="224">
        <f t="shared" ca="1" si="105"/>
        <v>0</v>
      </c>
    </row>
    <row r="381" spans="1:21" ht="18.75" x14ac:dyDescent="0.25">
      <c r="A381" s="128"/>
      <c r="B381" s="158"/>
      <c r="C381" s="158"/>
      <c r="D381" s="53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468">
        <f>L382+L383</f>
        <v>0</v>
      </c>
      <c r="M381" s="224">
        <f>M382+M383</f>
        <v>0</v>
      </c>
      <c r="N381" s="224">
        <f>N382+N383</f>
        <v>0</v>
      </c>
      <c r="O381" s="224">
        <f t="shared" si="102"/>
        <v>0</v>
      </c>
      <c r="P381" s="224">
        <f t="shared" si="103"/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 t="shared" si="104"/>
        <v>0</v>
      </c>
      <c r="U381" s="224">
        <f t="shared" si="105"/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469">
        <v>0</v>
      </c>
      <c r="M382" s="83">
        <v>0</v>
      </c>
      <c r="N382" s="83">
        <v>0</v>
      </c>
      <c r="O382" s="83">
        <f t="shared" si="102"/>
        <v>0</v>
      </c>
      <c r="P382" s="83">
        <f t="shared" si="103"/>
        <v>0</v>
      </c>
      <c r="Q382" s="83">
        <v>0</v>
      </c>
      <c r="R382" s="83">
        <v>0</v>
      </c>
      <c r="S382" s="83">
        <v>0</v>
      </c>
      <c r="T382" s="83">
        <f t="shared" si="104"/>
        <v>0</v>
      </c>
      <c r="U382" s="83">
        <f t="shared" si="105"/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468">
        <v>0</v>
      </c>
      <c r="M383" s="224">
        <v>0</v>
      </c>
      <c r="N383" s="224">
        <v>0</v>
      </c>
      <c r="O383" s="224">
        <f t="shared" si="102"/>
        <v>0</v>
      </c>
      <c r="P383" s="224">
        <f t="shared" si="103"/>
        <v>0</v>
      </c>
      <c r="Q383" s="224">
        <v>0</v>
      </c>
      <c r="R383" s="224">
        <v>0</v>
      </c>
      <c r="S383" s="224">
        <v>0</v>
      </c>
      <c r="T383" s="224">
        <f t="shared" si="104"/>
        <v>0</v>
      </c>
      <c r="U383" s="224">
        <f t="shared" si="105"/>
        <v>0</v>
      </c>
    </row>
    <row r="384" spans="1:21" ht="19.5" x14ac:dyDescent="0.3">
      <c r="A384" s="138"/>
      <c r="B384" s="139"/>
      <c r="C384" s="161" t="s">
        <v>18</v>
      </c>
      <c r="D384" s="491" t="s">
        <v>38</v>
      </c>
      <c r="E384" s="141"/>
      <c r="F384" s="141"/>
      <c r="G384" s="142"/>
      <c r="H384" s="178"/>
      <c r="I384" s="135"/>
      <c r="J384" s="44"/>
      <c r="K384" s="45"/>
      <c r="L384" s="465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IFERROR(__xludf.DUMMYFUNCTION("IMPORTRANGE(""https://docs.google.com/spreadsheets/d/1w5rwWK1o49a35cNtocGL0gxDwhFSTZUQu90BiH9_zqM/edit?usp=sharing"",""RTK!H14"")"),12)</f>
        <v>12</v>
      </c>
      <c r="K385" s="224">
        <f>IF(I385&gt;0,J385*100/I385,0)</f>
        <v>0</v>
      </c>
      <c r="L385" s="465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IFERROR(__xludf.DUMMYFUNCTION("IMPORTRANGE(""https://docs.google.com/spreadsheets/d/1w5rwWK1o49a35cNtocGL0gxDwhFSTZUQu90BiH9_zqM/edit?usp=sharing"",""RTK!G14"")"),10000)</f>
        <v>10000</v>
      </c>
      <c r="J386" s="184">
        <f ca="1">IFERROR(__xludf.DUMMYFUNCTION("IMPORTRANGE(""https://docs.google.com/spreadsheets/d/1w5rwWK1o49a35cNtocGL0gxDwhFSTZUQu90BiH9_zqM/edit?usp=sharing"",""RTK!I14"")"),209)</f>
        <v>209</v>
      </c>
      <c r="K386" s="224">
        <f ca="1">IF(I386&gt;0,J386*100/I386,0)</f>
        <v>2.09</v>
      </c>
      <c r="L386" s="465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545"/>
      <c r="B387" s="545"/>
      <c r="C387" s="545"/>
      <c r="D387" s="545"/>
      <c r="E387" s="546" t="s">
        <v>155</v>
      </c>
      <c r="F387" s="545"/>
      <c r="G387" s="488"/>
      <c r="H387" s="480" t="s">
        <v>34</v>
      </c>
      <c r="I387" s="487">
        <v>0</v>
      </c>
      <c r="J387" s="487">
        <f ca="1">IFERROR(__xludf.DUMMYFUNCTION("IMPORTRANGE(""https://docs.google.com/spreadsheets/d/1w5rwWK1o49a35cNtocGL0gxDwhFSTZUQu90BiH9_zqM/edit?usp=sharing"",""RTK!L14"")"),0)</f>
        <v>0</v>
      </c>
      <c r="K387" s="486">
        <f>IF(I387&gt;0,J387*100/I387,0)</f>
        <v>0</v>
      </c>
      <c r="L387" s="465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545"/>
      <c r="B388" s="545"/>
      <c r="C388" s="545"/>
      <c r="D388" s="545"/>
      <c r="E388" s="545"/>
      <c r="F388" s="545"/>
      <c r="G388" s="488"/>
      <c r="H388" s="480" t="s">
        <v>46</v>
      </c>
      <c r="I388" s="487">
        <f ca="1">IFERROR(__xludf.DUMMYFUNCTION("IMPORTRANGE(""https://docs.google.com/spreadsheets/d/1w5rwWK1o49a35cNtocGL0gxDwhFSTZUQu90BiH9_zqM/edit?usp=sharing"",""RTK!K14"")"),0)</f>
        <v>0</v>
      </c>
      <c r="J388" s="487">
        <f ca="1">IFERROR(__xludf.DUMMYFUNCTION("IMPORTRANGE(""https://docs.google.com/spreadsheets/d/1w5rwWK1o49a35cNtocGL0gxDwhFSTZUQu90BiH9_zqM/edit?usp=sharing"",""RTK!M14"")"),0)</f>
        <v>0</v>
      </c>
      <c r="K388" s="486">
        <f ca="1">IF(I388&gt;0,J388*100/I388,0)</f>
        <v>0</v>
      </c>
      <c r="L388" s="465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11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16"/>
      <c r="B390" s="316"/>
      <c r="C390" s="316"/>
      <c r="D390" s="316"/>
      <c r="E390" s="316"/>
      <c r="F390" s="316"/>
      <c r="G390" s="317"/>
      <c r="H390" s="317"/>
      <c r="I390" s="318"/>
      <c r="J390" s="318"/>
      <c r="K390" s="319"/>
      <c r="L390" s="496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hidden="1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>I402</f>
        <v>0</v>
      </c>
      <c r="J391" s="307">
        <f>J402</f>
        <v>0</v>
      </c>
      <c r="K391" s="540">
        <f>IF(I391&gt;0,J391*100/I391,0)</f>
        <v>0</v>
      </c>
      <c r="L391" s="539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hidden="1" x14ac:dyDescent="0.3">
      <c r="A392" s="128"/>
      <c r="B392" s="158"/>
      <c r="C392" s="161" t="s">
        <v>18</v>
      </c>
      <c r="D392" s="54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471">
        <f>L393+L394</f>
        <v>0</v>
      </c>
      <c r="M392" s="470">
        <f>M393+M394</f>
        <v>0</v>
      </c>
      <c r="N392" s="470">
        <f>N393+N394</f>
        <v>0</v>
      </c>
      <c r="O392" s="470">
        <f t="shared" ref="O392:O400" si="108">IF(L392&gt;0,N392*100/L392,0)</f>
        <v>0</v>
      </c>
      <c r="P392" s="470">
        <f t="shared" ref="P392:P400" si="109">IF(M392&gt;0,N392*100/M392,0)</f>
        <v>0</v>
      </c>
      <c r="Q392" s="470">
        <f>Q393+Q394</f>
        <v>0</v>
      </c>
      <c r="R392" s="470">
        <f>R393+R394</f>
        <v>0</v>
      </c>
      <c r="S392" s="470">
        <f>S393+S394</f>
        <v>0</v>
      </c>
      <c r="T392" s="470">
        <f t="shared" ref="T392:T400" si="110">IF(Q392&gt;0,S392*100/Q392,0)</f>
        <v>0</v>
      </c>
      <c r="U392" s="470">
        <f t="shared" ref="U392:U400" si="11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469">
        <f t="shared" ref="L393:N394" si="112">L396+L399</f>
        <v>0</v>
      </c>
      <c r="M393" s="83">
        <f t="shared" si="112"/>
        <v>0</v>
      </c>
      <c r="N393" s="83">
        <f t="shared" si="112"/>
        <v>0</v>
      </c>
      <c r="O393" s="83">
        <f t="shared" si="108"/>
        <v>0</v>
      </c>
      <c r="P393" s="83">
        <f t="shared" si="109"/>
        <v>0</v>
      </c>
      <c r="Q393" s="83">
        <f t="shared" ref="Q393:S394" si="113">Q396+Q399</f>
        <v>0</v>
      </c>
      <c r="R393" s="83">
        <f t="shared" si="113"/>
        <v>0</v>
      </c>
      <c r="S393" s="83">
        <f t="shared" si="113"/>
        <v>0</v>
      </c>
      <c r="T393" s="83">
        <f t="shared" si="110"/>
        <v>0</v>
      </c>
      <c r="U393" s="83">
        <f t="shared" si="111"/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468">
        <f t="shared" si="112"/>
        <v>0</v>
      </c>
      <c r="M394" s="224">
        <f t="shared" si="112"/>
        <v>0</v>
      </c>
      <c r="N394" s="224">
        <f t="shared" si="112"/>
        <v>0</v>
      </c>
      <c r="O394" s="224">
        <f t="shared" si="108"/>
        <v>0</v>
      </c>
      <c r="P394" s="224">
        <f t="shared" si="109"/>
        <v>0</v>
      </c>
      <c r="Q394" s="224">
        <f t="shared" si="113"/>
        <v>0</v>
      </c>
      <c r="R394" s="224">
        <f t="shared" si="113"/>
        <v>0</v>
      </c>
      <c r="S394" s="224">
        <f t="shared" si="113"/>
        <v>0</v>
      </c>
      <c r="T394" s="224">
        <f t="shared" si="110"/>
        <v>0</v>
      </c>
      <c r="U394" s="224">
        <f t="shared" si="111"/>
        <v>0</v>
      </c>
    </row>
    <row r="395" spans="1:21" ht="18.75" hidden="1" x14ac:dyDescent="0.25">
      <c r="A395" s="128"/>
      <c r="B395" s="158"/>
      <c r="C395" s="158"/>
      <c r="D395" s="53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468">
        <f>L396+L397</f>
        <v>0</v>
      </c>
      <c r="M395" s="224">
        <f>M396+M397</f>
        <v>0</v>
      </c>
      <c r="N395" s="224">
        <f>N396+N397</f>
        <v>0</v>
      </c>
      <c r="O395" s="224">
        <f t="shared" si="108"/>
        <v>0</v>
      </c>
      <c r="P395" s="224">
        <f t="shared" si="109"/>
        <v>0</v>
      </c>
      <c r="Q395" s="224">
        <f>Q396+Q397</f>
        <v>0</v>
      </c>
      <c r="R395" s="224">
        <f>R396+R397</f>
        <v>0</v>
      </c>
      <c r="S395" s="224">
        <f>S396+S397</f>
        <v>0</v>
      </c>
      <c r="T395" s="224">
        <f t="shared" si="110"/>
        <v>0</v>
      </c>
      <c r="U395" s="224">
        <f t="shared" si="111"/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469">
        <v>0</v>
      </c>
      <c r="M396" s="83">
        <v>0</v>
      </c>
      <c r="N396" s="83">
        <v>0</v>
      </c>
      <c r="O396" s="83">
        <f t="shared" si="108"/>
        <v>0</v>
      </c>
      <c r="P396" s="83">
        <f t="shared" si="109"/>
        <v>0</v>
      </c>
      <c r="Q396" s="83">
        <v>0</v>
      </c>
      <c r="R396" s="83">
        <v>0</v>
      </c>
      <c r="S396" s="83">
        <v>0</v>
      </c>
      <c r="T396" s="83">
        <f t="shared" si="110"/>
        <v>0</v>
      </c>
      <c r="U396" s="83">
        <f t="shared" si="111"/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468">
        <v>0</v>
      </c>
      <c r="M397" s="224">
        <v>0</v>
      </c>
      <c r="N397" s="224">
        <v>0</v>
      </c>
      <c r="O397" s="224">
        <f t="shared" si="108"/>
        <v>0</v>
      </c>
      <c r="P397" s="224">
        <f t="shared" si="109"/>
        <v>0</v>
      </c>
      <c r="Q397" s="224">
        <v>0</v>
      </c>
      <c r="R397" s="224">
        <v>0</v>
      </c>
      <c r="S397" s="224">
        <v>0</v>
      </c>
      <c r="T397" s="224">
        <f t="shared" si="110"/>
        <v>0</v>
      </c>
      <c r="U397" s="224">
        <f t="shared" si="111"/>
        <v>0</v>
      </c>
    </row>
    <row r="398" spans="1:21" ht="18.75" hidden="1" x14ac:dyDescent="0.25">
      <c r="A398" s="128"/>
      <c r="B398" s="158"/>
      <c r="C398" s="158"/>
      <c r="D398" s="53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468">
        <f>L399+L400</f>
        <v>0</v>
      </c>
      <c r="M398" s="224">
        <f>M399+M400</f>
        <v>0</v>
      </c>
      <c r="N398" s="224">
        <f>N399+N400</f>
        <v>0</v>
      </c>
      <c r="O398" s="224">
        <f t="shared" si="108"/>
        <v>0</v>
      </c>
      <c r="P398" s="224">
        <f t="shared" si="109"/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 t="shared" si="110"/>
        <v>0</v>
      </c>
      <c r="U398" s="224">
        <f t="shared" si="111"/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469">
        <v>0</v>
      </c>
      <c r="M399" s="83">
        <v>0</v>
      </c>
      <c r="N399" s="83">
        <v>0</v>
      </c>
      <c r="O399" s="83">
        <f t="shared" si="108"/>
        <v>0</v>
      </c>
      <c r="P399" s="83">
        <f t="shared" si="109"/>
        <v>0</v>
      </c>
      <c r="Q399" s="83">
        <v>0</v>
      </c>
      <c r="R399" s="83">
        <v>0</v>
      </c>
      <c r="S399" s="83">
        <v>0</v>
      </c>
      <c r="T399" s="83">
        <f t="shared" si="110"/>
        <v>0</v>
      </c>
      <c r="U399" s="83">
        <f t="shared" si="111"/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468">
        <v>0</v>
      </c>
      <c r="M400" s="224">
        <v>0</v>
      </c>
      <c r="N400" s="224">
        <v>0</v>
      </c>
      <c r="O400" s="224">
        <f t="shared" si="108"/>
        <v>0</v>
      </c>
      <c r="P400" s="224">
        <f t="shared" si="109"/>
        <v>0</v>
      </c>
      <c r="Q400" s="224">
        <v>0</v>
      </c>
      <c r="R400" s="224">
        <v>0</v>
      </c>
      <c r="S400" s="224">
        <v>0</v>
      </c>
      <c r="T400" s="224">
        <f t="shared" si="110"/>
        <v>0</v>
      </c>
      <c r="U400" s="224">
        <f t="shared" si="111"/>
        <v>0</v>
      </c>
    </row>
    <row r="401" spans="1:21" ht="19.5" hidden="1" x14ac:dyDescent="0.3">
      <c r="A401" s="138"/>
      <c r="B401" s="139"/>
      <c r="C401" s="161" t="s">
        <v>18</v>
      </c>
      <c r="D401" s="491" t="s">
        <v>38</v>
      </c>
      <c r="E401" s="141"/>
      <c r="F401" s="141"/>
      <c r="G401" s="142"/>
      <c r="H401" s="178"/>
      <c r="I401" s="135"/>
      <c r="J401" s="44"/>
      <c r="K401" s="45"/>
      <c r="L401" s="465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11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11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11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11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11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11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11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11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11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496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hidden="1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541">
        <f ca="1">I423</f>
        <v>0</v>
      </c>
      <c r="J412" s="541">
        <f>J423</f>
        <v>0</v>
      </c>
      <c r="K412" s="540">
        <f ca="1">IF(I412&gt;0,J412*100/I412,0)</f>
        <v>0</v>
      </c>
      <c r="L412" s="539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hidden="1" x14ac:dyDescent="0.3">
      <c r="A413" s="128"/>
      <c r="B413" s="158"/>
      <c r="C413" s="322" t="s">
        <v>18</v>
      </c>
      <c r="D413" s="819" t="s">
        <v>19</v>
      </c>
      <c r="E413" s="800"/>
      <c r="F413" s="800"/>
      <c r="G413" s="801"/>
      <c r="H413" s="323" t="s">
        <v>14</v>
      </c>
      <c r="I413" s="44"/>
      <c r="J413" s="44"/>
      <c r="K413" s="45"/>
      <c r="L413" s="471">
        <f>L414+L415</f>
        <v>0</v>
      </c>
      <c r="M413" s="470">
        <f>M414+M415</f>
        <v>0</v>
      </c>
      <c r="N413" s="470">
        <f>N414+N415</f>
        <v>0</v>
      </c>
      <c r="O413" s="470">
        <f t="shared" ref="O413:O421" si="114">IF(L413&gt;0,N413*100/L413,0)</f>
        <v>0</v>
      </c>
      <c r="P413" s="470">
        <f t="shared" ref="P413:P421" si="115">IF(M413&gt;0,N413*100/M413,0)</f>
        <v>0</v>
      </c>
      <c r="Q413" s="470">
        <f ca="1">Q414+Q415</f>
        <v>0</v>
      </c>
      <c r="R413" s="470">
        <f ca="1">R414+R415</f>
        <v>0</v>
      </c>
      <c r="S413" s="470">
        <f ca="1">S414+S415</f>
        <v>0</v>
      </c>
      <c r="T413" s="470">
        <f t="shared" ref="T413:T421" ca="1" si="116">IF(Q413&gt;0,S413*100/Q413,0)</f>
        <v>0</v>
      </c>
      <c r="U413" s="470">
        <f t="shared" ref="U413:U421" ca="1" si="117">IF(R413&gt;0,S413*100/R413,0)</f>
        <v>0</v>
      </c>
    </row>
    <row r="414" spans="1:21" ht="18.75" hidden="1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469">
        <f t="shared" ref="L414:N415" si="118">L417+L420</f>
        <v>0</v>
      </c>
      <c r="M414" s="83">
        <f t="shared" si="118"/>
        <v>0</v>
      </c>
      <c r="N414" s="83">
        <f t="shared" si="118"/>
        <v>0</v>
      </c>
      <c r="O414" s="83">
        <f t="shared" si="114"/>
        <v>0</v>
      </c>
      <c r="P414" s="83">
        <f t="shared" si="115"/>
        <v>0</v>
      </c>
      <c r="Q414" s="83">
        <f t="shared" ref="Q414:S415" si="119">Q417+Q420</f>
        <v>0</v>
      </c>
      <c r="R414" s="83">
        <f t="shared" si="119"/>
        <v>0</v>
      </c>
      <c r="S414" s="83">
        <f t="shared" si="119"/>
        <v>0</v>
      </c>
      <c r="T414" s="83">
        <f t="shared" si="116"/>
        <v>0</v>
      </c>
      <c r="U414" s="83">
        <f t="shared" si="117"/>
        <v>0</v>
      </c>
    </row>
    <row r="415" spans="1:21" ht="18.75" hidden="1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468">
        <f t="shared" si="118"/>
        <v>0</v>
      </c>
      <c r="M415" s="224">
        <f t="shared" si="118"/>
        <v>0</v>
      </c>
      <c r="N415" s="224">
        <f t="shared" si="118"/>
        <v>0</v>
      </c>
      <c r="O415" s="224">
        <f t="shared" si="114"/>
        <v>0</v>
      </c>
      <c r="P415" s="224">
        <f t="shared" si="115"/>
        <v>0</v>
      </c>
      <c r="Q415" s="224">
        <f t="shared" ca="1" si="119"/>
        <v>0</v>
      </c>
      <c r="R415" s="224">
        <f t="shared" ca="1" si="119"/>
        <v>0</v>
      </c>
      <c r="S415" s="224">
        <f t="shared" ca="1" si="119"/>
        <v>0</v>
      </c>
      <c r="T415" s="224">
        <f t="shared" ca="1" si="116"/>
        <v>0</v>
      </c>
      <c r="U415" s="224">
        <f t="shared" ca="1" si="117"/>
        <v>0</v>
      </c>
    </row>
    <row r="416" spans="1:21" ht="19.5" hidden="1" x14ac:dyDescent="0.3">
      <c r="A416" s="128"/>
      <c r="B416" s="158"/>
      <c r="C416" s="158"/>
      <c r="D416" s="54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468">
        <f>L417+L418</f>
        <v>0</v>
      </c>
      <c r="M416" s="224">
        <f>M417+M418</f>
        <v>0</v>
      </c>
      <c r="N416" s="224">
        <f>N417+N418</f>
        <v>0</v>
      </c>
      <c r="O416" s="224">
        <f t="shared" si="114"/>
        <v>0</v>
      </c>
      <c r="P416" s="224">
        <f t="shared" si="115"/>
        <v>0</v>
      </c>
      <c r="Q416" s="224">
        <f ca="1">Q417+Q418</f>
        <v>0</v>
      </c>
      <c r="R416" s="224">
        <f ca="1">R417+R418</f>
        <v>0</v>
      </c>
      <c r="S416" s="224">
        <f ca="1">S417+S418</f>
        <v>0</v>
      </c>
      <c r="T416" s="224">
        <f t="shared" ca="1" si="116"/>
        <v>0</v>
      </c>
      <c r="U416" s="224">
        <f t="shared" ca="1" si="117"/>
        <v>0</v>
      </c>
    </row>
    <row r="417" spans="1:21" ht="18.75" hidden="1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469">
        <v>0</v>
      </c>
      <c r="M417" s="83">
        <v>0</v>
      </c>
      <c r="N417" s="83">
        <v>0</v>
      </c>
      <c r="O417" s="83">
        <f t="shared" si="114"/>
        <v>0</v>
      </c>
      <c r="P417" s="83">
        <f t="shared" si="115"/>
        <v>0</v>
      </c>
      <c r="Q417" s="83">
        <v>0</v>
      </c>
      <c r="R417" s="83">
        <v>0</v>
      </c>
      <c r="S417" s="83">
        <v>0</v>
      </c>
      <c r="T417" s="83">
        <f t="shared" si="116"/>
        <v>0</v>
      </c>
      <c r="U417" s="83">
        <f t="shared" si="117"/>
        <v>0</v>
      </c>
    </row>
    <row r="418" spans="1:21" ht="18.75" hidden="1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468">
        <v>0</v>
      </c>
      <c r="M418" s="224">
        <v>0</v>
      </c>
      <c r="N418" s="224">
        <v>0</v>
      </c>
      <c r="O418" s="224">
        <f t="shared" si="114"/>
        <v>0</v>
      </c>
      <c r="P418" s="224">
        <f t="shared" si="115"/>
        <v>0</v>
      </c>
      <c r="Q418" s="224">
        <f ca="1">IFERROR(__xludf.DUMMYFUNCTION("IMPORTRANGE(""https://docs.google.com/spreadsheets/d/1ItG2mGa2ceCfYo0BwxsXqNm01IGEUdYcSSLTEv9YCik/edit?usp=sharing"",""เบิกจ่ายกองทุน!BH14"")"),0)</f>
        <v>0</v>
      </c>
      <c r="R418" s="224">
        <f ca="1">IFERROR(__xludf.DUMMYFUNCTION("IMPORTRANGE(""https://docs.google.com/spreadsheets/d/1ItG2mGa2ceCfYo0BwxsXqNm01IGEUdYcSSLTEv9YCik/edit?usp=sharing"",""เบิกจ่ายกองทุน!BI14"")"),0)</f>
        <v>0</v>
      </c>
      <c r="S418" s="224">
        <f ca="1">IFERROR(__xludf.DUMMYFUNCTION("IMPORTRANGE(""https://docs.google.com/spreadsheets/d/1ItG2mGa2ceCfYo0BwxsXqNm01IGEUdYcSSLTEv9YCik/edit?usp=sharing"",""เบิกจ่ายกองทุน!BJ14"")"),0)</f>
        <v>0</v>
      </c>
      <c r="T418" s="224">
        <f t="shared" ca="1" si="116"/>
        <v>0</v>
      </c>
      <c r="U418" s="224">
        <f t="shared" ca="1" si="117"/>
        <v>0</v>
      </c>
    </row>
    <row r="419" spans="1:21" ht="19.5" hidden="1" x14ac:dyDescent="0.3">
      <c r="A419" s="128"/>
      <c r="B419" s="158"/>
      <c r="C419" s="158"/>
      <c r="D419" s="54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468">
        <f>L420+L421</f>
        <v>0</v>
      </c>
      <c r="M419" s="224">
        <f>M420+M421</f>
        <v>0</v>
      </c>
      <c r="N419" s="224">
        <f>N420+N421</f>
        <v>0</v>
      </c>
      <c r="O419" s="224">
        <f t="shared" si="114"/>
        <v>0</v>
      </c>
      <c r="P419" s="224">
        <f t="shared" si="115"/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 t="shared" si="116"/>
        <v>0</v>
      </c>
      <c r="U419" s="224">
        <f t="shared" si="117"/>
        <v>0</v>
      </c>
    </row>
    <row r="420" spans="1:21" ht="18.75" hidden="1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469">
        <v>0</v>
      </c>
      <c r="M420" s="83">
        <v>0</v>
      </c>
      <c r="N420" s="83">
        <v>0</v>
      </c>
      <c r="O420" s="83">
        <f t="shared" si="114"/>
        <v>0</v>
      </c>
      <c r="P420" s="83">
        <f t="shared" si="115"/>
        <v>0</v>
      </c>
      <c r="Q420" s="83">
        <v>0</v>
      </c>
      <c r="R420" s="83">
        <v>0</v>
      </c>
      <c r="S420" s="83">
        <v>0</v>
      </c>
      <c r="T420" s="83">
        <f t="shared" si="116"/>
        <v>0</v>
      </c>
      <c r="U420" s="83">
        <f t="shared" si="117"/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468">
        <v>0</v>
      </c>
      <c r="M421" s="224">
        <v>0</v>
      </c>
      <c r="N421" s="224">
        <v>0</v>
      </c>
      <c r="O421" s="224">
        <f t="shared" si="114"/>
        <v>0</v>
      </c>
      <c r="P421" s="224">
        <f t="shared" si="115"/>
        <v>0</v>
      </c>
      <c r="Q421" s="224">
        <v>0</v>
      </c>
      <c r="R421" s="224">
        <v>0</v>
      </c>
      <c r="S421" s="224">
        <v>0</v>
      </c>
      <c r="T421" s="224">
        <f t="shared" si="116"/>
        <v>0</v>
      </c>
      <c r="U421" s="224">
        <f t="shared" si="117"/>
        <v>0</v>
      </c>
    </row>
    <row r="422" spans="1:21" ht="19.5" hidden="1" x14ac:dyDescent="0.3">
      <c r="A422" s="208"/>
      <c r="B422" s="158"/>
      <c r="C422" s="322" t="s">
        <v>18</v>
      </c>
      <c r="D422" s="543" t="s">
        <v>38</v>
      </c>
      <c r="E422" s="158"/>
      <c r="F422" s="158"/>
      <c r="G422" s="180"/>
      <c r="H422" s="180"/>
      <c r="I422" s="44"/>
      <c r="J422" s="44"/>
      <c r="K422" s="45"/>
      <c r="L422" s="465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ca="1">I440</f>
        <v>0</v>
      </c>
      <c r="J423" s="328">
        <f>J440</f>
        <v>0</v>
      </c>
      <c r="K423" s="470">
        <f ca="1">IF(I423&gt;0,J423*100/I423,0)</f>
        <v>0</v>
      </c>
      <c r="L423" s="465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IFERROR(__xludf.DUMMYFUNCTION("IMPORTRANGE(""https://docs.google.com/spreadsheets/d/1eHaY18a8A9IcSdp1K8H6x8fbOy06t2VsZHhMHf-1x7Y/edit?usp=sharing"",""แผน!HJ14"")"),0)</f>
        <v>0</v>
      </c>
      <c r="J424" s="328">
        <f>J426+J428+J430</f>
        <v>0</v>
      </c>
      <c r="K424" s="470">
        <f ca="1">IF(I424&gt;0,J424*100/I424,0)</f>
        <v>0</v>
      </c>
      <c r="L424" s="465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IFERROR(__xludf.DUMMYFUNCTION("IMPORTRANGE(""https://docs.google.com/spreadsheets/d/1eHaY18a8A9IcSdp1K8H6x8fbOy06t2VsZHhMHf-1x7Y/edit?usp=sharing"",""แผน!HK14"")"),0)</f>
        <v>0</v>
      </c>
      <c r="J425" s="328">
        <f>J427+J429+J431</f>
        <v>0</v>
      </c>
      <c r="K425" s="470">
        <f ca="1">IF(I425&gt;0,J425*100/I425,0)</f>
        <v>0</v>
      </c>
      <c r="L425" s="465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465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465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465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465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465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465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IFERROR(__xludf.DUMMYFUNCTION("IMPORTRANGE(""https://docs.google.com/spreadsheets/d/1eHaY18a8A9IcSdp1K8H6x8fbOy06t2VsZHhMHf-1x7Y/edit?usp=sharing"",""แผน!HJ14"")"),0)</f>
        <v>0</v>
      </c>
      <c r="J432" s="328">
        <f>J434+J436+J438</f>
        <v>0</v>
      </c>
      <c r="K432" s="470">
        <f ca="1">IF(I432&gt;0,J432*100/I432,0)</f>
        <v>0</v>
      </c>
      <c r="L432" s="465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IFERROR(__xludf.DUMMYFUNCTION("IMPORTRANGE(""https://docs.google.com/spreadsheets/d/1eHaY18a8A9IcSdp1K8H6x8fbOy06t2VsZHhMHf-1x7Y/edit?usp=sharing"",""แผน!HK14"")"),0)</f>
        <v>0</v>
      </c>
      <c r="J433" s="328">
        <f>J435+J437+J439</f>
        <v>0</v>
      </c>
      <c r="K433" s="470">
        <f ca="1">IF(I433&gt;0,J433*100/I433,0)</f>
        <v>0</v>
      </c>
      <c r="L433" s="465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465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465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465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465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465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465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IFERROR(__xludf.DUMMYFUNCTION("IMPORTRANGE(""https://docs.google.com/spreadsheets/d/1eHaY18a8A9IcSdp1K8H6x8fbOy06t2VsZHhMHf-1x7Y/edit?usp=sharing"",""แผน!HJ14"")"),0)</f>
        <v>0</v>
      </c>
      <c r="J440" s="328">
        <f>J442+J444+J446+J452+J454</f>
        <v>0</v>
      </c>
      <c r="K440" s="470">
        <f ca="1">IF(I440&gt;0,J440*100/I440,0)</f>
        <v>0</v>
      </c>
      <c r="L440" s="465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IFERROR(__xludf.DUMMYFUNCTION("IMPORTRANGE(""https://docs.google.com/spreadsheets/d/1eHaY18a8A9IcSdp1K8H6x8fbOy06t2VsZHhMHf-1x7Y/edit?usp=sharing"",""แผน!HK14"")"),0)</f>
        <v>0</v>
      </c>
      <c r="J441" s="328">
        <f>J443+J445+J447+J453+J455</f>
        <v>0</v>
      </c>
      <c r="K441" s="470">
        <f ca="1">IF(I441&gt;0,J441*100/I441,0)</f>
        <v>0</v>
      </c>
      <c r="L441" s="465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465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465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465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465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>J448+J450</f>
        <v>0</v>
      </c>
      <c r="K446" s="45"/>
      <c r="L446" s="465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>J449+J451</f>
        <v>0</v>
      </c>
      <c r="K447" s="45"/>
      <c r="L447" s="465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465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465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465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465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465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465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542"/>
      <c r="K454" s="45"/>
      <c r="L454" s="465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465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hidden="1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ca="1">I457</f>
        <v>0</v>
      </c>
      <c r="J456" s="328">
        <f>J457</f>
        <v>0</v>
      </c>
      <c r="K456" s="470">
        <f ca="1">IF(I456&gt;0,J456*100/I456,0)</f>
        <v>0</v>
      </c>
      <c r="L456" s="465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IFERROR(__xludf.DUMMYFUNCTION("IMPORTRANGE(""https://docs.google.com/spreadsheets/d/1eHaY18a8A9IcSdp1K8H6x8fbOy06t2VsZHhMHf-1x7Y/edit?usp=sharing"",""แผน!HL14"")"),0)</f>
        <v>0</v>
      </c>
      <c r="J457" s="328">
        <f>J459+J467+J473</f>
        <v>0</v>
      </c>
      <c r="K457" s="470">
        <f ca="1">IF(I457&gt;0,J457*100/I457,0)</f>
        <v>0</v>
      </c>
      <c r="L457" s="465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IFERROR(__xludf.DUMMYFUNCTION("IMPORTRANGE(""https://docs.google.com/spreadsheets/d/1eHaY18a8A9IcSdp1K8H6x8fbOy06t2VsZHhMHf-1x7Y/edit?usp=sharing"",""แผน!HM14"")"),0)</f>
        <v>0</v>
      </c>
      <c r="J458" s="328">
        <f>J460+J468+J474</f>
        <v>0</v>
      </c>
      <c r="K458" s="470">
        <f ca="1">IF(I458&gt;0,J458*100/I458,0)</f>
        <v>0</v>
      </c>
      <c r="L458" s="465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hidden="1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>J461+J463</f>
        <v>0</v>
      </c>
      <c r="K459" s="45"/>
      <c r="L459" s="465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>J462+J464</f>
        <v>0</v>
      </c>
      <c r="K460" s="45"/>
      <c r="L460" s="465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465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465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465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465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465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465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>J469+J471</f>
        <v>0</v>
      </c>
      <c r="K467" s="45"/>
      <c r="L467" s="465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>J470+J472</f>
        <v>0</v>
      </c>
      <c r="K468" s="45"/>
      <c r="L468" s="465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465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465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465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465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465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465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470">
        <f>IF(I475&gt;0,J475*100/I475,0)</f>
        <v>0</v>
      </c>
      <c r="L475" s="465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>J478+J480</f>
        <v>0</v>
      </c>
      <c r="K476" s="470">
        <f>IF(I476&gt;0,J476*100/I476,0)</f>
        <v>0</v>
      </c>
      <c r="L476" s="465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>J479+J481</f>
        <v>0</v>
      </c>
      <c r="K477" s="470">
        <f>IF(I477&gt;0,J477*100/I477,0)</f>
        <v>0</v>
      </c>
      <c r="L477" s="465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hidden="1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465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465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465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465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IFERROR(__xludf.DUMMYFUNCTION("IMPORTRANGE(""https://docs.google.com/spreadsheets/d/1eHaY18a8A9IcSdp1K8H6x8fbOy06t2VsZHhMHf-1x7Y/edit?usp=sharing"",""แผน!HN14"")"),0)</f>
        <v>0</v>
      </c>
      <c r="K482" s="45"/>
      <c r="L482" s="465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IFERROR(__xludf.DUMMYFUNCTION("IMPORTRANGE(""https://docs.google.com/spreadsheets/d/1eHaY18a8A9IcSdp1K8H6x8fbOy06t2VsZHhMHf-1x7Y/edit?usp=sharing"",""แผน!HO14"")"),0)</f>
        <v>0</v>
      </c>
      <c r="K483" s="45"/>
      <c r="L483" s="465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>J480</f>
        <v>0</v>
      </c>
      <c r="J484" s="328">
        <f>J486+J488+J490</f>
        <v>0</v>
      </c>
      <c r="K484" s="470">
        <f>IF(I484&gt;0,J484*100/I484,0)</f>
        <v>0</v>
      </c>
      <c r="L484" s="465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>J481</f>
        <v>0</v>
      </c>
      <c r="J485" s="328">
        <f>J487+J489+J491</f>
        <v>0</v>
      </c>
      <c r="K485" s="470">
        <f>IF(I485&gt;0,J485*100/I485,0)</f>
        <v>0</v>
      </c>
      <c r="L485" s="465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hidden="1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465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465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465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465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465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46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541">
        <f ca="1">I503</f>
        <v>0</v>
      </c>
      <c r="J492" s="541">
        <f ca="1">J503</f>
        <v>0</v>
      </c>
      <c r="K492" s="540">
        <f ca="1">IF(I492&gt;0,J492*100/I492,0)</f>
        <v>0</v>
      </c>
      <c r="L492" s="539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hidden="1" x14ac:dyDescent="0.3">
      <c r="A493" s="128"/>
      <c r="B493" s="158"/>
      <c r="C493" s="177" t="s">
        <v>18</v>
      </c>
      <c r="D493" s="819" t="s">
        <v>19</v>
      </c>
      <c r="E493" s="800"/>
      <c r="F493" s="800"/>
      <c r="G493" s="42"/>
      <c r="H493" s="221" t="s">
        <v>14</v>
      </c>
      <c r="I493" s="44"/>
      <c r="J493" s="44"/>
      <c r="K493" s="45"/>
      <c r="L493" s="471">
        <f>L494+L495</f>
        <v>0</v>
      </c>
      <c r="M493" s="470">
        <f>M494+M495</f>
        <v>0</v>
      </c>
      <c r="N493" s="470">
        <f>N494+N495</f>
        <v>0</v>
      </c>
      <c r="O493" s="470">
        <f t="shared" ref="O493:O501" si="120">IF(L493&gt;0,N493*100/L493,0)</f>
        <v>0</v>
      </c>
      <c r="P493" s="470">
        <f t="shared" ref="P493:P501" si="121">IF(M493&gt;0,N493*100/M493,0)</f>
        <v>0</v>
      </c>
      <c r="Q493" s="470">
        <f ca="1">Q494+Q495</f>
        <v>0</v>
      </c>
      <c r="R493" s="470">
        <f ca="1">R494+R495</f>
        <v>0</v>
      </c>
      <c r="S493" s="470">
        <f ca="1">S494+S495</f>
        <v>0</v>
      </c>
      <c r="T493" s="470">
        <f t="shared" ref="T493:T501" ca="1" si="122">IF(Q493&gt;0,S493*100/Q493,0)</f>
        <v>0</v>
      </c>
      <c r="U493" s="470">
        <f t="shared" ref="U493:U501" ca="1" si="123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469">
        <f t="shared" ref="L494:N495" si="124">L497+L500</f>
        <v>0</v>
      </c>
      <c r="M494" s="83">
        <f t="shared" si="124"/>
        <v>0</v>
      </c>
      <c r="N494" s="83">
        <f t="shared" si="124"/>
        <v>0</v>
      </c>
      <c r="O494" s="83">
        <f t="shared" si="120"/>
        <v>0</v>
      </c>
      <c r="P494" s="83">
        <f t="shared" si="121"/>
        <v>0</v>
      </c>
      <c r="Q494" s="83">
        <f t="shared" ref="Q494:S495" si="125">Q497+Q500</f>
        <v>0</v>
      </c>
      <c r="R494" s="83">
        <f t="shared" si="125"/>
        <v>0</v>
      </c>
      <c r="S494" s="83">
        <f t="shared" si="125"/>
        <v>0</v>
      </c>
      <c r="T494" s="83">
        <f t="shared" si="122"/>
        <v>0</v>
      </c>
      <c r="U494" s="83">
        <f t="shared" si="123"/>
        <v>0</v>
      </c>
    </row>
    <row r="495" spans="1:21" ht="18.75" hidden="1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468">
        <f t="shared" si="124"/>
        <v>0</v>
      </c>
      <c r="M495" s="224">
        <f t="shared" si="124"/>
        <v>0</v>
      </c>
      <c r="N495" s="224">
        <f t="shared" si="124"/>
        <v>0</v>
      </c>
      <c r="O495" s="224">
        <f t="shared" si="120"/>
        <v>0</v>
      </c>
      <c r="P495" s="224">
        <f t="shared" si="121"/>
        <v>0</v>
      </c>
      <c r="Q495" s="224">
        <f t="shared" ca="1" si="125"/>
        <v>0</v>
      </c>
      <c r="R495" s="224">
        <f t="shared" ca="1" si="125"/>
        <v>0</v>
      </c>
      <c r="S495" s="224">
        <f t="shared" ca="1" si="125"/>
        <v>0</v>
      </c>
      <c r="T495" s="224">
        <f t="shared" ca="1" si="122"/>
        <v>0</v>
      </c>
      <c r="U495" s="224">
        <f t="shared" ca="1" si="123"/>
        <v>0</v>
      </c>
    </row>
    <row r="496" spans="1:21" ht="18.75" hidden="1" x14ac:dyDescent="0.25">
      <c r="A496" s="128"/>
      <c r="B496" s="158"/>
      <c r="C496" s="158"/>
      <c r="D496" s="53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468">
        <f>L497+L498</f>
        <v>0</v>
      </c>
      <c r="M496" s="224">
        <f>M497+M498</f>
        <v>0</v>
      </c>
      <c r="N496" s="224">
        <f>N497+N498</f>
        <v>0</v>
      </c>
      <c r="O496" s="224">
        <f t="shared" si="120"/>
        <v>0</v>
      </c>
      <c r="P496" s="224">
        <f t="shared" si="121"/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t="shared" ca="1" si="122"/>
        <v>0</v>
      </c>
      <c r="U496" s="224">
        <f t="shared" ca="1" si="123"/>
        <v>0</v>
      </c>
    </row>
    <row r="497" spans="1:21" ht="18.75" hidden="1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469">
        <v>0</v>
      </c>
      <c r="M497" s="83">
        <v>0</v>
      </c>
      <c r="N497" s="83">
        <v>0</v>
      </c>
      <c r="O497" s="83">
        <f t="shared" si="120"/>
        <v>0</v>
      </c>
      <c r="P497" s="83">
        <f t="shared" si="121"/>
        <v>0</v>
      </c>
      <c r="Q497" s="83">
        <v>0</v>
      </c>
      <c r="R497" s="83">
        <v>0</v>
      </c>
      <c r="S497" s="83">
        <v>0</v>
      </c>
      <c r="T497" s="83">
        <f t="shared" si="122"/>
        <v>0</v>
      </c>
      <c r="U497" s="83">
        <f t="shared" si="123"/>
        <v>0</v>
      </c>
    </row>
    <row r="498" spans="1:21" ht="18.75" hidden="1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468">
        <v>0</v>
      </c>
      <c r="M498" s="224">
        <v>0</v>
      </c>
      <c r="N498" s="224">
        <v>0</v>
      </c>
      <c r="O498" s="224">
        <f t="shared" si="120"/>
        <v>0</v>
      </c>
      <c r="P498" s="224">
        <f t="shared" si="121"/>
        <v>0</v>
      </c>
      <c r="Q498" s="224">
        <f ca="1">IFERROR(__xludf.DUMMYFUNCTION("IMPORTRANGE(""https://docs.google.com/spreadsheets/d/1ItG2mGa2ceCfYo0BwxsXqNm01IGEUdYcSSLTEv9YCik/edit?usp=sharing"",""เบิกจ่ายกองทุน!X14"")"),0)</f>
        <v>0</v>
      </c>
      <c r="R498" s="224">
        <f ca="1">IFERROR(__xludf.DUMMYFUNCTION("IMPORTRANGE(""https://docs.google.com/spreadsheets/d/1ItG2mGa2ceCfYo0BwxsXqNm01IGEUdYcSSLTEv9YCik/edit?usp=sharing"",""เบิกจ่ายกองทุน!Y14"")"),0)</f>
        <v>0</v>
      </c>
      <c r="S498" s="224">
        <f ca="1">IFERROR(__xludf.DUMMYFUNCTION("IMPORTRANGE(""https://docs.google.com/spreadsheets/d/1ItG2mGa2ceCfYo0BwxsXqNm01IGEUdYcSSLTEv9YCik/edit?usp=sharing"",""เบิกจ่ายกองทุน!Z14"")"),0)</f>
        <v>0</v>
      </c>
      <c r="T498" s="224">
        <f t="shared" ca="1" si="122"/>
        <v>0</v>
      </c>
      <c r="U498" s="224">
        <f t="shared" ca="1" si="123"/>
        <v>0</v>
      </c>
    </row>
    <row r="499" spans="1:21" ht="18.75" hidden="1" x14ac:dyDescent="0.25">
      <c r="A499" s="128"/>
      <c r="B499" s="158"/>
      <c r="C499" s="158"/>
      <c r="D499" s="53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468">
        <f>L500+L501</f>
        <v>0</v>
      </c>
      <c r="M499" s="224">
        <f>M500+M501</f>
        <v>0</v>
      </c>
      <c r="N499" s="224">
        <f>N500+N501</f>
        <v>0</v>
      </c>
      <c r="O499" s="224">
        <f t="shared" si="120"/>
        <v>0</v>
      </c>
      <c r="P499" s="224">
        <f t="shared" si="121"/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 t="shared" si="122"/>
        <v>0</v>
      </c>
      <c r="U499" s="224">
        <f t="shared" si="123"/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469">
        <v>0</v>
      </c>
      <c r="M500" s="83">
        <v>0</v>
      </c>
      <c r="N500" s="83">
        <v>0</v>
      </c>
      <c r="O500" s="83">
        <f t="shared" si="120"/>
        <v>0</v>
      </c>
      <c r="P500" s="83">
        <f t="shared" si="121"/>
        <v>0</v>
      </c>
      <c r="Q500" s="83">
        <v>0</v>
      </c>
      <c r="R500" s="83">
        <v>0</v>
      </c>
      <c r="S500" s="83">
        <v>0</v>
      </c>
      <c r="T500" s="83">
        <f t="shared" si="122"/>
        <v>0</v>
      </c>
      <c r="U500" s="83">
        <f t="shared" si="123"/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468">
        <v>0</v>
      </c>
      <c r="M501" s="224">
        <v>0</v>
      </c>
      <c r="N501" s="224">
        <v>0</v>
      </c>
      <c r="O501" s="224">
        <f t="shared" si="120"/>
        <v>0</v>
      </c>
      <c r="P501" s="224">
        <f t="shared" si="121"/>
        <v>0</v>
      </c>
      <c r="Q501" s="224">
        <v>0</v>
      </c>
      <c r="R501" s="224">
        <v>0</v>
      </c>
      <c r="S501" s="224">
        <v>0</v>
      </c>
      <c r="T501" s="224">
        <f t="shared" si="122"/>
        <v>0</v>
      </c>
      <c r="U501" s="224">
        <f t="shared" si="123"/>
        <v>0</v>
      </c>
    </row>
    <row r="502" spans="1:21" ht="19.5" hidden="1" x14ac:dyDescent="0.3">
      <c r="A502" s="138"/>
      <c r="B502" s="139"/>
      <c r="C502" s="177" t="s">
        <v>18</v>
      </c>
      <c r="D502" s="491" t="s">
        <v>38</v>
      </c>
      <c r="E502" s="141"/>
      <c r="F502" s="141"/>
      <c r="G502" s="142"/>
      <c r="H502" s="178"/>
      <c r="I502" s="135"/>
      <c r="J502" s="135"/>
      <c r="K502" s="136"/>
      <c r="L502" s="4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IFERROR(__xludf.DUMMYFUNCTION("IMPORTRANGE(""https://docs.google.com/spreadsheets/d/1eHaY18a8A9IcSdp1K8H6x8fbOy06t2VsZHhMHf-1x7Y/edit?usp=sharing"",""แผน!GX14"")"),0)</f>
        <v>0</v>
      </c>
      <c r="J503" s="328">
        <f ca="1">IF(AND(J504=I504,J505=I505,J506=I506,J507=I507),I503,0)</f>
        <v>0</v>
      </c>
      <c r="K503" s="470">
        <f t="shared" ref="K503:K509" ca="1" si="126">IF(I503&gt;0,J503*100/I503,0)</f>
        <v>0</v>
      </c>
      <c r="L503" s="465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IFERROR(__xludf.DUMMYFUNCTION("IMPORTRANGE(""https://docs.google.com/spreadsheets/d/1eHaY18a8A9IcSdp1K8H6x8fbOy06t2VsZHhMHf-1x7Y/edit?usp=sharing"",""แผน!GY14"")"),0)</f>
        <v>0</v>
      </c>
      <c r="J504" s="466">
        <v>0</v>
      </c>
      <c r="K504" s="224">
        <f t="shared" ca="1" si="126"/>
        <v>0</v>
      </c>
      <c r="L504" s="465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IFERROR(__xludf.DUMMYFUNCTION("IMPORTRANGE(""https://docs.google.com/spreadsheets/d/1eHaY18a8A9IcSdp1K8H6x8fbOy06t2VsZHhMHf-1x7Y/edit?usp=sharing"",""แผน!GZ14"")"),0)</f>
        <v>0</v>
      </c>
      <c r="J505" s="466">
        <v>0</v>
      </c>
      <c r="K505" s="224">
        <f t="shared" ca="1" si="126"/>
        <v>0</v>
      </c>
      <c r="L505" s="465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IFERROR(__xludf.DUMMYFUNCTION("IMPORTRANGE(""https://docs.google.com/spreadsheets/d/1eHaY18a8A9IcSdp1K8H6x8fbOy06t2VsZHhMHf-1x7Y/edit?usp=sharing"",""แผน!HA14"")"),0)</f>
        <v>0</v>
      </c>
      <c r="J506" s="466">
        <v>0</v>
      </c>
      <c r="K506" s="224">
        <f t="shared" ca="1" si="126"/>
        <v>0</v>
      </c>
      <c r="L506" s="465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IFERROR(__xludf.DUMMYFUNCTION("IMPORTRANGE(""https://docs.google.com/spreadsheets/d/1eHaY18a8A9IcSdp1K8H6x8fbOy06t2VsZHhMHf-1x7Y/edit?usp=sharing"",""แผน!HB14"")"),0)</f>
        <v>0</v>
      </c>
      <c r="J507" s="466">
        <v>0</v>
      </c>
      <c r="K507" s="224">
        <f t="shared" ca="1" si="126"/>
        <v>0</v>
      </c>
      <c r="L507" s="465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 t="shared" si="126"/>
        <v>0</v>
      </c>
      <c r="L508" s="465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IFERROR(__xludf.DUMMYFUNCTION("IMPORTRANGE(""https://docs.google.com/spreadsheets/d/1eHaY18a8A9IcSdp1K8H6x8fbOy06t2VsZHhMHf-1x7Y/edit?usp=sharing"",""แผน!HC14"")"),0)</f>
        <v>0</v>
      </c>
      <c r="J509" s="464">
        <v>0</v>
      </c>
      <c r="K509" s="455">
        <f t="shared" ca="1" si="126"/>
        <v>0</v>
      </c>
      <c r="L509" s="46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537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536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hidden="1" x14ac:dyDescent="0.3">
      <c r="A511" s="535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534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hidden="1" x14ac:dyDescent="0.3">
      <c r="A512" s="349"/>
      <c r="B512" s="533" t="s">
        <v>207</v>
      </c>
      <c r="C512" s="351"/>
      <c r="D512" s="352"/>
      <c r="E512" s="352"/>
      <c r="F512" s="352"/>
      <c r="G512" s="353"/>
      <c r="H512" s="532" t="s">
        <v>61</v>
      </c>
      <c r="I512" s="531">
        <f>I524</f>
        <v>0</v>
      </c>
      <c r="J512" s="531">
        <f>J524</f>
        <v>0</v>
      </c>
      <c r="K512" s="530">
        <f>IF(I512&gt;0,J512*100/I512,0)</f>
        <v>0</v>
      </c>
      <c r="L512" s="512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hidden="1" x14ac:dyDescent="0.3">
      <c r="A513" s="128"/>
      <c r="B513" s="40"/>
      <c r="C513" s="527" t="s">
        <v>18</v>
      </c>
      <c r="D513" s="494" t="s">
        <v>19</v>
      </c>
      <c r="E513" s="40"/>
      <c r="F513" s="40"/>
      <c r="G513" s="42"/>
      <c r="H513" s="529" t="s">
        <v>14</v>
      </c>
      <c r="I513" s="44"/>
      <c r="J513" s="44"/>
      <c r="K513" s="45"/>
      <c r="L513" s="471">
        <f ca="1">L514+L515</f>
        <v>0</v>
      </c>
      <c r="M513" s="470">
        <f ca="1">M514+M515</f>
        <v>0</v>
      </c>
      <c r="N513" s="470">
        <f ca="1">N514+N515</f>
        <v>0</v>
      </c>
      <c r="O513" s="470">
        <f t="shared" ref="O513:O521" ca="1" si="127">IF(L513&gt;0,N513*100/L513,0)</f>
        <v>0</v>
      </c>
      <c r="P513" s="470">
        <f t="shared" ref="P513:P521" ca="1" si="128">IF(M513&gt;0,N513*100/M513,0)</f>
        <v>0</v>
      </c>
      <c r="Q513" s="470">
        <f>Q514+Q515</f>
        <v>0</v>
      </c>
      <c r="R513" s="470">
        <f>R514+R515</f>
        <v>0</v>
      </c>
      <c r="S513" s="470">
        <f>S514+S515</f>
        <v>0</v>
      </c>
      <c r="T513" s="470">
        <f t="shared" ref="T513:T521" si="129">IF(Q513&gt;0,S513*100/Q513,0)</f>
        <v>0</v>
      </c>
      <c r="U513" s="470">
        <f t="shared" ref="U513:U521" si="130"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469">
        <f t="shared" ref="L514:N515" si="131">L517+L520</f>
        <v>0</v>
      </c>
      <c r="M514" s="83">
        <f t="shared" si="131"/>
        <v>0</v>
      </c>
      <c r="N514" s="83">
        <f t="shared" si="131"/>
        <v>0</v>
      </c>
      <c r="O514" s="83">
        <f t="shared" si="127"/>
        <v>0</v>
      </c>
      <c r="P514" s="83">
        <f t="shared" si="128"/>
        <v>0</v>
      </c>
      <c r="Q514" s="83">
        <f t="shared" ref="Q514:S515" si="132">Q517+Q520</f>
        <v>0</v>
      </c>
      <c r="R514" s="83">
        <f t="shared" si="132"/>
        <v>0</v>
      </c>
      <c r="S514" s="83">
        <f t="shared" si="132"/>
        <v>0</v>
      </c>
      <c r="T514" s="83">
        <f t="shared" si="129"/>
        <v>0</v>
      </c>
      <c r="U514" s="83">
        <f t="shared" si="130"/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468">
        <f t="shared" ca="1" si="131"/>
        <v>0</v>
      </c>
      <c r="M515" s="224">
        <f t="shared" ca="1" si="131"/>
        <v>0</v>
      </c>
      <c r="N515" s="224">
        <f t="shared" ca="1" si="131"/>
        <v>0</v>
      </c>
      <c r="O515" s="224">
        <f t="shared" ca="1" si="127"/>
        <v>0</v>
      </c>
      <c r="P515" s="224">
        <f t="shared" ca="1" si="128"/>
        <v>0</v>
      </c>
      <c r="Q515" s="224">
        <f t="shared" si="132"/>
        <v>0</v>
      </c>
      <c r="R515" s="224">
        <f t="shared" si="132"/>
        <v>0</v>
      </c>
      <c r="S515" s="224">
        <f t="shared" si="132"/>
        <v>0</v>
      </c>
      <c r="T515" s="224">
        <f t="shared" si="129"/>
        <v>0</v>
      </c>
      <c r="U515" s="224">
        <f t="shared" si="130"/>
        <v>0</v>
      </c>
    </row>
    <row r="516" spans="1:21" ht="18.75" hidden="1" x14ac:dyDescent="0.25">
      <c r="A516" s="128"/>
      <c r="B516" s="40"/>
      <c r="C516" s="40"/>
      <c r="D516" s="52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468">
        <f ca="1">L517+L518</f>
        <v>0</v>
      </c>
      <c r="M516" s="224">
        <f ca="1">M517+M518</f>
        <v>0</v>
      </c>
      <c r="N516" s="224">
        <f ca="1">N517+N518</f>
        <v>0</v>
      </c>
      <c r="O516" s="224">
        <f t="shared" ca="1" si="127"/>
        <v>0</v>
      </c>
      <c r="P516" s="224">
        <f t="shared" ca="1" si="128"/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 t="shared" si="129"/>
        <v>0</v>
      </c>
      <c r="U516" s="224">
        <f t="shared" si="130"/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469">
        <v>0</v>
      </c>
      <c r="M517" s="83">
        <v>0</v>
      </c>
      <c r="N517" s="83">
        <v>0</v>
      </c>
      <c r="O517" s="83">
        <f t="shared" si="127"/>
        <v>0</v>
      </c>
      <c r="P517" s="83">
        <f t="shared" si="128"/>
        <v>0</v>
      </c>
      <c r="Q517" s="83">
        <v>0</v>
      </c>
      <c r="R517" s="83">
        <v>0</v>
      </c>
      <c r="S517" s="83">
        <v>0</v>
      </c>
      <c r="T517" s="83">
        <f t="shared" si="129"/>
        <v>0</v>
      </c>
      <c r="U517" s="83">
        <f t="shared" si="130"/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468">
        <f ca="1">IFERROR(__xludf.DUMMYFUNCTION("IMPORTRANGE(""https://docs.google.com/spreadsheets/d/1-uDff_7J0KD5mKrp0Vvzr7lt3OU09vwQwhkpOPPYv2Y/edit?usp=sharing"",""งบพรบ!FM14"")"),0)</f>
        <v>0</v>
      </c>
      <c r="M518" s="224">
        <f ca="1">IFERROR(__xludf.DUMMYFUNCTION("IMPORTRANGE(""https://docs.google.com/spreadsheets/d/1-uDff_7J0KD5mKrp0Vvzr7lt3OU09vwQwhkpOPPYv2Y/edit?usp=sharing"",""งบพรบ!FR14"")"),0)</f>
        <v>0</v>
      </c>
      <c r="N518" s="224">
        <f ca="1">IFERROR(__xludf.DUMMYFUNCTION("IMPORTRANGE(""https://docs.google.com/spreadsheets/d/1-uDff_7J0KD5mKrp0Vvzr7lt3OU09vwQwhkpOPPYv2Y/edit?usp=sharing"",""งบพรบ!FT14"")"),0)</f>
        <v>0</v>
      </c>
      <c r="O518" s="224">
        <f t="shared" ca="1" si="127"/>
        <v>0</v>
      </c>
      <c r="P518" s="224">
        <f t="shared" ca="1" si="128"/>
        <v>0</v>
      </c>
      <c r="Q518" s="224">
        <v>0</v>
      </c>
      <c r="R518" s="224">
        <v>0</v>
      </c>
      <c r="S518" s="224">
        <v>0</v>
      </c>
      <c r="T518" s="224">
        <f t="shared" si="129"/>
        <v>0</v>
      </c>
      <c r="U518" s="224">
        <f t="shared" si="130"/>
        <v>0</v>
      </c>
    </row>
    <row r="519" spans="1:21" ht="18.75" hidden="1" x14ac:dyDescent="0.25">
      <c r="A519" s="128"/>
      <c r="B519" s="40"/>
      <c r="C519" s="40"/>
      <c r="D519" s="528" t="s">
        <v>23</v>
      </c>
      <c r="E519" s="40"/>
      <c r="F519" s="40"/>
      <c r="G519" s="42"/>
      <c r="H519" s="375" t="s">
        <v>14</v>
      </c>
      <c r="I519" s="135"/>
      <c r="J519" s="135"/>
      <c r="K519" s="136"/>
      <c r="L519" s="468">
        <f ca="1">L520+L521</f>
        <v>0</v>
      </c>
      <c r="M519" s="224">
        <f ca="1">M520+M521</f>
        <v>0</v>
      </c>
      <c r="N519" s="224">
        <f ca="1">N520+N521</f>
        <v>0</v>
      </c>
      <c r="O519" s="224">
        <f t="shared" ca="1" si="127"/>
        <v>0</v>
      </c>
      <c r="P519" s="224">
        <f t="shared" ca="1" si="128"/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 t="shared" si="129"/>
        <v>0</v>
      </c>
      <c r="U519" s="224">
        <f t="shared" si="130"/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469">
        <v>0</v>
      </c>
      <c r="M520" s="83">
        <v>0</v>
      </c>
      <c r="N520" s="83">
        <v>0</v>
      </c>
      <c r="O520" s="83">
        <f t="shared" si="127"/>
        <v>0</v>
      </c>
      <c r="P520" s="83">
        <f t="shared" si="128"/>
        <v>0</v>
      </c>
      <c r="Q520" s="83">
        <v>0</v>
      </c>
      <c r="R520" s="83">
        <v>0</v>
      </c>
      <c r="S520" s="83">
        <v>0</v>
      </c>
      <c r="T520" s="83">
        <f t="shared" si="129"/>
        <v>0</v>
      </c>
      <c r="U520" s="83">
        <f t="shared" si="130"/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375" t="s">
        <v>14</v>
      </c>
      <c r="I521" s="135"/>
      <c r="J521" s="135"/>
      <c r="K521" s="136"/>
      <c r="L521" s="468">
        <f ca="1">IFERROR(__xludf.DUMMYFUNCTION("IMPORTRANGE(""https://docs.google.com/spreadsheets/d/1-uDff_7J0KD5mKrp0Vvzr7lt3OU09vwQwhkpOPPYv2Y/edit?usp=sharing"",""งบพรบ!FP14"")"),0)</f>
        <v>0</v>
      </c>
      <c r="M521" s="224">
        <f ca="1">IFERROR(__xludf.DUMMYFUNCTION("IMPORTRANGE(""https://docs.google.com/spreadsheets/d/1-uDff_7J0KD5mKrp0Vvzr7lt3OU09vwQwhkpOPPYv2Y/edit?usp=sharing"",""งบพรบ!FS14"")"),0)</f>
        <v>0</v>
      </c>
      <c r="N521" s="224">
        <f ca="1">IFERROR(__xludf.DUMMYFUNCTION("IMPORTRANGE(""https://docs.google.com/spreadsheets/d/1-uDff_7J0KD5mKrp0Vvzr7lt3OU09vwQwhkpOPPYv2Y/edit?usp=sharing"",""งบพรบ!FU14"")"),0)</f>
        <v>0</v>
      </c>
      <c r="O521" s="224">
        <f t="shared" ca="1" si="127"/>
        <v>0</v>
      </c>
      <c r="P521" s="224">
        <f t="shared" ca="1" si="128"/>
        <v>0</v>
      </c>
      <c r="Q521" s="224">
        <v>0</v>
      </c>
      <c r="R521" s="224">
        <v>0</v>
      </c>
      <c r="S521" s="224">
        <v>0</v>
      </c>
      <c r="T521" s="224">
        <f t="shared" si="129"/>
        <v>0</v>
      </c>
      <c r="U521" s="224">
        <f t="shared" si="130"/>
        <v>0</v>
      </c>
    </row>
    <row r="522" spans="1:21" ht="19.5" hidden="1" x14ac:dyDescent="0.3">
      <c r="A522" s="138"/>
      <c r="B522" s="139"/>
      <c r="C522" s="527" t="s">
        <v>18</v>
      </c>
      <c r="D522" s="509" t="s">
        <v>38</v>
      </c>
      <c r="E522" s="141"/>
      <c r="F522" s="141"/>
      <c r="G522" s="142"/>
      <c r="H522" s="143"/>
      <c r="I522" s="135"/>
      <c r="J522" s="44"/>
      <c r="K522" s="45"/>
      <c r="L522" s="465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208</v>
      </c>
      <c r="E523" s="139"/>
      <c r="F523" s="40"/>
      <c r="G523" s="42"/>
      <c r="H523" s="526" t="s">
        <v>11</v>
      </c>
      <c r="I523" s="430">
        <v>0</v>
      </c>
      <c r="J523" s="525">
        <v>0</v>
      </c>
      <c r="K523" s="83">
        <f>IF(I523&gt;0,J523*100/I523,0)</f>
        <v>0</v>
      </c>
      <c r="L523" s="465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29"/>
      <c r="B524" s="1"/>
      <c r="C524" s="2"/>
      <c r="D524" s="524" t="s">
        <v>209</v>
      </c>
      <c r="E524" s="250"/>
      <c r="F524" s="1"/>
      <c r="G524" s="52"/>
      <c r="H524" s="523" t="s">
        <v>61</v>
      </c>
      <c r="I524" s="433">
        <v>0</v>
      </c>
      <c r="J524" s="522">
        <v>0</v>
      </c>
      <c r="K524" s="521">
        <f>IF(I524&gt;0,J524*100/I524,0)</f>
        <v>0</v>
      </c>
      <c r="L524" s="465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520"/>
      <c r="B525" s="519"/>
      <c r="C525" s="519"/>
      <c r="D525" s="518"/>
      <c r="E525" s="518"/>
      <c r="F525" s="518"/>
      <c r="G525" s="517"/>
      <c r="H525" s="516"/>
      <c r="I525" s="515"/>
      <c r="J525" s="515"/>
      <c r="K525" s="514"/>
      <c r="L525" s="511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11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11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11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11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11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11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496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hidden="1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64">
        <f>I545</f>
        <v>0</v>
      </c>
      <c r="J533" s="364">
        <f>J545</f>
        <v>0</v>
      </c>
      <c r="K533" s="513">
        <f>IF(I533&gt;0,J533*100/I533,0)</f>
        <v>0</v>
      </c>
      <c r="L533" s="512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hidden="1" x14ac:dyDescent="0.3">
      <c r="A534" s="128"/>
      <c r="B534" s="40"/>
      <c r="C534" s="129" t="s">
        <v>18</v>
      </c>
      <c r="D534" s="472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471">
        <f>L535+L536</f>
        <v>0</v>
      </c>
      <c r="M534" s="470">
        <f>M535+M536</f>
        <v>0</v>
      </c>
      <c r="N534" s="470">
        <f>N535+N536</f>
        <v>0</v>
      </c>
      <c r="O534" s="470">
        <f t="shared" ref="O534:O542" si="133">IF(L534&gt;0,N534*100/L534,0)</f>
        <v>0</v>
      </c>
      <c r="P534" s="470">
        <f t="shared" ref="P534:P542" si="134">IF(M534&gt;0,N534*100/M534,0)</f>
        <v>0</v>
      </c>
      <c r="Q534" s="470">
        <f>Q535+Q536</f>
        <v>0</v>
      </c>
      <c r="R534" s="470">
        <f>R535+R536</f>
        <v>0</v>
      </c>
      <c r="S534" s="470">
        <f>S535+S536</f>
        <v>0</v>
      </c>
      <c r="T534" s="470">
        <f t="shared" ref="T534:T542" si="135">IF(Q534&gt;0,S534*100/Q534,0)</f>
        <v>0</v>
      </c>
      <c r="U534" s="470">
        <f t="shared" ref="U534:U542" si="136"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469">
        <f t="shared" ref="L535:N536" si="137">L538+L541</f>
        <v>0</v>
      </c>
      <c r="M535" s="83">
        <f t="shared" si="137"/>
        <v>0</v>
      </c>
      <c r="N535" s="83">
        <f t="shared" si="137"/>
        <v>0</v>
      </c>
      <c r="O535" s="83">
        <f t="shared" si="133"/>
        <v>0</v>
      </c>
      <c r="P535" s="83">
        <f t="shared" si="134"/>
        <v>0</v>
      </c>
      <c r="Q535" s="83">
        <f t="shared" ref="Q535:S536" si="138">Q538+Q541</f>
        <v>0</v>
      </c>
      <c r="R535" s="83">
        <f t="shared" si="138"/>
        <v>0</v>
      </c>
      <c r="S535" s="83">
        <f t="shared" si="138"/>
        <v>0</v>
      </c>
      <c r="T535" s="83">
        <f t="shared" si="135"/>
        <v>0</v>
      </c>
      <c r="U535" s="83">
        <f t="shared" si="136"/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468">
        <f t="shared" si="137"/>
        <v>0</v>
      </c>
      <c r="M536" s="224">
        <f t="shared" si="137"/>
        <v>0</v>
      </c>
      <c r="N536" s="224">
        <f t="shared" si="137"/>
        <v>0</v>
      </c>
      <c r="O536" s="224">
        <f t="shared" si="133"/>
        <v>0</v>
      </c>
      <c r="P536" s="224">
        <f t="shared" si="134"/>
        <v>0</v>
      </c>
      <c r="Q536" s="224">
        <f t="shared" si="138"/>
        <v>0</v>
      </c>
      <c r="R536" s="224">
        <f t="shared" si="138"/>
        <v>0</v>
      </c>
      <c r="S536" s="224">
        <f t="shared" si="138"/>
        <v>0</v>
      </c>
      <c r="T536" s="224">
        <f t="shared" si="135"/>
        <v>0</v>
      </c>
      <c r="U536" s="224">
        <f t="shared" si="136"/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468">
        <f>L538+L539</f>
        <v>0</v>
      </c>
      <c r="M537" s="224">
        <f>M538+M539</f>
        <v>0</v>
      </c>
      <c r="N537" s="224">
        <f>N538+N539</f>
        <v>0</v>
      </c>
      <c r="O537" s="224">
        <f t="shared" si="133"/>
        <v>0</v>
      </c>
      <c r="P537" s="224">
        <f t="shared" si="134"/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 t="shared" si="135"/>
        <v>0</v>
      </c>
      <c r="U537" s="224">
        <f t="shared" si="136"/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469">
        <v>0</v>
      </c>
      <c r="M538" s="83">
        <v>0</v>
      </c>
      <c r="N538" s="83">
        <v>0</v>
      </c>
      <c r="O538" s="83">
        <f t="shared" si="133"/>
        <v>0</v>
      </c>
      <c r="P538" s="83">
        <f t="shared" si="134"/>
        <v>0</v>
      </c>
      <c r="Q538" s="83">
        <v>0</v>
      </c>
      <c r="R538" s="83">
        <v>0</v>
      </c>
      <c r="S538" s="83">
        <v>0</v>
      </c>
      <c r="T538" s="83">
        <f t="shared" si="135"/>
        <v>0</v>
      </c>
      <c r="U538" s="83">
        <f t="shared" si="136"/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468">
        <v>0</v>
      </c>
      <c r="M539" s="224">
        <v>0</v>
      </c>
      <c r="N539" s="224">
        <v>0</v>
      </c>
      <c r="O539" s="224">
        <f t="shared" si="133"/>
        <v>0</v>
      </c>
      <c r="P539" s="224">
        <f t="shared" si="134"/>
        <v>0</v>
      </c>
      <c r="Q539" s="224">
        <v>0</v>
      </c>
      <c r="R539" s="224">
        <v>0</v>
      </c>
      <c r="S539" s="224">
        <v>0</v>
      </c>
      <c r="T539" s="224">
        <f t="shared" si="135"/>
        <v>0</v>
      </c>
      <c r="U539" s="224">
        <f t="shared" si="136"/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468">
        <f>L541+L542</f>
        <v>0</v>
      </c>
      <c r="M540" s="224">
        <f>M541+M542</f>
        <v>0</v>
      </c>
      <c r="N540" s="224">
        <f>N541+N542</f>
        <v>0</v>
      </c>
      <c r="O540" s="224">
        <f t="shared" si="133"/>
        <v>0</v>
      </c>
      <c r="P540" s="224">
        <f t="shared" si="134"/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 t="shared" si="135"/>
        <v>0</v>
      </c>
      <c r="U540" s="224">
        <f t="shared" si="136"/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469">
        <v>0</v>
      </c>
      <c r="M541" s="83">
        <v>0</v>
      </c>
      <c r="N541" s="83">
        <v>0</v>
      </c>
      <c r="O541" s="83">
        <f t="shared" si="133"/>
        <v>0</v>
      </c>
      <c r="P541" s="83">
        <f t="shared" si="134"/>
        <v>0</v>
      </c>
      <c r="Q541" s="83">
        <v>0</v>
      </c>
      <c r="R541" s="83">
        <v>0</v>
      </c>
      <c r="S541" s="83">
        <v>0</v>
      </c>
      <c r="T541" s="83">
        <f t="shared" si="135"/>
        <v>0</v>
      </c>
      <c r="U541" s="83">
        <f t="shared" si="136"/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468">
        <v>0</v>
      </c>
      <c r="M542" s="224">
        <v>0</v>
      </c>
      <c r="N542" s="224">
        <v>0</v>
      </c>
      <c r="O542" s="224">
        <f t="shared" si="133"/>
        <v>0</v>
      </c>
      <c r="P542" s="224">
        <f t="shared" si="134"/>
        <v>0</v>
      </c>
      <c r="Q542" s="224">
        <v>0</v>
      </c>
      <c r="R542" s="224">
        <v>0</v>
      </c>
      <c r="S542" s="224">
        <v>0</v>
      </c>
      <c r="T542" s="224">
        <f t="shared" si="135"/>
        <v>0</v>
      </c>
      <c r="U542" s="224">
        <f t="shared" si="136"/>
        <v>0</v>
      </c>
    </row>
    <row r="543" spans="1:21" ht="19.5" hidden="1" x14ac:dyDescent="0.3">
      <c r="A543" s="138"/>
      <c r="B543" s="139"/>
      <c r="C543" s="365" t="s">
        <v>18</v>
      </c>
      <c r="D543" s="498" t="s">
        <v>38</v>
      </c>
      <c r="E543" s="141"/>
      <c r="F543" s="141"/>
      <c r="G543" s="142"/>
      <c r="H543" s="143"/>
      <c r="I543" s="135"/>
      <c r="J543" s="44"/>
      <c r="K543" s="45"/>
      <c r="L543" s="465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11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11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11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11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11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11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11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11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11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496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hidden="1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64">
        <f>I566</f>
        <v>0</v>
      </c>
      <c r="J554" s="364">
        <f>J566</f>
        <v>0</v>
      </c>
      <c r="K554" s="513">
        <f>IF(I554&gt;0,J554*100/I554,0)</f>
        <v>0</v>
      </c>
      <c r="L554" s="512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hidden="1" x14ac:dyDescent="0.3">
      <c r="A555" s="128"/>
      <c r="B555" s="40"/>
      <c r="C555" s="129" t="s">
        <v>18</v>
      </c>
      <c r="D555" s="472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471">
        <f>L556+L557</f>
        <v>0</v>
      </c>
      <c r="M555" s="470">
        <f>M556+M557</f>
        <v>0</v>
      </c>
      <c r="N555" s="470">
        <f>N556+N557</f>
        <v>0</v>
      </c>
      <c r="O555" s="470">
        <f t="shared" ref="O555:O563" si="139">IF(L555&gt;0,N555*100/L555,0)</f>
        <v>0</v>
      </c>
      <c r="P555" s="470">
        <f t="shared" ref="P555:P563" si="140">IF(M555&gt;0,N555*100/M555,0)</f>
        <v>0</v>
      </c>
      <c r="Q555" s="470">
        <f>Q556+Q557</f>
        <v>0</v>
      </c>
      <c r="R555" s="470">
        <f>R556+R557</f>
        <v>0</v>
      </c>
      <c r="S555" s="470">
        <f>S556+S557</f>
        <v>0</v>
      </c>
      <c r="T555" s="470">
        <f t="shared" ref="T555:T563" si="141">IF(Q555&gt;0,S555*100/Q555,0)</f>
        <v>0</v>
      </c>
      <c r="U555" s="470">
        <f t="shared" ref="U555:U563" si="142"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469">
        <f t="shared" ref="L556:N557" si="143">L559+L562</f>
        <v>0</v>
      </c>
      <c r="M556" s="83">
        <f t="shared" si="143"/>
        <v>0</v>
      </c>
      <c r="N556" s="83">
        <f t="shared" si="143"/>
        <v>0</v>
      </c>
      <c r="O556" s="83">
        <f t="shared" si="139"/>
        <v>0</v>
      </c>
      <c r="P556" s="83">
        <f t="shared" si="140"/>
        <v>0</v>
      </c>
      <c r="Q556" s="83">
        <f t="shared" ref="Q556:S557" si="144">Q559+Q562</f>
        <v>0</v>
      </c>
      <c r="R556" s="83">
        <f t="shared" si="144"/>
        <v>0</v>
      </c>
      <c r="S556" s="83">
        <f t="shared" si="144"/>
        <v>0</v>
      </c>
      <c r="T556" s="83">
        <f t="shared" si="141"/>
        <v>0</v>
      </c>
      <c r="U556" s="83">
        <f t="shared" si="142"/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468">
        <f t="shared" si="143"/>
        <v>0</v>
      </c>
      <c r="M557" s="224">
        <f t="shared" si="143"/>
        <v>0</v>
      </c>
      <c r="N557" s="224">
        <f t="shared" si="143"/>
        <v>0</v>
      </c>
      <c r="O557" s="224">
        <f t="shared" si="139"/>
        <v>0</v>
      </c>
      <c r="P557" s="224">
        <f t="shared" si="140"/>
        <v>0</v>
      </c>
      <c r="Q557" s="224">
        <f t="shared" si="144"/>
        <v>0</v>
      </c>
      <c r="R557" s="224">
        <f t="shared" si="144"/>
        <v>0</v>
      </c>
      <c r="S557" s="224">
        <f t="shared" si="144"/>
        <v>0</v>
      </c>
      <c r="T557" s="224">
        <f t="shared" si="141"/>
        <v>0</v>
      </c>
      <c r="U557" s="224">
        <f t="shared" si="142"/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468">
        <f>L559+L560</f>
        <v>0</v>
      </c>
      <c r="M558" s="224">
        <f>M559+M560</f>
        <v>0</v>
      </c>
      <c r="N558" s="224">
        <f>N559+N560</f>
        <v>0</v>
      </c>
      <c r="O558" s="224">
        <f t="shared" si="139"/>
        <v>0</v>
      </c>
      <c r="P558" s="224">
        <f t="shared" si="140"/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 t="shared" si="141"/>
        <v>0</v>
      </c>
      <c r="U558" s="224">
        <f t="shared" si="142"/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469">
        <v>0</v>
      </c>
      <c r="M559" s="83">
        <v>0</v>
      </c>
      <c r="N559" s="83">
        <v>0</v>
      </c>
      <c r="O559" s="83">
        <f t="shared" si="139"/>
        <v>0</v>
      </c>
      <c r="P559" s="83">
        <f t="shared" si="140"/>
        <v>0</v>
      </c>
      <c r="Q559" s="83">
        <v>0</v>
      </c>
      <c r="R559" s="83">
        <v>0</v>
      </c>
      <c r="S559" s="83">
        <v>0</v>
      </c>
      <c r="T559" s="83">
        <f t="shared" si="141"/>
        <v>0</v>
      </c>
      <c r="U559" s="83">
        <f t="shared" si="142"/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468">
        <v>0</v>
      </c>
      <c r="M560" s="224">
        <v>0</v>
      </c>
      <c r="N560" s="224">
        <v>0</v>
      </c>
      <c r="O560" s="224">
        <f t="shared" si="139"/>
        <v>0</v>
      </c>
      <c r="P560" s="224">
        <f t="shared" si="140"/>
        <v>0</v>
      </c>
      <c r="Q560" s="224">
        <v>0</v>
      </c>
      <c r="R560" s="224">
        <v>0</v>
      </c>
      <c r="S560" s="224">
        <v>0</v>
      </c>
      <c r="T560" s="224">
        <f t="shared" si="141"/>
        <v>0</v>
      </c>
      <c r="U560" s="224">
        <f t="shared" si="142"/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468">
        <f>L562+L563</f>
        <v>0</v>
      </c>
      <c r="M561" s="224">
        <f>M562+M563</f>
        <v>0</v>
      </c>
      <c r="N561" s="224">
        <f>N562+N563</f>
        <v>0</v>
      </c>
      <c r="O561" s="224">
        <f t="shared" si="139"/>
        <v>0</v>
      </c>
      <c r="P561" s="224">
        <f t="shared" si="140"/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 t="shared" si="141"/>
        <v>0</v>
      </c>
      <c r="U561" s="224">
        <f t="shared" si="142"/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469">
        <v>0</v>
      </c>
      <c r="M562" s="83">
        <v>0</v>
      </c>
      <c r="N562" s="83">
        <v>0</v>
      </c>
      <c r="O562" s="83">
        <f t="shared" si="139"/>
        <v>0</v>
      </c>
      <c r="P562" s="83">
        <f t="shared" si="140"/>
        <v>0</v>
      </c>
      <c r="Q562" s="83">
        <v>0</v>
      </c>
      <c r="R562" s="83">
        <v>0</v>
      </c>
      <c r="S562" s="83">
        <v>0</v>
      </c>
      <c r="T562" s="83">
        <f t="shared" si="141"/>
        <v>0</v>
      </c>
      <c r="U562" s="83">
        <f t="shared" si="142"/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468">
        <v>0</v>
      </c>
      <c r="M563" s="224">
        <v>0</v>
      </c>
      <c r="N563" s="224">
        <v>0</v>
      </c>
      <c r="O563" s="224">
        <f t="shared" si="139"/>
        <v>0</v>
      </c>
      <c r="P563" s="224">
        <f t="shared" si="140"/>
        <v>0</v>
      </c>
      <c r="Q563" s="224">
        <v>0</v>
      </c>
      <c r="R563" s="224">
        <v>0</v>
      </c>
      <c r="S563" s="224">
        <v>0</v>
      </c>
      <c r="T563" s="224">
        <f t="shared" si="141"/>
        <v>0</v>
      </c>
      <c r="U563" s="224">
        <f t="shared" si="142"/>
        <v>0</v>
      </c>
    </row>
    <row r="564" spans="1:21" ht="19.5" hidden="1" x14ac:dyDescent="0.3">
      <c r="A564" s="138"/>
      <c r="B564" s="139"/>
      <c r="C564" s="365" t="s">
        <v>18</v>
      </c>
      <c r="D564" s="498" t="s">
        <v>38</v>
      </c>
      <c r="E564" s="141"/>
      <c r="F564" s="141"/>
      <c r="G564" s="142"/>
      <c r="H564" s="143"/>
      <c r="I564" s="135"/>
      <c r="J564" s="44"/>
      <c r="K564" s="45"/>
      <c r="L564" s="465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11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11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11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11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11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11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11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11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11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496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hidden="1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64">
        <f>I587</f>
        <v>0</v>
      </c>
      <c r="J575" s="364">
        <f>J587</f>
        <v>0</v>
      </c>
      <c r="K575" s="513">
        <f>IF(I575&gt;0,J575*100/I575,0)</f>
        <v>0</v>
      </c>
      <c r="L575" s="512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hidden="1" x14ac:dyDescent="0.3">
      <c r="A576" s="128"/>
      <c r="B576" s="40"/>
      <c r="C576" s="129" t="s">
        <v>18</v>
      </c>
      <c r="D576" s="472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471">
        <f>L577+L578</f>
        <v>0</v>
      </c>
      <c r="M576" s="470">
        <f>M577+M578</f>
        <v>0</v>
      </c>
      <c r="N576" s="470">
        <f>N577+N578</f>
        <v>0</v>
      </c>
      <c r="O576" s="470">
        <f t="shared" ref="O576:O584" si="145">IF(L576&gt;0,N576*100/L576,0)</f>
        <v>0</v>
      </c>
      <c r="P576" s="470">
        <f t="shared" ref="P576:P584" si="146">IF(M576&gt;0,N576*100/M576,0)</f>
        <v>0</v>
      </c>
      <c r="Q576" s="470">
        <f>Q577+Q578</f>
        <v>0</v>
      </c>
      <c r="R576" s="470">
        <f>R577+R578</f>
        <v>0</v>
      </c>
      <c r="S576" s="470">
        <f>S577+S578</f>
        <v>0</v>
      </c>
      <c r="T576" s="470">
        <f t="shared" ref="T576:T584" si="147">IF(Q576&gt;0,S576*100/Q576,0)</f>
        <v>0</v>
      </c>
      <c r="U576" s="470">
        <f t="shared" ref="U576:U584" si="148"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469">
        <f t="shared" ref="L577:N578" si="149">L580+L583</f>
        <v>0</v>
      </c>
      <c r="M577" s="83">
        <f t="shared" si="149"/>
        <v>0</v>
      </c>
      <c r="N577" s="83">
        <f t="shared" si="149"/>
        <v>0</v>
      </c>
      <c r="O577" s="83">
        <f t="shared" si="145"/>
        <v>0</v>
      </c>
      <c r="P577" s="83">
        <f t="shared" si="146"/>
        <v>0</v>
      </c>
      <c r="Q577" s="83">
        <f t="shared" ref="Q577:S578" si="150">Q580+Q583</f>
        <v>0</v>
      </c>
      <c r="R577" s="83">
        <f t="shared" si="150"/>
        <v>0</v>
      </c>
      <c r="S577" s="83">
        <f t="shared" si="150"/>
        <v>0</v>
      </c>
      <c r="T577" s="83">
        <f t="shared" si="147"/>
        <v>0</v>
      </c>
      <c r="U577" s="83">
        <f t="shared" si="148"/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468">
        <f t="shared" si="149"/>
        <v>0</v>
      </c>
      <c r="M578" s="224">
        <f t="shared" si="149"/>
        <v>0</v>
      </c>
      <c r="N578" s="224">
        <f t="shared" si="149"/>
        <v>0</v>
      </c>
      <c r="O578" s="224">
        <f t="shared" si="145"/>
        <v>0</v>
      </c>
      <c r="P578" s="224">
        <f t="shared" si="146"/>
        <v>0</v>
      </c>
      <c r="Q578" s="224">
        <f t="shared" si="150"/>
        <v>0</v>
      </c>
      <c r="R578" s="224">
        <f t="shared" si="150"/>
        <v>0</v>
      </c>
      <c r="S578" s="224">
        <f t="shared" si="150"/>
        <v>0</v>
      </c>
      <c r="T578" s="224">
        <f t="shared" si="147"/>
        <v>0</v>
      </c>
      <c r="U578" s="224">
        <f t="shared" si="148"/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468">
        <f>L580+L581</f>
        <v>0</v>
      </c>
      <c r="M579" s="224">
        <f>M580+M581</f>
        <v>0</v>
      </c>
      <c r="N579" s="224">
        <f>N580+N581</f>
        <v>0</v>
      </c>
      <c r="O579" s="224">
        <f t="shared" si="145"/>
        <v>0</v>
      </c>
      <c r="P579" s="224">
        <f t="shared" si="146"/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 t="shared" si="147"/>
        <v>0</v>
      </c>
      <c r="U579" s="224">
        <f t="shared" si="148"/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469">
        <v>0</v>
      </c>
      <c r="M580" s="83">
        <v>0</v>
      </c>
      <c r="N580" s="83">
        <v>0</v>
      </c>
      <c r="O580" s="83">
        <f t="shared" si="145"/>
        <v>0</v>
      </c>
      <c r="P580" s="83">
        <f t="shared" si="146"/>
        <v>0</v>
      </c>
      <c r="Q580" s="83">
        <v>0</v>
      </c>
      <c r="R580" s="83">
        <v>0</v>
      </c>
      <c r="S580" s="83">
        <v>0</v>
      </c>
      <c r="T580" s="83">
        <f t="shared" si="147"/>
        <v>0</v>
      </c>
      <c r="U580" s="83">
        <f t="shared" si="148"/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468">
        <v>0</v>
      </c>
      <c r="M581" s="224">
        <v>0</v>
      </c>
      <c r="N581" s="224">
        <v>0</v>
      </c>
      <c r="O581" s="224">
        <f t="shared" si="145"/>
        <v>0</v>
      </c>
      <c r="P581" s="224">
        <f t="shared" si="146"/>
        <v>0</v>
      </c>
      <c r="Q581" s="224">
        <v>0</v>
      </c>
      <c r="R581" s="224">
        <v>0</v>
      </c>
      <c r="S581" s="224">
        <v>0</v>
      </c>
      <c r="T581" s="224">
        <f t="shared" si="147"/>
        <v>0</v>
      </c>
      <c r="U581" s="224">
        <f t="shared" si="148"/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468">
        <f>L583+L584</f>
        <v>0</v>
      </c>
      <c r="M582" s="224">
        <f>M583+M584</f>
        <v>0</v>
      </c>
      <c r="N582" s="224">
        <f>N583+N584</f>
        <v>0</v>
      </c>
      <c r="O582" s="224">
        <f t="shared" si="145"/>
        <v>0</v>
      </c>
      <c r="P582" s="224">
        <f t="shared" si="146"/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 t="shared" si="147"/>
        <v>0</v>
      </c>
      <c r="U582" s="224">
        <f t="shared" si="148"/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469">
        <v>0</v>
      </c>
      <c r="M583" s="83">
        <v>0</v>
      </c>
      <c r="N583" s="83">
        <v>0</v>
      </c>
      <c r="O583" s="83">
        <f t="shared" si="145"/>
        <v>0</v>
      </c>
      <c r="P583" s="83">
        <f t="shared" si="146"/>
        <v>0</v>
      </c>
      <c r="Q583" s="83">
        <v>0</v>
      </c>
      <c r="R583" s="83">
        <v>0</v>
      </c>
      <c r="S583" s="83">
        <v>0</v>
      </c>
      <c r="T583" s="83">
        <f t="shared" si="147"/>
        <v>0</v>
      </c>
      <c r="U583" s="83">
        <f t="shared" si="148"/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468">
        <v>0</v>
      </c>
      <c r="M584" s="224">
        <v>0</v>
      </c>
      <c r="N584" s="224">
        <v>0</v>
      </c>
      <c r="O584" s="224">
        <f t="shared" si="145"/>
        <v>0</v>
      </c>
      <c r="P584" s="224">
        <f t="shared" si="146"/>
        <v>0</v>
      </c>
      <c r="Q584" s="224">
        <v>0</v>
      </c>
      <c r="R584" s="224">
        <v>0</v>
      </c>
      <c r="S584" s="224">
        <v>0</v>
      </c>
      <c r="T584" s="224">
        <f t="shared" si="147"/>
        <v>0</v>
      </c>
      <c r="U584" s="224">
        <f t="shared" si="148"/>
        <v>0</v>
      </c>
    </row>
    <row r="585" spans="1:21" ht="19.5" hidden="1" x14ac:dyDescent="0.3">
      <c r="A585" s="138"/>
      <c r="B585" s="139"/>
      <c r="C585" s="365" t="s">
        <v>18</v>
      </c>
      <c r="D585" s="498" t="s">
        <v>38</v>
      </c>
      <c r="E585" s="141"/>
      <c r="F585" s="141"/>
      <c r="G585" s="142"/>
      <c r="H585" s="143"/>
      <c r="I585" s="135"/>
      <c r="J585" s="44"/>
      <c r="K585" s="45"/>
      <c r="L585" s="465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11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11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11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11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11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11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11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11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11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496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hidden="1" x14ac:dyDescent="0.3">
      <c r="A596" s="366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67" t="s">
        <v>214</v>
      </c>
      <c r="C597" s="172"/>
      <c r="D597" s="125"/>
      <c r="E597" s="27"/>
      <c r="F597" s="27"/>
      <c r="G597" s="27"/>
      <c r="H597" s="368" t="s">
        <v>99</v>
      </c>
      <c r="I597" s="182"/>
      <c r="J597" s="32"/>
      <c r="K597" s="33"/>
      <c r="L597" s="510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369"/>
      <c r="B598" s="370" t="s">
        <v>215</v>
      </c>
      <c r="C598" s="125"/>
      <c r="D598" s="27"/>
      <c r="E598" s="27"/>
      <c r="F598" s="27"/>
      <c r="G598" s="30"/>
      <c r="H598" s="371" t="s">
        <v>35</v>
      </c>
      <c r="I598" s="32"/>
      <c r="J598" s="32"/>
      <c r="K598" s="33"/>
      <c r="L598" s="510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820" t="s">
        <v>19</v>
      </c>
      <c r="E599" s="793"/>
      <c r="F599" s="793"/>
      <c r="G599" s="794"/>
      <c r="H599" s="372" t="s">
        <v>14</v>
      </c>
      <c r="I599" s="44"/>
      <c r="J599" s="44"/>
      <c r="K599" s="45"/>
      <c r="L599" s="471">
        <f>L600+L601</f>
        <v>0</v>
      </c>
      <c r="M599" s="470">
        <f>M600+M601</f>
        <v>0</v>
      </c>
      <c r="N599" s="470">
        <f>N600+N601</f>
        <v>0</v>
      </c>
      <c r="O599" s="470">
        <f t="shared" ref="O599:O607" si="151">IF(L599&gt;0,N599*100/L599,0)</f>
        <v>0</v>
      </c>
      <c r="P599" s="470">
        <f t="shared" ref="P599:P607" si="152">IF(M599&gt;0,N599*100/M599,0)</f>
        <v>0</v>
      </c>
      <c r="Q599" s="470">
        <f>Q600+Q601</f>
        <v>0</v>
      </c>
      <c r="R599" s="470">
        <f>R600+R601</f>
        <v>0</v>
      </c>
      <c r="S599" s="470">
        <f>S600+S601</f>
        <v>0</v>
      </c>
      <c r="T599" s="470">
        <f t="shared" ref="T599:T607" si="153">IF(Q599&gt;0,S599*100/Q599,0)</f>
        <v>0</v>
      </c>
      <c r="U599" s="470">
        <f t="shared" ref="U599:U607" si="154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469">
        <f t="shared" ref="L600:N601" si="155">L603+L606</f>
        <v>0</v>
      </c>
      <c r="M600" s="83">
        <f t="shared" si="155"/>
        <v>0</v>
      </c>
      <c r="N600" s="83">
        <f t="shared" si="155"/>
        <v>0</v>
      </c>
      <c r="O600" s="83">
        <f t="shared" si="151"/>
        <v>0</v>
      </c>
      <c r="P600" s="83">
        <f t="shared" si="152"/>
        <v>0</v>
      </c>
      <c r="Q600" s="83">
        <f t="shared" ref="Q600:S601" si="156">Q603+Q606</f>
        <v>0</v>
      </c>
      <c r="R600" s="83">
        <f t="shared" si="156"/>
        <v>0</v>
      </c>
      <c r="S600" s="83">
        <f t="shared" si="156"/>
        <v>0</v>
      </c>
      <c r="T600" s="83">
        <f t="shared" si="153"/>
        <v>0</v>
      </c>
      <c r="U600" s="83">
        <f t="shared" si="154"/>
        <v>0</v>
      </c>
    </row>
    <row r="601" spans="1:21" ht="18.75" hidden="1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468">
        <f t="shared" si="155"/>
        <v>0</v>
      </c>
      <c r="M601" s="224">
        <f t="shared" si="155"/>
        <v>0</v>
      </c>
      <c r="N601" s="224">
        <f t="shared" si="155"/>
        <v>0</v>
      </c>
      <c r="O601" s="224">
        <f t="shared" si="151"/>
        <v>0</v>
      </c>
      <c r="P601" s="224">
        <f t="shared" si="152"/>
        <v>0</v>
      </c>
      <c r="Q601" s="224">
        <f t="shared" si="156"/>
        <v>0</v>
      </c>
      <c r="R601" s="224">
        <f t="shared" si="156"/>
        <v>0</v>
      </c>
      <c r="S601" s="224">
        <f t="shared" si="156"/>
        <v>0</v>
      </c>
      <c r="T601" s="224">
        <f t="shared" si="153"/>
        <v>0</v>
      </c>
      <c r="U601" s="224">
        <f t="shared" si="154"/>
        <v>0</v>
      </c>
    </row>
    <row r="602" spans="1:21" ht="19.5" hidden="1" x14ac:dyDescent="0.3">
      <c r="A602" s="128"/>
      <c r="B602" s="158"/>
      <c r="C602" s="158"/>
      <c r="D602" s="494" t="s">
        <v>22</v>
      </c>
      <c r="E602" s="40"/>
      <c r="F602" s="40"/>
      <c r="G602" s="42"/>
      <c r="H602" s="372" t="s">
        <v>14</v>
      </c>
      <c r="I602" s="135"/>
      <c r="J602" s="135"/>
      <c r="K602" s="136"/>
      <c r="L602" s="468">
        <f>L603+L604</f>
        <v>0</v>
      </c>
      <c r="M602" s="224">
        <f>M603+M604</f>
        <v>0</v>
      </c>
      <c r="N602" s="224">
        <f>N603+N604</f>
        <v>0</v>
      </c>
      <c r="O602" s="224">
        <f t="shared" si="151"/>
        <v>0</v>
      </c>
      <c r="P602" s="224">
        <f t="shared" si="152"/>
        <v>0</v>
      </c>
      <c r="Q602" s="224">
        <f>Q603+Q604</f>
        <v>0</v>
      </c>
      <c r="R602" s="224">
        <f>R603+R604</f>
        <v>0</v>
      </c>
      <c r="S602" s="224">
        <f>S603+S604</f>
        <v>0</v>
      </c>
      <c r="T602" s="224">
        <f t="shared" si="153"/>
        <v>0</v>
      </c>
      <c r="U602" s="224">
        <f t="shared" si="154"/>
        <v>0</v>
      </c>
    </row>
    <row r="603" spans="1:21" ht="18.75" hidden="1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469">
        <v>0</v>
      </c>
      <c r="M603" s="83">
        <v>0</v>
      </c>
      <c r="N603" s="83">
        <v>0</v>
      </c>
      <c r="O603" s="83">
        <f t="shared" si="151"/>
        <v>0</v>
      </c>
      <c r="P603" s="83">
        <f t="shared" si="152"/>
        <v>0</v>
      </c>
      <c r="Q603" s="83">
        <v>0</v>
      </c>
      <c r="R603" s="83">
        <v>0</v>
      </c>
      <c r="S603" s="83">
        <v>0</v>
      </c>
      <c r="T603" s="83">
        <f t="shared" si="153"/>
        <v>0</v>
      </c>
      <c r="U603" s="83">
        <f t="shared" si="154"/>
        <v>0</v>
      </c>
    </row>
    <row r="604" spans="1:21" ht="18.75" hidden="1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468">
        <v>0</v>
      </c>
      <c r="M604" s="224">
        <v>0</v>
      </c>
      <c r="N604" s="224">
        <v>0</v>
      </c>
      <c r="O604" s="224">
        <f t="shared" si="151"/>
        <v>0</v>
      </c>
      <c r="P604" s="224">
        <f t="shared" si="152"/>
        <v>0</v>
      </c>
      <c r="Q604" s="224">
        <v>0</v>
      </c>
      <c r="R604" s="224">
        <v>0</v>
      </c>
      <c r="S604" s="224">
        <v>0</v>
      </c>
      <c r="T604" s="224">
        <f t="shared" si="153"/>
        <v>0</v>
      </c>
      <c r="U604" s="224">
        <f t="shared" si="154"/>
        <v>0</v>
      </c>
    </row>
    <row r="605" spans="1:21" ht="19.5" hidden="1" x14ac:dyDescent="0.3">
      <c r="A605" s="128"/>
      <c r="B605" s="158"/>
      <c r="C605" s="158"/>
      <c r="D605" s="494" t="s">
        <v>23</v>
      </c>
      <c r="E605" s="158"/>
      <c r="F605" s="40"/>
      <c r="G605" s="42"/>
      <c r="H605" s="374" t="s">
        <v>14</v>
      </c>
      <c r="I605" s="135"/>
      <c r="J605" s="135"/>
      <c r="K605" s="136"/>
      <c r="L605" s="468">
        <f>L606+L607</f>
        <v>0</v>
      </c>
      <c r="M605" s="224">
        <f>M606+M607</f>
        <v>0</v>
      </c>
      <c r="N605" s="224">
        <f>N606+N607</f>
        <v>0</v>
      </c>
      <c r="O605" s="224">
        <f t="shared" si="151"/>
        <v>0</v>
      </c>
      <c r="P605" s="224">
        <f t="shared" si="152"/>
        <v>0</v>
      </c>
      <c r="Q605" s="224">
        <f>Q606+Q607</f>
        <v>0</v>
      </c>
      <c r="R605" s="224">
        <f>R606+R607</f>
        <v>0</v>
      </c>
      <c r="S605" s="224">
        <f>S606+S607</f>
        <v>0</v>
      </c>
      <c r="T605" s="224">
        <f t="shared" si="153"/>
        <v>0</v>
      </c>
      <c r="U605" s="224">
        <f t="shared" si="154"/>
        <v>0</v>
      </c>
    </row>
    <row r="606" spans="1:21" ht="18.75" hidden="1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469">
        <v>0</v>
      </c>
      <c r="M606" s="83">
        <v>0</v>
      </c>
      <c r="N606" s="83">
        <v>0</v>
      </c>
      <c r="O606" s="83">
        <f t="shared" si="151"/>
        <v>0</v>
      </c>
      <c r="P606" s="83">
        <f t="shared" si="152"/>
        <v>0</v>
      </c>
      <c r="Q606" s="83">
        <v>0</v>
      </c>
      <c r="R606" s="83">
        <v>0</v>
      </c>
      <c r="S606" s="83">
        <v>0</v>
      </c>
      <c r="T606" s="83">
        <f t="shared" si="153"/>
        <v>0</v>
      </c>
      <c r="U606" s="83">
        <f t="shared" si="154"/>
        <v>0</v>
      </c>
    </row>
    <row r="607" spans="1:21" ht="18.75" hidden="1" x14ac:dyDescent="0.25">
      <c r="A607" s="128"/>
      <c r="B607" s="158"/>
      <c r="C607" s="158"/>
      <c r="D607" s="40"/>
      <c r="E607" s="314" t="s">
        <v>21</v>
      </c>
      <c r="F607" s="40"/>
      <c r="G607" s="42"/>
      <c r="H607" s="375" t="s">
        <v>14</v>
      </c>
      <c r="I607" s="135"/>
      <c r="J607" s="135"/>
      <c r="K607" s="136"/>
      <c r="L607" s="468">
        <v>0</v>
      </c>
      <c r="M607" s="224">
        <v>0</v>
      </c>
      <c r="N607" s="224">
        <v>0</v>
      </c>
      <c r="O607" s="224">
        <f t="shared" si="151"/>
        <v>0</v>
      </c>
      <c r="P607" s="224">
        <f t="shared" si="152"/>
        <v>0</v>
      </c>
      <c r="Q607" s="224">
        <v>0</v>
      </c>
      <c r="R607" s="224">
        <v>0</v>
      </c>
      <c r="S607" s="224">
        <v>0</v>
      </c>
      <c r="T607" s="224">
        <f t="shared" si="153"/>
        <v>0</v>
      </c>
      <c r="U607" s="224">
        <f t="shared" si="154"/>
        <v>0</v>
      </c>
    </row>
    <row r="608" spans="1:21" ht="19.5" hidden="1" x14ac:dyDescent="0.3">
      <c r="A608" s="138"/>
      <c r="B608" s="139"/>
      <c r="C608" s="177" t="s">
        <v>18</v>
      </c>
      <c r="D608" s="509" t="s">
        <v>38</v>
      </c>
      <c r="E608" s="141"/>
      <c r="F608" s="141"/>
      <c r="G608" s="142"/>
      <c r="H608" s="178"/>
      <c r="I608" s="135"/>
      <c r="J608" s="135"/>
      <c r="K608" s="136"/>
      <c r="L608" s="465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377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465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377" t="s">
        <v>217</v>
      </c>
      <c r="E610" s="145"/>
      <c r="F610" s="145"/>
      <c r="G610" s="143"/>
      <c r="H610" s="372" t="s">
        <v>35</v>
      </c>
      <c r="I610" s="44"/>
      <c r="J610" s="44"/>
      <c r="K610" s="136"/>
      <c r="L610" s="465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377" t="s">
        <v>218</v>
      </c>
      <c r="F611" s="145"/>
      <c r="G611" s="143"/>
      <c r="H611" s="375" t="s">
        <v>35</v>
      </c>
      <c r="I611" s="44"/>
      <c r="J611" s="44"/>
      <c r="K611" s="136"/>
      <c r="L611" s="465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378"/>
      <c r="B612" s="379"/>
      <c r="C612" s="379"/>
      <c r="D612" s="379"/>
      <c r="E612" s="380" t="s">
        <v>219</v>
      </c>
      <c r="F612" s="381"/>
      <c r="G612" s="382"/>
      <c r="H612" s="383" t="s">
        <v>35</v>
      </c>
      <c r="I612" s="384"/>
      <c r="J612" s="384"/>
      <c r="K612" s="385"/>
      <c r="L612" s="508"/>
      <c r="M612" s="386"/>
      <c r="N612" s="386"/>
      <c r="O612" s="386"/>
      <c r="P612" s="386"/>
      <c r="Q612" s="386"/>
      <c r="R612" s="386"/>
      <c r="S612" s="386"/>
      <c r="T612" s="386"/>
      <c r="U612" s="386"/>
    </row>
    <row r="613" spans="1:21" ht="19.5" hidden="1" x14ac:dyDescent="0.3">
      <c r="A613" s="387" t="s">
        <v>220</v>
      </c>
      <c r="B613" s="388"/>
      <c r="C613" s="388"/>
      <c r="D613" s="389"/>
      <c r="E613" s="389"/>
      <c r="F613" s="389"/>
      <c r="G613" s="390"/>
      <c r="H613" s="391"/>
      <c r="I613" s="392"/>
      <c r="J613" s="392"/>
      <c r="K613" s="393"/>
      <c r="L613" s="507"/>
      <c r="M613" s="393"/>
      <c r="N613" s="393"/>
      <c r="O613" s="393"/>
      <c r="P613" s="393"/>
      <c r="Q613" s="393"/>
      <c r="R613" s="393"/>
      <c r="S613" s="393"/>
      <c r="T613" s="393"/>
      <c r="U613" s="393"/>
    </row>
    <row r="614" spans="1:21" ht="19.5" x14ac:dyDescent="0.3">
      <c r="A614" s="394"/>
      <c r="B614" s="395" t="s">
        <v>221</v>
      </c>
      <c r="C614" s="394"/>
      <c r="D614" s="396"/>
      <c r="E614" s="396"/>
      <c r="F614" s="396"/>
      <c r="G614" s="397"/>
      <c r="H614" s="398"/>
      <c r="I614" s="399"/>
      <c r="J614" s="399"/>
      <c r="K614" s="400"/>
      <c r="L614" s="473"/>
      <c r="M614" s="400"/>
      <c r="N614" s="400"/>
      <c r="O614" s="400"/>
      <c r="P614" s="400"/>
      <c r="Q614" s="400"/>
      <c r="R614" s="400"/>
      <c r="S614" s="400"/>
      <c r="T614" s="400"/>
      <c r="U614" s="400"/>
    </row>
    <row r="615" spans="1:21" ht="19.5" x14ac:dyDescent="0.3">
      <c r="A615" s="401"/>
      <c r="B615" s="402" t="s">
        <v>222</v>
      </c>
      <c r="C615" s="401"/>
      <c r="D615" s="403"/>
      <c r="E615" s="403"/>
      <c r="F615" s="403"/>
      <c r="G615" s="404"/>
      <c r="H615" s="405" t="s">
        <v>46</v>
      </c>
      <c r="I615" s="506">
        <f ca="1">I626</f>
        <v>0</v>
      </c>
      <c r="J615" s="506">
        <f>J626</f>
        <v>0</v>
      </c>
      <c r="K615" s="505">
        <f ca="1">IF(I615&gt;0,J615*100/I615,0)</f>
        <v>0</v>
      </c>
      <c r="L615" s="504"/>
      <c r="M615" s="408"/>
      <c r="N615" s="408"/>
      <c r="O615" s="408"/>
      <c r="P615" s="408"/>
      <c r="Q615" s="408"/>
      <c r="R615" s="408"/>
      <c r="S615" s="408"/>
      <c r="T615" s="408"/>
      <c r="U615" s="408"/>
    </row>
    <row r="616" spans="1:21" ht="19.5" x14ac:dyDescent="0.3">
      <c r="A616" s="128"/>
      <c r="B616" s="158"/>
      <c r="C616" s="177" t="s">
        <v>18</v>
      </c>
      <c r="D616" s="821" t="s">
        <v>19</v>
      </c>
      <c r="E616" s="793"/>
      <c r="F616" s="793"/>
      <c r="G616" s="794"/>
      <c r="H616" s="221" t="s">
        <v>14</v>
      </c>
      <c r="I616" s="44"/>
      <c r="J616" s="44"/>
      <c r="K616" s="45"/>
      <c r="L616" s="471">
        <f>L617+L618</f>
        <v>0</v>
      </c>
      <c r="M616" s="470">
        <f>M617+M618</f>
        <v>0</v>
      </c>
      <c r="N616" s="470">
        <f>N617+N618</f>
        <v>0</v>
      </c>
      <c r="O616" s="470">
        <f t="shared" ref="O616:O624" si="157">IF(L616&gt;0,N616*100/L616,0)</f>
        <v>0</v>
      </c>
      <c r="P616" s="470">
        <f t="shared" ref="P616:P624" si="158">IF(M616&gt;0,N616*100/M616,0)</f>
        <v>0</v>
      </c>
      <c r="Q616" s="470">
        <f ca="1">Q617+Q618</f>
        <v>1875</v>
      </c>
      <c r="R616" s="470">
        <f ca="1">R617+R618</f>
        <v>1875</v>
      </c>
      <c r="S616" s="470">
        <f ca="1">S617+S618</f>
        <v>0</v>
      </c>
      <c r="T616" s="470">
        <f t="shared" ref="T616:T624" ca="1" si="159">IF(Q616&gt;0,S616*100/Q616,0)</f>
        <v>0</v>
      </c>
      <c r="U616" s="470">
        <f t="shared" ref="U616:U624" ca="1" si="160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469">
        <f t="shared" ref="L617:N618" si="161">L620+L623</f>
        <v>0</v>
      </c>
      <c r="M617" s="83">
        <f t="shared" si="161"/>
        <v>0</v>
      </c>
      <c r="N617" s="83">
        <f t="shared" si="161"/>
        <v>0</v>
      </c>
      <c r="O617" s="83">
        <f t="shared" si="157"/>
        <v>0</v>
      </c>
      <c r="P617" s="83">
        <f t="shared" si="158"/>
        <v>0</v>
      </c>
      <c r="Q617" s="83">
        <f t="shared" ref="Q617:S618" si="162">Q620+Q623</f>
        <v>0</v>
      </c>
      <c r="R617" s="83">
        <f t="shared" si="162"/>
        <v>0</v>
      </c>
      <c r="S617" s="83">
        <f t="shared" si="162"/>
        <v>0</v>
      </c>
      <c r="T617" s="83">
        <f t="shared" si="159"/>
        <v>0</v>
      </c>
      <c r="U617" s="83">
        <f t="shared" si="160"/>
        <v>0</v>
      </c>
    </row>
    <row r="618" spans="1:21" ht="18.75" hidden="1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468">
        <f t="shared" si="161"/>
        <v>0</v>
      </c>
      <c r="M618" s="224">
        <f t="shared" si="161"/>
        <v>0</v>
      </c>
      <c r="N618" s="224">
        <f t="shared" si="161"/>
        <v>0</v>
      </c>
      <c r="O618" s="224">
        <f t="shared" si="157"/>
        <v>0</v>
      </c>
      <c r="P618" s="224">
        <f t="shared" si="158"/>
        <v>0</v>
      </c>
      <c r="Q618" s="224">
        <f t="shared" ca="1" si="162"/>
        <v>1875</v>
      </c>
      <c r="R618" s="224">
        <f t="shared" ca="1" si="162"/>
        <v>1875</v>
      </c>
      <c r="S618" s="224">
        <f t="shared" ca="1" si="162"/>
        <v>0</v>
      </c>
      <c r="T618" s="224">
        <f t="shared" ca="1" si="159"/>
        <v>0</v>
      </c>
      <c r="U618" s="224">
        <f t="shared" ca="1" si="160"/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468">
        <f>L620+L621</f>
        <v>0</v>
      </c>
      <c r="M619" s="224">
        <f>M620+M621</f>
        <v>0</v>
      </c>
      <c r="N619" s="224">
        <f>N620+N621</f>
        <v>0</v>
      </c>
      <c r="O619" s="224">
        <f t="shared" si="157"/>
        <v>0</v>
      </c>
      <c r="P619" s="224">
        <f t="shared" si="158"/>
        <v>0</v>
      </c>
      <c r="Q619" s="224">
        <f ca="1">Q620+Q621</f>
        <v>1875</v>
      </c>
      <c r="R619" s="224">
        <f ca="1">R620+R621</f>
        <v>1875</v>
      </c>
      <c r="S619" s="224">
        <f ca="1">S620+S621</f>
        <v>0</v>
      </c>
      <c r="T619" s="224">
        <f t="shared" ca="1" si="159"/>
        <v>0</v>
      </c>
      <c r="U619" s="224">
        <f t="shared" ca="1" si="160"/>
        <v>0</v>
      </c>
    </row>
    <row r="620" spans="1:21" ht="18.75" hidden="1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469">
        <v>0</v>
      </c>
      <c r="M620" s="83">
        <v>0</v>
      </c>
      <c r="N620" s="83">
        <v>0</v>
      </c>
      <c r="O620" s="83">
        <f t="shared" si="157"/>
        <v>0</v>
      </c>
      <c r="P620" s="83">
        <f t="shared" si="158"/>
        <v>0</v>
      </c>
      <c r="Q620" s="83">
        <v>0</v>
      </c>
      <c r="R620" s="83">
        <v>0</v>
      </c>
      <c r="S620" s="83">
        <v>0</v>
      </c>
      <c r="T620" s="83">
        <f t="shared" si="159"/>
        <v>0</v>
      </c>
      <c r="U620" s="83">
        <f t="shared" si="160"/>
        <v>0</v>
      </c>
    </row>
    <row r="621" spans="1:21" ht="18.75" hidden="1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468">
        <v>0</v>
      </c>
      <c r="M621" s="224">
        <v>0</v>
      </c>
      <c r="N621" s="224">
        <v>0</v>
      </c>
      <c r="O621" s="224">
        <f t="shared" si="157"/>
        <v>0</v>
      </c>
      <c r="P621" s="224">
        <f t="shared" si="158"/>
        <v>0</v>
      </c>
      <c r="Q621" s="224">
        <f ca="1">IFERROR(__xludf.DUMMYFUNCTION("IMPORTRANGE(""https://docs.google.com/spreadsheets/d/1ItG2mGa2ceCfYo0BwxsXqNm01IGEUdYcSSLTEv9YCik/edit?usp=sharing"",""เบิกจ่ายกองทุน!F14"")"),1875)</f>
        <v>1875</v>
      </c>
      <c r="R621" s="224">
        <f ca="1">IFERROR(__xludf.DUMMYFUNCTION("IMPORTRANGE(""https://docs.google.com/spreadsheets/d/1ItG2mGa2ceCfYo0BwxsXqNm01IGEUdYcSSLTEv9YCik/edit?usp=sharing"",""เบิกจ่ายกองทุน!G14"")"),1875)</f>
        <v>1875</v>
      </c>
      <c r="S621" s="224">
        <f ca="1">IFERROR(__xludf.DUMMYFUNCTION("IMPORTRANGE(""https://docs.google.com/spreadsheets/d/1ItG2mGa2ceCfYo0BwxsXqNm01IGEUdYcSSLTEv9YCik/edit?usp=sharing"",""เบิกจ่ายกองทุน!H14"")"),0)</f>
        <v>0</v>
      </c>
      <c r="T621" s="224">
        <f t="shared" ca="1" si="159"/>
        <v>0</v>
      </c>
      <c r="U621" s="224">
        <f t="shared" ca="1" si="160"/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468">
        <f>L623+L624</f>
        <v>0</v>
      </c>
      <c r="M622" s="224">
        <f>M623+M624</f>
        <v>0</v>
      </c>
      <c r="N622" s="224">
        <f>N623+N624</f>
        <v>0</v>
      </c>
      <c r="O622" s="224">
        <f t="shared" si="157"/>
        <v>0</v>
      </c>
      <c r="P622" s="224">
        <f t="shared" si="158"/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 t="shared" si="159"/>
        <v>0</v>
      </c>
      <c r="U622" s="224">
        <f t="shared" si="160"/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469">
        <v>0</v>
      </c>
      <c r="M623" s="83">
        <v>0</v>
      </c>
      <c r="N623" s="83">
        <v>0</v>
      </c>
      <c r="O623" s="83">
        <f t="shared" si="157"/>
        <v>0</v>
      </c>
      <c r="P623" s="83">
        <f t="shared" si="158"/>
        <v>0</v>
      </c>
      <c r="Q623" s="83">
        <v>0</v>
      </c>
      <c r="R623" s="83">
        <v>0</v>
      </c>
      <c r="S623" s="83">
        <v>0</v>
      </c>
      <c r="T623" s="83">
        <f t="shared" si="159"/>
        <v>0</v>
      </c>
      <c r="U623" s="83">
        <f t="shared" si="160"/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468">
        <v>0</v>
      </c>
      <c r="M624" s="224">
        <v>0</v>
      </c>
      <c r="N624" s="224">
        <v>0</v>
      </c>
      <c r="O624" s="224">
        <f t="shared" si="157"/>
        <v>0</v>
      </c>
      <c r="P624" s="224">
        <f t="shared" si="158"/>
        <v>0</v>
      </c>
      <c r="Q624" s="224">
        <v>0</v>
      </c>
      <c r="R624" s="224">
        <v>0</v>
      </c>
      <c r="S624" s="224">
        <v>0</v>
      </c>
      <c r="T624" s="224">
        <f t="shared" si="159"/>
        <v>0</v>
      </c>
      <c r="U624" s="224">
        <f t="shared" si="160"/>
        <v>0</v>
      </c>
    </row>
    <row r="625" spans="1:21" ht="19.5" x14ac:dyDescent="0.3">
      <c r="A625" s="138"/>
      <c r="B625" s="139"/>
      <c r="C625" s="177" t="s">
        <v>18</v>
      </c>
      <c r="D625" s="467" t="s">
        <v>38</v>
      </c>
      <c r="E625" s="141"/>
      <c r="F625" s="141"/>
      <c r="G625" s="142"/>
      <c r="H625" s="178"/>
      <c r="I625" s="135"/>
      <c r="J625" s="135"/>
      <c r="K625" s="136"/>
      <c r="L625" s="4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10" t="s">
        <v>223</v>
      </c>
      <c r="E626" s="145"/>
      <c r="F626" s="145"/>
      <c r="G626" s="143"/>
      <c r="H626" s="411" t="s">
        <v>46</v>
      </c>
      <c r="I626" s="328">
        <f ca="1">IFERROR(__xludf.DUMMYFUNCTION("IMPORTRANGE(""https://docs.google.com/spreadsheets/d/1eHaY18a8A9IcSdp1K8H6x8fbOy06t2VsZHhMHf-1x7Y/edit?usp=sharing"",""แผน!ID14"")"),0)</f>
        <v>0</v>
      </c>
      <c r="J626" s="328">
        <f>J632</f>
        <v>0</v>
      </c>
      <c r="K626" s="470">
        <f ca="1">IF(I626&gt;0,J626*100/I626,0)</f>
        <v>0</v>
      </c>
      <c r="L626" s="4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IFERROR(__xludf.DUMMYFUNCTION("IMPORTRANGE(""https://docs.google.com/spreadsheets/d/1eHaY18a8A9IcSdp1K8H6x8fbOy06t2VsZHhMHf-1x7Y/edit?usp=sharing"",""แผน!IC14"")"),1)</f>
        <v>1</v>
      </c>
      <c r="J627" s="466">
        <v>0</v>
      </c>
      <c r="K627" s="224">
        <f ca="1">IF(I627&gt;0,(J627*100)/I627,0)</f>
        <v>0</v>
      </c>
      <c r="L627" s="4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IFERROR(__xludf.DUMMYFUNCTION("IMPORTRANGE(""https://docs.google.com/spreadsheets/d/1eHaY18a8A9IcSdp1K8H6x8fbOy06t2VsZHhMHf-1x7Y/edit?usp=sharing"",""แผน!IC14"")"),1)</f>
        <v>1</v>
      </c>
      <c r="J628" s="466">
        <v>0</v>
      </c>
      <c r="K628" s="224">
        <f ca="1">IF(I628&gt;0,(J628*100)/I628,0)</f>
        <v>0</v>
      </c>
      <c r="L628" s="4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466">
        <v>0</v>
      </c>
      <c r="K629" s="224">
        <f ca="1">IF(I$626&gt;0,J629*100/I$626,0)</f>
        <v>0</v>
      </c>
      <c r="L629" s="4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466">
        <v>0</v>
      </c>
      <c r="K630" s="224">
        <f ca="1">IF(I$626&gt;0,J630*100/I$626,0)</f>
        <v>0</v>
      </c>
      <c r="L630" s="4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466">
        <v>0</v>
      </c>
      <c r="K631" s="224">
        <f ca="1">IF(I$626&gt;0,J631*100/I$626,0)</f>
        <v>0</v>
      </c>
      <c r="L631" s="4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470">
        <f ca="1">IF(I626&gt;0,J632*100/I626,0)</f>
        <v>0</v>
      </c>
      <c r="L632" s="4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466">
        <v>0</v>
      </c>
      <c r="K633" s="45"/>
      <c r="L633" s="4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466">
        <v>0</v>
      </c>
      <c r="K634" s="45"/>
      <c r="L634" s="4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10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IFERROR(__xludf.DUMMYFUNCTION("IMPORTRANGE(""https://docs.google.com/spreadsheets/d/1eHaY18a8A9IcSdp1K8H6x8fbOy06t2VsZHhMHf-1x7Y/edit?usp=sharing"",""แผน!IE14"")"),0)</f>
        <v>0</v>
      </c>
      <c r="J635" s="328">
        <f>J636</f>
        <v>0</v>
      </c>
      <c r="K635" s="470">
        <f ca="1">IF(I635&gt;0,J635*100/I635,0)</f>
        <v>0</v>
      </c>
      <c r="L635" s="4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4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466">
        <v>0</v>
      </c>
      <c r="K637" s="45"/>
      <c r="L637" s="4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466">
        <v>0</v>
      </c>
      <c r="K638" s="45"/>
      <c r="L638" s="4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466">
        <v>0</v>
      </c>
      <c r="K639" s="45"/>
      <c r="L639" s="4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466">
        <v>0</v>
      </c>
      <c r="K640" s="45"/>
      <c r="L640" s="4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01"/>
      <c r="B641" s="402" t="s">
        <v>236</v>
      </c>
      <c r="C641" s="401"/>
      <c r="D641" s="403"/>
      <c r="E641" s="403"/>
      <c r="F641" s="403"/>
      <c r="G641" s="404"/>
      <c r="H641" s="412"/>
      <c r="I641" s="413"/>
      <c r="J641" s="413"/>
      <c r="K641" s="408"/>
      <c r="L641" s="504"/>
      <c r="M641" s="408"/>
      <c r="N641" s="408"/>
      <c r="O641" s="408"/>
      <c r="P641" s="408"/>
      <c r="Q641" s="408"/>
      <c r="R641" s="408"/>
      <c r="S641" s="408"/>
      <c r="T641" s="408"/>
      <c r="U641" s="408"/>
    </row>
    <row r="642" spans="1:21" ht="19.5" x14ac:dyDescent="0.3">
      <c r="A642" s="128"/>
      <c r="B642" s="158"/>
      <c r="C642" s="209" t="s">
        <v>18</v>
      </c>
      <c r="D642" s="821" t="s">
        <v>19</v>
      </c>
      <c r="E642" s="793"/>
      <c r="F642" s="793"/>
      <c r="G642" s="794"/>
      <c r="H642" s="221" t="s">
        <v>14</v>
      </c>
      <c r="I642" s="44"/>
      <c r="J642" s="44"/>
      <c r="K642" s="45"/>
      <c r="L642" s="471">
        <f>L643+L644</f>
        <v>0</v>
      </c>
      <c r="M642" s="470">
        <f>M643+M644</f>
        <v>0</v>
      </c>
      <c r="N642" s="470">
        <f>N643+N644</f>
        <v>0</v>
      </c>
      <c r="O642" s="470">
        <f t="shared" ref="O642:O650" si="163">IF(L642&gt;0,N642*100/L642,0)</f>
        <v>0</v>
      </c>
      <c r="P642" s="470">
        <f t="shared" ref="P642:P650" si="164">IF(M642&gt;0,N642*100/M642,0)</f>
        <v>0</v>
      </c>
      <c r="Q642" s="470">
        <f ca="1">Q643+Q644</f>
        <v>2900</v>
      </c>
      <c r="R642" s="470">
        <f ca="1">R643+R644</f>
        <v>2900</v>
      </c>
      <c r="S642" s="470">
        <f ca="1">S643+S644</f>
        <v>0</v>
      </c>
      <c r="T642" s="470">
        <f t="shared" ref="T642:T650" ca="1" si="165">IF(Q642&gt;0,S642*100/Q642,0)</f>
        <v>0</v>
      </c>
      <c r="U642" s="470">
        <f t="shared" ref="U642:U650" ca="1" si="166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469">
        <f t="shared" ref="L643:N644" si="167">L646+L649</f>
        <v>0</v>
      </c>
      <c r="M643" s="83">
        <f t="shared" si="167"/>
        <v>0</v>
      </c>
      <c r="N643" s="83">
        <f t="shared" si="167"/>
        <v>0</v>
      </c>
      <c r="O643" s="83">
        <f t="shared" si="163"/>
        <v>0</v>
      </c>
      <c r="P643" s="83">
        <f t="shared" si="164"/>
        <v>0</v>
      </c>
      <c r="Q643" s="83">
        <f t="shared" ref="Q643:S644" si="168">Q646+Q649</f>
        <v>0</v>
      </c>
      <c r="R643" s="83">
        <f t="shared" si="168"/>
        <v>0</v>
      </c>
      <c r="S643" s="83">
        <f t="shared" si="168"/>
        <v>0</v>
      </c>
      <c r="T643" s="83">
        <f t="shared" si="165"/>
        <v>0</v>
      </c>
      <c r="U643" s="83">
        <f t="shared" si="166"/>
        <v>0</v>
      </c>
    </row>
    <row r="644" spans="1:21" ht="18.75" hidden="1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468">
        <f t="shared" si="167"/>
        <v>0</v>
      </c>
      <c r="M644" s="224">
        <f t="shared" si="167"/>
        <v>0</v>
      </c>
      <c r="N644" s="224">
        <f t="shared" si="167"/>
        <v>0</v>
      </c>
      <c r="O644" s="224">
        <f t="shared" si="163"/>
        <v>0</v>
      </c>
      <c r="P644" s="224">
        <f t="shared" si="164"/>
        <v>0</v>
      </c>
      <c r="Q644" s="224">
        <f t="shared" ca="1" si="168"/>
        <v>2900</v>
      </c>
      <c r="R644" s="224">
        <f t="shared" ca="1" si="168"/>
        <v>2900</v>
      </c>
      <c r="S644" s="224">
        <f t="shared" ca="1" si="168"/>
        <v>0</v>
      </c>
      <c r="T644" s="224">
        <f t="shared" ca="1" si="165"/>
        <v>0</v>
      </c>
      <c r="U644" s="224">
        <f t="shared" ca="1" si="166"/>
        <v>0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468">
        <f>L646+L647</f>
        <v>0</v>
      </c>
      <c r="M645" s="224">
        <f>M646+M647</f>
        <v>0</v>
      </c>
      <c r="N645" s="224">
        <f>N646+N647</f>
        <v>0</v>
      </c>
      <c r="O645" s="224">
        <f t="shared" si="163"/>
        <v>0</v>
      </c>
      <c r="P645" s="224">
        <f t="shared" si="164"/>
        <v>0</v>
      </c>
      <c r="Q645" s="224">
        <f ca="1">Q646+Q647</f>
        <v>2900</v>
      </c>
      <c r="R645" s="224">
        <f ca="1">R646+R647</f>
        <v>2900</v>
      </c>
      <c r="S645" s="224">
        <f ca="1">S646+S647</f>
        <v>0</v>
      </c>
      <c r="T645" s="224">
        <f t="shared" ca="1" si="165"/>
        <v>0</v>
      </c>
      <c r="U645" s="224">
        <f t="shared" ca="1" si="166"/>
        <v>0</v>
      </c>
    </row>
    <row r="646" spans="1:21" ht="18.75" hidden="1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469">
        <v>0</v>
      </c>
      <c r="M646" s="83">
        <v>0</v>
      </c>
      <c r="N646" s="83">
        <v>0</v>
      </c>
      <c r="O646" s="83">
        <f t="shared" si="163"/>
        <v>0</v>
      </c>
      <c r="P646" s="83">
        <f t="shared" si="164"/>
        <v>0</v>
      </c>
      <c r="Q646" s="83">
        <v>0</v>
      </c>
      <c r="R646" s="83">
        <v>0</v>
      </c>
      <c r="S646" s="83">
        <v>0</v>
      </c>
      <c r="T646" s="83">
        <f t="shared" si="165"/>
        <v>0</v>
      </c>
      <c r="U646" s="83">
        <f t="shared" si="166"/>
        <v>0</v>
      </c>
    </row>
    <row r="647" spans="1:21" ht="18.75" hidden="1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468">
        <v>0</v>
      </c>
      <c r="M647" s="224">
        <v>0</v>
      </c>
      <c r="N647" s="224">
        <v>0</v>
      </c>
      <c r="O647" s="224">
        <f t="shared" si="163"/>
        <v>0</v>
      </c>
      <c r="P647" s="224">
        <f t="shared" si="164"/>
        <v>0</v>
      </c>
      <c r="Q647" s="224">
        <f ca="1">IFERROR(__xludf.DUMMYFUNCTION("IMPORTRANGE(""https://docs.google.com/spreadsheets/d/1ItG2mGa2ceCfYo0BwxsXqNm01IGEUdYcSSLTEv9YCik/edit?usp=sharing"",""เบิกจ่ายกองทุน!I14"")"),2900)</f>
        <v>2900</v>
      </c>
      <c r="R647" s="224">
        <f ca="1">IFERROR(__xludf.DUMMYFUNCTION("IMPORTRANGE(""https://docs.google.com/spreadsheets/d/1ItG2mGa2ceCfYo0BwxsXqNm01IGEUdYcSSLTEv9YCik/edit?usp=sharing"",""เบิกจ่ายกองทุน!J14"")"),2900)</f>
        <v>2900</v>
      </c>
      <c r="S647" s="224">
        <f ca="1">IFERROR(__xludf.DUMMYFUNCTION("IMPORTRANGE(""https://docs.google.com/spreadsheets/d/1ItG2mGa2ceCfYo0BwxsXqNm01IGEUdYcSSLTEv9YCik/edit?usp=sharing"",""เบิกจ่ายกองทุน!K14"")"),0)</f>
        <v>0</v>
      </c>
      <c r="T647" s="224">
        <f t="shared" ca="1" si="165"/>
        <v>0</v>
      </c>
      <c r="U647" s="224">
        <f t="shared" ca="1" si="166"/>
        <v>0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468">
        <f>L649+L650</f>
        <v>0</v>
      </c>
      <c r="M648" s="224">
        <f>M649+M650</f>
        <v>0</v>
      </c>
      <c r="N648" s="224">
        <f>N649+N650</f>
        <v>0</v>
      </c>
      <c r="O648" s="224">
        <f t="shared" si="163"/>
        <v>0</v>
      </c>
      <c r="P648" s="224">
        <f t="shared" si="164"/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 t="shared" si="165"/>
        <v>0</v>
      </c>
      <c r="U648" s="224">
        <f t="shared" si="166"/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469">
        <v>0</v>
      </c>
      <c r="M649" s="83">
        <v>0</v>
      </c>
      <c r="N649" s="83">
        <v>0</v>
      </c>
      <c r="O649" s="83">
        <f t="shared" si="163"/>
        <v>0</v>
      </c>
      <c r="P649" s="83">
        <f t="shared" si="164"/>
        <v>0</v>
      </c>
      <c r="Q649" s="83">
        <v>0</v>
      </c>
      <c r="R649" s="83">
        <v>0</v>
      </c>
      <c r="S649" s="83">
        <v>0</v>
      </c>
      <c r="T649" s="83">
        <f t="shared" si="165"/>
        <v>0</v>
      </c>
      <c r="U649" s="83">
        <f t="shared" si="166"/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468">
        <v>0</v>
      </c>
      <c r="M650" s="224">
        <v>0</v>
      </c>
      <c r="N650" s="224">
        <v>0</v>
      </c>
      <c r="O650" s="224">
        <f t="shared" si="163"/>
        <v>0</v>
      </c>
      <c r="P650" s="224">
        <f t="shared" si="164"/>
        <v>0</v>
      </c>
      <c r="Q650" s="224">
        <v>0</v>
      </c>
      <c r="R650" s="224">
        <v>0</v>
      </c>
      <c r="S650" s="224">
        <v>0</v>
      </c>
      <c r="T650" s="224">
        <f t="shared" si="165"/>
        <v>0</v>
      </c>
      <c r="U650" s="224">
        <f t="shared" si="166"/>
        <v>0</v>
      </c>
    </row>
    <row r="651" spans="1:21" ht="19.5" x14ac:dyDescent="0.3">
      <c r="A651" s="138"/>
      <c r="B651" s="139"/>
      <c r="C651" s="209" t="s">
        <v>18</v>
      </c>
      <c r="D651" s="503" t="s">
        <v>38</v>
      </c>
      <c r="E651" s="141"/>
      <c r="F651" s="141"/>
      <c r="G651" s="142"/>
      <c r="H651" s="178"/>
      <c r="I651" s="135"/>
      <c r="J651" s="135"/>
      <c r="K651" s="136"/>
      <c r="L651" s="4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502">
        <f ca="1">IFERROR(__xludf.DUMMYFUNCTION("IMPORTRANGE(""https://docs.google.com/spreadsheets/d/1eHaY18a8A9IcSdp1K8H6x8fbOy06t2VsZHhMHf-1x7Y/edit?usp=sharing"",""แผน!IF14"")"),0)</f>
        <v>0</v>
      </c>
      <c r="J652" s="184">
        <f ca="1">IFERROR(__xludf.DUMMYFUNCTION("IMPORTRANGE(""https://docs.google.com/spreadsheets/d/1tdoBKaGub7dwA3U6UFTqxio9LNnvDCQjHKmttSEBsFQ/edit?usp=sharing"",""จัดที่ดิน!AU14"")"),0)</f>
        <v>0</v>
      </c>
      <c r="K652" s="224">
        <f ca="1">IF(I652&gt;0,J652*100/I652,0)</f>
        <v>0</v>
      </c>
      <c r="L652" s="465"/>
      <c r="M652" s="45"/>
      <c r="N652" s="416"/>
      <c r="O652" s="45"/>
      <c r="P652" s="45"/>
      <c r="Q652" s="45"/>
      <c r="R652" s="45"/>
      <c r="S652" s="416"/>
      <c r="T652" s="45"/>
      <c r="U652" s="45"/>
    </row>
    <row r="653" spans="1:21" ht="18.75" hidden="1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502">
        <f ca="1">IFERROR(__xludf.DUMMYFUNCTION("IMPORTRANGE(""https://docs.google.com/spreadsheets/d/1eHaY18a8A9IcSdp1K8H6x8fbOy06t2VsZHhMHf-1x7Y/edit?usp=sharing"",""แผน!IG14"")"),0)</f>
        <v>0</v>
      </c>
      <c r="J653" s="184">
        <f ca="1">IFERROR(__xludf.DUMMYFUNCTION("IMPORTRANGE(""https://docs.google.com/spreadsheets/d/1tdoBKaGub7dwA3U6UFTqxio9LNnvDCQjHKmttSEBsFQ/edit?usp=sharing"",""จัดที่ดิน!AW14"")"),0)</f>
        <v>0</v>
      </c>
      <c r="K653" s="224">
        <f ca="1">IF(I653&gt;0,J653*100/I653,0)</f>
        <v>0</v>
      </c>
      <c r="L653" s="465"/>
      <c r="M653" s="45"/>
      <c r="N653" s="416"/>
      <c r="O653" s="45"/>
      <c r="P653" s="45"/>
      <c r="Q653" s="45"/>
      <c r="R653" s="45"/>
      <c r="S653" s="416"/>
      <c r="T653" s="45"/>
      <c r="U653" s="45"/>
    </row>
    <row r="654" spans="1:21" ht="19.5" x14ac:dyDescent="0.3">
      <c r="A654" s="208"/>
      <c r="B654" s="158"/>
      <c r="C654" s="158"/>
      <c r="D654" s="47" t="s">
        <v>239</v>
      </c>
      <c r="E654" s="40"/>
      <c r="F654" s="40"/>
      <c r="G654" s="42"/>
      <c r="H654" s="411" t="s">
        <v>46</v>
      </c>
      <c r="I654" s="501">
        <f ca="1">IFERROR(__xludf.DUMMYFUNCTION("IMPORTRANGE(""https://docs.google.com/spreadsheets/d/1eHaY18a8A9IcSdp1K8H6x8fbOy06t2VsZHhMHf-1x7Y/edit?usp=sharing"",""แผน!IH14"")"),83)</f>
        <v>83</v>
      </c>
      <c r="J654" s="328">
        <f>J657+J660</f>
        <v>131.71</v>
      </c>
      <c r="K654" s="470">
        <f ca="1">IF(I654&gt;0,J654*100/I654,0)</f>
        <v>158.68674698795181</v>
      </c>
      <c r="L654" s="465"/>
      <c r="M654" s="45"/>
      <c r="N654" s="416"/>
      <c r="O654" s="45"/>
      <c r="P654" s="45"/>
      <c r="Q654" s="45"/>
      <c r="R654" s="45"/>
      <c r="S654" s="416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466">
        <v>7</v>
      </c>
      <c r="K655" s="45"/>
      <c r="L655" s="465"/>
      <c r="M655" s="45"/>
      <c r="N655" s="416"/>
      <c r="O655" s="45"/>
      <c r="P655" s="45"/>
      <c r="Q655" s="45"/>
      <c r="R655" s="45"/>
      <c r="S655" s="416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466">
        <v>7</v>
      </c>
      <c r="K656" s="45"/>
      <c r="L656" s="465"/>
      <c r="M656" s="45"/>
      <c r="N656" s="416"/>
      <c r="O656" s="45"/>
      <c r="P656" s="45"/>
      <c r="Q656" s="45"/>
      <c r="R656" s="45"/>
      <c r="S656" s="416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02">
        <f ca="1">IFERROR(__xludf.DUMMYFUNCTION("IMPORTRANGE(""https://docs.google.com/spreadsheets/d/1eHaY18a8A9IcSdp1K8H6x8fbOy06t2VsZHhMHf-1x7Y/edit?usp=sharing"",""แผน!II14"")"),83)</f>
        <v>83</v>
      </c>
      <c r="J657" s="466">
        <v>131.71</v>
      </c>
      <c r="K657" s="45"/>
      <c r="L657" s="465"/>
      <c r="M657" s="45"/>
      <c r="N657" s="416"/>
      <c r="O657" s="45"/>
      <c r="P657" s="45"/>
      <c r="Q657" s="45"/>
      <c r="R657" s="45"/>
      <c r="S657" s="416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466">
        <v>0</v>
      </c>
      <c r="K658" s="45"/>
      <c r="L658" s="465"/>
      <c r="M658" s="45"/>
      <c r="N658" s="416"/>
      <c r="O658" s="45"/>
      <c r="P658" s="45"/>
      <c r="Q658" s="45"/>
      <c r="R658" s="45"/>
      <c r="S658" s="416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466">
        <v>0</v>
      </c>
      <c r="K659" s="45"/>
      <c r="L659" s="465"/>
      <c r="M659" s="45"/>
      <c r="N659" s="416"/>
      <c r="O659" s="45"/>
      <c r="P659" s="45"/>
      <c r="Q659" s="45"/>
      <c r="R659" s="45"/>
      <c r="S659" s="416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02">
        <f ca="1">IFERROR(__xludf.DUMMYFUNCTION("IMPORTRANGE(""https://docs.google.com/spreadsheets/d/1eHaY18a8A9IcSdp1K8H6x8fbOy06t2VsZHhMHf-1x7Y/edit?usp=sharing"",""แผน!IJ14"")"),0)</f>
        <v>0</v>
      </c>
      <c r="J660" s="466">
        <v>0</v>
      </c>
      <c r="K660" s="45"/>
      <c r="L660" s="465"/>
      <c r="M660" s="45"/>
      <c r="N660" s="416"/>
      <c r="O660" s="45"/>
      <c r="P660" s="45"/>
      <c r="Q660" s="45"/>
      <c r="R660" s="45"/>
      <c r="S660" s="416"/>
      <c r="T660" s="45"/>
      <c r="U660" s="45"/>
    </row>
    <row r="661" spans="1:21" ht="19.5" hidden="1" x14ac:dyDescent="0.3">
      <c r="A661" s="208"/>
      <c r="B661" s="158"/>
      <c r="C661" s="158"/>
      <c r="D661" s="332" t="s">
        <v>242</v>
      </c>
      <c r="E661" s="40"/>
      <c r="F661" s="40"/>
      <c r="G661" s="42"/>
      <c r="H661" s="411" t="s">
        <v>46</v>
      </c>
      <c r="I661" s="501">
        <f ca="1">IFERROR(__xludf.DUMMYFUNCTION("IMPORTRANGE(""https://docs.google.com/spreadsheets/d/1eHaY18a8A9IcSdp1K8H6x8fbOy06t2VsZHhMHf-1x7Y/edit?usp=sharing"",""แผน!IK14"")"),0)</f>
        <v>0</v>
      </c>
      <c r="J661" s="328">
        <f>J667+J670</f>
        <v>0</v>
      </c>
      <c r="K661" s="470">
        <f ca="1">IF(I661&gt;0,J661*100/I661,0)</f>
        <v>0</v>
      </c>
      <c r="L661" s="465"/>
      <c r="M661" s="45"/>
      <c r="N661" s="416"/>
      <c r="O661" s="45"/>
      <c r="P661" s="45"/>
      <c r="Q661" s="45"/>
      <c r="R661" s="45"/>
      <c r="S661" s="416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466">
        <v>0</v>
      </c>
      <c r="K662" s="45"/>
      <c r="L662" s="500"/>
      <c r="M662" s="45"/>
      <c r="N662" s="416"/>
      <c r="O662" s="45"/>
      <c r="P662" s="45"/>
      <c r="Q662" s="416"/>
      <c r="R662" s="45"/>
      <c r="S662" s="416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466">
        <v>0</v>
      </c>
      <c r="K663" s="45"/>
      <c r="L663" s="500"/>
      <c r="M663" s="45"/>
      <c r="N663" s="416"/>
      <c r="O663" s="45"/>
      <c r="P663" s="45"/>
      <c r="Q663" s="416"/>
      <c r="R663" s="45"/>
      <c r="S663" s="416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500"/>
      <c r="M664" s="45"/>
      <c r="N664" s="416"/>
      <c r="O664" s="45"/>
      <c r="P664" s="45"/>
      <c r="Q664" s="416"/>
      <c r="R664" s="45"/>
      <c r="S664" s="416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466">
        <v>0</v>
      </c>
      <c r="K665" s="45"/>
      <c r="L665" s="500"/>
      <c r="M665" s="45"/>
      <c r="N665" s="416"/>
      <c r="O665" s="45"/>
      <c r="P665" s="45"/>
      <c r="Q665" s="416"/>
      <c r="R665" s="45"/>
      <c r="S665" s="416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466">
        <v>0</v>
      </c>
      <c r="K666" s="45"/>
      <c r="L666" s="500"/>
      <c r="M666" s="45"/>
      <c r="N666" s="416"/>
      <c r="O666" s="45"/>
      <c r="P666" s="45"/>
      <c r="Q666" s="416"/>
      <c r="R666" s="45"/>
      <c r="S666" s="416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466">
        <v>0</v>
      </c>
      <c r="K667" s="45"/>
      <c r="L667" s="500"/>
      <c r="M667" s="45"/>
      <c r="N667" s="416"/>
      <c r="O667" s="45"/>
      <c r="P667" s="45"/>
      <c r="Q667" s="416"/>
      <c r="R667" s="45"/>
      <c r="S667" s="416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466">
        <v>0</v>
      </c>
      <c r="K668" s="45"/>
      <c r="L668" s="500"/>
      <c r="M668" s="45"/>
      <c r="N668" s="416"/>
      <c r="O668" s="45"/>
      <c r="P668" s="45"/>
      <c r="Q668" s="416"/>
      <c r="R668" s="45"/>
      <c r="S668" s="416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466">
        <v>0</v>
      </c>
      <c r="K669" s="45"/>
      <c r="L669" s="500"/>
      <c r="M669" s="45"/>
      <c r="N669" s="416"/>
      <c r="O669" s="45"/>
      <c r="P669" s="45"/>
      <c r="Q669" s="416"/>
      <c r="R669" s="45"/>
      <c r="S669" s="416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466">
        <v>0</v>
      </c>
      <c r="K670" s="45"/>
      <c r="L670" s="500"/>
      <c r="M670" s="45"/>
      <c r="N670" s="416"/>
      <c r="O670" s="45"/>
      <c r="P670" s="45"/>
      <c r="Q670" s="416"/>
      <c r="R670" s="45"/>
      <c r="S670" s="416"/>
      <c r="T670" s="45"/>
      <c r="U670" s="45"/>
    </row>
    <row r="671" spans="1:21" ht="18.75" hidden="1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IFERROR(__xludf.DUMMYFUNCTION("IMPORTRANGE(""https://docs.google.com/spreadsheets/d/1tdoBKaGub7dwA3U6UFTqxio9LNnvDCQjHKmttSEBsFQ/edit?usp=sharing"",""จัดที่ดิน!AY14"")"),1)</f>
        <v>1</v>
      </c>
      <c r="K671" s="45"/>
      <c r="L671" s="465"/>
      <c r="M671" s="45"/>
      <c r="N671" s="416"/>
      <c r="O671" s="45"/>
      <c r="P671" s="45"/>
      <c r="Q671" s="45"/>
      <c r="R671" s="45"/>
      <c r="S671" s="416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IFERROR(__xludf.DUMMYFUNCTION("IMPORTRANGE(""https://docs.google.com/spreadsheets/d/1tdoBKaGub7dwA3U6UFTqxio9LNnvDCQjHKmttSEBsFQ/edit?usp=sharing"",""จัดที่ดิน!AZ14"")"),1)</f>
        <v>1</v>
      </c>
      <c r="K672" s="45"/>
      <c r="L672" s="500"/>
      <c r="M672" s="45"/>
      <c r="N672" s="416"/>
      <c r="O672" s="45"/>
      <c r="P672" s="45"/>
      <c r="Q672" s="416"/>
      <c r="R672" s="45"/>
      <c r="S672" s="416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02">
        <f ca="1">IFERROR(__xludf.DUMMYFUNCTION("IMPORTRANGE(""https://docs.google.com/spreadsheets/d/1eHaY18a8A9IcSdp1K8H6x8fbOy06t2VsZHhMHf-1x7Y/edit?usp=sharing"",""แผน!IL14"")"),0)</f>
        <v>0</v>
      </c>
      <c r="J673" s="184">
        <f ca="1">IFERROR(__xludf.DUMMYFUNCTION("IMPORTRANGE(""https://docs.google.com/spreadsheets/d/1tdoBKaGub7dwA3U6UFTqxio9LNnvDCQjHKmttSEBsFQ/edit?usp=sharing"",""จัดที่ดิน!BA14"")"),17.29)</f>
        <v>17.29</v>
      </c>
      <c r="K673" s="224">
        <f ca="1">IF(I673&gt;0,J673*100/I673,0)</f>
        <v>0</v>
      </c>
      <c r="L673" s="500"/>
      <c r="M673" s="45"/>
      <c r="N673" s="416"/>
      <c r="O673" s="45"/>
      <c r="P673" s="45"/>
      <c r="Q673" s="416"/>
      <c r="R673" s="45"/>
      <c r="S673" s="416"/>
      <c r="T673" s="45"/>
      <c r="U673" s="45"/>
    </row>
    <row r="674" spans="1:21" ht="19.5" x14ac:dyDescent="0.3">
      <c r="A674" s="208"/>
      <c r="B674" s="158"/>
      <c r="C674" s="158"/>
      <c r="D674" s="47" t="s">
        <v>248</v>
      </c>
      <c r="E674" s="40"/>
      <c r="F674" s="40"/>
      <c r="G674" s="42"/>
      <c r="H674" s="411" t="s">
        <v>35</v>
      </c>
      <c r="I674" s="501">
        <f ca="1">IFERROR(__xludf.DUMMYFUNCTION("IMPORTRANGE(""https://docs.google.com/spreadsheets/d/1eHaY18a8A9IcSdp1K8H6x8fbOy06t2VsZHhMHf-1x7Y/edit?usp=sharing"",""แผน!IM14"")"),2)</f>
        <v>2</v>
      </c>
      <c r="J674" s="328">
        <f ca="1">J676+J679</f>
        <v>0</v>
      </c>
      <c r="K674" s="470">
        <f ca="1">IF(I674&gt;0,J674*100/I674,0)</f>
        <v>0</v>
      </c>
      <c r="L674" s="500"/>
      <c r="M674" s="45"/>
      <c r="N674" s="416"/>
      <c r="O674" s="45"/>
      <c r="P674" s="45"/>
      <c r="Q674" s="416"/>
      <c r="R674" s="45"/>
      <c r="S674" s="416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11" t="s">
        <v>46</v>
      </c>
      <c r="I675" s="501">
        <f ca="1">IFERROR(__xludf.DUMMYFUNCTION("IMPORTRANGE(""https://docs.google.com/spreadsheets/d/1eHaY18a8A9IcSdp1K8H6x8fbOy06t2VsZHhMHf-1x7Y/edit?usp=sharing"",""แผน!IN14"")"),59)</f>
        <v>59</v>
      </c>
      <c r="J675" s="328">
        <f ca="1">J678+J681</f>
        <v>0</v>
      </c>
      <c r="K675" s="470">
        <f ca="1">IF(I675&gt;0,J675*100/I675,0)</f>
        <v>0</v>
      </c>
      <c r="L675" s="465"/>
      <c r="M675" s="45"/>
      <c r="N675" s="416"/>
      <c r="O675" s="45"/>
      <c r="P675" s="45"/>
      <c r="Q675" s="45"/>
      <c r="R675" s="45"/>
      <c r="S675" s="416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502">
        <f ca="1">IFERROR(__xludf.DUMMYFUNCTION("IMPORTRANGE(""https://docs.google.com/spreadsheets/d/1eHaY18a8A9IcSdp1K8H6x8fbOy06t2VsZHhMHf-1x7Y/edit?usp=sharing"",""แผน!IO14"")"),2)</f>
        <v>2</v>
      </c>
      <c r="J676" s="184">
        <f ca="1">IFERROR(__xludf.DUMMYFUNCTION("IMPORTRANGE(""https://docs.google.com/spreadsheets/d/1tdoBKaGub7dwA3U6UFTqxio9LNnvDCQjHKmttSEBsFQ/edit?usp=sharing"",""จัดที่ดิน!BF14"")"),0)</f>
        <v>0</v>
      </c>
      <c r="K676" s="224">
        <f ca="1">IF(I676&gt;0,J676*100/I676,0)</f>
        <v>0</v>
      </c>
      <c r="L676" s="465"/>
      <c r="M676" s="45"/>
      <c r="N676" s="416"/>
      <c r="O676" s="45"/>
      <c r="P676" s="45"/>
      <c r="Q676" s="45"/>
      <c r="R676" s="45"/>
      <c r="S676" s="416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IFERROR(__xludf.DUMMYFUNCTION("IMPORTRANGE(""https://docs.google.com/spreadsheets/d/1tdoBKaGub7dwA3U6UFTqxio9LNnvDCQjHKmttSEBsFQ/edit?usp=sharing"",""จัดที่ดิน!BG14"")"),0)</f>
        <v>0</v>
      </c>
      <c r="K677" s="45"/>
      <c r="L677" s="500"/>
      <c r="M677" s="45"/>
      <c r="N677" s="416"/>
      <c r="O677" s="45"/>
      <c r="P677" s="45"/>
      <c r="Q677" s="416"/>
      <c r="R677" s="45"/>
      <c r="S677" s="416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02">
        <f ca="1">IFERROR(__xludf.DUMMYFUNCTION("IMPORTRANGE(""https://docs.google.com/spreadsheets/d/1eHaY18a8A9IcSdp1K8H6x8fbOy06t2VsZHhMHf-1x7Y/edit?usp=sharing"",""แผน!IP14"")"),59)</f>
        <v>59</v>
      </c>
      <c r="J678" s="184">
        <f ca="1">IFERROR(__xludf.DUMMYFUNCTION("IMPORTRANGE(""https://docs.google.com/spreadsheets/d/1tdoBKaGub7dwA3U6UFTqxio9LNnvDCQjHKmttSEBsFQ/edit?usp=sharing"",""จัดที่ดิน!BH14"")"),0)</f>
        <v>0</v>
      </c>
      <c r="K678" s="224">
        <f ca="1">IF(I678&gt;0,J678*100/I678,0)</f>
        <v>0</v>
      </c>
      <c r="L678" s="500"/>
      <c r="M678" s="45"/>
      <c r="N678" s="416"/>
      <c r="O678" s="45"/>
      <c r="P678" s="45"/>
      <c r="Q678" s="416"/>
      <c r="R678" s="45"/>
      <c r="S678" s="416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502">
        <f ca="1">IFERROR(__xludf.DUMMYFUNCTION("IMPORTRANGE(""https://docs.google.com/spreadsheets/d/1eHaY18a8A9IcSdp1K8H6x8fbOy06t2VsZHhMHf-1x7Y/edit?usp=sharing"",""แผน!IQ14"")"),0)</f>
        <v>0</v>
      </c>
      <c r="J679" s="184">
        <f ca="1">IFERROR(__xludf.DUMMYFUNCTION("IMPORTRANGE(""https://docs.google.com/spreadsheets/d/1tdoBKaGub7dwA3U6UFTqxio9LNnvDCQjHKmttSEBsFQ/edit?usp=sharing"",""จัดที่ดิน!BK14"")"),0)</f>
        <v>0</v>
      </c>
      <c r="K679" s="224">
        <f ca="1">IF(I679&gt;0,J679*100/I679,0)</f>
        <v>0</v>
      </c>
      <c r="L679" s="465"/>
      <c r="M679" s="45"/>
      <c r="N679" s="416"/>
      <c r="O679" s="45"/>
      <c r="P679" s="45"/>
      <c r="Q679" s="45"/>
      <c r="R679" s="45"/>
      <c r="S679" s="416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IFERROR(__xludf.DUMMYFUNCTION("IMPORTRANGE(""https://docs.google.com/spreadsheets/d/1tdoBKaGub7dwA3U6UFTqxio9LNnvDCQjHKmttSEBsFQ/edit?usp=sharing"",""จัดที่ดิน!BL14"")"),0)</f>
        <v>0</v>
      </c>
      <c r="K680" s="45"/>
      <c r="L680" s="500"/>
      <c r="M680" s="45"/>
      <c r="N680" s="416"/>
      <c r="O680" s="45"/>
      <c r="P680" s="45"/>
      <c r="Q680" s="416"/>
      <c r="R680" s="45"/>
      <c r="S680" s="416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02">
        <f ca="1">IFERROR(__xludf.DUMMYFUNCTION("IMPORTRANGE(""https://docs.google.com/spreadsheets/d/1eHaY18a8A9IcSdp1K8H6x8fbOy06t2VsZHhMHf-1x7Y/edit?usp=sharing"",""แผน!IR14"")"),0)</f>
        <v>0</v>
      </c>
      <c r="J681" s="184">
        <f ca="1">IFERROR(__xludf.DUMMYFUNCTION("IMPORTRANGE(""https://docs.google.com/spreadsheets/d/1tdoBKaGub7dwA3U6UFTqxio9LNnvDCQjHKmttSEBsFQ/edit?usp=sharing"",""จัดที่ดิน!BM14"")"),0)</f>
        <v>0</v>
      </c>
      <c r="K681" s="224">
        <f ca="1">IF(I681&gt;0,J681*100/I681,0)</f>
        <v>0</v>
      </c>
      <c r="L681" s="500"/>
      <c r="M681" s="45"/>
      <c r="N681" s="416"/>
      <c r="O681" s="45"/>
      <c r="P681" s="45"/>
      <c r="Q681" s="416"/>
      <c r="R681" s="45"/>
      <c r="S681" s="416"/>
      <c r="T681" s="45"/>
      <c r="U681" s="45"/>
    </row>
    <row r="682" spans="1:21" ht="19.5" hidden="1" x14ac:dyDescent="0.3">
      <c r="A682" s="208"/>
      <c r="B682" s="158"/>
      <c r="C682" s="158"/>
      <c r="D682" s="47" t="s">
        <v>251</v>
      </c>
      <c r="E682" s="40"/>
      <c r="F682" s="40"/>
      <c r="G682" s="42"/>
      <c r="H682" s="411" t="s">
        <v>46</v>
      </c>
      <c r="I682" s="501">
        <f ca="1">IFERROR(__xludf.DUMMYFUNCTION("IMPORTRANGE(""https://docs.google.com/spreadsheets/d/1eHaY18a8A9IcSdp1K8H6x8fbOy06t2VsZHhMHf-1x7Y/edit?usp=sharing"",""แผน!IS14"")"),0)</f>
        <v>0</v>
      </c>
      <c r="J682" s="328">
        <f>J685+J688</f>
        <v>0</v>
      </c>
      <c r="K682" s="470">
        <f ca="1">IF(I682&gt;0,J682*100/I682,0)</f>
        <v>0</v>
      </c>
      <c r="L682" s="465"/>
      <c r="M682" s="45"/>
      <c r="N682" s="416"/>
      <c r="O682" s="45"/>
      <c r="P682" s="45"/>
      <c r="Q682" s="45"/>
      <c r="R682" s="45"/>
      <c r="S682" s="416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466">
        <v>0</v>
      </c>
      <c r="K683" s="45"/>
      <c r="L683" s="500"/>
      <c r="M683" s="45"/>
      <c r="N683" s="416"/>
      <c r="O683" s="45"/>
      <c r="P683" s="45"/>
      <c r="Q683" s="416"/>
      <c r="R683" s="45"/>
      <c r="S683" s="416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466">
        <v>0</v>
      </c>
      <c r="K684" s="45"/>
      <c r="L684" s="500"/>
      <c r="M684" s="45"/>
      <c r="N684" s="416"/>
      <c r="O684" s="45"/>
      <c r="P684" s="45"/>
      <c r="Q684" s="416"/>
      <c r="R684" s="45"/>
      <c r="S684" s="416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466">
        <v>0</v>
      </c>
      <c r="K685" s="45"/>
      <c r="L685" s="500"/>
      <c r="M685" s="45"/>
      <c r="N685" s="416"/>
      <c r="O685" s="45"/>
      <c r="P685" s="45"/>
      <c r="Q685" s="416"/>
      <c r="R685" s="45"/>
      <c r="S685" s="416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466">
        <v>0</v>
      </c>
      <c r="K686" s="45"/>
      <c r="L686" s="500"/>
      <c r="M686" s="45"/>
      <c r="N686" s="416"/>
      <c r="O686" s="45"/>
      <c r="P686" s="45"/>
      <c r="Q686" s="416"/>
      <c r="R686" s="45"/>
      <c r="S686" s="416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466">
        <v>0</v>
      </c>
      <c r="K687" s="45"/>
      <c r="L687" s="500"/>
      <c r="M687" s="45"/>
      <c r="N687" s="416"/>
      <c r="O687" s="45"/>
      <c r="P687" s="45"/>
      <c r="Q687" s="416"/>
      <c r="R687" s="45"/>
      <c r="S687" s="416"/>
      <c r="T687" s="45"/>
      <c r="U687" s="45"/>
    </row>
    <row r="688" spans="1:21" ht="19.5" hidden="1" x14ac:dyDescent="0.3">
      <c r="A688" s="249"/>
      <c r="B688" s="419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464">
        <v>0</v>
      </c>
      <c r="K688" s="3"/>
      <c r="L688" s="499"/>
      <c r="M688" s="3"/>
      <c r="N688" s="420"/>
      <c r="O688" s="3"/>
      <c r="P688" s="3"/>
      <c r="Q688" s="420"/>
      <c r="R688" s="3"/>
      <c r="S688" s="420"/>
      <c r="T688" s="3"/>
      <c r="U688" s="3"/>
    </row>
    <row r="689" spans="1:21" ht="19.5" x14ac:dyDescent="0.3">
      <c r="A689" s="394"/>
      <c r="B689" s="395" t="s">
        <v>255</v>
      </c>
      <c r="C689" s="394"/>
      <c r="D689" s="396"/>
      <c r="E689" s="396"/>
      <c r="F689" s="396"/>
      <c r="G689" s="397"/>
      <c r="H689" s="434" t="s">
        <v>35</v>
      </c>
      <c r="I689" s="475">
        <f ca="1">I707</f>
        <v>100</v>
      </c>
      <c r="J689" s="475">
        <f ca="1">J707</f>
        <v>0</v>
      </c>
      <c r="K689" s="474">
        <f ca="1">IF(I689&gt;0,J689*100/I689,0)</f>
        <v>0</v>
      </c>
      <c r="L689" s="473"/>
      <c r="M689" s="400"/>
      <c r="N689" s="400"/>
      <c r="O689" s="400"/>
      <c r="P689" s="400"/>
      <c r="Q689" s="400"/>
      <c r="R689" s="400"/>
      <c r="S689" s="400"/>
      <c r="T689" s="400"/>
      <c r="U689" s="400"/>
    </row>
    <row r="690" spans="1:21" ht="19.5" x14ac:dyDescent="0.3">
      <c r="A690" s="128"/>
      <c r="B690" s="158"/>
      <c r="C690" s="177" t="s">
        <v>18</v>
      </c>
      <c r="D690" s="821" t="s">
        <v>19</v>
      </c>
      <c r="E690" s="793"/>
      <c r="F690" s="793"/>
      <c r="G690" s="794"/>
      <c r="H690" s="221" t="s">
        <v>14</v>
      </c>
      <c r="I690" s="44"/>
      <c r="J690" s="44"/>
      <c r="K690" s="45"/>
      <c r="L690" s="471">
        <f>L691+L692</f>
        <v>0</v>
      </c>
      <c r="M690" s="470">
        <f>M691+M692</f>
        <v>0</v>
      </c>
      <c r="N690" s="470">
        <f>N691+N692</f>
        <v>0</v>
      </c>
      <c r="O690" s="470">
        <f t="shared" ref="O690:O698" si="169">IF(L690&gt;0,N690*100/L690,0)</f>
        <v>0</v>
      </c>
      <c r="P690" s="470">
        <f t="shared" ref="P690:P698" si="170">IF(M690&gt;0,N690*100/M690,0)</f>
        <v>0</v>
      </c>
      <c r="Q690" s="470">
        <f ca="1">Q691+Q692</f>
        <v>224500</v>
      </c>
      <c r="R690" s="470">
        <f ca="1">R691+R692</f>
        <v>224500</v>
      </c>
      <c r="S690" s="470">
        <f ca="1">S691+S692</f>
        <v>136700</v>
      </c>
      <c r="T690" s="470">
        <f t="shared" ref="T690:T698" ca="1" si="171">IF(Q690&gt;0,S690*100/Q690,0)</f>
        <v>60.890868596881958</v>
      </c>
      <c r="U690" s="470">
        <f t="shared" ref="U690:U698" ca="1" si="172">IF(R690&gt;0,S690*100/R690,0)</f>
        <v>60.890868596881958</v>
      </c>
    </row>
    <row r="691" spans="1:21" ht="18.75" hidden="1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469">
        <f t="shared" ref="L691:N692" si="173">L694+L697</f>
        <v>0</v>
      </c>
      <c r="M691" s="83">
        <f t="shared" si="173"/>
        <v>0</v>
      </c>
      <c r="N691" s="83">
        <f t="shared" si="173"/>
        <v>0</v>
      </c>
      <c r="O691" s="83">
        <f t="shared" si="169"/>
        <v>0</v>
      </c>
      <c r="P691" s="83">
        <f t="shared" si="170"/>
        <v>0</v>
      </c>
      <c r="Q691" s="83">
        <f t="shared" ref="Q691:S692" si="174">Q694+Q697</f>
        <v>0</v>
      </c>
      <c r="R691" s="83">
        <f t="shared" si="174"/>
        <v>0</v>
      </c>
      <c r="S691" s="83">
        <f t="shared" si="174"/>
        <v>0</v>
      </c>
      <c r="T691" s="83">
        <f t="shared" si="171"/>
        <v>0</v>
      </c>
      <c r="U691" s="83">
        <f t="shared" si="172"/>
        <v>0</v>
      </c>
    </row>
    <row r="692" spans="1:21" ht="18.75" hidden="1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468">
        <f t="shared" si="173"/>
        <v>0</v>
      </c>
      <c r="M692" s="224">
        <f t="shared" si="173"/>
        <v>0</v>
      </c>
      <c r="N692" s="224">
        <f t="shared" si="173"/>
        <v>0</v>
      </c>
      <c r="O692" s="224">
        <f t="shared" si="169"/>
        <v>0</v>
      </c>
      <c r="P692" s="224">
        <f t="shared" si="170"/>
        <v>0</v>
      </c>
      <c r="Q692" s="224">
        <f t="shared" ca="1" si="174"/>
        <v>224500</v>
      </c>
      <c r="R692" s="224">
        <f t="shared" ca="1" si="174"/>
        <v>224500</v>
      </c>
      <c r="S692" s="224">
        <f t="shared" ca="1" si="174"/>
        <v>136700</v>
      </c>
      <c r="T692" s="224">
        <f t="shared" ca="1" si="171"/>
        <v>60.890868596881958</v>
      </c>
      <c r="U692" s="224">
        <f t="shared" ca="1" si="172"/>
        <v>60.890868596881958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468">
        <f>L694+L695</f>
        <v>0</v>
      </c>
      <c r="M693" s="224">
        <f>M694+M695</f>
        <v>0</v>
      </c>
      <c r="N693" s="224">
        <f>N694+N695</f>
        <v>0</v>
      </c>
      <c r="O693" s="224">
        <f t="shared" si="169"/>
        <v>0</v>
      </c>
      <c r="P693" s="224">
        <f t="shared" si="170"/>
        <v>0</v>
      </c>
      <c r="Q693" s="224">
        <f ca="1">Q694+Q695</f>
        <v>224500</v>
      </c>
      <c r="R693" s="224">
        <f ca="1">R694+R695</f>
        <v>224500</v>
      </c>
      <c r="S693" s="224">
        <f ca="1">S694+S695</f>
        <v>136700</v>
      </c>
      <c r="T693" s="224">
        <f t="shared" ca="1" si="171"/>
        <v>60.890868596881958</v>
      </c>
      <c r="U693" s="224">
        <f t="shared" ca="1" si="172"/>
        <v>60.890868596881958</v>
      </c>
    </row>
    <row r="694" spans="1:21" ht="18.75" hidden="1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469">
        <v>0</v>
      </c>
      <c r="M694" s="83">
        <v>0</v>
      </c>
      <c r="N694" s="83">
        <v>0</v>
      </c>
      <c r="O694" s="83">
        <f t="shared" si="169"/>
        <v>0</v>
      </c>
      <c r="P694" s="83">
        <f t="shared" si="170"/>
        <v>0</v>
      </c>
      <c r="Q694" s="83">
        <v>0</v>
      </c>
      <c r="R694" s="83">
        <v>0</v>
      </c>
      <c r="S694" s="83">
        <v>0</v>
      </c>
      <c r="T694" s="83">
        <f t="shared" si="171"/>
        <v>0</v>
      </c>
      <c r="U694" s="83">
        <f t="shared" si="172"/>
        <v>0</v>
      </c>
    </row>
    <row r="695" spans="1:21" ht="18.75" hidden="1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468">
        <v>0</v>
      </c>
      <c r="M695" s="224">
        <v>0</v>
      </c>
      <c r="N695" s="224">
        <v>0</v>
      </c>
      <c r="O695" s="224">
        <f t="shared" si="169"/>
        <v>0</v>
      </c>
      <c r="P695" s="224">
        <f t="shared" si="170"/>
        <v>0</v>
      </c>
      <c r="Q695" s="224">
        <f ca="1">IFERROR(__xludf.DUMMYFUNCTION("IMPORTRANGE(""https://docs.google.com/spreadsheets/d/1ItG2mGa2ceCfYo0BwxsXqNm01IGEUdYcSSLTEv9YCik/edit?usp=sharing"",""เบิกจ่ายกองทุน!L14"")"),224500)</f>
        <v>224500</v>
      </c>
      <c r="R695" s="224">
        <f ca="1">IFERROR(__xludf.DUMMYFUNCTION("IMPORTRANGE(""https://docs.google.com/spreadsheets/d/1ItG2mGa2ceCfYo0BwxsXqNm01IGEUdYcSSLTEv9YCik/edit?usp=sharing"",""เบิกจ่ายกองทุน!M14"")"),224500)</f>
        <v>224500</v>
      </c>
      <c r="S695" s="224">
        <f ca="1">IFERROR(__xludf.DUMMYFUNCTION("IMPORTRANGE(""https://docs.google.com/spreadsheets/d/1ItG2mGa2ceCfYo0BwxsXqNm01IGEUdYcSSLTEv9YCik/edit?usp=sharing"",""เบิกจ่ายกองทุน!N14"")"),136700)</f>
        <v>136700</v>
      </c>
      <c r="T695" s="224">
        <f t="shared" ca="1" si="171"/>
        <v>60.890868596881958</v>
      </c>
      <c r="U695" s="224">
        <f t="shared" ca="1" si="172"/>
        <v>60.890868596881958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468">
        <f>L697+L698</f>
        <v>0</v>
      </c>
      <c r="M696" s="224">
        <f>M697+M698</f>
        <v>0</v>
      </c>
      <c r="N696" s="224">
        <f>N697+N698</f>
        <v>0</v>
      </c>
      <c r="O696" s="224">
        <f t="shared" si="169"/>
        <v>0</v>
      </c>
      <c r="P696" s="224">
        <f t="shared" si="170"/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 t="shared" si="171"/>
        <v>0</v>
      </c>
      <c r="U696" s="224">
        <f t="shared" si="172"/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469">
        <v>0</v>
      </c>
      <c r="M697" s="83">
        <v>0</v>
      </c>
      <c r="N697" s="83">
        <v>0</v>
      </c>
      <c r="O697" s="83">
        <f t="shared" si="169"/>
        <v>0</v>
      </c>
      <c r="P697" s="83">
        <f t="shared" si="170"/>
        <v>0</v>
      </c>
      <c r="Q697" s="83">
        <v>0</v>
      </c>
      <c r="R697" s="83">
        <v>0</v>
      </c>
      <c r="S697" s="83">
        <v>0</v>
      </c>
      <c r="T697" s="83">
        <f t="shared" si="171"/>
        <v>0</v>
      </c>
      <c r="U697" s="83">
        <f t="shared" si="172"/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468">
        <v>0</v>
      </c>
      <c r="M698" s="224">
        <v>0</v>
      </c>
      <c r="N698" s="224">
        <v>0</v>
      </c>
      <c r="O698" s="224">
        <f t="shared" si="169"/>
        <v>0</v>
      </c>
      <c r="P698" s="224">
        <f t="shared" si="170"/>
        <v>0</v>
      </c>
      <c r="Q698" s="224">
        <v>0</v>
      </c>
      <c r="R698" s="224">
        <v>0</v>
      </c>
      <c r="S698" s="224">
        <v>0</v>
      </c>
      <c r="T698" s="224">
        <f t="shared" si="171"/>
        <v>0</v>
      </c>
      <c r="U698" s="224">
        <f t="shared" si="172"/>
        <v>0</v>
      </c>
    </row>
    <row r="699" spans="1:21" ht="19.5" x14ac:dyDescent="0.3">
      <c r="A699" s="138"/>
      <c r="B699" s="139"/>
      <c r="C699" s="177" t="s">
        <v>18</v>
      </c>
      <c r="D699" s="498" t="s">
        <v>38</v>
      </c>
      <c r="E699" s="141"/>
      <c r="F699" s="141"/>
      <c r="G699" s="141"/>
      <c r="H699" s="178"/>
      <c r="I699" s="135"/>
      <c r="J699" s="135"/>
      <c r="K699" s="136"/>
      <c r="L699" s="465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IFERROR(__xludf.DUMMYFUNCTION("IMPORTRANGE(""https://docs.google.com/spreadsheets/d/1eHaY18a8A9IcSdp1K8H6x8fbOy06t2VsZHhMHf-1x7Y/edit?usp=sharing"",""แผน!LC14"")"),0)</f>
        <v>0</v>
      </c>
      <c r="J700" s="466">
        <v>0</v>
      </c>
      <c r="K700" s="497">
        <f t="shared" ref="K700:K710" ca="1" si="175">IF(I700&gt;0,J700*100/I700,0)</f>
        <v>0</v>
      </c>
      <c r="L700" s="4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24" t="s">
        <v>258</v>
      </c>
      <c r="F701" s="145"/>
      <c r="G701" s="143"/>
      <c r="H701" s="131" t="s">
        <v>35</v>
      </c>
      <c r="I701" s="328">
        <f ca="1">I703+I705</f>
        <v>105</v>
      </c>
      <c r="J701" s="328">
        <f ca="1">J703+J705</f>
        <v>0</v>
      </c>
      <c r="K701" s="470">
        <f t="shared" ca="1" si="175"/>
        <v>0</v>
      </c>
      <c r="L701" s="4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0</v>
      </c>
      <c r="K702" s="470">
        <f t="shared" si="175"/>
        <v>0</v>
      </c>
      <c r="L702" s="4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IFERROR(__xludf.DUMMYFUNCTION("IMPORTRANGE(""https://docs.google.com/spreadsheets/d/1eHaY18a8A9IcSdp1K8H6x8fbOy06t2VsZHhMHf-1x7Y/edit?usp=sharing"",""แผน!LJ14"")"),100)</f>
        <v>100</v>
      </c>
      <c r="J703" s="184">
        <f ca="1">IFERROR(__xludf.DUMMYFUNCTION("IMPORTRANGE(""https://docs.google.com/spreadsheets/d/1tdoBKaGub7dwA3U6UFTqxio9LNnvDCQjHKmttSEBsFQ/edit?usp=sharing"",""จัดที่ดิน!AP14"")"),0)</f>
        <v>0</v>
      </c>
      <c r="K703" s="224">
        <f t="shared" ca="1" si="175"/>
        <v>0</v>
      </c>
      <c r="L703" s="4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IFERROR(__xludf.DUMMYFUNCTION("IMPORTRANGE(""https://docs.google.com/spreadsheets/d/1tdoBKaGub7dwA3U6UFTqxio9LNnvDCQjHKmttSEBsFQ/edit?usp=sharing"",""จัดที่ดิน!AQ14"")"),0)</f>
        <v>0</v>
      </c>
      <c r="K704" s="224">
        <f t="shared" si="175"/>
        <v>0</v>
      </c>
      <c r="L704" s="4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IFERROR(__xludf.DUMMYFUNCTION("IMPORTRANGE(""https://docs.google.com/spreadsheets/d/1eHaY18a8A9IcSdp1K8H6x8fbOy06t2VsZHhMHf-1x7Y/edit?usp=sharing"",""แผน!LK14"")"),5)</f>
        <v>5</v>
      </c>
      <c r="J705" s="184">
        <f ca="1">IFERROR(__xludf.DUMMYFUNCTION("IMPORTRANGE(""https://docs.google.com/spreadsheets/d/1tdoBKaGub7dwA3U6UFTqxio9LNnvDCQjHKmttSEBsFQ/edit?usp=sharing"",""จัดที่ดิน!AR14"")"),0)</f>
        <v>0</v>
      </c>
      <c r="K705" s="497">
        <f t="shared" ca="1" si="175"/>
        <v>0</v>
      </c>
      <c r="L705" s="4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IFERROR(__xludf.DUMMYFUNCTION("IMPORTRANGE(""https://docs.google.com/spreadsheets/d/1tdoBKaGub7dwA3U6UFTqxio9LNnvDCQjHKmttSEBsFQ/edit?usp=sharing"",""จัดที่ดิน!AS14"")"),0)</f>
        <v>0</v>
      </c>
      <c r="K706" s="224">
        <f t="shared" si="175"/>
        <v>0</v>
      </c>
      <c r="L706" s="4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IFERROR(__xludf.DUMMYFUNCTION("IMPORTRANGE(""https://docs.google.com/spreadsheets/d/1eHaY18a8A9IcSdp1K8H6x8fbOy06t2VsZHhMHf-1x7Y/edit?usp=sharing"",""แผน!LJ14"")"),100)</f>
        <v>100</v>
      </c>
      <c r="J707" s="184">
        <f ca="1">IFERROR(__xludf.DUMMYFUNCTION("IMPORTRANGE(""https://docs.google.com/spreadsheets/d/1tdoBKaGub7dwA3U6UFTqxio9LNnvDCQjHKmttSEBsFQ/edit?usp=sharing"",""จัดที่ดิน!BN14"")"),0)</f>
        <v>0</v>
      </c>
      <c r="K707" s="224">
        <f t="shared" ca="1" si="175"/>
        <v>0</v>
      </c>
      <c r="L707" s="4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25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IFERROR(__xludf.DUMMYFUNCTION("IMPORTRANGE(""https://docs.google.com/spreadsheets/d/1tdoBKaGub7dwA3U6UFTqxio9LNnvDCQjHKmttSEBsFQ/edit?usp=sharing"",""จัดที่ดิน!BO14"")"),0)</f>
        <v>0</v>
      </c>
      <c r="K708" s="224">
        <f t="shared" si="175"/>
        <v>0</v>
      </c>
      <c r="L708" s="4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IFERROR(__xludf.DUMMYFUNCTION("IMPORTRANGE(""https://docs.google.com/spreadsheets/d/1eHaY18a8A9IcSdp1K8H6x8fbOy06t2VsZHhMHf-1x7Y/edit?usp=sharing"",""แผน!LK14"")"),5)</f>
        <v>5</v>
      </c>
      <c r="J709" s="184">
        <f ca="1">IFERROR(__xludf.DUMMYFUNCTION("IMPORTRANGE(""https://docs.google.com/spreadsheets/d/1tdoBKaGub7dwA3U6UFTqxio9LNnvDCQjHKmttSEBsFQ/edit?usp=sharing"",""จัดที่ดิน!BP14"")"),4)</f>
        <v>4</v>
      </c>
      <c r="K709" s="224">
        <f t="shared" ca="1" si="175"/>
        <v>80</v>
      </c>
      <c r="L709" s="465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25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IFERROR(__xludf.DUMMYFUNCTION("IMPORTRANGE(""https://docs.google.com/spreadsheets/d/1tdoBKaGub7dwA3U6UFTqxio9LNnvDCQjHKmttSEBsFQ/edit?usp=sharing"",""จัดที่ดิน!BQ14"")"),0)</f>
        <v>0</v>
      </c>
      <c r="K710" s="224">
        <f t="shared" si="175"/>
        <v>0</v>
      </c>
      <c r="L710" s="465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496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hidden="1" x14ac:dyDescent="0.3">
      <c r="A712" s="394"/>
      <c r="B712" s="426" t="s">
        <v>265</v>
      </c>
      <c r="C712" s="394"/>
      <c r="D712" s="396"/>
      <c r="E712" s="396"/>
      <c r="F712" s="396"/>
      <c r="G712" s="397"/>
      <c r="H712" s="427" t="s">
        <v>46</v>
      </c>
      <c r="I712" s="399"/>
      <c r="J712" s="399">
        <f>J724</f>
        <v>0</v>
      </c>
      <c r="K712" s="495">
        <f>IF(I712&gt;0,J712*100/I712,0)</f>
        <v>0</v>
      </c>
      <c r="L712" s="473"/>
      <c r="M712" s="400"/>
      <c r="N712" s="400"/>
      <c r="O712" s="400"/>
      <c r="P712" s="400"/>
      <c r="Q712" s="400"/>
      <c r="R712" s="400"/>
      <c r="S712" s="400"/>
      <c r="T712" s="400"/>
      <c r="U712" s="400"/>
    </row>
    <row r="713" spans="1:21" ht="19.5" hidden="1" x14ac:dyDescent="0.3">
      <c r="A713" s="394"/>
      <c r="B713" s="426" t="s">
        <v>266</v>
      </c>
      <c r="C713" s="394"/>
      <c r="D713" s="396"/>
      <c r="E713" s="396"/>
      <c r="F713" s="396"/>
      <c r="G713" s="397"/>
      <c r="H713" s="398"/>
      <c r="I713" s="399"/>
      <c r="J713" s="399"/>
      <c r="K713" s="400"/>
      <c r="L713" s="47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128"/>
      <c r="B714" s="158"/>
      <c r="C714" s="314" t="s">
        <v>18</v>
      </c>
      <c r="D714" s="820" t="s">
        <v>19</v>
      </c>
      <c r="E714" s="793"/>
      <c r="F714" s="793"/>
      <c r="G714" s="794"/>
      <c r="H714" s="372" t="s">
        <v>14</v>
      </c>
      <c r="I714" s="44"/>
      <c r="J714" s="44"/>
      <c r="K714" s="45"/>
      <c r="L714" s="471">
        <f>L715+L716</f>
        <v>0</v>
      </c>
      <c r="M714" s="470">
        <f>M715+M716</f>
        <v>0</v>
      </c>
      <c r="N714" s="470">
        <f>N715+N716</f>
        <v>0</v>
      </c>
      <c r="O714" s="470">
        <f t="shared" ref="O714:O722" si="176">IF(L714&gt;0,N714*100/L714,0)</f>
        <v>0</v>
      </c>
      <c r="P714" s="470">
        <f t="shared" ref="P714:P722" si="177">IF(M714&gt;0,N714*100/M714,0)</f>
        <v>0</v>
      </c>
      <c r="Q714" s="470">
        <f>Q715+Q716</f>
        <v>0</v>
      </c>
      <c r="R714" s="470">
        <f>R715+R716</f>
        <v>0</v>
      </c>
      <c r="S714" s="470">
        <f>S715+S716</f>
        <v>0</v>
      </c>
      <c r="T714" s="470">
        <f t="shared" ref="T714:T722" si="178">IF(Q714&gt;0,S714*100/Q714,0)</f>
        <v>0</v>
      </c>
      <c r="U714" s="470">
        <f t="shared" ref="U714:U722" si="179"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469">
        <f t="shared" ref="L715:N716" si="180">L718+L721</f>
        <v>0</v>
      </c>
      <c r="M715" s="83">
        <f t="shared" si="180"/>
        <v>0</v>
      </c>
      <c r="N715" s="83">
        <f t="shared" si="180"/>
        <v>0</v>
      </c>
      <c r="O715" s="83">
        <f t="shared" si="176"/>
        <v>0</v>
      </c>
      <c r="P715" s="83">
        <f t="shared" si="177"/>
        <v>0</v>
      </c>
      <c r="Q715" s="83">
        <f t="shared" ref="Q715:S716" si="181">Q718+Q721</f>
        <v>0</v>
      </c>
      <c r="R715" s="83">
        <f t="shared" si="181"/>
        <v>0</v>
      </c>
      <c r="S715" s="83">
        <f t="shared" si="181"/>
        <v>0</v>
      </c>
      <c r="T715" s="83">
        <f t="shared" si="178"/>
        <v>0</v>
      </c>
      <c r="U715" s="83">
        <f t="shared" si="179"/>
        <v>0</v>
      </c>
    </row>
    <row r="716" spans="1:21" ht="18.75" hidden="1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468">
        <f t="shared" si="180"/>
        <v>0</v>
      </c>
      <c r="M716" s="224">
        <f t="shared" si="180"/>
        <v>0</v>
      </c>
      <c r="N716" s="224">
        <f t="shared" si="180"/>
        <v>0</v>
      </c>
      <c r="O716" s="224">
        <f t="shared" si="176"/>
        <v>0</v>
      </c>
      <c r="P716" s="224">
        <f t="shared" si="177"/>
        <v>0</v>
      </c>
      <c r="Q716" s="224">
        <f t="shared" si="181"/>
        <v>0</v>
      </c>
      <c r="R716" s="224">
        <f t="shared" si="181"/>
        <v>0</v>
      </c>
      <c r="S716" s="224">
        <f t="shared" si="181"/>
        <v>0</v>
      </c>
      <c r="T716" s="224">
        <f t="shared" si="178"/>
        <v>0</v>
      </c>
      <c r="U716" s="224">
        <f t="shared" si="179"/>
        <v>0</v>
      </c>
    </row>
    <row r="717" spans="1:21" ht="19.5" hidden="1" x14ac:dyDescent="0.3">
      <c r="A717" s="128"/>
      <c r="B717" s="158"/>
      <c r="C717" s="158"/>
      <c r="D717" s="494" t="s">
        <v>22</v>
      </c>
      <c r="E717" s="40"/>
      <c r="F717" s="40"/>
      <c r="G717" s="42"/>
      <c r="H717" s="372" t="s">
        <v>14</v>
      </c>
      <c r="I717" s="135"/>
      <c r="J717" s="135"/>
      <c r="K717" s="136"/>
      <c r="L717" s="468">
        <f>L718+L719</f>
        <v>0</v>
      </c>
      <c r="M717" s="224">
        <f>M718+M719</f>
        <v>0</v>
      </c>
      <c r="N717" s="224">
        <f>N718+N719</f>
        <v>0</v>
      </c>
      <c r="O717" s="224">
        <f t="shared" si="176"/>
        <v>0</v>
      </c>
      <c r="P717" s="224">
        <f t="shared" si="177"/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 t="shared" si="178"/>
        <v>0</v>
      </c>
      <c r="U717" s="224">
        <f t="shared" si="179"/>
        <v>0</v>
      </c>
    </row>
    <row r="718" spans="1:21" ht="18.75" hidden="1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469">
        <v>0</v>
      </c>
      <c r="M718" s="83">
        <v>0</v>
      </c>
      <c r="N718" s="83">
        <v>0</v>
      </c>
      <c r="O718" s="83">
        <f t="shared" si="176"/>
        <v>0</v>
      </c>
      <c r="P718" s="83">
        <f t="shared" si="177"/>
        <v>0</v>
      </c>
      <c r="Q718" s="83">
        <v>0</v>
      </c>
      <c r="R718" s="83">
        <v>0</v>
      </c>
      <c r="S718" s="83">
        <v>0</v>
      </c>
      <c r="T718" s="83">
        <f t="shared" si="178"/>
        <v>0</v>
      </c>
      <c r="U718" s="83">
        <f t="shared" si="179"/>
        <v>0</v>
      </c>
    </row>
    <row r="719" spans="1:21" ht="18.75" hidden="1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468">
        <v>0</v>
      </c>
      <c r="M719" s="224">
        <v>0</v>
      </c>
      <c r="N719" s="224">
        <v>0</v>
      </c>
      <c r="O719" s="224">
        <f t="shared" si="176"/>
        <v>0</v>
      </c>
      <c r="P719" s="224">
        <f t="shared" si="177"/>
        <v>0</v>
      </c>
      <c r="Q719" s="224">
        <v>0</v>
      </c>
      <c r="R719" s="224">
        <v>0</v>
      </c>
      <c r="S719" s="224">
        <v>0</v>
      </c>
      <c r="T719" s="224">
        <f t="shared" si="178"/>
        <v>0</v>
      </c>
      <c r="U719" s="224">
        <f t="shared" si="179"/>
        <v>0</v>
      </c>
    </row>
    <row r="720" spans="1:21" ht="19.5" hidden="1" x14ac:dyDescent="0.3">
      <c r="A720" s="128"/>
      <c r="B720" s="158"/>
      <c r="C720" s="158"/>
      <c r="D720" s="494" t="s">
        <v>23</v>
      </c>
      <c r="E720" s="40"/>
      <c r="F720" s="40"/>
      <c r="G720" s="42"/>
      <c r="H720" s="374" t="s">
        <v>14</v>
      </c>
      <c r="I720" s="135"/>
      <c r="J720" s="135"/>
      <c r="K720" s="136"/>
      <c r="L720" s="468">
        <f>L721+L722</f>
        <v>0</v>
      </c>
      <c r="M720" s="224">
        <f>M721+M722</f>
        <v>0</v>
      </c>
      <c r="N720" s="224">
        <f>N721+N722</f>
        <v>0</v>
      </c>
      <c r="O720" s="224">
        <f t="shared" si="176"/>
        <v>0</v>
      </c>
      <c r="P720" s="224">
        <f t="shared" si="177"/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 t="shared" si="178"/>
        <v>0</v>
      </c>
      <c r="U720" s="224">
        <f t="shared" si="179"/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469">
        <v>0</v>
      </c>
      <c r="M721" s="83">
        <v>0</v>
      </c>
      <c r="N721" s="83">
        <v>0</v>
      </c>
      <c r="O721" s="83">
        <f t="shared" si="176"/>
        <v>0</v>
      </c>
      <c r="P721" s="83">
        <f t="shared" si="177"/>
        <v>0</v>
      </c>
      <c r="Q721" s="83">
        <v>0</v>
      </c>
      <c r="R721" s="83">
        <v>0</v>
      </c>
      <c r="S721" s="83">
        <v>0</v>
      </c>
      <c r="T721" s="83">
        <f t="shared" si="178"/>
        <v>0</v>
      </c>
      <c r="U721" s="83">
        <f t="shared" si="179"/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375" t="s">
        <v>14</v>
      </c>
      <c r="I722" s="135"/>
      <c r="J722" s="135"/>
      <c r="K722" s="136"/>
      <c r="L722" s="468">
        <v>0</v>
      </c>
      <c r="M722" s="224">
        <v>0</v>
      </c>
      <c r="N722" s="224">
        <v>0</v>
      </c>
      <c r="O722" s="224">
        <f t="shared" si="176"/>
        <v>0</v>
      </c>
      <c r="P722" s="224">
        <f t="shared" si="177"/>
        <v>0</v>
      </c>
      <c r="Q722" s="224">
        <v>0</v>
      </c>
      <c r="R722" s="224">
        <v>0</v>
      </c>
      <c r="S722" s="224">
        <v>0</v>
      </c>
      <c r="T722" s="224">
        <f t="shared" si="178"/>
        <v>0</v>
      </c>
      <c r="U722" s="224">
        <f t="shared" si="179"/>
        <v>0</v>
      </c>
    </row>
    <row r="723" spans="1:21" ht="19.5" hidden="1" x14ac:dyDescent="0.3">
      <c r="A723" s="138"/>
      <c r="B723" s="139"/>
      <c r="C723" s="314" t="s">
        <v>18</v>
      </c>
      <c r="D723" s="493" t="s">
        <v>38</v>
      </c>
      <c r="E723" s="141"/>
      <c r="F723" s="141"/>
      <c r="G723" s="142"/>
      <c r="H723" s="178"/>
      <c r="I723" s="135"/>
      <c r="J723" s="135"/>
      <c r="K723" s="136"/>
      <c r="L723" s="4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30">
        <v>0</v>
      </c>
      <c r="J724" s="44"/>
      <c r="K724" s="45"/>
      <c r="L724" s="465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29"/>
      <c r="B725" s="2"/>
      <c r="C725" s="2"/>
      <c r="D725" s="1"/>
      <c r="E725" s="431" t="s">
        <v>268</v>
      </c>
      <c r="F725" s="1"/>
      <c r="G725" s="52"/>
      <c r="H725" s="432" t="s">
        <v>46</v>
      </c>
      <c r="I725" s="433">
        <v>0</v>
      </c>
      <c r="J725" s="54"/>
      <c r="K725" s="3"/>
      <c r="L725" s="46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94"/>
      <c r="B726" s="395" t="s">
        <v>269</v>
      </c>
      <c r="C726" s="394"/>
      <c r="D726" s="396"/>
      <c r="E726" s="396"/>
      <c r="F726" s="396"/>
      <c r="G726" s="397"/>
      <c r="H726" s="434" t="s">
        <v>35</v>
      </c>
      <c r="I726" s="475">
        <f ca="1">IFERROR(__xludf.DUMMYFUNCTION("IMPORTRANGE(""https://docs.google.com/spreadsheets/d/1eHaY18a8A9IcSdp1K8H6x8fbOy06t2VsZHhMHf-1x7Y/edit?usp=sharing"",""แผน!GA14"")"),128)</f>
        <v>128</v>
      </c>
      <c r="J726" s="475">
        <f>J742+J746+J749</f>
        <v>100</v>
      </c>
      <c r="K726" s="474">
        <f ca="1">IF(I726&gt;0,J726*100/I726,0)</f>
        <v>78.125</v>
      </c>
      <c r="L726" s="473"/>
      <c r="M726" s="400"/>
      <c r="N726" s="400"/>
      <c r="O726" s="400"/>
      <c r="P726" s="400"/>
      <c r="Q726" s="400"/>
      <c r="R726" s="400"/>
      <c r="S726" s="400"/>
      <c r="T726" s="400"/>
      <c r="U726" s="400"/>
    </row>
    <row r="727" spans="1:21" ht="19.5" x14ac:dyDescent="0.3">
      <c r="A727" s="436"/>
      <c r="B727" s="394"/>
      <c r="C727" s="394"/>
      <c r="D727" s="396"/>
      <c r="E727" s="396"/>
      <c r="F727" s="396"/>
      <c r="G727" s="397"/>
      <c r="H727" s="434" t="s">
        <v>46</v>
      </c>
      <c r="I727" s="475">
        <f ca="1">IFERROR(__xludf.DUMMYFUNCTION("IMPORTRANGE(""https://docs.google.com/spreadsheets/d/1eHaY18a8A9IcSdp1K8H6x8fbOy06t2VsZHhMHf-1x7Y/edit?usp=sharing"",""แผน!FZ14"")"),1250)</f>
        <v>1250</v>
      </c>
      <c r="J727" s="475">
        <f>J752+J755</f>
        <v>0</v>
      </c>
      <c r="K727" s="474">
        <f ca="1">IF(I727&gt;0,J727*100/I727,0)</f>
        <v>0</v>
      </c>
      <c r="L727" s="47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128"/>
      <c r="B728" s="158"/>
      <c r="C728" s="177" t="s">
        <v>18</v>
      </c>
      <c r="D728" s="821" t="s">
        <v>19</v>
      </c>
      <c r="E728" s="793"/>
      <c r="F728" s="793"/>
      <c r="G728" s="794"/>
      <c r="H728" s="221" t="s">
        <v>14</v>
      </c>
      <c r="I728" s="44"/>
      <c r="J728" s="44"/>
      <c r="K728" s="45"/>
      <c r="L728" s="471">
        <f>L729+L730</f>
        <v>0</v>
      </c>
      <c r="M728" s="470">
        <f>M729+M730</f>
        <v>0</v>
      </c>
      <c r="N728" s="470">
        <f>N729+N730</f>
        <v>0</v>
      </c>
      <c r="O728" s="470">
        <f t="shared" ref="O728:O736" si="182">IF(L728&gt;0,N728*100/L728,0)</f>
        <v>0</v>
      </c>
      <c r="P728" s="470">
        <f t="shared" ref="P728:P736" si="183">IF(M728&gt;0,N728*100/M728,0)</f>
        <v>0</v>
      </c>
      <c r="Q728" s="470">
        <f ca="1">Q729+Q730</f>
        <v>1008470</v>
      </c>
      <c r="R728" s="470">
        <f ca="1">R729+R730</f>
        <v>1008470</v>
      </c>
      <c r="S728" s="470">
        <f ca="1">S729+S730</f>
        <v>104570</v>
      </c>
      <c r="T728" s="470">
        <f t="shared" ref="T728:T736" ca="1" si="184">IF(Q728&gt;0,S728*100/Q728,0)</f>
        <v>10.369173103810724</v>
      </c>
      <c r="U728" s="470">
        <f t="shared" ref="U728:U736" ca="1" si="185">IF(R728&gt;0,S728*100/R728,0)</f>
        <v>10.369173103810724</v>
      </c>
    </row>
    <row r="729" spans="1:21" ht="18.75" hidden="1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469">
        <f t="shared" ref="L729:N730" si="186">L732+L735</f>
        <v>0</v>
      </c>
      <c r="M729" s="83">
        <f t="shared" si="186"/>
        <v>0</v>
      </c>
      <c r="N729" s="83">
        <f t="shared" si="186"/>
        <v>0</v>
      </c>
      <c r="O729" s="83">
        <f t="shared" si="182"/>
        <v>0</v>
      </c>
      <c r="P729" s="83">
        <f t="shared" si="183"/>
        <v>0</v>
      </c>
      <c r="Q729" s="83">
        <f t="shared" ref="Q729:S730" si="187">Q732+Q735</f>
        <v>0</v>
      </c>
      <c r="R729" s="83">
        <f t="shared" si="187"/>
        <v>0</v>
      </c>
      <c r="S729" s="83">
        <f t="shared" si="187"/>
        <v>0</v>
      </c>
      <c r="T729" s="83">
        <f t="shared" si="184"/>
        <v>0</v>
      </c>
      <c r="U729" s="83">
        <f t="shared" si="185"/>
        <v>0</v>
      </c>
    </row>
    <row r="730" spans="1:21" ht="18.75" hidden="1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468">
        <f t="shared" si="186"/>
        <v>0</v>
      </c>
      <c r="M730" s="224">
        <f t="shared" si="186"/>
        <v>0</v>
      </c>
      <c r="N730" s="224">
        <f t="shared" si="186"/>
        <v>0</v>
      </c>
      <c r="O730" s="224">
        <f t="shared" si="182"/>
        <v>0</v>
      </c>
      <c r="P730" s="224">
        <f t="shared" si="183"/>
        <v>0</v>
      </c>
      <c r="Q730" s="224">
        <f t="shared" ca="1" si="187"/>
        <v>1008470</v>
      </c>
      <c r="R730" s="224">
        <f t="shared" ca="1" si="187"/>
        <v>1008470</v>
      </c>
      <c r="S730" s="224">
        <f t="shared" ca="1" si="187"/>
        <v>104570</v>
      </c>
      <c r="T730" s="224">
        <f t="shared" ca="1" si="184"/>
        <v>10.369173103810724</v>
      </c>
      <c r="U730" s="224">
        <f t="shared" ca="1" si="185"/>
        <v>10.369173103810724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468">
        <f>L732+L733</f>
        <v>0</v>
      </c>
      <c r="M731" s="224">
        <f>M732+M733</f>
        <v>0</v>
      </c>
      <c r="N731" s="224">
        <f>N732+N733</f>
        <v>0</v>
      </c>
      <c r="O731" s="224">
        <f t="shared" si="182"/>
        <v>0</v>
      </c>
      <c r="P731" s="224">
        <f t="shared" si="183"/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104570</v>
      </c>
      <c r="T731" s="224">
        <f t="shared" ca="1" si="184"/>
        <v>10.369173103810724</v>
      </c>
      <c r="U731" s="224">
        <f t="shared" ca="1" si="185"/>
        <v>10.369173103810724</v>
      </c>
    </row>
    <row r="732" spans="1:21" ht="18.75" hidden="1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469">
        <v>0</v>
      </c>
      <c r="M732" s="83">
        <v>0</v>
      </c>
      <c r="N732" s="83">
        <v>0</v>
      </c>
      <c r="O732" s="83">
        <f t="shared" si="182"/>
        <v>0</v>
      </c>
      <c r="P732" s="83">
        <f t="shared" si="183"/>
        <v>0</v>
      </c>
      <c r="Q732" s="83">
        <v>0</v>
      </c>
      <c r="R732" s="83">
        <v>0</v>
      </c>
      <c r="S732" s="83">
        <v>0</v>
      </c>
      <c r="T732" s="83">
        <f t="shared" si="184"/>
        <v>0</v>
      </c>
      <c r="U732" s="83">
        <f t="shared" si="185"/>
        <v>0</v>
      </c>
    </row>
    <row r="733" spans="1:21" ht="18.75" hidden="1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468">
        <v>0</v>
      </c>
      <c r="M733" s="224">
        <v>0</v>
      </c>
      <c r="N733" s="224">
        <v>0</v>
      </c>
      <c r="O733" s="224">
        <f t="shared" si="182"/>
        <v>0</v>
      </c>
      <c r="P733" s="224">
        <f t="shared" si="183"/>
        <v>0</v>
      </c>
      <c r="Q733" s="224">
        <f ca="1">IFERROR(__xludf.DUMMYFUNCTION("IMPORTRANGE(""https://docs.google.com/spreadsheets/d/1ItG2mGa2ceCfYo0BwxsXqNm01IGEUdYcSSLTEv9YCik/edit?usp=sharing"",""เบิกจ่ายกองทุน!O14"")"),1008470)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IFERROR(__xludf.DUMMYFUNCTION("IMPORTRANGE(""https://docs.google.com/spreadsheets/d/1ItG2mGa2ceCfYo0BwxsXqNm01IGEUdYcSSLTEv9YCik/edit?usp=sharing"",""เบิกจ่ายกองทุน!P14"")"),1008470)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IFERROR(__xludf.DUMMYFUNCTION("IMPORTRANGE(""https://docs.google.com/spreadsheets/d/1ItG2mGa2ceCfYo0BwxsXqNm01IGEUdYcSSLTEv9YCik/edit?usp=sharing"",""เบิกจ่ายกองทุน!Q14"")"),104570)</f>
        <v>104570</v>
      </c>
      <c r="T733" s="224">
        <f t="shared" ca="1" si="184"/>
        <v>10.369173103810724</v>
      </c>
      <c r="U733" s="224">
        <f t="shared" ca="1" si="185"/>
        <v>10.369173103810724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468">
        <f>L735+L736</f>
        <v>0</v>
      </c>
      <c r="M734" s="224">
        <f>M735+M736</f>
        <v>0</v>
      </c>
      <c r="N734" s="224">
        <f>N735+N736</f>
        <v>0</v>
      </c>
      <c r="O734" s="224">
        <f t="shared" si="182"/>
        <v>0</v>
      </c>
      <c r="P734" s="224">
        <f t="shared" si="183"/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 t="shared" si="184"/>
        <v>0</v>
      </c>
      <c r="U734" s="224">
        <f t="shared" si="185"/>
        <v>0</v>
      </c>
    </row>
    <row r="735" spans="1:21" ht="18.75" hidden="1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469">
        <v>0</v>
      </c>
      <c r="M735" s="83">
        <v>0</v>
      </c>
      <c r="N735" s="83">
        <v>0</v>
      </c>
      <c r="O735" s="83">
        <f t="shared" si="182"/>
        <v>0</v>
      </c>
      <c r="P735" s="83">
        <f t="shared" si="183"/>
        <v>0</v>
      </c>
      <c r="Q735" s="83">
        <v>0</v>
      </c>
      <c r="R735" s="83">
        <v>0</v>
      </c>
      <c r="S735" s="83">
        <v>0</v>
      </c>
      <c r="T735" s="83">
        <f t="shared" si="184"/>
        <v>0</v>
      </c>
      <c r="U735" s="83">
        <f t="shared" si="185"/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468">
        <v>0</v>
      </c>
      <c r="M736" s="224">
        <v>0</v>
      </c>
      <c r="N736" s="224">
        <v>0</v>
      </c>
      <c r="O736" s="224">
        <f t="shared" si="182"/>
        <v>0</v>
      </c>
      <c r="P736" s="224">
        <f t="shared" si="183"/>
        <v>0</v>
      </c>
      <c r="Q736" s="224">
        <v>0</v>
      </c>
      <c r="R736" s="224">
        <v>0</v>
      </c>
      <c r="S736" s="224">
        <v>0</v>
      </c>
      <c r="T736" s="224">
        <f t="shared" si="184"/>
        <v>0</v>
      </c>
      <c r="U736" s="224">
        <f t="shared" si="185"/>
        <v>0</v>
      </c>
    </row>
    <row r="737" spans="1:21" ht="19.5" x14ac:dyDescent="0.3">
      <c r="A737" s="138"/>
      <c r="B737" s="139"/>
      <c r="C737" s="177" t="s">
        <v>18</v>
      </c>
      <c r="D737" s="491" t="s">
        <v>38</v>
      </c>
      <c r="E737" s="203"/>
      <c r="F737" s="141"/>
      <c r="G737" s="142"/>
      <c r="H737" s="178"/>
      <c r="I737" s="44"/>
      <c r="J737" s="44"/>
      <c r="K737" s="45"/>
      <c r="L737" s="465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7" t="s">
        <v>121</v>
      </c>
      <c r="E738" s="139"/>
      <c r="F738" s="139"/>
      <c r="G738" s="143"/>
      <c r="H738" s="180"/>
      <c r="I738" s="44"/>
      <c r="J738" s="44"/>
      <c r="K738" s="45"/>
      <c r="L738" s="465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10" t="s">
        <v>270</v>
      </c>
      <c r="F739" s="139"/>
      <c r="G739" s="143"/>
      <c r="H739" s="180"/>
      <c r="I739" s="44"/>
      <c r="J739" s="44"/>
      <c r="K739" s="45"/>
      <c r="L739" s="465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485"/>
      <c r="B740" s="484"/>
      <c r="C740" s="484"/>
      <c r="D740" s="484"/>
      <c r="E740" s="484"/>
      <c r="F740" s="489" t="s">
        <v>271</v>
      </c>
      <c r="G740" s="481"/>
      <c r="H740" s="480" t="s">
        <v>46</v>
      </c>
      <c r="I740" s="487">
        <f ca="1">IFERROR(__xludf.DUMMYFUNCTION("IMPORTRANGE(""https://docs.google.com/spreadsheets/d/1eHaY18a8A9IcSdp1K8H6x8fbOy06t2VsZHhMHf-1x7Y/edit?usp=sharing"",""แผน!GB14"")"),1000)</f>
        <v>1000</v>
      </c>
      <c r="J740" s="478">
        <v>1000</v>
      </c>
      <c r="K740" s="486">
        <f ca="1">IF(I740&gt;0,J740*100/I740,0)</f>
        <v>100</v>
      </c>
      <c r="L740" s="477"/>
      <c r="M740" s="476"/>
      <c r="N740" s="476"/>
      <c r="O740" s="476"/>
      <c r="P740" s="476"/>
      <c r="Q740" s="476"/>
      <c r="R740" s="476"/>
      <c r="S740" s="476"/>
      <c r="T740" s="476"/>
      <c r="U740" s="476"/>
    </row>
    <row r="741" spans="1:21" ht="18.75" x14ac:dyDescent="0.25">
      <c r="A741" s="485"/>
      <c r="B741" s="484"/>
      <c r="C741" s="484"/>
      <c r="D741" s="484"/>
      <c r="E741" s="484"/>
      <c r="F741" s="489" t="s">
        <v>306</v>
      </c>
      <c r="G741" s="481"/>
      <c r="H741" s="480" t="s">
        <v>35</v>
      </c>
      <c r="I741" s="479"/>
      <c r="J741" s="478">
        <v>0</v>
      </c>
      <c r="K741" s="476"/>
      <c r="L741" s="477"/>
      <c r="M741" s="476"/>
      <c r="N741" s="476"/>
      <c r="O741" s="476"/>
      <c r="P741" s="476"/>
      <c r="Q741" s="476"/>
      <c r="R741" s="476"/>
      <c r="S741" s="476"/>
      <c r="T741" s="476"/>
      <c r="U741" s="476"/>
    </row>
    <row r="742" spans="1:21" ht="18.75" x14ac:dyDescent="0.25">
      <c r="A742" s="485"/>
      <c r="B742" s="484"/>
      <c r="C742" s="484"/>
      <c r="D742" s="484"/>
      <c r="E742" s="484"/>
      <c r="F742" s="489" t="s">
        <v>305</v>
      </c>
      <c r="G742" s="481"/>
      <c r="H742" s="480" t="s">
        <v>35</v>
      </c>
      <c r="I742" s="487">
        <f ca="1">IFERROR(__xludf.DUMMYFUNCTION("IMPORTRANGE(""https://docs.google.com/spreadsheets/d/1eHaY18a8A9IcSdp1K8H6x8fbOy06t2VsZHhMHf-1x7Y/edit?usp=sharing"",""แผน!GC14"")"),100)</f>
        <v>100</v>
      </c>
      <c r="J742" s="478">
        <v>100</v>
      </c>
      <c r="K742" s="486">
        <f ca="1">IF(I742&gt;0,J742*100/I742,0)</f>
        <v>100</v>
      </c>
      <c r="L742" s="477"/>
      <c r="M742" s="476"/>
      <c r="N742" s="476"/>
      <c r="O742" s="476"/>
      <c r="P742" s="476"/>
      <c r="Q742" s="476"/>
      <c r="R742" s="476"/>
      <c r="S742" s="476"/>
      <c r="T742" s="476"/>
      <c r="U742" s="476"/>
    </row>
    <row r="743" spans="1:21" ht="18.75" x14ac:dyDescent="0.25">
      <c r="A743" s="485"/>
      <c r="B743" s="484"/>
      <c r="C743" s="484"/>
      <c r="D743" s="484"/>
      <c r="E743" s="489" t="s">
        <v>274</v>
      </c>
      <c r="F743" s="484"/>
      <c r="G743" s="481"/>
      <c r="H743" s="488"/>
      <c r="I743" s="479"/>
      <c r="J743" s="479"/>
      <c r="K743" s="476"/>
      <c r="L743" s="477"/>
      <c r="M743" s="476"/>
      <c r="N743" s="476"/>
      <c r="O743" s="476"/>
      <c r="P743" s="476"/>
      <c r="Q743" s="476"/>
      <c r="R743" s="476"/>
      <c r="S743" s="476"/>
      <c r="T743" s="476"/>
      <c r="U743" s="476"/>
    </row>
    <row r="744" spans="1:21" ht="18.75" x14ac:dyDescent="0.25">
      <c r="A744" s="485"/>
      <c r="B744" s="484"/>
      <c r="C744" s="484"/>
      <c r="D744" s="484"/>
      <c r="E744" s="484"/>
      <c r="F744" s="489" t="s">
        <v>271</v>
      </c>
      <c r="G744" s="481"/>
      <c r="H744" s="480" t="s">
        <v>46</v>
      </c>
      <c r="I744" s="487">
        <f ca="1">IFERROR(__xludf.DUMMYFUNCTION("IMPORTRANGE(""https://docs.google.com/spreadsheets/d/1eHaY18a8A9IcSdp1K8H6x8fbOy06t2VsZHhMHf-1x7Y/edit?usp=sharing"",""แผน!GD14"")"),250)</f>
        <v>250</v>
      </c>
      <c r="J744" s="478">
        <v>0</v>
      </c>
      <c r="K744" s="486">
        <f ca="1">IF(I744&gt;0,J744*100/I744,0)</f>
        <v>0</v>
      </c>
      <c r="L744" s="477"/>
      <c r="M744" s="476"/>
      <c r="N744" s="476"/>
      <c r="O744" s="476"/>
      <c r="P744" s="476"/>
      <c r="Q744" s="476"/>
      <c r="R744" s="476"/>
      <c r="S744" s="476"/>
      <c r="T744" s="476"/>
      <c r="U744" s="476"/>
    </row>
    <row r="745" spans="1:21" ht="18.75" x14ac:dyDescent="0.25">
      <c r="A745" s="485"/>
      <c r="B745" s="484"/>
      <c r="C745" s="484"/>
      <c r="D745" s="484"/>
      <c r="E745" s="484"/>
      <c r="F745" s="489" t="s">
        <v>304</v>
      </c>
      <c r="G745" s="481"/>
      <c r="H745" s="480" t="s">
        <v>35</v>
      </c>
      <c r="I745" s="479"/>
      <c r="J745" s="478">
        <v>0</v>
      </c>
      <c r="K745" s="476"/>
      <c r="L745" s="477"/>
      <c r="M745" s="476"/>
      <c r="N745" s="476"/>
      <c r="O745" s="476"/>
      <c r="P745" s="476"/>
      <c r="Q745" s="476"/>
      <c r="R745" s="476"/>
      <c r="S745" s="476"/>
      <c r="T745" s="476"/>
      <c r="U745" s="476"/>
    </row>
    <row r="746" spans="1:21" ht="18.75" x14ac:dyDescent="0.25">
      <c r="A746" s="485"/>
      <c r="B746" s="484"/>
      <c r="C746" s="484"/>
      <c r="D746" s="484"/>
      <c r="E746" s="484"/>
      <c r="F746" s="489" t="s">
        <v>303</v>
      </c>
      <c r="G746" s="481"/>
      <c r="H746" s="480" t="s">
        <v>35</v>
      </c>
      <c r="I746" s="487">
        <f ca="1">IFERROR(__xludf.DUMMYFUNCTION("IMPORTRANGE(""https://docs.google.com/spreadsheets/d/1eHaY18a8A9IcSdp1K8H6x8fbOy06t2VsZHhMHf-1x7Y/edit?usp=sharing"",""แผน!GE14"")"),25)</f>
        <v>25</v>
      </c>
      <c r="J746" s="478">
        <v>0</v>
      </c>
      <c r="K746" s="486">
        <f ca="1">IF(I746&gt;0,J746*100/I746,0)</f>
        <v>0</v>
      </c>
      <c r="L746" s="477"/>
      <c r="M746" s="476"/>
      <c r="N746" s="476"/>
      <c r="O746" s="476"/>
      <c r="P746" s="476"/>
      <c r="Q746" s="476"/>
      <c r="R746" s="476"/>
      <c r="S746" s="476"/>
      <c r="T746" s="476"/>
      <c r="U746" s="476"/>
    </row>
    <row r="747" spans="1:21" ht="18.75" x14ac:dyDescent="0.25">
      <c r="A747" s="485"/>
      <c r="B747" s="484"/>
      <c r="C747" s="484"/>
      <c r="D747" s="484"/>
      <c r="E747" s="489" t="s">
        <v>277</v>
      </c>
      <c r="F747" s="483"/>
      <c r="G747" s="481"/>
      <c r="H747" s="488"/>
      <c r="I747" s="479"/>
      <c r="J747" s="479"/>
      <c r="K747" s="476"/>
      <c r="L747" s="477"/>
      <c r="M747" s="476"/>
      <c r="N747" s="476"/>
      <c r="O747" s="476"/>
      <c r="P747" s="476"/>
      <c r="Q747" s="476"/>
      <c r="R747" s="476"/>
      <c r="S747" s="476"/>
      <c r="T747" s="476"/>
      <c r="U747" s="476"/>
    </row>
    <row r="748" spans="1:21" ht="18.75" x14ac:dyDescent="0.25">
      <c r="A748" s="485"/>
      <c r="B748" s="484"/>
      <c r="C748" s="484"/>
      <c r="D748" s="484"/>
      <c r="E748" s="484"/>
      <c r="F748" s="489" t="s">
        <v>302</v>
      </c>
      <c r="G748" s="481"/>
      <c r="H748" s="480" t="s">
        <v>35</v>
      </c>
      <c r="I748" s="479"/>
      <c r="J748" s="478">
        <v>0</v>
      </c>
      <c r="K748" s="476"/>
      <c r="L748" s="477"/>
      <c r="M748" s="476"/>
      <c r="N748" s="476"/>
      <c r="O748" s="476"/>
      <c r="P748" s="476"/>
      <c r="Q748" s="476"/>
      <c r="R748" s="476"/>
      <c r="S748" s="476"/>
      <c r="T748" s="476"/>
      <c r="U748" s="476"/>
    </row>
    <row r="749" spans="1:21" ht="18.75" x14ac:dyDescent="0.25">
      <c r="A749" s="485"/>
      <c r="B749" s="484"/>
      <c r="C749" s="484"/>
      <c r="D749" s="484"/>
      <c r="E749" s="484"/>
      <c r="F749" s="489" t="s">
        <v>301</v>
      </c>
      <c r="G749" s="481"/>
      <c r="H749" s="480" t="s">
        <v>35</v>
      </c>
      <c r="I749" s="487">
        <f ca="1">IFERROR(__xludf.DUMMYFUNCTION("IMPORTRANGE(""https://docs.google.com/spreadsheets/d/1eHaY18a8A9IcSdp1K8H6x8fbOy06t2VsZHhMHf-1x7Y/edit?usp=sharing"",""แผน!GF14"")"),3)</f>
        <v>3</v>
      </c>
      <c r="J749" s="478">
        <v>0</v>
      </c>
      <c r="K749" s="486">
        <f ca="1">IF(I749&gt;0,J749*100/I749,0)</f>
        <v>0</v>
      </c>
      <c r="L749" s="477"/>
      <c r="M749" s="476"/>
      <c r="N749" s="476"/>
      <c r="O749" s="476"/>
      <c r="P749" s="476"/>
      <c r="Q749" s="476"/>
      <c r="R749" s="476"/>
      <c r="S749" s="476"/>
      <c r="T749" s="476"/>
      <c r="U749" s="476"/>
    </row>
    <row r="750" spans="1:21" ht="19.5" x14ac:dyDescent="0.3">
      <c r="A750" s="485"/>
      <c r="B750" s="484"/>
      <c r="C750" s="484"/>
      <c r="D750" s="490" t="s">
        <v>50</v>
      </c>
      <c r="E750" s="484"/>
      <c r="F750" s="483"/>
      <c r="G750" s="481"/>
      <c r="H750" s="488"/>
      <c r="I750" s="479"/>
      <c r="J750" s="479"/>
      <c r="K750" s="476"/>
      <c r="L750" s="477"/>
      <c r="M750" s="476"/>
      <c r="N750" s="476"/>
      <c r="O750" s="476"/>
      <c r="P750" s="476"/>
      <c r="Q750" s="476"/>
      <c r="R750" s="476"/>
      <c r="S750" s="476"/>
      <c r="T750" s="476"/>
      <c r="U750" s="476"/>
    </row>
    <row r="751" spans="1:21" ht="18.75" x14ac:dyDescent="0.25">
      <c r="A751" s="485"/>
      <c r="B751" s="484"/>
      <c r="C751" s="484"/>
      <c r="D751" s="484"/>
      <c r="E751" s="489" t="s">
        <v>270</v>
      </c>
      <c r="F751" s="483"/>
      <c r="G751" s="481"/>
      <c r="H751" s="488"/>
      <c r="I751" s="479"/>
      <c r="J751" s="479"/>
      <c r="K751" s="476"/>
      <c r="L751" s="477"/>
      <c r="M751" s="476"/>
      <c r="N751" s="476"/>
      <c r="O751" s="476"/>
      <c r="P751" s="476"/>
      <c r="Q751" s="476"/>
      <c r="R751" s="476"/>
      <c r="S751" s="476"/>
      <c r="T751" s="476"/>
      <c r="U751" s="476"/>
    </row>
    <row r="752" spans="1:21" ht="18.75" x14ac:dyDescent="0.25">
      <c r="A752" s="485"/>
      <c r="B752" s="484"/>
      <c r="C752" s="484"/>
      <c r="D752" s="484"/>
      <c r="E752" s="484"/>
      <c r="F752" s="482" t="s">
        <v>300</v>
      </c>
      <c r="G752" s="481"/>
      <c r="H752" s="480" t="s">
        <v>46</v>
      </c>
      <c r="I752" s="487">
        <f ca="1">IFERROR(__xludf.DUMMYFUNCTION("IMPORTRANGE(""https://docs.google.com/spreadsheets/d/1eHaY18a8A9IcSdp1K8H6x8fbOy06t2VsZHhMHf-1x7Y/edit?usp=sharing"",""แผน!GB14"")"),1000)</f>
        <v>1000</v>
      </c>
      <c r="J752" s="478">
        <v>0</v>
      </c>
      <c r="K752" s="486">
        <f ca="1">IF(I752&gt;0,J752*100/I752,0)</f>
        <v>0</v>
      </c>
      <c r="L752" s="477"/>
      <c r="M752" s="476"/>
      <c r="N752" s="476"/>
      <c r="O752" s="476"/>
      <c r="P752" s="476"/>
      <c r="Q752" s="476"/>
      <c r="R752" s="476"/>
      <c r="S752" s="476"/>
      <c r="T752" s="476"/>
      <c r="U752" s="476"/>
    </row>
    <row r="753" spans="1:21" ht="18.75" x14ac:dyDescent="0.25">
      <c r="A753" s="485"/>
      <c r="B753" s="484"/>
      <c r="C753" s="484"/>
      <c r="D753" s="484"/>
      <c r="E753" s="484"/>
      <c r="F753" s="482" t="s">
        <v>299</v>
      </c>
      <c r="G753" s="481"/>
      <c r="H753" s="480" t="s">
        <v>46</v>
      </c>
      <c r="I753" s="479"/>
      <c r="J753" s="478">
        <v>0</v>
      </c>
      <c r="K753" s="476"/>
      <c r="L753" s="477"/>
      <c r="M753" s="476"/>
      <c r="N753" s="476"/>
      <c r="O753" s="476"/>
      <c r="P753" s="476"/>
      <c r="Q753" s="476"/>
      <c r="R753" s="476"/>
      <c r="S753" s="476"/>
      <c r="T753" s="476"/>
      <c r="U753" s="476"/>
    </row>
    <row r="754" spans="1:21" ht="18.75" x14ac:dyDescent="0.25">
      <c r="A754" s="485"/>
      <c r="B754" s="484"/>
      <c r="C754" s="484"/>
      <c r="D754" s="484"/>
      <c r="E754" s="489" t="s">
        <v>274</v>
      </c>
      <c r="F754" s="483"/>
      <c r="G754" s="481"/>
      <c r="H754" s="488"/>
      <c r="I754" s="479"/>
      <c r="J754" s="479"/>
      <c r="K754" s="476"/>
      <c r="L754" s="477"/>
      <c r="M754" s="476"/>
      <c r="N754" s="476"/>
      <c r="O754" s="476"/>
      <c r="P754" s="476"/>
      <c r="Q754" s="476"/>
      <c r="R754" s="476"/>
      <c r="S754" s="476"/>
      <c r="T754" s="476"/>
      <c r="U754" s="476"/>
    </row>
    <row r="755" spans="1:21" ht="18.75" x14ac:dyDescent="0.25">
      <c r="A755" s="485"/>
      <c r="B755" s="484"/>
      <c r="C755" s="484"/>
      <c r="D755" s="484"/>
      <c r="E755" s="483"/>
      <c r="F755" s="482" t="s">
        <v>298</v>
      </c>
      <c r="G755" s="481"/>
      <c r="H755" s="480" t="s">
        <v>46</v>
      </c>
      <c r="I755" s="487">
        <f ca="1">IFERROR(__xludf.DUMMYFUNCTION("IMPORTRANGE(""https://docs.google.com/spreadsheets/d/1eHaY18a8A9IcSdp1K8H6x8fbOy06t2VsZHhMHf-1x7Y/edit?usp=sharing"",""แผน!GD14"")"),250)</f>
        <v>250</v>
      </c>
      <c r="J755" s="478">
        <v>0</v>
      </c>
      <c r="K755" s="486">
        <f ca="1">IF(I755&gt;0,J755*100/I755,0)</f>
        <v>0</v>
      </c>
      <c r="L755" s="477"/>
      <c r="M755" s="476"/>
      <c r="N755" s="476"/>
      <c r="O755" s="476"/>
      <c r="P755" s="476"/>
      <c r="Q755" s="476"/>
      <c r="R755" s="476"/>
      <c r="S755" s="476"/>
      <c r="T755" s="476"/>
      <c r="U755" s="476"/>
    </row>
    <row r="756" spans="1:21" ht="18.75" x14ac:dyDescent="0.25">
      <c r="A756" s="485"/>
      <c r="B756" s="484"/>
      <c r="C756" s="484"/>
      <c r="D756" s="484"/>
      <c r="E756" s="483"/>
      <c r="F756" s="482" t="s">
        <v>297</v>
      </c>
      <c r="G756" s="481"/>
      <c r="H756" s="480" t="s">
        <v>46</v>
      </c>
      <c r="I756" s="479"/>
      <c r="J756" s="478">
        <v>0</v>
      </c>
      <c r="K756" s="476"/>
      <c r="L756" s="477"/>
      <c r="M756" s="476"/>
      <c r="N756" s="476"/>
      <c r="O756" s="476"/>
      <c r="P756" s="476"/>
      <c r="Q756" s="476"/>
      <c r="R756" s="476"/>
      <c r="S756" s="476"/>
      <c r="T756" s="476"/>
      <c r="U756" s="476"/>
    </row>
    <row r="757" spans="1:21" ht="18.75" x14ac:dyDescent="0.25">
      <c r="A757" s="438"/>
      <c r="B757" s="438"/>
      <c r="C757" s="438"/>
      <c r="D757" s="438"/>
      <c r="E757" s="439" t="s">
        <v>284</v>
      </c>
      <c r="F757" s="440"/>
      <c r="G757" s="441"/>
      <c r="H757" s="442" t="s">
        <v>35</v>
      </c>
      <c r="I757" s="443"/>
      <c r="J757" s="444">
        <v>0</v>
      </c>
      <c r="K757" s="445"/>
      <c r="L757" s="445"/>
      <c r="M757" s="445"/>
      <c r="N757" s="445"/>
      <c r="O757" s="445"/>
      <c r="P757" s="445"/>
      <c r="Q757" s="445"/>
      <c r="R757" s="445"/>
      <c r="S757" s="445"/>
      <c r="T757" s="445"/>
      <c r="U757" s="445"/>
    </row>
    <row r="758" spans="1:21" ht="19.5" x14ac:dyDescent="0.3">
      <c r="A758" s="394"/>
      <c r="B758" s="395" t="s">
        <v>285</v>
      </c>
      <c r="C758" s="394"/>
      <c r="D758" s="396"/>
      <c r="E758" s="396"/>
      <c r="F758" s="396"/>
      <c r="G758" s="397"/>
      <c r="H758" s="434" t="s">
        <v>35</v>
      </c>
      <c r="I758" s="475">
        <f ca="1">I772</f>
        <v>50</v>
      </c>
      <c r="J758" s="475">
        <f>J772</f>
        <v>50</v>
      </c>
      <c r="K758" s="474">
        <f ca="1">IF(I758&gt;0,J758*100/I758,0)</f>
        <v>100</v>
      </c>
      <c r="L758" s="47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6"/>
      <c r="B759" s="394"/>
      <c r="C759" s="394"/>
      <c r="D759" s="396"/>
      <c r="E759" s="396"/>
      <c r="F759" s="396"/>
      <c r="G759" s="397"/>
      <c r="H759" s="434" t="s">
        <v>46</v>
      </c>
      <c r="I759" s="475">
        <f ca="1">I774</f>
        <v>500</v>
      </c>
      <c r="J759" s="475">
        <f>J774</f>
        <v>0</v>
      </c>
      <c r="K759" s="474">
        <f ca="1">IF(I759&gt;0,J759*100/I759,0)</f>
        <v>0</v>
      </c>
      <c r="L759" s="47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8"/>
      <c r="C760" s="177" t="s">
        <v>18</v>
      </c>
      <c r="D760" s="821" t="s">
        <v>19</v>
      </c>
      <c r="E760" s="793"/>
      <c r="F760" s="793"/>
      <c r="G760" s="794"/>
      <c r="H760" s="221" t="s">
        <v>14</v>
      </c>
      <c r="I760" s="44"/>
      <c r="J760" s="44"/>
      <c r="K760" s="45"/>
      <c r="L760" s="471">
        <f>L761+L762</f>
        <v>0</v>
      </c>
      <c r="M760" s="470">
        <f>M761+M762</f>
        <v>0</v>
      </c>
      <c r="N760" s="470">
        <f>N761+N762</f>
        <v>0</v>
      </c>
      <c r="O760" s="470">
        <f t="shared" ref="O760:O768" si="188">IF(L760&gt;0,N760*100/L760,0)</f>
        <v>0</v>
      </c>
      <c r="P760" s="470">
        <f t="shared" ref="P760:P768" si="189">IF(M760&gt;0,N760*100/M760,0)</f>
        <v>0</v>
      </c>
      <c r="Q760" s="470">
        <f ca="1">Q761+Q762</f>
        <v>871800</v>
      </c>
      <c r="R760" s="470">
        <f ca="1">R761+R762</f>
        <v>871800</v>
      </c>
      <c r="S760" s="470">
        <f ca="1">S761+S762</f>
        <v>44920</v>
      </c>
      <c r="T760" s="470">
        <f t="shared" ref="T760:T768" ca="1" si="190">IF(Q760&gt;0,S760*100/Q760,0)</f>
        <v>5.1525579261298464</v>
      </c>
      <c r="U760" s="470">
        <f t="shared" ref="U760:U768" ca="1" si="191">IF(R760&gt;0,S760*100/R760,0)</f>
        <v>5.1525579261298464</v>
      </c>
    </row>
    <row r="761" spans="1:21" ht="18.75" hidden="1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469">
        <f t="shared" ref="L761:N762" si="192">L764+L767</f>
        <v>0</v>
      </c>
      <c r="M761" s="83">
        <f t="shared" si="192"/>
        <v>0</v>
      </c>
      <c r="N761" s="83">
        <f t="shared" si="192"/>
        <v>0</v>
      </c>
      <c r="O761" s="83">
        <f t="shared" si="188"/>
        <v>0</v>
      </c>
      <c r="P761" s="83">
        <f t="shared" si="189"/>
        <v>0</v>
      </c>
      <c r="Q761" s="83">
        <f t="shared" ref="Q761:S762" si="193">Q764+Q767</f>
        <v>0</v>
      </c>
      <c r="R761" s="83">
        <f t="shared" si="193"/>
        <v>0</v>
      </c>
      <c r="S761" s="83">
        <f t="shared" si="193"/>
        <v>0</v>
      </c>
      <c r="T761" s="83">
        <f t="shared" si="190"/>
        <v>0</v>
      </c>
      <c r="U761" s="83">
        <f t="shared" si="191"/>
        <v>0</v>
      </c>
    </row>
    <row r="762" spans="1:21" ht="18.75" hidden="1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468">
        <f t="shared" si="192"/>
        <v>0</v>
      </c>
      <c r="M762" s="224">
        <f t="shared" si="192"/>
        <v>0</v>
      </c>
      <c r="N762" s="224">
        <f t="shared" si="192"/>
        <v>0</v>
      </c>
      <c r="O762" s="224">
        <f t="shared" si="188"/>
        <v>0</v>
      </c>
      <c r="P762" s="224">
        <f t="shared" si="189"/>
        <v>0</v>
      </c>
      <c r="Q762" s="224">
        <f t="shared" ca="1" si="193"/>
        <v>871800</v>
      </c>
      <c r="R762" s="224">
        <f t="shared" ca="1" si="193"/>
        <v>871800</v>
      </c>
      <c r="S762" s="224">
        <f t="shared" ca="1" si="193"/>
        <v>44920</v>
      </c>
      <c r="T762" s="224">
        <f t="shared" ca="1" si="190"/>
        <v>5.1525579261298464</v>
      </c>
      <c r="U762" s="224">
        <f t="shared" ca="1" si="191"/>
        <v>5.1525579261298464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468">
        <f>L764+L765</f>
        <v>0</v>
      </c>
      <c r="M763" s="224">
        <f>M764+M765</f>
        <v>0</v>
      </c>
      <c r="N763" s="224">
        <f>N764+N765</f>
        <v>0</v>
      </c>
      <c r="O763" s="224">
        <f t="shared" si="188"/>
        <v>0</v>
      </c>
      <c r="P763" s="224">
        <f t="shared" si="189"/>
        <v>0</v>
      </c>
      <c r="Q763" s="224">
        <f ca="1">Q764+Q765</f>
        <v>871800</v>
      </c>
      <c r="R763" s="224">
        <f ca="1">R764+R765</f>
        <v>871800</v>
      </c>
      <c r="S763" s="224">
        <f ca="1">S764+S765</f>
        <v>44920</v>
      </c>
      <c r="T763" s="224">
        <f t="shared" ca="1" si="190"/>
        <v>5.1525579261298464</v>
      </c>
      <c r="U763" s="224">
        <f t="shared" ca="1" si="191"/>
        <v>5.1525579261298464</v>
      </c>
    </row>
    <row r="764" spans="1:21" ht="18.75" hidden="1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469">
        <v>0</v>
      </c>
      <c r="M764" s="83">
        <v>0</v>
      </c>
      <c r="N764" s="83">
        <v>0</v>
      </c>
      <c r="O764" s="83">
        <f t="shared" si="188"/>
        <v>0</v>
      </c>
      <c r="P764" s="83">
        <f t="shared" si="189"/>
        <v>0</v>
      </c>
      <c r="Q764" s="83">
        <v>0</v>
      </c>
      <c r="R764" s="83">
        <v>0</v>
      </c>
      <c r="S764" s="83">
        <v>0</v>
      </c>
      <c r="T764" s="83">
        <f t="shared" si="190"/>
        <v>0</v>
      </c>
      <c r="U764" s="83">
        <f t="shared" si="191"/>
        <v>0</v>
      </c>
    </row>
    <row r="765" spans="1:21" ht="18.75" hidden="1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468">
        <v>0</v>
      </c>
      <c r="M765" s="224">
        <v>0</v>
      </c>
      <c r="N765" s="224">
        <v>0</v>
      </c>
      <c r="O765" s="224">
        <f t="shared" si="188"/>
        <v>0</v>
      </c>
      <c r="P765" s="224">
        <f t="shared" si="189"/>
        <v>0</v>
      </c>
      <c r="Q765" s="224">
        <f ca="1">IFERROR(__xludf.DUMMYFUNCTION("IMPORTRANGE(""https://docs.google.com/spreadsheets/d/1ItG2mGa2ceCfYo0BwxsXqNm01IGEUdYcSSLTEv9YCik/edit?usp=sharing"",""เบิกจ่ายกองทุน!U14"")"),871800)</f>
        <v>871800</v>
      </c>
      <c r="R765" s="224">
        <f ca="1">IFERROR(__xludf.DUMMYFUNCTION("IMPORTRANGE(""https://docs.google.com/spreadsheets/d/1ItG2mGa2ceCfYo0BwxsXqNm01IGEUdYcSSLTEv9YCik/edit?usp=sharing"",""เบิกจ่ายกองทุน!V14"")"),871800)</f>
        <v>871800</v>
      </c>
      <c r="S765" s="224">
        <f ca="1">IFERROR(__xludf.DUMMYFUNCTION("IMPORTRANGE(""https://docs.google.com/spreadsheets/d/1ItG2mGa2ceCfYo0BwxsXqNm01IGEUdYcSSLTEv9YCik/edit?usp=sharing"",""เบิกจ่ายกองทุน!W14"")"),44920)</f>
        <v>44920</v>
      </c>
      <c r="T765" s="224">
        <f t="shared" ca="1" si="190"/>
        <v>5.1525579261298464</v>
      </c>
      <c r="U765" s="224">
        <f t="shared" ca="1" si="191"/>
        <v>5.1525579261298464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468">
        <f>L767+L768</f>
        <v>0</v>
      </c>
      <c r="M766" s="224">
        <f>M767+M768</f>
        <v>0</v>
      </c>
      <c r="N766" s="224">
        <f>N767+N768</f>
        <v>0</v>
      </c>
      <c r="O766" s="224">
        <f t="shared" si="188"/>
        <v>0</v>
      </c>
      <c r="P766" s="224">
        <f t="shared" si="189"/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 t="shared" si="190"/>
        <v>0</v>
      </c>
      <c r="U766" s="224">
        <f t="shared" si="191"/>
        <v>0</v>
      </c>
    </row>
    <row r="767" spans="1:21" ht="18.75" hidden="1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469">
        <v>0</v>
      </c>
      <c r="M767" s="83">
        <v>0</v>
      </c>
      <c r="N767" s="83">
        <v>0</v>
      </c>
      <c r="O767" s="83">
        <f t="shared" si="188"/>
        <v>0</v>
      </c>
      <c r="P767" s="83">
        <f t="shared" si="189"/>
        <v>0</v>
      </c>
      <c r="Q767" s="83">
        <v>0</v>
      </c>
      <c r="R767" s="83">
        <v>0</v>
      </c>
      <c r="S767" s="83">
        <v>0</v>
      </c>
      <c r="T767" s="83">
        <f t="shared" si="190"/>
        <v>0</v>
      </c>
      <c r="U767" s="83">
        <f t="shared" si="191"/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468">
        <v>0</v>
      </c>
      <c r="M768" s="224">
        <v>0</v>
      </c>
      <c r="N768" s="224">
        <v>0</v>
      </c>
      <c r="O768" s="224">
        <f t="shared" si="188"/>
        <v>0</v>
      </c>
      <c r="P768" s="224">
        <f t="shared" si="189"/>
        <v>0</v>
      </c>
      <c r="Q768" s="224">
        <v>0</v>
      </c>
      <c r="R768" s="224">
        <v>0</v>
      </c>
      <c r="S768" s="224">
        <v>0</v>
      </c>
      <c r="T768" s="224">
        <f t="shared" si="190"/>
        <v>0</v>
      </c>
      <c r="U768" s="224">
        <f t="shared" si="191"/>
        <v>0</v>
      </c>
    </row>
    <row r="769" spans="1:21" ht="19.5" x14ac:dyDescent="0.3">
      <c r="A769" s="138"/>
      <c r="B769" s="139"/>
      <c r="C769" s="446" t="s">
        <v>18</v>
      </c>
      <c r="D769" s="467" t="s">
        <v>38</v>
      </c>
      <c r="E769" s="203"/>
      <c r="F769" s="141"/>
      <c r="G769" s="142"/>
      <c r="H769" s="178"/>
      <c r="I769" s="44"/>
      <c r="J769" s="44"/>
      <c r="K769" s="45"/>
      <c r="L769" s="465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377" t="s">
        <v>286</v>
      </c>
      <c r="E770" s="139"/>
      <c r="F770" s="145"/>
      <c r="G770" s="143"/>
      <c r="H770" s="375" t="s">
        <v>35</v>
      </c>
      <c r="I770" s="430">
        <f ca="1">IFERROR(__xludf.DUMMYFUNCTION("IMPORTRANGE(""https://docs.google.com/spreadsheets/d/1eHaY18a8A9IcSdp1K8H6x8fbOy06t2VsZHhMHf-1x7Y/edit?usp=sharing"",""แผน!FI14"")"),0)</f>
        <v>0</v>
      </c>
      <c r="J770" s="430">
        <v>0</v>
      </c>
      <c r="K770" s="83">
        <f ca="1">IF(I770&gt;0,J770*100/I770,0)</f>
        <v>0</v>
      </c>
      <c r="L770" s="465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377" t="s">
        <v>287</v>
      </c>
      <c r="E771" s="139"/>
      <c r="F771" s="145"/>
      <c r="G771" s="143"/>
      <c r="H771" s="178"/>
      <c r="I771" s="44"/>
      <c r="J771" s="44"/>
      <c r="K771" s="45"/>
      <c r="L771" s="465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10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IFERROR(__xludf.DUMMYFUNCTION("IMPORTRANGE(""https://docs.google.com/spreadsheets/d/1eHaY18a8A9IcSdp1K8H6x8fbOy06t2VsZHhMHf-1x7Y/edit?usp=sharing"",""แผน!FQ14"")"),50)</f>
        <v>50</v>
      </c>
      <c r="J772" s="466">
        <v>50</v>
      </c>
      <c r="K772" s="224">
        <f ca="1">IF(I772&gt;0,J772*100/I772,0)</f>
        <v>100</v>
      </c>
      <c r="L772" s="465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10" t="s">
        <v>289</v>
      </c>
      <c r="E773" s="139"/>
      <c r="F773" s="145"/>
      <c r="G773" s="143"/>
      <c r="H773" s="178"/>
      <c r="I773" s="44"/>
      <c r="J773" s="44"/>
      <c r="K773" s="45"/>
      <c r="L773" s="465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10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IFERROR(__xludf.DUMMYFUNCTION("IMPORTRANGE(""https://docs.google.com/spreadsheets/d/1eHaY18a8A9IcSdp1K8H6x8fbOy06t2VsZHhMHf-1x7Y/edit?usp=sharing"",""แผน!FR14"")"),500)</f>
        <v>500</v>
      </c>
      <c r="J774" s="466">
        <v>0</v>
      </c>
      <c r="K774" s="224">
        <f ca="1">IF(I774&gt;0,J774*100/I774,0)</f>
        <v>0</v>
      </c>
      <c r="L774" s="465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10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IFERROR(__xludf.DUMMYFUNCTION("IMPORTRANGE(""https://docs.google.com/spreadsheets/d/1eHaY18a8A9IcSdp1K8H6x8fbOy06t2VsZHhMHf-1x7Y/edit?usp=sharing"",""แผน!FS14"")"),500)</f>
        <v>500</v>
      </c>
      <c r="J775" s="466">
        <v>0</v>
      </c>
      <c r="K775" s="45"/>
      <c r="L775" s="465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IFERROR(__xludf.DUMMYFUNCTION("IMPORTRANGE(""https://docs.google.com/spreadsheets/d/1eHaY18a8A9IcSdp1K8H6x8fbOy06t2VsZHhMHf-1x7Y/edit?usp=sharing"",""แผน!FT14"")"),50)</f>
        <v>50</v>
      </c>
      <c r="J776" s="464">
        <v>0</v>
      </c>
      <c r="K776" s="3"/>
      <c r="L776" s="46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462" t="s">
        <v>291</v>
      </c>
      <c r="B777" s="449"/>
      <c r="C777" s="449"/>
      <c r="D777" s="448"/>
      <c r="E777" s="449"/>
      <c r="F777" s="449"/>
      <c r="G777" s="450"/>
      <c r="H777" s="461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2"/>
      <c r="J777" s="453"/>
      <c r="K777" s="454"/>
      <c r="L777" s="454"/>
      <c r="M777" s="454"/>
      <c r="N777" s="454"/>
      <c r="O777" s="454"/>
      <c r="P777" s="454"/>
      <c r="Q777" s="454"/>
      <c r="R777" s="454"/>
      <c r="S777" s="454"/>
      <c r="T777" s="454"/>
      <c r="U777" s="454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IFERROR(__xludf.DUMMYFUNCTION("IMPORTRANGE(""https://docs.google.com/spreadsheets/d/10OvvATaaLtwErnr3qtWFcTmtbfpFEt5Bsqel9sXx0uE/edit?usp=sharing"",""งานกองทุน!D14"")"),5000000)</f>
        <v>5000000</v>
      </c>
      <c r="J778" s="184">
        <f ca="1">IFERROR(__xludf.DUMMYFUNCTION("IMPORTRANGE(""https://docs.google.com/spreadsheets/d/10OvvATaaLtwErnr3qtWFcTmtbfpFEt5Bsqel9sXx0uE/edit?usp=sharing"",""งานกองทุน!F14"")"),1020000)</f>
        <v>1020000</v>
      </c>
      <c r="K778" s="224">
        <f t="shared" ref="K778:K785" ca="1" si="194">IF(I778&gt;0,J778*100/I778,0)</f>
        <v>20.399999999999999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IFERROR(__xludf.DUMMYFUNCTION("IMPORTRANGE(""https://docs.google.com/spreadsheets/d/10OvvATaaLtwErnr3qtWFcTmtbfpFEt5Bsqel9sXx0uE/edit?usp=sharing"",""งานกองทุน!C14"")"),165)</f>
        <v>165</v>
      </c>
      <c r="J779" s="184">
        <f ca="1">IFERROR(__xludf.DUMMYFUNCTION("IMPORTRANGE(""https://docs.google.com/spreadsheets/d/10OvvATaaLtwErnr3qtWFcTmtbfpFEt5Bsqel9sXx0uE/edit?usp=sharing"",""งานกองทุน!E14"")"),34)</f>
        <v>34</v>
      </c>
      <c r="K779" s="224">
        <f t="shared" ca="1" si="194"/>
        <v>20.606060606060606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IFERROR(__xludf.DUMMYFUNCTION("IMPORTRANGE(""https://docs.google.com/spreadsheets/d/10OvvATaaLtwErnr3qtWFcTmtbfpFEt5Bsqel9sXx0uE/edit?usp=sharing"",""งานกองทุน!I14"")"),4945903.61)</f>
        <v>4945903.6100000003</v>
      </c>
      <c r="J780" s="184">
        <f ca="1">IFERROR(__xludf.DUMMYFUNCTION("IMPORTRANGE(""https://docs.google.com/spreadsheets/d/10OvvATaaLtwErnr3qtWFcTmtbfpFEt5Bsqel9sXx0uE/edit?usp=sharing"",""งานกองทุน!K14"")"),176807.04)</f>
        <v>176807.04000000001</v>
      </c>
      <c r="K780" s="224">
        <f t="shared" ca="1" si="194"/>
        <v>3.5748177470041718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IFERROR(__xludf.DUMMYFUNCTION("IMPORTRANGE(""https://docs.google.com/spreadsheets/d/10OvvATaaLtwErnr3qtWFcTmtbfpFEt5Bsqel9sXx0uE/edit?usp=sharing"",""งานกองทุน!H14"")"),144)</f>
        <v>144</v>
      </c>
      <c r="J781" s="184">
        <f ca="1">IFERROR(__xludf.DUMMYFUNCTION("IMPORTRANGE(""https://docs.google.com/spreadsheets/d/10OvvATaaLtwErnr3qtWFcTmtbfpFEt5Bsqel9sXx0uE/edit?usp=sharing"",""งานกองทุน!J14"")"),22)</f>
        <v>22</v>
      </c>
      <c r="K781" s="224">
        <f t="shared" ca="1" si="194"/>
        <v>15.277777777777779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IFERROR(__xludf.DUMMYFUNCTION("IMPORTRANGE(""https://docs.google.com/spreadsheets/d/10OvvATaaLtwErnr3qtWFcTmtbfpFEt5Bsqel9sXx0uE/edit?usp=sharing"",""งานกองทุน!N14"")"),2300046.85)</f>
        <v>2300046.85</v>
      </c>
      <c r="J782" s="184">
        <f ca="1">IFERROR(__xludf.DUMMYFUNCTION("IMPORTRANGE(""https://docs.google.com/spreadsheets/d/10OvvATaaLtwErnr3qtWFcTmtbfpFEt5Bsqel9sXx0uE/edit?usp=sharing"",""งานกองทุน!P14"")"),647920.06)</f>
        <v>647920.06000000006</v>
      </c>
      <c r="K782" s="224">
        <f t="shared" ca="1" si="194"/>
        <v>28.169863583430921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IFERROR(__xludf.DUMMYFUNCTION("IMPORTRANGE(""https://docs.google.com/spreadsheets/d/10OvvATaaLtwErnr3qtWFcTmtbfpFEt5Bsqel9sXx0uE/edit?usp=sharing"",""งานกองทุน!M14"")"),262)</f>
        <v>262</v>
      </c>
      <c r="J783" s="184">
        <f ca="1">IFERROR(__xludf.DUMMYFUNCTION("IMPORTRANGE(""https://docs.google.com/spreadsheets/d/10OvvATaaLtwErnr3qtWFcTmtbfpFEt5Bsqel9sXx0uE/edit?usp=sharing"",""งานกองทุน!O14"")"),141)</f>
        <v>141</v>
      </c>
      <c r="K783" s="224">
        <f t="shared" ca="1" si="194"/>
        <v>53.81679389312977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IFERROR(__xludf.DUMMYFUNCTION("IMPORTRANGE(""https://docs.google.com/spreadsheets/d/10OvvATaaLtwErnr3qtWFcTmtbfpFEt5Bsqel9sXx0uE/edit?usp=sharing"",""งานกองทุน!S14"")"),7980000)</f>
        <v>7980000</v>
      </c>
      <c r="J784" s="184">
        <f ca="1">IFERROR(__xludf.DUMMYFUNCTION("IMPORTRANGE(""https://docs.google.com/spreadsheets/d/10OvvATaaLtwErnr3qtWFcTmtbfpFEt5Bsqel9sXx0uE/edit?usp=sharing"",""งานกองทุน!U14"")"),1880000)</f>
        <v>1880000</v>
      </c>
      <c r="K784" s="224">
        <f t="shared" ca="1" si="194"/>
        <v>23.558897243107769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IFERROR(__xludf.DUMMYFUNCTION("IMPORTRANGE(""https://docs.google.com/spreadsheets/d/10OvvATaaLtwErnr3qtWFcTmtbfpFEt5Bsqel9sXx0uE/edit?usp=sharing"",""งานกองทุน!R14"")"),285)</f>
        <v>285</v>
      </c>
      <c r="J785" s="188">
        <f ca="1">IFERROR(__xludf.DUMMYFUNCTION("IMPORTRANGE(""https://docs.google.com/spreadsheets/d/10OvvATaaLtwErnr3qtWFcTmtbfpFEt5Bsqel9sXx0uE/edit?usp=sharing"",""งานกองทุน!T14"")"),49)</f>
        <v>49</v>
      </c>
      <c r="K785" s="455">
        <f t="shared" ca="1" si="194"/>
        <v>17.192982456140349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460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4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4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A1:U1"/>
    <mergeCell ref="A2:U2"/>
    <mergeCell ref="A3:U3"/>
    <mergeCell ref="D714:G714"/>
    <mergeCell ref="D728:G728"/>
    <mergeCell ref="D760:G760"/>
    <mergeCell ref="A5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Q5:R5"/>
    <mergeCell ref="L4:P4"/>
    <mergeCell ref="Q4:U4"/>
    <mergeCell ref="I5:K5"/>
    <mergeCell ref="L5:M5"/>
    <mergeCell ref="S5:U5"/>
    <mergeCell ref="N5:P5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horizontalDpi="4294967293" verticalDpi="4294967293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0635E-18C4-4F55-BFD5-DD5B0B1E2FB3}">
  <sheetPr>
    <outlinePr summaryBelow="0" summaryRight="0"/>
  </sheetPr>
  <dimension ref="A1:U789"/>
  <sheetViews>
    <sheetView view="pageBreakPreview" zoomScale="60" zoomScaleNormal="70" workbookViewId="0">
      <pane xSplit="8" ySplit="17" topLeftCell="I18" activePane="bottomRight" state="frozen"/>
      <selection activeCell="N28" sqref="N28"/>
      <selection pane="topRight" activeCell="N28" sqref="N28"/>
      <selection pane="bottomLeft" activeCell="N28" sqref="N28"/>
      <selection pane="bottomRight" activeCell="N28" sqref="N2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7109375" bestFit="1" customWidth="1"/>
    <col min="11" max="11" width="12.42578125" bestFit="1" customWidth="1"/>
    <col min="12" max="14" width="21" bestFit="1" customWidth="1"/>
    <col min="15" max="15" width="20.140625" bestFit="1" customWidth="1"/>
    <col min="16" max="16" width="22" bestFit="1" customWidth="1"/>
    <col min="17" max="18" width="21" bestFit="1" customWidth="1"/>
    <col min="19" max="19" width="18.57031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815" t="s">
        <v>0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5"/>
      <c r="T1" s="815"/>
      <c r="U1" s="815"/>
    </row>
    <row r="2" spans="1:21" ht="19.5" x14ac:dyDescent="0.3">
      <c r="A2" s="815" t="s">
        <v>312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</row>
    <row r="3" spans="1:21" ht="19.5" x14ac:dyDescent="0.3">
      <c r="A3" s="815" t="s">
        <v>335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709"/>
      <c r="L4" s="816" t="s">
        <v>2</v>
      </c>
      <c r="M4" s="800"/>
      <c r="N4" s="800"/>
      <c r="O4" s="800"/>
      <c r="P4" s="801"/>
      <c r="Q4" s="817" t="s">
        <v>3</v>
      </c>
      <c r="R4" s="800"/>
      <c r="S4" s="800"/>
      <c r="T4" s="800"/>
      <c r="U4" s="801"/>
    </row>
    <row r="5" spans="1:21" ht="19.5" x14ac:dyDescent="0.3">
      <c r="A5" s="822" t="s">
        <v>4</v>
      </c>
      <c r="B5" s="797"/>
      <c r="C5" s="797"/>
      <c r="D5" s="797"/>
      <c r="E5" s="797"/>
      <c r="F5" s="797"/>
      <c r="G5" s="798"/>
      <c r="H5" s="708" t="s">
        <v>5</v>
      </c>
      <c r="I5" s="814" t="s">
        <v>6</v>
      </c>
      <c r="J5" s="800"/>
      <c r="K5" s="801"/>
      <c r="L5" s="818" t="s">
        <v>7</v>
      </c>
      <c r="M5" s="801"/>
      <c r="N5" s="807" t="s">
        <v>8</v>
      </c>
      <c r="O5" s="800"/>
      <c r="P5" s="801"/>
      <c r="Q5" s="808" t="s">
        <v>7</v>
      </c>
      <c r="R5" s="801"/>
      <c r="S5" s="807" t="s">
        <v>8</v>
      </c>
      <c r="T5" s="800"/>
      <c r="U5" s="801"/>
    </row>
    <row r="6" spans="1:21" ht="19.5" x14ac:dyDescent="0.3">
      <c r="A6" s="799"/>
      <c r="B6" s="800"/>
      <c r="C6" s="800"/>
      <c r="D6" s="800"/>
      <c r="E6" s="800"/>
      <c r="F6" s="800"/>
      <c r="G6" s="801"/>
      <c r="H6" s="707"/>
      <c r="I6" s="6" t="s">
        <v>9</v>
      </c>
      <c r="J6" s="7" t="s">
        <v>10</v>
      </c>
      <c r="K6" s="6" t="s">
        <v>11</v>
      </c>
      <c r="L6" s="706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823"/>
      <c r="B7" s="800"/>
      <c r="C7" s="800"/>
      <c r="D7" s="800"/>
      <c r="E7" s="800"/>
      <c r="F7" s="800"/>
      <c r="G7" s="801"/>
      <c r="H7" s="14"/>
      <c r="I7" s="15"/>
      <c r="J7" s="15"/>
      <c r="K7" s="16"/>
      <c r="L7" s="580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571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71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71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71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71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71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71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71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580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803" t="s">
        <v>309</v>
      </c>
      <c r="B17" s="800"/>
      <c r="C17" s="800"/>
      <c r="D17" s="800"/>
      <c r="E17" s="800"/>
      <c r="F17" s="800"/>
      <c r="G17" s="801"/>
      <c r="H17" s="23"/>
      <c r="I17" s="24"/>
      <c r="J17" s="24"/>
      <c r="K17" s="25"/>
      <c r="L17" s="705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704">
        <f ca="1">L19+L20</f>
        <v>3051754</v>
      </c>
      <c r="M18" s="664">
        <f ca="1">M19+M20</f>
        <v>3241086.94</v>
      </c>
      <c r="N18" s="664">
        <f ca="1">N19+N20</f>
        <v>2358997.19</v>
      </c>
      <c r="O18" s="664">
        <f t="shared" ref="O18:O26" ca="1" si="0">IF(L18&gt;0,N18*100/L18,0)</f>
        <v>77.299716490909816</v>
      </c>
      <c r="P18" s="664">
        <f t="shared" ref="P18:P26" ca="1" si="1">IF(M18&gt;0,N18*100/M18,0)</f>
        <v>72.784137965765282</v>
      </c>
      <c r="Q18" s="664">
        <f ca="1">Q19+Q20</f>
        <v>3495069.24</v>
      </c>
      <c r="R18" s="664">
        <f ca="1">R19+R20</f>
        <v>3509069</v>
      </c>
      <c r="S18" s="664">
        <f ca="1">S19+S20</f>
        <v>827672.51</v>
      </c>
      <c r="T18" s="664">
        <f t="shared" ref="T18:T26" ca="1" si="2">IF(Q18&gt;0,S18*100/Q18,0)</f>
        <v>23.681147730280731</v>
      </c>
      <c r="U18" s="664">
        <f t="shared" ref="U18:U26" ca="1" si="3">IF(R18&gt;0,S18*100/R18,0)</f>
        <v>23.586669569620888</v>
      </c>
    </row>
    <row r="19" spans="1:21" ht="18.75" hidden="1" x14ac:dyDescent="0.25">
      <c r="A19" s="26"/>
      <c r="B19" s="27"/>
      <c r="C19" s="27"/>
      <c r="D19" s="27"/>
      <c r="E19" s="703" t="s">
        <v>20</v>
      </c>
      <c r="F19" s="27"/>
      <c r="G19" s="30"/>
      <c r="H19" s="702" t="s">
        <v>14</v>
      </c>
      <c r="I19" s="32"/>
      <c r="J19" s="32"/>
      <c r="K19" s="33"/>
      <c r="L19" s="701">
        <f t="shared" ref="L19:N20" si="4">L22+L25</f>
        <v>0</v>
      </c>
      <c r="M19" s="700">
        <f t="shared" si="4"/>
        <v>0</v>
      </c>
      <c r="N19" s="700">
        <f t="shared" si="4"/>
        <v>0</v>
      </c>
      <c r="O19" s="700">
        <f t="shared" si="0"/>
        <v>0</v>
      </c>
      <c r="P19" s="700">
        <f t="shared" si="1"/>
        <v>0</v>
      </c>
      <c r="Q19" s="700">
        <f t="shared" ref="Q19:S20" si="5">Q22+Q25</f>
        <v>0</v>
      </c>
      <c r="R19" s="700">
        <f t="shared" si="5"/>
        <v>0</v>
      </c>
      <c r="S19" s="700">
        <f t="shared" si="5"/>
        <v>0</v>
      </c>
      <c r="T19" s="700">
        <f t="shared" si="2"/>
        <v>0</v>
      </c>
      <c r="U19" s="700">
        <f t="shared" si="3"/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699">
        <f t="shared" ca="1" si="4"/>
        <v>3051754</v>
      </c>
      <c r="M20" s="698">
        <f t="shared" ca="1" si="4"/>
        <v>3241086.94</v>
      </c>
      <c r="N20" s="698">
        <f t="shared" ca="1" si="4"/>
        <v>2358997.19</v>
      </c>
      <c r="O20" s="698">
        <f t="shared" ca="1" si="0"/>
        <v>77.299716490909816</v>
      </c>
      <c r="P20" s="698">
        <f t="shared" ca="1" si="1"/>
        <v>72.784137965765282</v>
      </c>
      <c r="Q20" s="698">
        <f t="shared" ca="1" si="5"/>
        <v>3495069.24</v>
      </c>
      <c r="R20" s="698">
        <f t="shared" ca="1" si="5"/>
        <v>3509069</v>
      </c>
      <c r="S20" s="698">
        <f t="shared" ca="1" si="5"/>
        <v>827672.51</v>
      </c>
      <c r="T20" s="698">
        <f t="shared" ca="1" si="2"/>
        <v>23.681147730280731</v>
      </c>
      <c r="U20" s="698">
        <f t="shared" ca="1" si="3"/>
        <v>23.586669569620888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468">
        <f ca="1">L22+L23</f>
        <v>3051754</v>
      </c>
      <c r="M21" s="224">
        <f ca="1">M22+M23</f>
        <v>3241086.94</v>
      </c>
      <c r="N21" s="224">
        <f ca="1">N22+N23</f>
        <v>2358997.19</v>
      </c>
      <c r="O21" s="224">
        <f t="shared" ca="1" si="0"/>
        <v>77.299716490909816</v>
      </c>
      <c r="P21" s="224">
        <f t="shared" ca="1" si="1"/>
        <v>72.784137965765282</v>
      </c>
      <c r="Q21" s="224">
        <f ca="1">Q22+Q23</f>
        <v>3495069.24</v>
      </c>
      <c r="R21" s="224">
        <f ca="1">R22+R23</f>
        <v>3509069</v>
      </c>
      <c r="S21" s="224">
        <f ca="1">S22+S23</f>
        <v>827672.51</v>
      </c>
      <c r="T21" s="224">
        <f t="shared" ca="1" si="2"/>
        <v>23.681147730280731</v>
      </c>
      <c r="U21" s="224">
        <f t="shared" ca="1" si="3"/>
        <v>23.586669569620888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674" t="s">
        <v>14</v>
      </c>
      <c r="I22" s="44"/>
      <c r="J22" s="44"/>
      <c r="K22" s="45"/>
      <c r="L22" s="469">
        <f t="shared" ref="L22:N23" si="6">L48+L63+L76+L98+L129+L143+L161+L190+L177+L270+L286+L307+L324+L337+L360+L517</f>
        <v>0</v>
      </c>
      <c r="M22" s="83">
        <f t="shared" si="6"/>
        <v>0</v>
      </c>
      <c r="N22" s="83">
        <f t="shared" si="6"/>
        <v>0</v>
      </c>
      <c r="O22" s="83">
        <f t="shared" si="0"/>
        <v>0</v>
      </c>
      <c r="P22" s="83">
        <f t="shared" si="1"/>
        <v>0</v>
      </c>
      <c r="Q22" s="83">
        <f t="shared" ref="Q22:S23" si="7">Q76+Q98+Q121+Q143+Q161+Q177+Q190+Q270+Q286+Q307+Q337+Q379+Q396+Q417+Q497+Q603+Q620+Q646+Q694+Q718+Q732+Q764</f>
        <v>0</v>
      </c>
      <c r="R22" s="83">
        <f t="shared" si="7"/>
        <v>0</v>
      </c>
      <c r="S22" s="83">
        <f t="shared" si="7"/>
        <v>0</v>
      </c>
      <c r="T22" s="83">
        <f t="shared" si="2"/>
        <v>0</v>
      </c>
      <c r="U22" s="83">
        <f t="shared" si="3"/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468">
        <f t="shared" ca="1" si="6"/>
        <v>3051754</v>
      </c>
      <c r="M23" s="224">
        <f t="shared" ca="1" si="6"/>
        <v>3241086.94</v>
      </c>
      <c r="N23" s="224">
        <f t="shared" ca="1" si="6"/>
        <v>2358997.19</v>
      </c>
      <c r="O23" s="224">
        <f t="shared" ca="1" si="0"/>
        <v>77.299716490909816</v>
      </c>
      <c r="P23" s="224">
        <f t="shared" ca="1" si="1"/>
        <v>72.784137965765282</v>
      </c>
      <c r="Q23" s="224">
        <f t="shared" ca="1" si="7"/>
        <v>3495069.24</v>
      </c>
      <c r="R23" s="224">
        <f t="shared" ca="1" si="7"/>
        <v>3509069</v>
      </c>
      <c r="S23" s="224">
        <f t="shared" ca="1" si="7"/>
        <v>827672.51</v>
      </c>
      <c r="T23" s="224">
        <f t="shared" ca="1" si="2"/>
        <v>23.681147730280731</v>
      </c>
      <c r="U23" s="224">
        <f t="shared" ca="1" si="3"/>
        <v>23.586669569620888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468">
        <f ca="1">L25+L26</f>
        <v>0</v>
      </c>
      <c r="M24" s="224">
        <f ca="1">M25+M26</f>
        <v>0</v>
      </c>
      <c r="N24" s="224">
        <f ca="1">N25+N26</f>
        <v>0</v>
      </c>
      <c r="O24" s="224">
        <f t="shared" ca="1" si="0"/>
        <v>0</v>
      </c>
      <c r="P24" s="224">
        <f t="shared" ca="1" si="1"/>
        <v>0</v>
      </c>
      <c r="Q24" s="224">
        <f>Q25+Q26</f>
        <v>0</v>
      </c>
      <c r="R24" s="224">
        <f>R25+R26</f>
        <v>0</v>
      </c>
      <c r="S24" s="224">
        <f>S25+S26</f>
        <v>0</v>
      </c>
      <c r="T24" s="224">
        <f t="shared" si="2"/>
        <v>0</v>
      </c>
      <c r="U24" s="224">
        <f t="shared" si="3"/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674" t="s">
        <v>14</v>
      </c>
      <c r="I25" s="44"/>
      <c r="J25" s="44"/>
      <c r="K25" s="45"/>
      <c r="L25" s="469">
        <f t="shared" ref="L25:N26" si="8">L51+L66+L79+L101+L132+L146+L164+L193+L180+L273+L289+L310+L327+L340+L363+L520</f>
        <v>0</v>
      </c>
      <c r="M25" s="83">
        <f t="shared" si="8"/>
        <v>0</v>
      </c>
      <c r="N25" s="83">
        <f t="shared" si="8"/>
        <v>0</v>
      </c>
      <c r="O25" s="83">
        <f t="shared" si="0"/>
        <v>0</v>
      </c>
      <c r="P25" s="83">
        <f t="shared" si="1"/>
        <v>0</v>
      </c>
      <c r="Q25" s="83">
        <f t="shared" ref="Q25:S26" si="9">Q79+Q101+Q124+Q146+Q164+Q180+Q193+Q273+Q289+Q310+Q340+Q382+Q399+Q420+Q500+Q606+Q623+Q649+Q697+Q721+Q735+Q767</f>
        <v>0</v>
      </c>
      <c r="R25" s="83">
        <f t="shared" si="9"/>
        <v>0</v>
      </c>
      <c r="S25" s="83">
        <f t="shared" si="9"/>
        <v>0</v>
      </c>
      <c r="T25" s="83">
        <f t="shared" si="2"/>
        <v>0</v>
      </c>
      <c r="U25" s="83">
        <f t="shared" si="3"/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468">
        <f t="shared" ca="1" si="8"/>
        <v>0</v>
      </c>
      <c r="M26" s="224">
        <f t="shared" ca="1" si="8"/>
        <v>0</v>
      </c>
      <c r="N26" s="224">
        <f t="shared" ca="1" si="8"/>
        <v>0</v>
      </c>
      <c r="O26" s="224">
        <f t="shared" ca="1" si="0"/>
        <v>0</v>
      </c>
      <c r="P26" s="224">
        <f t="shared" ca="1" si="1"/>
        <v>0</v>
      </c>
      <c r="Q26" s="83">
        <f t="shared" si="9"/>
        <v>0</v>
      </c>
      <c r="R26" s="83">
        <f t="shared" si="9"/>
        <v>0</v>
      </c>
      <c r="S26" s="83">
        <f t="shared" si="9"/>
        <v>0</v>
      </c>
      <c r="T26" s="224">
        <f t="shared" si="2"/>
        <v>0</v>
      </c>
      <c r="U26" s="224">
        <f t="shared" si="3"/>
        <v>0</v>
      </c>
    </row>
    <row r="27" spans="1:21" ht="18.75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465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674" t="s">
        <v>14</v>
      </c>
      <c r="I28" s="44"/>
      <c r="J28" s="44"/>
      <c r="K28" s="45"/>
      <c r="L28" s="465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463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823"/>
      <c r="B30" s="800"/>
      <c r="C30" s="800"/>
      <c r="D30" s="800"/>
      <c r="E30" s="800"/>
      <c r="F30" s="800"/>
      <c r="G30" s="801"/>
      <c r="H30" s="14"/>
      <c r="I30" s="15"/>
      <c r="J30" s="15"/>
      <c r="K30" s="16"/>
      <c r="L30" s="580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571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7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71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7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7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7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7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71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580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697">
        <f ca="1">L44+L59+L72+L94+L125+L139+L157+L173+L186+L266+L282+L303+L320+L333+L356</f>
        <v>3051754</v>
      </c>
      <c r="M40" s="696">
        <f ca="1">M44+M59+M72+M94+M125+M139+M157+M173+M186+M266+M282+M303+M320+M333+M356</f>
        <v>3241086.94</v>
      </c>
      <c r="N40" s="696">
        <f ca="1">N44+N59+N72+N94+N125+N139+N157+N173+N186+N266+N282+N303+N320+N333+N356</f>
        <v>2358997.19</v>
      </c>
      <c r="O40" s="696">
        <f ca="1">IF(L40&gt;0,N40*100/L40,0)</f>
        <v>77.299716490909816</v>
      </c>
      <c r="P40" s="696">
        <f ca="1">IF(M40&gt;0,N40*100/M40,0)</f>
        <v>72.784137965765282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695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571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694" t="s">
        <v>19</v>
      </c>
      <c r="E44" s="71"/>
      <c r="F44" s="71"/>
      <c r="G44" s="74"/>
      <c r="H44" s="75" t="s">
        <v>14</v>
      </c>
      <c r="I44" s="76"/>
      <c r="J44" s="76"/>
      <c r="K44" s="77"/>
      <c r="L44" s="693">
        <f ca="1">L45+L46</f>
        <v>475534</v>
      </c>
      <c r="M44" s="692">
        <f ca="1">M45+M46</f>
        <v>532702.93999999994</v>
      </c>
      <c r="N44" s="692">
        <f ca="1">N45+N46</f>
        <v>464331.31</v>
      </c>
      <c r="O44" s="692">
        <f t="shared" ref="O44:O52" ca="1" si="10">IF(L44&gt;0,N44*100/L44,0)</f>
        <v>97.644187376717539</v>
      </c>
      <c r="P44" s="692">
        <f t="shared" ref="P44:P52" ca="1" si="11">IF(M44&gt;0,N44*100/M44,0)</f>
        <v>87.165148741247805</v>
      </c>
      <c r="Q44" s="692">
        <f>Q45+Q46</f>
        <v>0</v>
      </c>
      <c r="R44" s="692">
        <f>R45+R46</f>
        <v>0</v>
      </c>
      <c r="S44" s="692">
        <f>S45+S46</f>
        <v>0</v>
      </c>
      <c r="T44" s="692">
        <f t="shared" ref="T44:T52" si="12">IF(Q44&gt;0,S44*100/Q44,0)</f>
        <v>0</v>
      </c>
      <c r="U44" s="692">
        <f t="shared" ref="U44:U52" si="13">IF(R44&gt;0,S44*100/R44,0)</f>
        <v>0</v>
      </c>
    </row>
    <row r="45" spans="1:21" ht="18.75" hidden="1" x14ac:dyDescent="0.25">
      <c r="A45" s="70"/>
      <c r="B45" s="71"/>
      <c r="C45" s="71"/>
      <c r="D45" s="71"/>
      <c r="E45" s="691" t="s">
        <v>20</v>
      </c>
      <c r="F45" s="71"/>
      <c r="G45" s="74"/>
      <c r="H45" s="690" t="s">
        <v>14</v>
      </c>
      <c r="I45" s="76"/>
      <c r="J45" s="76"/>
      <c r="K45" s="77"/>
      <c r="L45" s="689">
        <f t="shared" ref="L45:N46" si="14">L48+L51</f>
        <v>0</v>
      </c>
      <c r="M45" s="688">
        <f t="shared" si="14"/>
        <v>0</v>
      </c>
      <c r="N45" s="688">
        <f t="shared" si="14"/>
        <v>0</v>
      </c>
      <c r="O45" s="688">
        <f t="shared" si="10"/>
        <v>0</v>
      </c>
      <c r="P45" s="688">
        <f t="shared" si="11"/>
        <v>0</v>
      </c>
      <c r="Q45" s="688">
        <f t="shared" ref="Q45:S46" si="15">Q48+Q51</f>
        <v>0</v>
      </c>
      <c r="R45" s="688">
        <f t="shared" si="15"/>
        <v>0</v>
      </c>
      <c r="S45" s="688">
        <f t="shared" si="15"/>
        <v>0</v>
      </c>
      <c r="T45" s="688">
        <f t="shared" si="12"/>
        <v>0</v>
      </c>
      <c r="U45" s="688">
        <f t="shared" si="13"/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687">
        <f t="shared" ca="1" si="14"/>
        <v>475534</v>
      </c>
      <c r="M46" s="686">
        <f t="shared" ca="1" si="14"/>
        <v>532702.93999999994</v>
      </c>
      <c r="N46" s="686">
        <f t="shared" ca="1" si="14"/>
        <v>464331.31</v>
      </c>
      <c r="O46" s="686">
        <f t="shared" ca="1" si="10"/>
        <v>97.644187376717539</v>
      </c>
      <c r="P46" s="686">
        <f t="shared" ca="1" si="11"/>
        <v>87.165148741247805</v>
      </c>
      <c r="Q46" s="686">
        <f t="shared" si="15"/>
        <v>0</v>
      </c>
      <c r="R46" s="686">
        <f t="shared" si="15"/>
        <v>0</v>
      </c>
      <c r="S46" s="686">
        <f t="shared" si="15"/>
        <v>0</v>
      </c>
      <c r="T46" s="686">
        <f t="shared" si="12"/>
        <v>0</v>
      </c>
      <c r="U46" s="686">
        <f t="shared" si="13"/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468">
        <f ca="1">L48+L49</f>
        <v>475534</v>
      </c>
      <c r="M47" s="224">
        <f ca="1">M48+M49</f>
        <v>532702.93999999994</v>
      </c>
      <c r="N47" s="224">
        <f ca="1">N48+N49</f>
        <v>464331.31</v>
      </c>
      <c r="O47" s="224">
        <f t="shared" ca="1" si="10"/>
        <v>97.644187376717539</v>
      </c>
      <c r="P47" s="224">
        <f t="shared" ca="1" si="11"/>
        <v>87.165148741247805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 t="shared" si="12"/>
        <v>0</v>
      </c>
      <c r="U47" s="224">
        <f t="shared" si="13"/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674" t="s">
        <v>14</v>
      </c>
      <c r="I48" s="44"/>
      <c r="J48" s="44"/>
      <c r="K48" s="45"/>
      <c r="L48" s="469">
        <v>0</v>
      </c>
      <c r="M48" s="83">
        <v>0</v>
      </c>
      <c r="N48" s="83">
        <v>0</v>
      </c>
      <c r="O48" s="83">
        <f t="shared" si="10"/>
        <v>0</v>
      </c>
      <c r="P48" s="83">
        <f t="shared" si="11"/>
        <v>0</v>
      </c>
      <c r="Q48" s="83">
        <v>0</v>
      </c>
      <c r="R48" s="83">
        <v>0</v>
      </c>
      <c r="S48" s="83">
        <v>0</v>
      </c>
      <c r="T48" s="83">
        <f t="shared" si="12"/>
        <v>0</v>
      </c>
      <c r="U48" s="83">
        <f t="shared" si="13"/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468">
        <f ca="1">IFERROR(__xludf.DUMMYFUNCTION("IMPORTRANGE(""https://docs.google.com/spreadsheets/d/1-uDff_7J0KD5mKrp0Vvzr7lt3OU09vwQwhkpOPPYv2Y/edit?usp=sharing"",""งบพรบ!P15"")"),475534)</f>
        <v>475534</v>
      </c>
      <c r="M49" s="224">
        <f ca="1">IFERROR(__xludf.DUMMYFUNCTION("IMPORTRANGE(""https://docs.google.com/spreadsheets/d/1-uDff_7J0KD5mKrp0Vvzr7lt3OU09vwQwhkpOPPYv2Y/edit?usp=sharing"",""งบพรบ!V15"")"),532702.94)</f>
        <v>532702.93999999994</v>
      </c>
      <c r="N49" s="224">
        <f ca="1">IFERROR(__xludf.DUMMYFUNCTION("IMPORTRANGE(""https://docs.google.com/spreadsheets/d/1-uDff_7J0KD5mKrp0Vvzr7lt3OU09vwQwhkpOPPYv2Y/edit?usp=sharing"",""งบพรบ!Y15"")"),464331.31)</f>
        <v>464331.31</v>
      </c>
      <c r="O49" s="224">
        <f t="shared" ca="1" si="10"/>
        <v>97.644187376717539</v>
      </c>
      <c r="P49" s="224">
        <f t="shared" ca="1" si="11"/>
        <v>87.165148741247805</v>
      </c>
      <c r="Q49" s="224">
        <v>0</v>
      </c>
      <c r="R49" s="224">
        <v>0</v>
      </c>
      <c r="S49" s="224">
        <v>0</v>
      </c>
      <c r="T49" s="224">
        <f t="shared" si="12"/>
        <v>0</v>
      </c>
      <c r="U49" s="224">
        <f t="shared" si="13"/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468">
        <f ca="1">L51+L52</f>
        <v>0</v>
      </c>
      <c r="M50" s="224">
        <f ca="1">M51+M52</f>
        <v>0</v>
      </c>
      <c r="N50" s="224">
        <f ca="1">N51+N52</f>
        <v>0</v>
      </c>
      <c r="O50" s="224">
        <f t="shared" ca="1" si="10"/>
        <v>0</v>
      </c>
      <c r="P50" s="224">
        <f t="shared" ca="1" si="11"/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 t="shared" si="12"/>
        <v>0</v>
      </c>
      <c r="U50" s="224">
        <f t="shared" si="13"/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674" t="s">
        <v>14</v>
      </c>
      <c r="I51" s="44"/>
      <c r="J51" s="44"/>
      <c r="K51" s="45"/>
      <c r="L51" s="469">
        <v>0</v>
      </c>
      <c r="M51" s="83">
        <v>0</v>
      </c>
      <c r="N51" s="83">
        <v>0</v>
      </c>
      <c r="O51" s="83">
        <f t="shared" si="10"/>
        <v>0</v>
      </c>
      <c r="P51" s="83">
        <f t="shared" si="11"/>
        <v>0</v>
      </c>
      <c r="Q51" s="83">
        <v>0</v>
      </c>
      <c r="R51" s="83">
        <v>0</v>
      </c>
      <c r="S51" s="83">
        <v>0</v>
      </c>
      <c r="T51" s="83">
        <f t="shared" si="12"/>
        <v>0</v>
      </c>
      <c r="U51" s="83">
        <f t="shared" si="13"/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468">
        <f ca="1">IFERROR(__xludf.DUMMYFUNCTION("IMPORTRANGE(""https://docs.google.com/spreadsheets/d/1-uDff_7J0KD5mKrp0Vvzr7lt3OU09vwQwhkpOPPYv2Y/edit?usp=sharing"",""งบพรบ!S15"")"),0)</f>
        <v>0</v>
      </c>
      <c r="M52" s="224">
        <f ca="1">IFERROR(__xludf.DUMMYFUNCTION("IMPORTRANGE(""https://docs.google.com/spreadsheets/d/1-uDff_7J0KD5mKrp0Vvzr7lt3OU09vwQwhkpOPPYv2Y/edit?usp=sharing"",""งบพรบ!W15"")"),0)</f>
        <v>0</v>
      </c>
      <c r="N52" s="224">
        <f ca="1">IFERROR(__xludf.DUMMYFUNCTION("IMPORTRANGE(""https://docs.google.com/spreadsheets/d/1-uDff_7J0KD5mKrp0Vvzr7lt3OU09vwQwhkpOPPYv2Y/edit?usp=sharing"",""งบพรบ!Z15"")"),0)</f>
        <v>0</v>
      </c>
      <c r="O52" s="224">
        <f t="shared" ca="1" si="10"/>
        <v>0</v>
      </c>
      <c r="P52" s="224">
        <f t="shared" ca="1" si="11"/>
        <v>0</v>
      </c>
      <c r="Q52" s="224">
        <v>0</v>
      </c>
      <c r="R52" s="224">
        <v>0</v>
      </c>
      <c r="S52" s="224">
        <v>0</v>
      </c>
      <c r="T52" s="224">
        <f t="shared" si="12"/>
        <v>0</v>
      </c>
      <c r="U52" s="224">
        <f t="shared" si="13"/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465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674" t="s">
        <v>14</v>
      </c>
      <c r="I54" s="44"/>
      <c r="J54" s="44"/>
      <c r="K54" s="45"/>
      <c r="L54" s="465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463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804" t="s">
        <v>28</v>
      </c>
      <c r="B56" s="800"/>
      <c r="C56" s="800"/>
      <c r="D56" s="800"/>
      <c r="E56" s="800"/>
      <c r="F56" s="800"/>
      <c r="G56" s="80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805" t="s">
        <v>29</v>
      </c>
      <c r="C57" s="793"/>
      <c r="D57" s="793"/>
      <c r="E57" s="793"/>
      <c r="F57" s="793"/>
      <c r="G57" s="794"/>
      <c r="H57" s="89"/>
      <c r="I57" s="90"/>
      <c r="J57" s="90"/>
      <c r="K57" s="91"/>
      <c r="L57" s="68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8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8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82">
        <f ca="1">L60+L61</f>
        <v>508300</v>
      </c>
      <c r="M59" s="681">
        <f ca="1">M60+M61</f>
        <v>564300</v>
      </c>
      <c r="N59" s="681">
        <f ca="1">N60+N61</f>
        <v>532026.96</v>
      </c>
      <c r="O59" s="681">
        <f t="shared" ref="O59:O67" ca="1" si="16">IF(L59&gt;0,N59*100/L59,0)</f>
        <v>104.66790478064135</v>
      </c>
      <c r="P59" s="681">
        <f t="shared" ref="P59:P67" ca="1" si="17">IF(M59&gt;0,N59*100/M59,0)</f>
        <v>94.280871876661351</v>
      </c>
      <c r="Q59" s="681">
        <f>Q60+Q61</f>
        <v>0</v>
      </c>
      <c r="R59" s="681">
        <f>R60+R61</f>
        <v>0</v>
      </c>
      <c r="S59" s="681">
        <f>S60+S61</f>
        <v>0</v>
      </c>
      <c r="T59" s="681">
        <f t="shared" ref="T59:T67" si="18">IF(Q59&gt;0,S59*100/Q59,0)</f>
        <v>0</v>
      </c>
      <c r="U59" s="681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80" t="s">
        <v>20</v>
      </c>
      <c r="F60" s="99"/>
      <c r="G60" s="102"/>
      <c r="H60" s="679" t="s">
        <v>14</v>
      </c>
      <c r="I60" s="104"/>
      <c r="J60" s="104"/>
      <c r="K60" s="105"/>
      <c r="L60" s="678">
        <f t="shared" ref="L60:N61" si="20">L63+L66</f>
        <v>0</v>
      </c>
      <c r="M60" s="677">
        <f t="shared" si="20"/>
        <v>0</v>
      </c>
      <c r="N60" s="677">
        <f t="shared" si="20"/>
        <v>0</v>
      </c>
      <c r="O60" s="677">
        <f t="shared" si="16"/>
        <v>0</v>
      </c>
      <c r="P60" s="677">
        <f t="shared" si="17"/>
        <v>0</v>
      </c>
      <c r="Q60" s="677">
        <f t="shared" ref="Q60:S61" si="21">Q63+Q66</f>
        <v>0</v>
      </c>
      <c r="R60" s="677">
        <f t="shared" si="21"/>
        <v>0</v>
      </c>
      <c r="S60" s="677">
        <f t="shared" si="21"/>
        <v>0</v>
      </c>
      <c r="T60" s="677">
        <f t="shared" si="18"/>
        <v>0</v>
      </c>
      <c r="U60" s="677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76">
        <f t="shared" ca="1" si="20"/>
        <v>508300</v>
      </c>
      <c r="M61" s="675">
        <f t="shared" ca="1" si="20"/>
        <v>564300</v>
      </c>
      <c r="N61" s="675">
        <f t="shared" ca="1" si="20"/>
        <v>532026.96</v>
      </c>
      <c r="O61" s="675">
        <f t="shared" ca="1" si="16"/>
        <v>104.66790478064135</v>
      </c>
      <c r="P61" s="675">
        <f t="shared" ca="1" si="17"/>
        <v>94.280871876661351</v>
      </c>
      <c r="Q61" s="675">
        <f t="shared" si="21"/>
        <v>0</v>
      </c>
      <c r="R61" s="675">
        <f t="shared" si="21"/>
        <v>0</v>
      </c>
      <c r="S61" s="675">
        <f t="shared" si="21"/>
        <v>0</v>
      </c>
      <c r="T61" s="675">
        <f t="shared" si="18"/>
        <v>0</v>
      </c>
      <c r="U61" s="675">
        <f t="shared" si="19"/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468">
        <f ca="1">L63+L64</f>
        <v>508300</v>
      </c>
      <c r="M62" s="224">
        <f ca="1">M63+M64</f>
        <v>564300</v>
      </c>
      <c r="N62" s="224">
        <f ca="1">N63+N64</f>
        <v>532026.96</v>
      </c>
      <c r="O62" s="224">
        <f t="shared" ca="1" si="16"/>
        <v>104.66790478064135</v>
      </c>
      <c r="P62" s="224">
        <f t="shared" ca="1" si="17"/>
        <v>94.280871876661351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 t="shared" si="18"/>
        <v>0</v>
      </c>
      <c r="U62" s="224">
        <f t="shared" si="19"/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674" t="s">
        <v>14</v>
      </c>
      <c r="I63" s="44"/>
      <c r="J63" s="44"/>
      <c r="K63" s="45"/>
      <c r="L63" s="469">
        <v>0</v>
      </c>
      <c r="M63" s="83">
        <v>0</v>
      </c>
      <c r="N63" s="83">
        <v>0</v>
      </c>
      <c r="O63" s="83">
        <f t="shared" si="16"/>
        <v>0</v>
      </c>
      <c r="P63" s="83">
        <f t="shared" si="17"/>
        <v>0</v>
      </c>
      <c r="Q63" s="83">
        <v>0</v>
      </c>
      <c r="R63" s="83">
        <v>0</v>
      </c>
      <c r="S63" s="83">
        <v>0</v>
      </c>
      <c r="T63" s="83">
        <f t="shared" si="18"/>
        <v>0</v>
      </c>
      <c r="U63" s="83">
        <f t="shared" si="19"/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468">
        <f ca="1">IFERROR(__xludf.DUMMYFUNCTION("IMPORTRANGE(""https://docs.google.com/spreadsheets/d/1-uDff_7J0KD5mKrp0Vvzr7lt3OU09vwQwhkpOPPYv2Y/edit?usp=sharing"",""งบพรบ!AC15"")"),508300)</f>
        <v>508300</v>
      </c>
      <c r="M64" s="224">
        <f ca="1">IFERROR(__xludf.DUMMYFUNCTION("IMPORTRANGE(""https://docs.google.com/spreadsheets/d/1-uDff_7J0KD5mKrp0Vvzr7lt3OU09vwQwhkpOPPYv2Y/edit?usp=sharing"",""งบพรบ!AH15"")"),564300)</f>
        <v>564300</v>
      </c>
      <c r="N64" s="224">
        <f ca="1">IFERROR(__xludf.DUMMYFUNCTION("IMPORTRANGE(""https://docs.google.com/spreadsheets/d/1-uDff_7J0KD5mKrp0Vvzr7lt3OU09vwQwhkpOPPYv2Y/edit?usp=sharing"",""งบพรบ!AJ15"")"),532026.96)</f>
        <v>532026.96</v>
      </c>
      <c r="O64" s="224">
        <f t="shared" ca="1" si="16"/>
        <v>104.66790478064135</v>
      </c>
      <c r="P64" s="224">
        <f t="shared" ca="1" si="17"/>
        <v>94.280871876661351</v>
      </c>
      <c r="Q64" s="224">
        <v>0</v>
      </c>
      <c r="R64" s="224">
        <v>0</v>
      </c>
      <c r="S64" s="224">
        <v>0</v>
      </c>
      <c r="T64" s="224">
        <f t="shared" si="18"/>
        <v>0</v>
      </c>
      <c r="U64" s="224">
        <f t="shared" si="19"/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468">
        <f ca="1">L66+L67</f>
        <v>0</v>
      </c>
      <c r="M65" s="224">
        <f ca="1">M66+M67</f>
        <v>0</v>
      </c>
      <c r="N65" s="224">
        <f ca="1">N66+N67</f>
        <v>0</v>
      </c>
      <c r="O65" s="224">
        <f t="shared" ca="1" si="16"/>
        <v>0</v>
      </c>
      <c r="P65" s="224">
        <f t="shared" ca="1" si="17"/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 t="shared" si="18"/>
        <v>0</v>
      </c>
      <c r="U65" s="224">
        <f t="shared" si="19"/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674" t="s">
        <v>14</v>
      </c>
      <c r="I66" s="44"/>
      <c r="J66" s="44"/>
      <c r="K66" s="45"/>
      <c r="L66" s="469">
        <v>0</v>
      </c>
      <c r="M66" s="83">
        <v>0</v>
      </c>
      <c r="N66" s="83">
        <v>0</v>
      </c>
      <c r="O66" s="83">
        <f t="shared" si="16"/>
        <v>0</v>
      </c>
      <c r="P66" s="83">
        <f t="shared" si="17"/>
        <v>0</v>
      </c>
      <c r="Q66" s="83">
        <v>0</v>
      </c>
      <c r="R66" s="83">
        <v>0</v>
      </c>
      <c r="S66" s="83">
        <v>0</v>
      </c>
      <c r="T66" s="83">
        <f t="shared" si="18"/>
        <v>0</v>
      </c>
      <c r="U66" s="83">
        <f t="shared" si="19"/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673">
        <f ca="1">IFERROR(__xludf.DUMMYFUNCTION("IMPORTRANGE(""https://docs.google.com/spreadsheets/d/1-uDff_7J0KD5mKrp0Vvzr7lt3OU09vwQwhkpOPPYv2Y/edit?usp=sharing"",""งบพรบ!AF15"")"),0)</f>
        <v>0</v>
      </c>
      <c r="M67" s="455">
        <f ca="1">IFERROR(__xludf.DUMMYFUNCTION("IMPORTRANGE(""https://docs.google.com/spreadsheets/d/1-uDff_7J0KD5mKrp0Vvzr7lt3OU09vwQwhkpOPPYv2Y/edit?usp=sharing"",""งบพรบ!AI15"")"),0)</f>
        <v>0</v>
      </c>
      <c r="N67" s="455">
        <f ca="1">IFERROR(__xludf.DUMMYFUNCTION("IMPORTRANGE(""https://docs.google.com/spreadsheets/d/1-uDff_7J0KD5mKrp0Vvzr7lt3OU09vwQwhkpOPPYv2Y/edit?usp=sharing"",""งบพรบ!AK15"")"),0)</f>
        <v>0</v>
      </c>
      <c r="O67" s="455">
        <f t="shared" ca="1" si="16"/>
        <v>0</v>
      </c>
      <c r="P67" s="455">
        <f t="shared" ca="1" si="17"/>
        <v>0</v>
      </c>
      <c r="Q67" s="455">
        <v>0</v>
      </c>
      <c r="R67" s="455">
        <v>0</v>
      </c>
      <c r="S67" s="455">
        <v>0</v>
      </c>
      <c r="T67" s="455">
        <f t="shared" si="18"/>
        <v>0</v>
      </c>
      <c r="U67" s="455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7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665">
        <f ca="1">I82</f>
        <v>1</v>
      </c>
      <c r="J70" s="665">
        <f>J82</f>
        <v>1</v>
      </c>
      <c r="K70" s="664">
        <f ca="1">IF(I70&gt;0,J70*100/I70,0)</f>
        <v>100</v>
      </c>
      <c r="L70" s="510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665">
        <f ca="1">I83</f>
        <v>60</v>
      </c>
      <c r="J71" s="665">
        <f>J83</f>
        <v>60</v>
      </c>
      <c r="K71" s="664">
        <f ca="1">IF(I71&gt;0,J71*100/I71,0)</f>
        <v>100</v>
      </c>
      <c r="L71" s="510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129" t="s">
        <v>18</v>
      </c>
      <c r="D72" s="472" t="s">
        <v>19</v>
      </c>
      <c r="E72" s="40"/>
      <c r="F72" s="40"/>
      <c r="G72" s="42"/>
      <c r="H72" s="131" t="s">
        <v>14</v>
      </c>
      <c r="I72" s="44"/>
      <c r="J72" s="44"/>
      <c r="K72" s="45"/>
      <c r="L72" s="471">
        <f ca="1">L73+L74</f>
        <v>616300</v>
      </c>
      <c r="M72" s="470">
        <f ca="1">M73+M74</f>
        <v>616300</v>
      </c>
      <c r="N72" s="470">
        <f ca="1">N73+N74</f>
        <v>460481.92</v>
      </c>
      <c r="O72" s="470">
        <f t="shared" ref="O72:O80" ca="1" si="22">IF(L72&gt;0,N72*100/L72,0)</f>
        <v>74.71717020931365</v>
      </c>
      <c r="P72" s="470">
        <f t="shared" ref="P72:P80" ca="1" si="23">IF(M72&gt;0,N72*100/M72,0)</f>
        <v>74.71717020931365</v>
      </c>
      <c r="Q72" s="470">
        <f ca="1">Q73+Q74</f>
        <v>800860</v>
      </c>
      <c r="R72" s="470">
        <f ca="1">R73+R74</f>
        <v>800860</v>
      </c>
      <c r="S72" s="470">
        <f ca="1">S73+S74</f>
        <v>473720</v>
      </c>
      <c r="T72" s="470">
        <f t="shared" ref="T72:T80" ca="1" si="24">IF(Q72&gt;0,S72*100/Q72,0)</f>
        <v>59.151412231850763</v>
      </c>
      <c r="U72" s="470">
        <f t="shared" ref="U72:U80" ca="1" si="25">IF(R72&gt;0,S72*100/R72,0)</f>
        <v>59.151412231850763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469">
        <f t="shared" ref="L73:N74" si="26">L76+L79</f>
        <v>0</v>
      </c>
      <c r="M73" s="83">
        <f t="shared" si="26"/>
        <v>0</v>
      </c>
      <c r="N73" s="83">
        <f t="shared" si="26"/>
        <v>0</v>
      </c>
      <c r="O73" s="83">
        <f t="shared" si="22"/>
        <v>0</v>
      </c>
      <c r="P73" s="83">
        <f t="shared" si="23"/>
        <v>0</v>
      </c>
      <c r="Q73" s="83">
        <f t="shared" ref="Q73:S74" si="27">Q76+Q79</f>
        <v>0</v>
      </c>
      <c r="R73" s="83">
        <f t="shared" si="27"/>
        <v>0</v>
      </c>
      <c r="S73" s="83">
        <f t="shared" si="27"/>
        <v>0</v>
      </c>
      <c r="T73" s="83">
        <f t="shared" si="24"/>
        <v>0</v>
      </c>
      <c r="U73" s="83">
        <f t="shared" si="25"/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468">
        <f t="shared" ca="1" si="26"/>
        <v>616300</v>
      </c>
      <c r="M74" s="224">
        <f t="shared" ca="1" si="26"/>
        <v>616300</v>
      </c>
      <c r="N74" s="224">
        <f t="shared" ca="1" si="26"/>
        <v>460481.92</v>
      </c>
      <c r="O74" s="224">
        <f t="shared" ca="1" si="22"/>
        <v>74.71717020931365</v>
      </c>
      <c r="P74" s="224">
        <f t="shared" ca="1" si="23"/>
        <v>74.71717020931365</v>
      </c>
      <c r="Q74" s="224">
        <f t="shared" ca="1" si="27"/>
        <v>800860</v>
      </c>
      <c r="R74" s="224">
        <f t="shared" ca="1" si="27"/>
        <v>800860</v>
      </c>
      <c r="S74" s="224">
        <f t="shared" ca="1" si="27"/>
        <v>473720</v>
      </c>
      <c r="T74" s="224">
        <f t="shared" ca="1" si="24"/>
        <v>59.151412231850763</v>
      </c>
      <c r="U74" s="224">
        <f t="shared" ca="1" si="25"/>
        <v>59.151412231850763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468">
        <f ca="1">L76+L77</f>
        <v>616300</v>
      </c>
      <c r="M75" s="224">
        <f ca="1">M76+M77</f>
        <v>616300</v>
      </c>
      <c r="N75" s="224">
        <f ca="1">N76+N77</f>
        <v>460481.92</v>
      </c>
      <c r="O75" s="224">
        <f t="shared" ca="1" si="22"/>
        <v>74.71717020931365</v>
      </c>
      <c r="P75" s="224">
        <f t="shared" ca="1" si="23"/>
        <v>74.71717020931365</v>
      </c>
      <c r="Q75" s="224">
        <f ca="1">Q76+Q77</f>
        <v>800860</v>
      </c>
      <c r="R75" s="224">
        <f ca="1">R76+R77</f>
        <v>800860</v>
      </c>
      <c r="S75" s="224">
        <f ca="1">S76+S77</f>
        <v>473720</v>
      </c>
      <c r="T75" s="224">
        <f t="shared" ca="1" si="24"/>
        <v>59.151412231850763</v>
      </c>
      <c r="U75" s="224">
        <f t="shared" ca="1" si="25"/>
        <v>59.151412231850763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469">
        <v>0</v>
      </c>
      <c r="M76" s="83">
        <v>0</v>
      </c>
      <c r="N76" s="83">
        <v>0</v>
      </c>
      <c r="O76" s="83">
        <f t="shared" si="22"/>
        <v>0</v>
      </c>
      <c r="P76" s="83">
        <f t="shared" si="23"/>
        <v>0</v>
      </c>
      <c r="Q76" s="83">
        <v>0</v>
      </c>
      <c r="R76" s="83">
        <v>0</v>
      </c>
      <c r="S76" s="83">
        <v>0</v>
      </c>
      <c r="T76" s="83">
        <f t="shared" si="24"/>
        <v>0</v>
      </c>
      <c r="U76" s="83">
        <f t="shared" si="25"/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468">
        <f ca="1">IFERROR(__xludf.DUMMYFUNCTION("IMPORTRANGE(""https://docs.google.com/spreadsheets/d/1-uDff_7J0KD5mKrp0Vvzr7lt3OU09vwQwhkpOPPYv2Y/edit?usp=sharing"",""งบพรบ!AM15"")"),616300)</f>
        <v>616300</v>
      </c>
      <c r="M77" s="224">
        <f ca="1">IFERROR(__xludf.DUMMYFUNCTION("IMPORTRANGE(""https://docs.google.com/spreadsheets/d/1-uDff_7J0KD5mKrp0Vvzr7lt3OU09vwQwhkpOPPYv2Y/edit?usp=sharing"",""งบพรบ!AR15"")"),616300)</f>
        <v>616300</v>
      </c>
      <c r="N77" s="224">
        <f ca="1">IFERROR(__xludf.DUMMYFUNCTION("IMPORTRANGE(""https://docs.google.com/spreadsheets/d/1-uDff_7J0KD5mKrp0Vvzr7lt3OU09vwQwhkpOPPYv2Y/edit?usp=sharing"",""งบพรบ!AT15"")"),460481.92)</f>
        <v>460481.92</v>
      </c>
      <c r="O77" s="224">
        <f t="shared" ca="1" si="22"/>
        <v>74.71717020931365</v>
      </c>
      <c r="P77" s="224">
        <f t="shared" ca="1" si="23"/>
        <v>74.71717020931365</v>
      </c>
      <c r="Q77" s="224">
        <f ca="1">IFERROR(__xludf.DUMMYFUNCTION("IMPORTRANGE(""https://docs.google.com/spreadsheets/d/1ItG2mGa2ceCfYo0BwxsXqNm01IGEUdYcSSLTEv9YCik/edit?usp=sharing"",""เบิกจ่ายกองทุน!AS15"")"),800860)</f>
        <v>800860</v>
      </c>
      <c r="R77" s="224">
        <f ca="1">IFERROR(__xludf.DUMMYFUNCTION("IMPORTRANGE(""https://docs.google.com/spreadsheets/d/1ItG2mGa2ceCfYo0BwxsXqNm01IGEUdYcSSLTEv9YCik/edit?usp=sharing"",""เบิกจ่ายกองทุน!AT15"")"),800860)</f>
        <v>800860</v>
      </c>
      <c r="S77" s="224">
        <f ca="1">IFERROR(__xludf.DUMMYFUNCTION("IMPORTRANGE(""https://docs.google.com/spreadsheets/d/1ItG2mGa2ceCfYo0BwxsXqNm01IGEUdYcSSLTEv9YCik/edit?usp=sharing"",""เบิกจ่ายกองทุน!AU15"")"),473720)</f>
        <v>473720</v>
      </c>
      <c r="T77" s="224">
        <f t="shared" ca="1" si="24"/>
        <v>59.151412231850763</v>
      </c>
      <c r="U77" s="224">
        <f t="shared" ca="1" si="25"/>
        <v>59.151412231850763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468">
        <f ca="1">L79+L80</f>
        <v>0</v>
      </c>
      <c r="M78" s="224">
        <f ca="1">M79+M80</f>
        <v>0</v>
      </c>
      <c r="N78" s="224">
        <f ca="1">N79+N80</f>
        <v>0</v>
      </c>
      <c r="O78" s="224">
        <f t="shared" ca="1" si="22"/>
        <v>0</v>
      </c>
      <c r="P78" s="224">
        <f t="shared" ca="1" si="23"/>
        <v>0</v>
      </c>
      <c r="Q78" s="224">
        <f>Q79+Q80</f>
        <v>0</v>
      </c>
      <c r="R78" s="224">
        <f>R79+R80</f>
        <v>0</v>
      </c>
      <c r="S78" s="224">
        <f>S79+S80</f>
        <v>0</v>
      </c>
      <c r="T78" s="224">
        <f t="shared" si="24"/>
        <v>0</v>
      </c>
      <c r="U78" s="224">
        <f t="shared" si="25"/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469">
        <v>0</v>
      </c>
      <c r="M79" s="224">
        <v>0</v>
      </c>
      <c r="N79" s="224">
        <v>0</v>
      </c>
      <c r="O79" s="83">
        <f t="shared" si="22"/>
        <v>0</v>
      </c>
      <c r="P79" s="83">
        <f t="shared" si="23"/>
        <v>0</v>
      </c>
      <c r="Q79" s="83">
        <v>0</v>
      </c>
      <c r="R79" s="224">
        <v>0</v>
      </c>
      <c r="S79" s="224">
        <v>0</v>
      </c>
      <c r="T79" s="83">
        <f t="shared" si="24"/>
        <v>0</v>
      </c>
      <c r="U79" s="83">
        <f t="shared" si="25"/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468">
        <f ca="1">IFERROR(__xludf.DUMMYFUNCTION("IMPORTRANGE(""https://docs.google.com/spreadsheets/d/1-uDff_7J0KD5mKrp0Vvzr7lt3OU09vwQwhkpOPPYv2Y/edit?usp=sharing"",""งบพรบ!AP15"")"),0)</f>
        <v>0</v>
      </c>
      <c r="M80" s="224">
        <f ca="1">IFERROR(__xludf.DUMMYFUNCTION("IMPORTRANGE(""https://docs.google.com/spreadsheets/d/1-uDff_7J0KD5mKrp0Vvzr7lt3OU09vwQwhkpOPPYv2Y/edit?usp=sharing"",""งบพรบ!AS15"")"),0)</f>
        <v>0</v>
      </c>
      <c r="N80" s="224">
        <f ca="1">IFERROR(__xludf.DUMMYFUNCTION("IMPORTRANGE(""https://docs.google.com/spreadsheets/d/1-uDff_7J0KD5mKrp0Vvzr7lt3OU09vwQwhkpOPPYv2Y/edit?usp=sharing"",""งบพรบ!AU15"")"),0)</f>
        <v>0</v>
      </c>
      <c r="O80" s="224">
        <f t="shared" ca="1" si="22"/>
        <v>0</v>
      </c>
      <c r="P80" s="224">
        <f t="shared" ca="1" si="23"/>
        <v>0</v>
      </c>
      <c r="Q80" s="224">
        <v>0</v>
      </c>
      <c r="R80" s="224">
        <v>0</v>
      </c>
      <c r="S80" s="224">
        <v>0</v>
      </c>
      <c r="T80" s="224">
        <f t="shared" si="24"/>
        <v>0</v>
      </c>
      <c r="U80" s="224">
        <f t="shared" si="25"/>
        <v>0</v>
      </c>
    </row>
    <row r="81" spans="1:21" ht="19.5" x14ac:dyDescent="0.3">
      <c r="A81" s="138"/>
      <c r="B81" s="139"/>
      <c r="C81" s="129" t="s">
        <v>18</v>
      </c>
      <c r="D81" s="498" t="s">
        <v>38</v>
      </c>
      <c r="E81" s="141"/>
      <c r="F81" s="141"/>
      <c r="G81" s="142"/>
      <c r="H81" s="143"/>
      <c r="I81" s="135"/>
      <c r="J81" s="135"/>
      <c r="K81" s="136"/>
      <c r="L81" s="4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ca="1">I84+I86+I88</f>
        <v>1</v>
      </c>
      <c r="J82" s="328">
        <f>J84+J86+J88</f>
        <v>1</v>
      </c>
      <c r="K82" s="582">
        <f t="shared" ref="K82:K90" ca="1" si="28">IF(I82&gt;0,J82*100/I82,0)</f>
        <v>100</v>
      </c>
      <c r="L82" s="4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ca="1">I85+I87+I89</f>
        <v>60</v>
      </c>
      <c r="J83" s="328">
        <f>J85+J87+J89</f>
        <v>60</v>
      </c>
      <c r="K83" s="582">
        <f t="shared" ca="1" si="28"/>
        <v>100</v>
      </c>
      <c r="L83" s="4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581">
        <f ca="1">IFERROR(__xludf.DUMMYFUNCTION("IMPORTRANGE(""https://docs.google.com/spreadsheets/d/1eHaY18a8A9IcSdp1K8H6x8fbOy06t2VsZHhMHf-1x7Y/edit?usp=sharing"",""แผน!H15"")"),0)</f>
        <v>0</v>
      </c>
      <c r="J84" s="466">
        <v>0</v>
      </c>
      <c r="K84" s="497">
        <f t="shared" ca="1" si="28"/>
        <v>0</v>
      </c>
      <c r="L84" s="4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581">
        <f ca="1">IFERROR(__xludf.DUMMYFUNCTION("IMPORTRANGE(""https://docs.google.com/spreadsheets/d/1eHaY18a8A9IcSdp1K8H6x8fbOy06t2VsZHhMHf-1x7Y/edit?usp=sharing"",""แผน!I15"")"),0)</f>
        <v>0</v>
      </c>
      <c r="J85" s="466">
        <v>0</v>
      </c>
      <c r="K85" s="497">
        <f t="shared" ca="1" si="28"/>
        <v>0</v>
      </c>
      <c r="L85" s="4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581">
        <f ca="1">IFERROR(__xludf.DUMMYFUNCTION("IMPORTRANGE(""https://docs.google.com/spreadsheets/d/1eHaY18a8A9IcSdp1K8H6x8fbOy06t2VsZHhMHf-1x7Y/edit?usp=sharing"",""แผน!F15"")"),0)</f>
        <v>0</v>
      </c>
      <c r="J86" s="466">
        <v>0</v>
      </c>
      <c r="K86" s="497">
        <f t="shared" ca="1" si="28"/>
        <v>0</v>
      </c>
      <c r="L86" s="4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581">
        <f ca="1">IFERROR(__xludf.DUMMYFUNCTION("IMPORTRANGE(""https://docs.google.com/spreadsheets/d/1eHaY18a8A9IcSdp1K8H6x8fbOy06t2VsZHhMHf-1x7Y/edit?usp=sharing"",""แผน!G15"")"),0)</f>
        <v>0</v>
      </c>
      <c r="J87" s="466">
        <v>0</v>
      </c>
      <c r="K87" s="497">
        <f t="shared" ca="1" si="28"/>
        <v>0</v>
      </c>
      <c r="L87" s="4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581">
        <f ca="1">IFERROR(__xludf.DUMMYFUNCTION("IMPORTRANGE(""https://docs.google.com/spreadsheets/d/1eHaY18a8A9IcSdp1K8H6x8fbOy06t2VsZHhMHf-1x7Y/edit?usp=sharing"",""แผน!D15"")"),1)</f>
        <v>1</v>
      </c>
      <c r="J88" s="466">
        <v>1</v>
      </c>
      <c r="K88" s="497">
        <f t="shared" ca="1" si="28"/>
        <v>100</v>
      </c>
      <c r="L88" s="4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581">
        <f ca="1">IFERROR(__xludf.DUMMYFUNCTION("IMPORTRANGE(""https://docs.google.com/spreadsheets/d/1eHaY18a8A9IcSdp1K8H6x8fbOy06t2VsZHhMHf-1x7Y/edit?usp=sharing"",""แผน!E15"")"),60)</f>
        <v>60</v>
      </c>
      <c r="J89" s="466">
        <v>60</v>
      </c>
      <c r="K89" s="497">
        <f t="shared" ca="1" si="28"/>
        <v>100</v>
      </c>
      <c r="L89" s="4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581">
        <f ca="1">IFERROR(__xludf.DUMMYFUNCTION("IMPORTRANGE(""https://docs.google.com/spreadsheets/d/1eHaY18a8A9IcSdp1K8H6x8fbOy06t2VsZHhMHf-1x7Y/edit?usp=sharing"",""แผน!J15"")"),1)</f>
        <v>1</v>
      </c>
      <c r="J90" s="466">
        <v>1</v>
      </c>
      <c r="K90" s="497">
        <f t="shared" ca="1" si="28"/>
        <v>100</v>
      </c>
      <c r="L90" s="4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7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665">
        <f ca="1">I108</f>
        <v>0</v>
      </c>
      <c r="J92" s="665">
        <f>J108</f>
        <v>0</v>
      </c>
      <c r="K92" s="664">
        <f ca="1">IF(I92&gt;0,J92*100/I92,0)</f>
        <v>0</v>
      </c>
      <c r="L92" s="510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665">
        <f ca="1">I109</f>
        <v>0</v>
      </c>
      <c r="J93" s="665">
        <f>J109</f>
        <v>0</v>
      </c>
      <c r="K93" s="664">
        <f ca="1">IF(I93&gt;0,J93*100/I93,0)</f>
        <v>0</v>
      </c>
      <c r="L93" s="510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472" t="s">
        <v>19</v>
      </c>
      <c r="E94" s="40"/>
      <c r="F94" s="40"/>
      <c r="G94" s="42"/>
      <c r="H94" s="131" t="s">
        <v>14</v>
      </c>
      <c r="I94" s="44"/>
      <c r="J94" s="44"/>
      <c r="K94" s="45"/>
      <c r="L94" s="471">
        <f ca="1">L95+L96</f>
        <v>0</v>
      </c>
      <c r="M94" s="470">
        <f ca="1">M95+M96</f>
        <v>0</v>
      </c>
      <c r="N94" s="470">
        <f ca="1">N95+N96</f>
        <v>0</v>
      </c>
      <c r="O94" s="470">
        <f t="shared" ref="O94:O102" ca="1" si="29">IF(L94&gt;0,N94*100/L94,0)</f>
        <v>0</v>
      </c>
      <c r="P94" s="470">
        <f t="shared" ref="P94:P102" ca="1" si="30">IF(M94&gt;0,N94*100/M94,0)</f>
        <v>0</v>
      </c>
      <c r="Q94" s="470">
        <f ca="1">Q95+Q96</f>
        <v>0</v>
      </c>
      <c r="R94" s="470">
        <f ca="1">R95+R96</f>
        <v>0</v>
      </c>
      <c r="S94" s="470">
        <f ca="1">S95+S96</f>
        <v>0</v>
      </c>
      <c r="T94" s="470">
        <f t="shared" ref="T94:T102" ca="1" si="31">IF(Q94&gt;0,S94*100/Q94,0)</f>
        <v>0</v>
      </c>
      <c r="U94" s="470">
        <f t="shared" ref="U94:U102" ca="1" si="32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469">
        <f t="shared" ref="L95:N96" si="33">L98+L101</f>
        <v>0</v>
      </c>
      <c r="M95" s="83">
        <f t="shared" si="33"/>
        <v>0</v>
      </c>
      <c r="N95" s="83">
        <f t="shared" si="33"/>
        <v>0</v>
      </c>
      <c r="O95" s="83">
        <f t="shared" si="29"/>
        <v>0</v>
      </c>
      <c r="P95" s="83">
        <f t="shared" si="30"/>
        <v>0</v>
      </c>
      <c r="Q95" s="83">
        <f t="shared" ref="Q95:S96" si="34">Q98+Q101</f>
        <v>0</v>
      </c>
      <c r="R95" s="83">
        <f t="shared" si="34"/>
        <v>0</v>
      </c>
      <c r="S95" s="83">
        <f t="shared" si="34"/>
        <v>0</v>
      </c>
      <c r="T95" s="83">
        <f t="shared" si="31"/>
        <v>0</v>
      </c>
      <c r="U95" s="83">
        <f t="shared" si="32"/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468">
        <f t="shared" ca="1" si="33"/>
        <v>0</v>
      </c>
      <c r="M96" s="224">
        <f t="shared" ca="1" si="33"/>
        <v>0</v>
      </c>
      <c r="N96" s="224">
        <f t="shared" ca="1" si="33"/>
        <v>0</v>
      </c>
      <c r="O96" s="224">
        <f t="shared" ca="1" si="29"/>
        <v>0</v>
      </c>
      <c r="P96" s="224">
        <f t="shared" ca="1" si="30"/>
        <v>0</v>
      </c>
      <c r="Q96" s="224">
        <f t="shared" ca="1" si="34"/>
        <v>0</v>
      </c>
      <c r="R96" s="224">
        <f t="shared" ca="1" si="34"/>
        <v>0</v>
      </c>
      <c r="S96" s="224">
        <f t="shared" ca="1" si="34"/>
        <v>0</v>
      </c>
      <c r="T96" s="224">
        <f t="shared" ca="1" si="31"/>
        <v>0</v>
      </c>
      <c r="U96" s="224">
        <f t="shared" ca="1" si="32"/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468">
        <f ca="1">L98+L99</f>
        <v>0</v>
      </c>
      <c r="M97" s="224">
        <f ca="1">M98+M99</f>
        <v>0</v>
      </c>
      <c r="N97" s="224">
        <f ca="1">N98+N99</f>
        <v>0</v>
      </c>
      <c r="O97" s="224">
        <f t="shared" ca="1" si="29"/>
        <v>0</v>
      </c>
      <c r="P97" s="224">
        <f t="shared" ca="1" si="30"/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t="shared" ca="1" si="31"/>
        <v>0</v>
      </c>
      <c r="U97" s="224">
        <f t="shared" ca="1" si="32"/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469">
        <v>0</v>
      </c>
      <c r="M98" s="83">
        <v>0</v>
      </c>
      <c r="N98" s="83">
        <v>0</v>
      </c>
      <c r="O98" s="83">
        <f t="shared" si="29"/>
        <v>0</v>
      </c>
      <c r="P98" s="83">
        <f t="shared" si="30"/>
        <v>0</v>
      </c>
      <c r="Q98" s="83">
        <v>0</v>
      </c>
      <c r="R98" s="83">
        <v>0</v>
      </c>
      <c r="S98" s="83">
        <v>0</v>
      </c>
      <c r="T98" s="83">
        <f t="shared" si="31"/>
        <v>0</v>
      </c>
      <c r="U98" s="83">
        <f t="shared" si="32"/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468">
        <f ca="1">IFERROR(__xludf.DUMMYFUNCTION("IMPORTRANGE(""https://docs.google.com/spreadsheets/d/1-uDff_7J0KD5mKrp0Vvzr7lt3OU09vwQwhkpOPPYv2Y/edit?usp=sharing"",""งบพรบ!AW15"")"),0)</f>
        <v>0</v>
      </c>
      <c r="M99" s="224">
        <f ca="1">IFERROR(__xludf.DUMMYFUNCTION("IMPORTRANGE(""https://docs.google.com/spreadsheets/d/1-uDff_7J0KD5mKrp0Vvzr7lt3OU09vwQwhkpOPPYv2Y/edit?usp=sharing"",""งบพรบ!BB15"")"),0)</f>
        <v>0</v>
      </c>
      <c r="N99" s="224">
        <f ca="1">IFERROR(__xludf.DUMMYFUNCTION("IMPORTRANGE(""https://docs.google.com/spreadsheets/d/1-uDff_7J0KD5mKrp0Vvzr7lt3OU09vwQwhkpOPPYv2Y/edit?usp=sharing"",""งบพรบ!BD15"")"),0)</f>
        <v>0</v>
      </c>
      <c r="O99" s="224">
        <f t="shared" ca="1" si="29"/>
        <v>0</v>
      </c>
      <c r="P99" s="224">
        <f t="shared" ca="1" si="30"/>
        <v>0</v>
      </c>
      <c r="Q99" s="224">
        <f ca="1">IFERROR(__xludf.DUMMYFUNCTION("IMPORTRANGE(""https://docs.google.com/spreadsheets/d/1ItG2mGa2ceCfYo0BwxsXqNm01IGEUdYcSSLTEv9YCik/edit?usp=sharing"",""เบิกจ่ายกองทุน!AD15"")"),0)</f>
        <v>0</v>
      </c>
      <c r="R99" s="224">
        <f ca="1">IFERROR(__xludf.DUMMYFUNCTION("IMPORTRANGE(""https://docs.google.com/spreadsheets/d/1ItG2mGa2ceCfYo0BwxsXqNm01IGEUdYcSSLTEv9YCik/edit?usp=sharing"",""เบิกจ่ายกองทุน!AE15"")"),0)</f>
        <v>0</v>
      </c>
      <c r="S99" s="224">
        <f ca="1">IFERROR(__xludf.DUMMYFUNCTION("IMPORTRANGE(""https://docs.google.com/spreadsheets/d/1ItG2mGa2ceCfYo0BwxsXqNm01IGEUdYcSSLTEv9YCik/edit?usp=sharing"",""เบิกจ่ายกองทุน!AF15"")"),0)</f>
        <v>0</v>
      </c>
      <c r="T99" s="224">
        <f t="shared" ca="1" si="31"/>
        <v>0</v>
      </c>
      <c r="U99" s="224">
        <f t="shared" ca="1" si="32"/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468">
        <f ca="1">L101+L102</f>
        <v>0</v>
      </c>
      <c r="M100" s="224">
        <f ca="1">M101+M102</f>
        <v>0</v>
      </c>
      <c r="N100" s="224">
        <f ca="1">N101+N102</f>
        <v>0</v>
      </c>
      <c r="O100" s="224">
        <f t="shared" ca="1" si="29"/>
        <v>0</v>
      </c>
      <c r="P100" s="224">
        <f t="shared" ca="1" si="30"/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 t="shared" si="31"/>
        <v>0</v>
      </c>
      <c r="U100" s="224">
        <f t="shared" si="32"/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469">
        <v>0</v>
      </c>
      <c r="M101" s="83">
        <v>0</v>
      </c>
      <c r="N101" s="83">
        <v>0</v>
      </c>
      <c r="O101" s="83">
        <f t="shared" si="29"/>
        <v>0</v>
      </c>
      <c r="P101" s="83">
        <f t="shared" si="30"/>
        <v>0</v>
      </c>
      <c r="Q101" s="83">
        <v>0</v>
      </c>
      <c r="R101" s="83">
        <v>0</v>
      </c>
      <c r="S101" s="83">
        <v>0</v>
      </c>
      <c r="T101" s="83">
        <f t="shared" si="31"/>
        <v>0</v>
      </c>
      <c r="U101" s="83">
        <f t="shared" si="32"/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468">
        <f ca="1">IFERROR(__xludf.DUMMYFUNCTION("IMPORTRANGE(""https://docs.google.com/spreadsheets/d/1-uDff_7J0KD5mKrp0Vvzr7lt3OU09vwQwhkpOPPYv2Y/edit?usp=sharing"",""งบพรบ!AZ15"")"),0)</f>
        <v>0</v>
      </c>
      <c r="M102" s="224">
        <f ca="1">IFERROR(__xludf.DUMMYFUNCTION("IMPORTRANGE(""https://docs.google.com/spreadsheets/d/1-uDff_7J0KD5mKrp0Vvzr7lt3OU09vwQwhkpOPPYv2Y/edit?usp=sharing"",""งบพรบ!BC15"")"),0)</f>
        <v>0</v>
      </c>
      <c r="N102" s="224">
        <f ca="1">IFERROR(__xludf.DUMMYFUNCTION("IMPORTRANGE(""https://docs.google.com/spreadsheets/d/1-uDff_7J0KD5mKrp0Vvzr7lt3OU09vwQwhkpOPPYv2Y/edit?usp=sharing"",""งบพรบ!BE15"")"),0)</f>
        <v>0</v>
      </c>
      <c r="O102" s="224">
        <f t="shared" ca="1" si="29"/>
        <v>0</v>
      </c>
      <c r="P102" s="224">
        <f t="shared" ca="1" si="30"/>
        <v>0</v>
      </c>
      <c r="Q102" s="224">
        <v>0</v>
      </c>
      <c r="R102" s="224">
        <v>0</v>
      </c>
      <c r="S102" s="224">
        <v>0</v>
      </c>
      <c r="T102" s="224">
        <f t="shared" si="31"/>
        <v>0</v>
      </c>
      <c r="U102" s="224">
        <f t="shared" si="32"/>
        <v>0</v>
      </c>
    </row>
    <row r="103" spans="1:21" ht="19.5" hidden="1" x14ac:dyDescent="0.3">
      <c r="A103" s="138"/>
      <c r="B103" s="139"/>
      <c r="C103" s="129" t="s">
        <v>18</v>
      </c>
      <c r="D103" s="498" t="s">
        <v>38</v>
      </c>
      <c r="E103" s="141"/>
      <c r="F103" s="141"/>
      <c r="G103" s="142"/>
      <c r="H103" s="143"/>
      <c r="I103" s="135"/>
      <c r="J103" s="44"/>
      <c r="K103" s="45"/>
      <c r="L103" s="465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571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571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571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465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IFERROR(__xludf.DUMMYFUNCTION("IMPORTRANGE(""https://docs.google.com/spreadsheets/d/1eHaY18a8A9IcSdp1K8H6x8fbOy06t2VsZHhMHf-1x7Y/edit?usp=sharing"",""แผน!N15"")"),0)</f>
        <v>0</v>
      </c>
      <c r="J108" s="466">
        <v>0</v>
      </c>
      <c r="K108" s="224">
        <f ca="1">IF(I108&gt;0,J108*100/I108,0)</f>
        <v>0</v>
      </c>
      <c r="L108" s="465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IFERROR(__xludf.DUMMYFUNCTION("IMPORTRANGE(""https://docs.google.com/spreadsheets/d/1eHaY18a8A9IcSdp1K8H6x8fbOy06t2VsZHhMHf-1x7Y/edit?usp=sharing"",""แผน!O15"")"),0)</f>
        <v>0</v>
      </c>
      <c r="J109" s="466">
        <v>0</v>
      </c>
      <c r="K109" s="224">
        <f ca="1">IF(I109&gt;0,J109*100/I109,0)</f>
        <v>0</v>
      </c>
      <c r="L109" s="465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571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571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571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571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581">
        <f ca="1">IFERROR(__xludf.DUMMYFUNCTION("IMPORTRANGE(""https://docs.google.com/spreadsheets/d/1eHaY18a8A9IcSdp1K8H6x8fbOy06t2VsZHhMHf-1x7Y/edit?usp=sharing"",""แผน!R15"")"),0)</f>
        <v>0</v>
      </c>
      <c r="J114" s="466">
        <v>0</v>
      </c>
      <c r="K114" s="224">
        <f ca="1">IF(I114&gt;0,J114*100/I114,0)</f>
        <v>0</v>
      </c>
      <c r="L114" s="46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671" t="s">
        <v>51</v>
      </c>
      <c r="B115" s="668"/>
      <c r="C115" s="670"/>
      <c r="D115" s="669"/>
      <c r="E115" s="669"/>
      <c r="F115" s="669"/>
      <c r="G115" s="669"/>
      <c r="H115" s="668"/>
      <c r="I115" s="667"/>
      <c r="J115" s="667"/>
      <c r="K115" s="66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665">
        <f ca="1">I127</f>
        <v>60</v>
      </c>
      <c r="J116" s="665">
        <f>J127</f>
        <v>60</v>
      </c>
      <c r="K116" s="664">
        <f ca="1">IF(I116&gt;0,J116*100/I116,0)</f>
        <v>100</v>
      </c>
      <c r="L116" s="510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472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471">
        <f ca="1">L118+L119</f>
        <v>0</v>
      </c>
      <c r="M117" s="470">
        <f ca="1">M118+M119</f>
        <v>0</v>
      </c>
      <c r="N117" s="470">
        <f ca="1">N118+N119</f>
        <v>0</v>
      </c>
      <c r="O117" s="470">
        <f t="shared" ref="O117:O125" ca="1" si="35">IF(L117&gt;0,N117*100/L117,0)</f>
        <v>0</v>
      </c>
      <c r="P117" s="470">
        <f t="shared" ref="P117:P125" ca="1" si="36">IF(M117&gt;0,N117*100/M117,0)</f>
        <v>0</v>
      </c>
      <c r="Q117" s="470">
        <f ca="1">Q118+Q119</f>
        <v>308920</v>
      </c>
      <c r="R117" s="470">
        <f ca="1">R118+R119</f>
        <v>308920</v>
      </c>
      <c r="S117" s="470">
        <f ca="1">S118+S119</f>
        <v>195920</v>
      </c>
      <c r="T117" s="470">
        <f t="shared" ref="T117:T125" ca="1" si="37">IF(Q117&gt;0,S117*100/Q117,0)</f>
        <v>63.420950407872589</v>
      </c>
      <c r="U117" s="470">
        <f t="shared" ref="U117:U125" ca="1" si="38">IF(R117&gt;0,S117*100/R117,0)</f>
        <v>63.420950407872589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469">
        <f t="shared" ref="L118:N119" si="39">L121+L124</f>
        <v>0</v>
      </c>
      <c r="M118" s="83">
        <f t="shared" si="39"/>
        <v>0</v>
      </c>
      <c r="N118" s="83">
        <f t="shared" si="39"/>
        <v>0</v>
      </c>
      <c r="O118" s="83">
        <f t="shared" si="35"/>
        <v>0</v>
      </c>
      <c r="P118" s="83">
        <f t="shared" si="36"/>
        <v>0</v>
      </c>
      <c r="Q118" s="83">
        <f t="shared" ref="Q118:S119" si="40">Q121+Q124</f>
        <v>0</v>
      </c>
      <c r="R118" s="83">
        <f t="shared" si="40"/>
        <v>0</v>
      </c>
      <c r="S118" s="83">
        <f t="shared" si="40"/>
        <v>0</v>
      </c>
      <c r="T118" s="83">
        <f t="shared" si="37"/>
        <v>0</v>
      </c>
      <c r="U118" s="83">
        <f t="shared" si="38"/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468">
        <f t="shared" ca="1" si="39"/>
        <v>0</v>
      </c>
      <c r="M119" s="224">
        <f t="shared" ca="1" si="39"/>
        <v>0</v>
      </c>
      <c r="N119" s="224">
        <f t="shared" ca="1" si="39"/>
        <v>0</v>
      </c>
      <c r="O119" s="224">
        <f t="shared" ca="1" si="35"/>
        <v>0</v>
      </c>
      <c r="P119" s="224">
        <f t="shared" ca="1" si="36"/>
        <v>0</v>
      </c>
      <c r="Q119" s="224">
        <f t="shared" ca="1" si="40"/>
        <v>308920</v>
      </c>
      <c r="R119" s="224">
        <f t="shared" ca="1" si="40"/>
        <v>308920</v>
      </c>
      <c r="S119" s="224">
        <f t="shared" ca="1" si="40"/>
        <v>195920</v>
      </c>
      <c r="T119" s="224">
        <f t="shared" ca="1" si="37"/>
        <v>63.420950407872589</v>
      </c>
      <c r="U119" s="224">
        <f t="shared" ca="1" si="38"/>
        <v>63.420950407872589</v>
      </c>
    </row>
    <row r="120" spans="1:21" ht="18.75" x14ac:dyDescent="0.25">
      <c r="A120" s="128"/>
      <c r="B120" s="158"/>
      <c r="C120" s="174"/>
      <c r="D120" s="53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468">
        <f ca="1">L121+L122</f>
        <v>0</v>
      </c>
      <c r="M120" s="224">
        <f ca="1">M121+M122</f>
        <v>0</v>
      </c>
      <c r="N120" s="224">
        <f ca="1">N121+N122</f>
        <v>0</v>
      </c>
      <c r="O120" s="224">
        <f t="shared" ca="1" si="35"/>
        <v>0</v>
      </c>
      <c r="P120" s="224">
        <f t="shared" ca="1" si="36"/>
        <v>0</v>
      </c>
      <c r="Q120" s="224">
        <f ca="1">Q121+Q122</f>
        <v>308920</v>
      </c>
      <c r="R120" s="224">
        <f ca="1">R121+R122</f>
        <v>308920</v>
      </c>
      <c r="S120" s="224">
        <f ca="1">S121+S122</f>
        <v>195920</v>
      </c>
      <c r="T120" s="224">
        <f t="shared" ca="1" si="37"/>
        <v>63.420950407872589</v>
      </c>
      <c r="U120" s="224">
        <f t="shared" ca="1" si="38"/>
        <v>63.420950407872589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469">
        <v>0</v>
      </c>
      <c r="M121" s="83">
        <v>0</v>
      </c>
      <c r="N121" s="83">
        <v>0</v>
      </c>
      <c r="O121" s="83">
        <f t="shared" si="35"/>
        <v>0</v>
      </c>
      <c r="P121" s="83">
        <f t="shared" si="36"/>
        <v>0</v>
      </c>
      <c r="Q121" s="83">
        <v>0</v>
      </c>
      <c r="R121" s="83">
        <v>0</v>
      </c>
      <c r="S121" s="83">
        <v>0</v>
      </c>
      <c r="T121" s="83">
        <f t="shared" si="37"/>
        <v>0</v>
      </c>
      <c r="U121" s="83">
        <f t="shared" si="38"/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468">
        <f ca="1">IFERROR(__xludf.DUMMYFUNCTION("IMPORTRANGE(""https://docs.google.com/spreadsheets/d/1-uDff_7J0KD5mKrp0Vvzr7lt3OU09vwQwhkpOPPYv2Y/edit?usp=sharing"",""งบพรบ!BG15"")"),0)</f>
        <v>0</v>
      </c>
      <c r="M122" s="224">
        <f ca="1">IFERROR(__xludf.DUMMYFUNCTION("IMPORTRANGE(""https://docs.google.com/spreadsheets/d/1-uDff_7J0KD5mKrp0Vvzr7lt3OU09vwQwhkpOPPYv2Y/edit?usp=sharing"",""งบพรบ!BL15"")"),0)</f>
        <v>0</v>
      </c>
      <c r="N122" s="224">
        <f ca="1">IFERROR(__xludf.DUMMYFUNCTION("IMPORTRANGE(""https://docs.google.com/spreadsheets/d/1-uDff_7J0KD5mKrp0Vvzr7lt3OU09vwQwhkpOPPYv2Y/edit?usp=sharing"",""งบพรบ!BN15"")"),0)</f>
        <v>0</v>
      </c>
      <c r="O122" s="224">
        <f t="shared" ca="1" si="35"/>
        <v>0</v>
      </c>
      <c r="P122" s="224">
        <f t="shared" ca="1" si="36"/>
        <v>0</v>
      </c>
      <c r="Q122" s="224">
        <f ca="1">IFERROR(__xludf.DUMMYFUNCTION("IMPORTRANGE(""https://docs.google.com/spreadsheets/d/1ItG2mGa2ceCfYo0BwxsXqNm01IGEUdYcSSLTEv9YCik/edit?usp=sharing"",""เบิกจ่ายกองทุน!R15"")"),308920)</f>
        <v>308920</v>
      </c>
      <c r="R122" s="224">
        <f ca="1">IFERROR(__xludf.DUMMYFUNCTION("IMPORTRANGE(""https://docs.google.com/spreadsheets/d/1ItG2mGa2ceCfYo0BwxsXqNm01IGEUdYcSSLTEv9YCik/edit?usp=sharing"",""เบิกจ่ายกองทุน!S15"")"),308920)</f>
        <v>308920</v>
      </c>
      <c r="S122" s="224">
        <f ca="1">IFERROR(__xludf.DUMMYFUNCTION("IMPORTRANGE(""https://docs.google.com/spreadsheets/d/1ItG2mGa2ceCfYo0BwxsXqNm01IGEUdYcSSLTEv9YCik/edit?usp=sharing"",""เบิกจ่ายกองทุน!T15"")"),195920)</f>
        <v>195920</v>
      </c>
      <c r="T122" s="224">
        <f t="shared" ca="1" si="37"/>
        <v>63.420950407872589</v>
      </c>
      <c r="U122" s="224">
        <f t="shared" ca="1" si="38"/>
        <v>63.420950407872589</v>
      </c>
    </row>
    <row r="123" spans="1:21" ht="18.75" x14ac:dyDescent="0.25">
      <c r="A123" s="128"/>
      <c r="B123" s="40"/>
      <c r="C123" s="174"/>
      <c r="D123" s="53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468">
        <f ca="1">L124+L125</f>
        <v>0</v>
      </c>
      <c r="M123" s="224">
        <f ca="1">M124+M125</f>
        <v>0</v>
      </c>
      <c r="N123" s="224">
        <f ca="1">N124+N125</f>
        <v>0</v>
      </c>
      <c r="O123" s="224">
        <f t="shared" ca="1" si="35"/>
        <v>0</v>
      </c>
      <c r="P123" s="224">
        <f t="shared" ca="1" si="36"/>
        <v>0</v>
      </c>
      <c r="Q123" s="224">
        <f>Q124+Q125</f>
        <v>0</v>
      </c>
      <c r="R123" s="224">
        <f>R124+R125</f>
        <v>0</v>
      </c>
      <c r="S123" s="224">
        <f>S124+S125</f>
        <v>0</v>
      </c>
      <c r="T123" s="224">
        <f t="shared" si="37"/>
        <v>0</v>
      </c>
      <c r="U123" s="224">
        <f t="shared" si="38"/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469">
        <v>0</v>
      </c>
      <c r="M124" s="83">
        <v>0</v>
      </c>
      <c r="N124" s="83">
        <v>0</v>
      </c>
      <c r="O124" s="83">
        <f t="shared" si="35"/>
        <v>0</v>
      </c>
      <c r="P124" s="83">
        <f t="shared" si="36"/>
        <v>0</v>
      </c>
      <c r="Q124" s="83">
        <v>0</v>
      </c>
      <c r="R124" s="83">
        <v>0</v>
      </c>
      <c r="S124" s="83">
        <v>0</v>
      </c>
      <c r="T124" s="83">
        <f t="shared" si="37"/>
        <v>0</v>
      </c>
      <c r="U124" s="83">
        <f t="shared" si="38"/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468">
        <f ca="1">IFERROR(__xludf.DUMMYFUNCTION("IMPORTRANGE(""https://docs.google.com/spreadsheets/d/1-uDff_7J0KD5mKrp0Vvzr7lt3OU09vwQwhkpOPPYv2Y/edit?usp=sharing"",""งบพรบ!BJ15"")"),0)</f>
        <v>0</v>
      </c>
      <c r="M125" s="224">
        <f ca="1">IFERROR(__xludf.DUMMYFUNCTION("IMPORTRANGE(""https://docs.google.com/spreadsheets/d/1-uDff_7J0KD5mKrp0Vvzr7lt3OU09vwQwhkpOPPYv2Y/edit?usp=sharing"",""งบพรบ!BM15"")"),0)</f>
        <v>0</v>
      </c>
      <c r="N125" s="224">
        <f ca="1">IFERROR(__xludf.DUMMYFUNCTION("IMPORTRANGE(""https://docs.google.com/spreadsheets/d/1-uDff_7J0KD5mKrp0Vvzr7lt3OU09vwQwhkpOPPYv2Y/edit?usp=sharing"",""งบพรบ!BO15"")"),0)</f>
        <v>0</v>
      </c>
      <c r="O125" s="224">
        <f t="shared" ca="1" si="35"/>
        <v>0</v>
      </c>
      <c r="P125" s="224">
        <f t="shared" ca="1" si="36"/>
        <v>0</v>
      </c>
      <c r="Q125" s="224">
        <v>0</v>
      </c>
      <c r="R125" s="224">
        <v>0</v>
      </c>
      <c r="S125" s="224">
        <v>0</v>
      </c>
      <c r="T125" s="224">
        <f t="shared" si="37"/>
        <v>0</v>
      </c>
      <c r="U125" s="224">
        <f t="shared" si="38"/>
        <v>0</v>
      </c>
    </row>
    <row r="126" spans="1:21" ht="19.5" x14ac:dyDescent="0.3">
      <c r="A126" s="138"/>
      <c r="B126" s="139"/>
      <c r="C126" s="177" t="s">
        <v>18</v>
      </c>
      <c r="D126" s="498" t="s">
        <v>38</v>
      </c>
      <c r="E126" s="141"/>
      <c r="F126" s="141"/>
      <c r="G126" s="142"/>
      <c r="H126" s="178"/>
      <c r="I126" s="44"/>
      <c r="J126" s="44"/>
      <c r="K126" s="45"/>
      <c r="L126" s="465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IFERROR(__xludf.DUMMYFUNCTION("IMPORTRANGE(""https://docs.google.com/spreadsheets/d/1eHaY18a8A9IcSdp1K8H6x8fbOy06t2VsZHhMHf-1x7Y/edit?usp=sharing"",""แผน!FF15"")"),60)</f>
        <v>60</v>
      </c>
      <c r="J127" s="466">
        <v>60</v>
      </c>
      <c r="K127" s="224">
        <f ca="1">IF(I127&gt;0,J127*100/I127,0)</f>
        <v>100</v>
      </c>
      <c r="L127" s="465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IFERROR(__xludf.DUMMYFUNCTION("IMPORTRANGE(""https://docs.google.com/spreadsheets/d/1eHaY18a8A9IcSdp1K8H6x8fbOy06t2VsZHhMHf-1x7Y/edit?usp=sharing"",""แผน!FG15"")"),0)</f>
        <v>0</v>
      </c>
      <c r="J128" s="466">
        <v>0</v>
      </c>
      <c r="K128" s="224">
        <f ca="1">IF(I128&gt;0,J128*100/I128,0)</f>
        <v>0</v>
      </c>
      <c r="L128" s="465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IFERROR(__xludf.DUMMYFUNCTION("IMPORTRANGE(""https://docs.google.com/spreadsheets/d/1eHaY18a8A9IcSdp1K8H6x8fbOy06t2VsZHhMHf-1x7Y/edit?usp=sharing"",""แผน!FH15"")"),20)</f>
        <v>20</v>
      </c>
      <c r="J129" s="466">
        <v>20</v>
      </c>
      <c r="K129" s="224">
        <f ca="1">IF(I129&gt;0,J129*100/I129,0)</f>
        <v>100</v>
      </c>
      <c r="L129" s="465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IFERROR(__xludf.DUMMYFUNCTION("IMPORTRANGE(""https://docs.google.com/spreadsheets/d/1eHaY18a8A9IcSdp1K8H6x8fbOy06t2VsZHhMHf-1x7Y/edit?usp=sharing"",""แผน!FI15"")"),0)</f>
        <v>0</v>
      </c>
      <c r="J130" s="466">
        <v>0</v>
      </c>
      <c r="K130" s="224">
        <f ca="1">IF(I130&gt;0,J130*100/I130,0)</f>
        <v>0</v>
      </c>
      <c r="L130" s="465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465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465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57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10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665">
        <f ca="1">I154</f>
        <v>3</v>
      </c>
      <c r="J136" s="665">
        <f>J154</f>
        <v>0</v>
      </c>
      <c r="K136" s="664">
        <f ca="1">IF(I136&gt;0,J136*100/I136,0)</f>
        <v>0</v>
      </c>
      <c r="L136" s="510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665">
        <f ca="1">I152</f>
        <v>80</v>
      </c>
      <c r="J137" s="665">
        <f>J152</f>
        <v>0</v>
      </c>
      <c r="K137" s="664">
        <f ca="1">IF(I137&gt;0,J137*100/I137,0)</f>
        <v>0</v>
      </c>
      <c r="L137" s="510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665">
        <f ca="1">I153</f>
        <v>8</v>
      </c>
      <c r="J138" s="665">
        <f>J153</f>
        <v>0</v>
      </c>
      <c r="K138" s="664">
        <f ca="1">IF(I138&gt;0,J138*100/I138,0)</f>
        <v>0</v>
      </c>
      <c r="L138" s="510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129" t="s">
        <v>18</v>
      </c>
      <c r="D139" s="472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471">
        <f ca="1">L140+L141</f>
        <v>116300</v>
      </c>
      <c r="M139" s="470">
        <f ca="1">M140+M141</f>
        <v>111300</v>
      </c>
      <c r="N139" s="470">
        <f ca="1">N140+N141</f>
        <v>0</v>
      </c>
      <c r="O139" s="470">
        <f t="shared" ref="O139:O147" ca="1" si="41">IF(L139&gt;0,N139*100/L139,0)</f>
        <v>0</v>
      </c>
      <c r="P139" s="470">
        <f t="shared" ref="P139:P147" ca="1" si="42">IF(M139&gt;0,N139*100/M139,0)</f>
        <v>0</v>
      </c>
      <c r="Q139" s="470">
        <f ca="1">Q140+Q141</f>
        <v>0</v>
      </c>
      <c r="R139" s="470">
        <f ca="1">R140+R141</f>
        <v>0</v>
      </c>
      <c r="S139" s="470">
        <f ca="1">S140+S141</f>
        <v>0</v>
      </c>
      <c r="T139" s="470">
        <f t="shared" ref="T139:T147" ca="1" si="43">IF(Q139&gt;0,S139*100/Q139,0)</f>
        <v>0</v>
      </c>
      <c r="U139" s="470">
        <f t="shared" ref="U139:U147" ca="1" si="44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469">
        <f t="shared" ref="L140:N141" si="45">L143+L146</f>
        <v>0</v>
      </c>
      <c r="M140" s="83">
        <f t="shared" si="45"/>
        <v>0</v>
      </c>
      <c r="N140" s="83">
        <f t="shared" si="45"/>
        <v>0</v>
      </c>
      <c r="O140" s="83">
        <f t="shared" si="41"/>
        <v>0</v>
      </c>
      <c r="P140" s="83">
        <f t="shared" si="42"/>
        <v>0</v>
      </c>
      <c r="Q140" s="83">
        <f t="shared" ref="Q140:S141" si="46">Q143+Q146</f>
        <v>0</v>
      </c>
      <c r="R140" s="83">
        <f t="shared" si="46"/>
        <v>0</v>
      </c>
      <c r="S140" s="83">
        <f t="shared" si="46"/>
        <v>0</v>
      </c>
      <c r="T140" s="83">
        <f t="shared" si="43"/>
        <v>0</v>
      </c>
      <c r="U140" s="83">
        <f t="shared" si="44"/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468">
        <f t="shared" ca="1" si="45"/>
        <v>116300</v>
      </c>
      <c r="M141" s="224">
        <f t="shared" ca="1" si="45"/>
        <v>111300</v>
      </c>
      <c r="N141" s="224">
        <f t="shared" ca="1" si="45"/>
        <v>0</v>
      </c>
      <c r="O141" s="224">
        <f t="shared" ca="1" si="41"/>
        <v>0</v>
      </c>
      <c r="P141" s="224">
        <f t="shared" ca="1" si="42"/>
        <v>0</v>
      </c>
      <c r="Q141" s="224">
        <f t="shared" ca="1" si="46"/>
        <v>0</v>
      </c>
      <c r="R141" s="224">
        <f t="shared" ca="1" si="46"/>
        <v>0</v>
      </c>
      <c r="S141" s="224">
        <f t="shared" ca="1" si="46"/>
        <v>0</v>
      </c>
      <c r="T141" s="224">
        <f t="shared" ca="1" si="43"/>
        <v>0</v>
      </c>
      <c r="U141" s="224">
        <f t="shared" ca="1" si="44"/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468">
        <f ca="1">L143+L144</f>
        <v>116300</v>
      </c>
      <c r="M142" s="224">
        <f ca="1">M143+M144</f>
        <v>111300</v>
      </c>
      <c r="N142" s="224">
        <f ca="1">N143+N144</f>
        <v>0</v>
      </c>
      <c r="O142" s="224">
        <f t="shared" ca="1" si="41"/>
        <v>0</v>
      </c>
      <c r="P142" s="224">
        <f t="shared" ca="1" si="42"/>
        <v>0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t="shared" ca="1" si="43"/>
        <v>0</v>
      </c>
      <c r="U142" s="224">
        <f t="shared" ca="1" si="44"/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469">
        <v>0</v>
      </c>
      <c r="M143" s="83">
        <v>0</v>
      </c>
      <c r="N143" s="83">
        <v>0</v>
      </c>
      <c r="O143" s="83">
        <f t="shared" si="41"/>
        <v>0</v>
      </c>
      <c r="P143" s="83">
        <f t="shared" si="42"/>
        <v>0</v>
      </c>
      <c r="Q143" s="83">
        <v>0</v>
      </c>
      <c r="R143" s="83">
        <v>0</v>
      </c>
      <c r="S143" s="83">
        <v>0</v>
      </c>
      <c r="T143" s="83">
        <f t="shared" si="43"/>
        <v>0</v>
      </c>
      <c r="U143" s="83">
        <f t="shared" si="44"/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468">
        <f ca="1">IFERROR(__xludf.DUMMYFUNCTION("IMPORTRANGE(""https://docs.google.com/spreadsheets/d/1-uDff_7J0KD5mKrp0Vvzr7lt3OU09vwQwhkpOPPYv2Y/edit?usp=sharing"",""งบพรบ!BQ15"")"),116300)</f>
        <v>116300</v>
      </c>
      <c r="M144" s="224">
        <f ca="1">IFERROR(__xludf.DUMMYFUNCTION("IMPORTRANGE(""https://docs.google.com/spreadsheets/d/1-uDff_7J0KD5mKrp0Vvzr7lt3OU09vwQwhkpOPPYv2Y/edit?usp=sharing"",""งบพรบ!BV15"")"),111300)</f>
        <v>111300</v>
      </c>
      <c r="N144" s="224">
        <f ca="1">IFERROR(__xludf.DUMMYFUNCTION("IMPORTRANGE(""https://docs.google.com/spreadsheets/d/1-uDff_7J0KD5mKrp0Vvzr7lt3OU09vwQwhkpOPPYv2Y/edit?usp=sharing"",""งบพรบ!BX15"")"),0)</f>
        <v>0</v>
      </c>
      <c r="O144" s="224">
        <f t="shared" ca="1" si="41"/>
        <v>0</v>
      </c>
      <c r="P144" s="224">
        <f t="shared" ca="1" si="42"/>
        <v>0</v>
      </c>
      <c r="Q144" s="224">
        <f ca="1">IFERROR(__xludf.DUMMYFUNCTION("IMPORTRANGE(""https://docs.google.com/spreadsheets/d/1ItG2mGa2ceCfYo0BwxsXqNm01IGEUdYcSSLTEv9YCik/edit?usp=sharing"",""เบิกจ่ายกองทุน!BB15"")"),0)</f>
        <v>0</v>
      </c>
      <c r="R144" s="224">
        <f ca="1">IFERROR(__xludf.DUMMYFUNCTION("IMPORTRANGE(""https://docs.google.com/spreadsheets/d/1ItG2mGa2ceCfYo0BwxsXqNm01IGEUdYcSSLTEv9YCik/edit?usp=sharing"",""เบิกจ่ายกองทุน!BC15"")"),0)</f>
        <v>0</v>
      </c>
      <c r="S144" s="224">
        <f ca="1">IFERROR(__xludf.DUMMYFUNCTION("IMPORTRANGE(""https://docs.google.com/spreadsheets/d/1ItG2mGa2ceCfYo0BwxsXqNm01IGEUdYcSSLTEv9YCik/edit?usp=sharing"",""เบิกจ่ายกองทุน!BD15"")"),0)</f>
        <v>0</v>
      </c>
      <c r="T144" s="224">
        <f t="shared" ca="1" si="43"/>
        <v>0</v>
      </c>
      <c r="U144" s="224">
        <f t="shared" ca="1" si="44"/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468">
        <f ca="1">L146+L147</f>
        <v>0</v>
      </c>
      <c r="M145" s="224">
        <f ca="1">M146+M147</f>
        <v>0</v>
      </c>
      <c r="N145" s="224">
        <f ca="1">N146+N147</f>
        <v>0</v>
      </c>
      <c r="O145" s="224">
        <f t="shared" ca="1" si="41"/>
        <v>0</v>
      </c>
      <c r="P145" s="224">
        <f t="shared" ca="1" si="42"/>
        <v>0</v>
      </c>
      <c r="Q145" s="224">
        <f>Q146+Q147</f>
        <v>0</v>
      </c>
      <c r="R145" s="224">
        <f>R146+R147</f>
        <v>0</v>
      </c>
      <c r="S145" s="224">
        <f>S146+S147</f>
        <v>0</v>
      </c>
      <c r="T145" s="224">
        <f t="shared" si="43"/>
        <v>0</v>
      </c>
      <c r="U145" s="224">
        <f t="shared" si="44"/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469">
        <v>0</v>
      </c>
      <c r="M146" s="83">
        <v>0</v>
      </c>
      <c r="N146" s="83">
        <v>0</v>
      </c>
      <c r="O146" s="83">
        <f t="shared" si="41"/>
        <v>0</v>
      </c>
      <c r="P146" s="83">
        <f t="shared" si="42"/>
        <v>0</v>
      </c>
      <c r="Q146" s="83">
        <v>0</v>
      </c>
      <c r="R146" s="83">
        <v>0</v>
      </c>
      <c r="S146" s="83">
        <v>0</v>
      </c>
      <c r="T146" s="83">
        <f t="shared" si="43"/>
        <v>0</v>
      </c>
      <c r="U146" s="83">
        <f t="shared" si="44"/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468">
        <f ca="1">IFERROR(__xludf.DUMMYFUNCTION("IMPORTRANGE(""https://docs.google.com/spreadsheets/d/1-uDff_7J0KD5mKrp0Vvzr7lt3OU09vwQwhkpOPPYv2Y/edit?usp=sharing"",""งบพรบ!BT15"")"),0)</f>
        <v>0</v>
      </c>
      <c r="M147" s="224">
        <f ca="1">IFERROR(__xludf.DUMMYFUNCTION("IMPORTRANGE(""https://docs.google.com/spreadsheets/d/1-uDff_7J0KD5mKrp0Vvzr7lt3OU09vwQwhkpOPPYv2Y/edit?usp=sharing"",""งบพรบ!BW15"")"),0)</f>
        <v>0</v>
      </c>
      <c r="N147" s="224">
        <f ca="1">IFERROR(__xludf.DUMMYFUNCTION("IMPORTRANGE(""https://docs.google.com/spreadsheets/d/1-uDff_7J0KD5mKrp0Vvzr7lt3OU09vwQwhkpOPPYv2Y/edit?usp=sharing"",""งบพรบ!BY15"")"),0)</f>
        <v>0</v>
      </c>
      <c r="O147" s="224">
        <f t="shared" ca="1" si="41"/>
        <v>0</v>
      </c>
      <c r="P147" s="224">
        <f t="shared" ca="1" si="42"/>
        <v>0</v>
      </c>
      <c r="Q147" s="224">
        <v>0</v>
      </c>
      <c r="R147" s="224">
        <v>0</v>
      </c>
      <c r="S147" s="224">
        <v>0</v>
      </c>
      <c r="T147" s="224">
        <f t="shared" si="43"/>
        <v>0</v>
      </c>
      <c r="U147" s="224">
        <f t="shared" si="44"/>
        <v>0</v>
      </c>
    </row>
    <row r="148" spans="1:21" ht="19.5" x14ac:dyDescent="0.3">
      <c r="A148" s="138"/>
      <c r="B148" s="139"/>
      <c r="C148" s="129" t="s">
        <v>18</v>
      </c>
      <c r="D148" s="498" t="s">
        <v>38</v>
      </c>
      <c r="E148" s="141"/>
      <c r="F148" s="141"/>
      <c r="G148" s="142"/>
      <c r="H148" s="178"/>
      <c r="I148" s="44"/>
      <c r="J148" s="44"/>
      <c r="K148" s="45"/>
      <c r="L148" s="465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466">
        <v>1</v>
      </c>
      <c r="K149" s="45"/>
      <c r="L149" s="465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IFERROR(__xludf.DUMMYFUNCTION("IMPORTRANGE(""https://docs.google.com/spreadsheets/d/1eHaY18a8A9IcSdp1K8H6x8fbOy06t2VsZHhMHf-1x7Y/edit?usp=sharing"",""แผน!U15"")"),30)</f>
        <v>30</v>
      </c>
      <c r="J150" s="466">
        <v>0</v>
      </c>
      <c r="K150" s="224">
        <f ca="1">IF(I150&gt;0,J150*100/I150,0)</f>
        <v>0</v>
      </c>
      <c r="L150" s="465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IFERROR(__xludf.DUMMYFUNCTION("IMPORTRANGE(""https://docs.google.com/spreadsheets/d/1eHaY18a8A9IcSdp1K8H6x8fbOy06t2VsZHhMHf-1x7Y/edit?usp=sharing"",""แผน!V15"")"),3)</f>
        <v>3</v>
      </c>
      <c r="J151" s="466">
        <v>0</v>
      </c>
      <c r="K151" s="224">
        <f ca="1">IF(I151&gt;0,J151*100/I151,0)</f>
        <v>0</v>
      </c>
      <c r="L151" s="465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IFERROR(__xludf.DUMMYFUNCTION("IMPORTRANGE(""https://docs.google.com/spreadsheets/d/1eHaY18a8A9IcSdp1K8H6x8fbOy06t2VsZHhMHf-1x7Y/edit?usp=sharing"",""แผน!W15"")"),80)</f>
        <v>80</v>
      </c>
      <c r="J152" s="466">
        <v>0</v>
      </c>
      <c r="K152" s="224">
        <f ca="1">IF(I152&gt;0,J152*100/I152,0)</f>
        <v>0</v>
      </c>
      <c r="L152" s="465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IFERROR(__xludf.DUMMYFUNCTION("IMPORTRANGE(""https://docs.google.com/spreadsheets/d/1eHaY18a8A9IcSdp1K8H6x8fbOy06t2VsZHhMHf-1x7Y/edit?usp=sharing"",""แผน!X15"")"),8)</f>
        <v>8</v>
      </c>
      <c r="J153" s="466">
        <v>0</v>
      </c>
      <c r="K153" s="224">
        <f ca="1">IF(I153&gt;0,J153*100/I153,0)</f>
        <v>0</v>
      </c>
      <c r="L153" s="465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IFERROR(__xludf.DUMMYFUNCTION("IMPORTRANGE(""https://docs.google.com/spreadsheets/d/1eHaY18a8A9IcSdp1K8H6x8fbOy06t2VsZHhMHf-1x7Y/edit?usp=sharing"",""แผน!Y15"")"),3)</f>
        <v>3</v>
      </c>
      <c r="J154" s="466">
        <v>0</v>
      </c>
      <c r="K154" s="224">
        <f ca="1">IF(I154&gt;0,J154*100/I154,0)</f>
        <v>0</v>
      </c>
      <c r="L154" s="465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665">
        <f ca="1">I167</f>
        <v>15</v>
      </c>
      <c r="J156" s="665">
        <f>J167</f>
        <v>17</v>
      </c>
      <c r="K156" s="664">
        <f ca="1">IF(I156&gt;0,J156*100/I156,0)</f>
        <v>113.33333333333333</v>
      </c>
      <c r="L156" s="510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129" t="s">
        <v>18</v>
      </c>
      <c r="D157" s="472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471">
        <f ca="1">L158+L159</f>
        <v>3000</v>
      </c>
      <c r="M157" s="470">
        <f ca="1">M158+M159</f>
        <v>5294</v>
      </c>
      <c r="N157" s="470">
        <f ca="1">N158+N159</f>
        <v>0</v>
      </c>
      <c r="O157" s="470">
        <f t="shared" ref="O157:O165" ca="1" si="47">IF(L157&gt;0,N157*100/L157,0)</f>
        <v>0</v>
      </c>
      <c r="P157" s="470">
        <f t="shared" ref="P157:P165" ca="1" si="48">IF(M157&gt;0,N157*100/M157,0)</f>
        <v>0</v>
      </c>
      <c r="Q157" s="470">
        <f ca="1">Q158+Q159</f>
        <v>0</v>
      </c>
      <c r="R157" s="470">
        <f ca="1">R158+R159</f>
        <v>0</v>
      </c>
      <c r="S157" s="470">
        <f ca="1">S158+S159</f>
        <v>0</v>
      </c>
      <c r="T157" s="470">
        <f t="shared" ref="T157:T165" ca="1" si="49">IF(Q157&gt;0,S157*100/Q157,0)</f>
        <v>0</v>
      </c>
      <c r="U157" s="470">
        <f t="shared" ref="U157:U165" ca="1" si="50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469">
        <f t="shared" ref="L158:N159" si="51">L161+L164</f>
        <v>0</v>
      </c>
      <c r="M158" s="83">
        <f t="shared" si="51"/>
        <v>0</v>
      </c>
      <c r="N158" s="83">
        <f t="shared" si="51"/>
        <v>0</v>
      </c>
      <c r="O158" s="83">
        <f t="shared" si="47"/>
        <v>0</v>
      </c>
      <c r="P158" s="83">
        <f t="shared" si="48"/>
        <v>0</v>
      </c>
      <c r="Q158" s="83">
        <f t="shared" ref="Q158:S159" si="52">Q161+Q164</f>
        <v>0</v>
      </c>
      <c r="R158" s="83">
        <f t="shared" si="52"/>
        <v>0</v>
      </c>
      <c r="S158" s="83">
        <f t="shared" si="52"/>
        <v>0</v>
      </c>
      <c r="T158" s="83">
        <f t="shared" si="49"/>
        <v>0</v>
      </c>
      <c r="U158" s="83">
        <f t="shared" si="50"/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468">
        <f t="shared" ca="1" si="51"/>
        <v>3000</v>
      </c>
      <c r="M159" s="224">
        <f t="shared" ca="1" si="51"/>
        <v>5294</v>
      </c>
      <c r="N159" s="224">
        <f t="shared" ca="1" si="51"/>
        <v>0</v>
      </c>
      <c r="O159" s="224">
        <f t="shared" ca="1" si="47"/>
        <v>0</v>
      </c>
      <c r="P159" s="224">
        <f t="shared" ca="1" si="48"/>
        <v>0</v>
      </c>
      <c r="Q159" s="224">
        <f t="shared" ca="1" si="52"/>
        <v>0</v>
      </c>
      <c r="R159" s="224">
        <f t="shared" ca="1" si="52"/>
        <v>0</v>
      </c>
      <c r="S159" s="224">
        <f t="shared" ca="1" si="52"/>
        <v>0</v>
      </c>
      <c r="T159" s="224">
        <f t="shared" ca="1" si="49"/>
        <v>0</v>
      </c>
      <c r="U159" s="224">
        <f t="shared" ca="1" si="50"/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468">
        <f ca="1">L161+L162</f>
        <v>3000</v>
      </c>
      <c r="M160" s="224">
        <f ca="1">M161+M162</f>
        <v>5294</v>
      </c>
      <c r="N160" s="224">
        <f ca="1">N161+N162</f>
        <v>0</v>
      </c>
      <c r="O160" s="224">
        <f t="shared" ca="1" si="47"/>
        <v>0</v>
      </c>
      <c r="P160" s="224">
        <f t="shared" ca="1" si="48"/>
        <v>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t="shared" ca="1" si="49"/>
        <v>0</v>
      </c>
      <c r="U160" s="224">
        <f t="shared" ca="1" si="50"/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469">
        <v>0</v>
      </c>
      <c r="M161" s="83">
        <v>0</v>
      </c>
      <c r="N161" s="83">
        <v>0</v>
      </c>
      <c r="O161" s="83">
        <f t="shared" si="47"/>
        <v>0</v>
      </c>
      <c r="P161" s="83">
        <f t="shared" si="48"/>
        <v>0</v>
      </c>
      <c r="Q161" s="83">
        <v>0</v>
      </c>
      <c r="R161" s="83">
        <v>0</v>
      </c>
      <c r="S161" s="83">
        <v>0</v>
      </c>
      <c r="T161" s="83">
        <f t="shared" si="49"/>
        <v>0</v>
      </c>
      <c r="U161" s="83">
        <f t="shared" si="50"/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468">
        <f ca="1">IFERROR(__xludf.DUMMYFUNCTION("IMPORTRANGE(""https://docs.google.com/spreadsheets/d/1-uDff_7J0KD5mKrp0Vvzr7lt3OU09vwQwhkpOPPYv2Y/edit?usp=sharing"",""งบพรบ!CA15"")"),3000)</f>
        <v>3000</v>
      </c>
      <c r="M162" s="224">
        <f ca="1">IFERROR(__xludf.DUMMYFUNCTION("IMPORTRANGE(""https://docs.google.com/spreadsheets/d/1-uDff_7J0KD5mKrp0Vvzr7lt3OU09vwQwhkpOPPYv2Y/edit?usp=sharing"",""งบพรบ!CF15"")"),5294)</f>
        <v>5294</v>
      </c>
      <c r="N162" s="224">
        <f ca="1">IFERROR(__xludf.DUMMYFUNCTION("IMPORTRANGE(""https://docs.google.com/spreadsheets/d/1-uDff_7J0KD5mKrp0Vvzr7lt3OU09vwQwhkpOPPYv2Y/edit?usp=sharing"",""งบพรบ!CH15"")"),0)</f>
        <v>0</v>
      </c>
      <c r="O162" s="224">
        <f t="shared" ca="1" si="47"/>
        <v>0</v>
      </c>
      <c r="P162" s="224">
        <f t="shared" ca="1" si="48"/>
        <v>0</v>
      </c>
      <c r="Q162" s="224">
        <f ca="1">IFERROR(__xludf.DUMMYFUNCTION("IMPORTRANGE(""https://docs.google.com/spreadsheets/d/1ItG2mGa2ceCfYo0BwxsXqNm01IGEUdYcSSLTEv9YCik/edit?usp=sharing"",""เบิกจ่ายกองทุน!AG15"")"),0)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IFERROR(__xludf.DUMMYFUNCTION("IMPORTRANGE(""https://docs.google.com/spreadsheets/d/1ItG2mGa2ceCfYo0BwxsXqNm01IGEUdYcSSLTEv9YCik/edit?usp=sharing"",""เบิกจ่ายกองทุน!AH15"")"),0)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IFERROR(__xludf.DUMMYFUNCTION("IMPORTRANGE(""https://docs.google.com/spreadsheets/d/1ItG2mGa2ceCfYo0BwxsXqNm01IGEUdYcSSLTEv9YCik/edit?usp=sharing"",""เบิกจ่ายกองทุน!AI15"")"),0)</f>
        <v>0</v>
      </c>
      <c r="T162" s="224">
        <f t="shared" ca="1" si="49"/>
        <v>0</v>
      </c>
      <c r="U162" s="224">
        <f t="shared" ca="1" si="50"/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468">
        <f ca="1">L164+L165</f>
        <v>0</v>
      </c>
      <c r="M163" s="224">
        <f ca="1">M164+M165</f>
        <v>0</v>
      </c>
      <c r="N163" s="224">
        <f ca="1">N164+N165</f>
        <v>0</v>
      </c>
      <c r="O163" s="224">
        <f t="shared" ca="1" si="47"/>
        <v>0</v>
      </c>
      <c r="P163" s="224">
        <f t="shared" ca="1" si="48"/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 t="shared" si="49"/>
        <v>0</v>
      </c>
      <c r="U163" s="224">
        <f t="shared" si="50"/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469">
        <v>0</v>
      </c>
      <c r="M164" s="83">
        <v>0</v>
      </c>
      <c r="N164" s="83">
        <v>0</v>
      </c>
      <c r="O164" s="83">
        <f t="shared" si="47"/>
        <v>0</v>
      </c>
      <c r="P164" s="83">
        <f t="shared" si="48"/>
        <v>0</v>
      </c>
      <c r="Q164" s="83">
        <v>0</v>
      </c>
      <c r="R164" s="83">
        <v>0</v>
      </c>
      <c r="S164" s="83">
        <v>0</v>
      </c>
      <c r="T164" s="83">
        <f t="shared" si="49"/>
        <v>0</v>
      </c>
      <c r="U164" s="83">
        <f t="shared" si="50"/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468">
        <f ca="1">IFERROR(__xludf.DUMMYFUNCTION("IMPORTRANGE(""https://docs.google.com/spreadsheets/d/1-uDff_7J0KD5mKrp0Vvzr7lt3OU09vwQwhkpOPPYv2Y/edit?usp=sharing"",""งบพรบ!CD15"")"),0)</f>
        <v>0</v>
      </c>
      <c r="M165" s="224">
        <f ca="1">IFERROR(__xludf.DUMMYFUNCTION("IMPORTRANGE(""https://docs.google.com/spreadsheets/d/1-uDff_7J0KD5mKrp0Vvzr7lt3OU09vwQwhkpOPPYv2Y/edit?usp=sharing"",""งบพรบ!CG15"")"),0)</f>
        <v>0</v>
      </c>
      <c r="N165" s="224">
        <f ca="1">IFERROR(__xludf.DUMMYFUNCTION("IMPORTRANGE(""https://docs.google.com/spreadsheets/d/1-uDff_7J0KD5mKrp0Vvzr7lt3OU09vwQwhkpOPPYv2Y/edit?usp=sharing"",""งบพรบ!CI15"")"),0)</f>
        <v>0</v>
      </c>
      <c r="O165" s="224">
        <f t="shared" ca="1" si="47"/>
        <v>0</v>
      </c>
      <c r="P165" s="224">
        <f t="shared" ca="1" si="48"/>
        <v>0</v>
      </c>
      <c r="Q165" s="224">
        <v>0</v>
      </c>
      <c r="R165" s="224">
        <v>0</v>
      </c>
      <c r="S165" s="224">
        <v>0</v>
      </c>
      <c r="T165" s="224">
        <f t="shared" si="49"/>
        <v>0</v>
      </c>
      <c r="U165" s="224">
        <f t="shared" si="50"/>
        <v>0</v>
      </c>
    </row>
    <row r="166" spans="1:21" ht="19.5" x14ac:dyDescent="0.3">
      <c r="A166" s="138"/>
      <c r="B166" s="139"/>
      <c r="C166" s="129" t="s">
        <v>18</v>
      </c>
      <c r="D166" s="498" t="s">
        <v>38</v>
      </c>
      <c r="E166" s="141"/>
      <c r="F166" s="141"/>
      <c r="G166" s="142"/>
      <c r="H166" s="178"/>
      <c r="I166" s="44"/>
      <c r="J166" s="44"/>
      <c r="K166" s="45"/>
      <c r="L166" s="465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IFERROR(__xludf.DUMMYFUNCTION("IMPORTRANGE(""https://docs.google.com/spreadsheets/d/1eHaY18a8A9IcSdp1K8H6x8fbOy06t2VsZHhMHf-1x7Y/edit?usp=sharing"",""แผน!Z15"")"),15)</f>
        <v>15</v>
      </c>
      <c r="J167" s="466">
        <v>17</v>
      </c>
      <c r="K167" s="224">
        <f ca="1">IF(I167&gt;0,J167*100/I167,0)</f>
        <v>113.33333333333333</v>
      </c>
      <c r="L167" s="465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375" t="s">
        <v>35</v>
      </c>
      <c r="I168" s="430">
        <f ca="1">I167</f>
        <v>15</v>
      </c>
      <c r="J168" s="525">
        <v>0</v>
      </c>
      <c r="K168" s="83">
        <f ca="1">IF(I168&gt;0,J168*100/I168,0)</f>
        <v>0</v>
      </c>
      <c r="L168" s="465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31" t="s">
        <v>71</v>
      </c>
      <c r="E169" s="1"/>
      <c r="F169" s="1"/>
      <c r="G169" s="52"/>
      <c r="H169" s="663" t="s">
        <v>35</v>
      </c>
      <c r="I169" s="433">
        <f ca="1">I167</f>
        <v>15</v>
      </c>
      <c r="J169" s="522">
        <v>0</v>
      </c>
      <c r="K169" s="521">
        <f ca="1">IF(I169&gt;0,J169*100/I169,0)</f>
        <v>0</v>
      </c>
      <c r="L169" s="46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662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661">
        <f ca="1">I183+I184</f>
        <v>7</v>
      </c>
      <c r="J172" s="661">
        <f>J183+J184</f>
        <v>7</v>
      </c>
      <c r="K172" s="660">
        <f ca="1">IF(I172&gt;0,J172*100/I172,0)</f>
        <v>100</v>
      </c>
      <c r="L172" s="659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472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471">
        <f ca="1">L174+L175</f>
        <v>19590</v>
      </c>
      <c r="M173" s="470">
        <f ca="1">M174+M175</f>
        <v>111760</v>
      </c>
      <c r="N173" s="470">
        <f ca="1">N174+N175</f>
        <v>92340</v>
      </c>
      <c r="O173" s="470">
        <f t="shared" ref="O173:O181" ca="1" si="53">IF(L173&gt;0,N173*100/L173,0)</f>
        <v>471.36294027565083</v>
      </c>
      <c r="P173" s="470">
        <f t="shared" ref="P173:P181" ca="1" si="54">IF(M173&gt;0,N173*100/M173,0)</f>
        <v>82.623478883321397</v>
      </c>
      <c r="Q173" s="470">
        <f ca="1">Q174+Q175</f>
        <v>0</v>
      </c>
      <c r="R173" s="470">
        <f ca="1">R174+R175</f>
        <v>0</v>
      </c>
      <c r="S173" s="470">
        <f ca="1">S174+S175</f>
        <v>0</v>
      </c>
      <c r="T173" s="470">
        <f t="shared" ref="T173:T181" ca="1" si="55">IF(Q173&gt;0,S173*100/Q173,0)</f>
        <v>0</v>
      </c>
      <c r="U173" s="470">
        <f t="shared" ref="U173:U181" ca="1" si="56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469">
        <f t="shared" ref="L174:N175" si="57">L177+L180</f>
        <v>0</v>
      </c>
      <c r="M174" s="83">
        <f t="shared" si="57"/>
        <v>0</v>
      </c>
      <c r="N174" s="83">
        <f t="shared" si="57"/>
        <v>0</v>
      </c>
      <c r="O174" s="83">
        <f t="shared" si="53"/>
        <v>0</v>
      </c>
      <c r="P174" s="83">
        <f t="shared" si="54"/>
        <v>0</v>
      </c>
      <c r="Q174" s="83">
        <f t="shared" ref="Q174:S175" si="58">Q177+Q180</f>
        <v>0</v>
      </c>
      <c r="R174" s="83">
        <f t="shared" si="58"/>
        <v>0</v>
      </c>
      <c r="S174" s="83">
        <f t="shared" si="58"/>
        <v>0</v>
      </c>
      <c r="T174" s="83">
        <f t="shared" si="55"/>
        <v>0</v>
      </c>
      <c r="U174" s="83">
        <f t="shared" si="56"/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468">
        <f t="shared" ca="1" si="57"/>
        <v>19590</v>
      </c>
      <c r="M175" s="224">
        <f t="shared" ca="1" si="57"/>
        <v>111760</v>
      </c>
      <c r="N175" s="224">
        <f t="shared" ca="1" si="57"/>
        <v>92340</v>
      </c>
      <c r="O175" s="224">
        <f t="shared" ca="1" si="53"/>
        <v>471.36294027565083</v>
      </c>
      <c r="P175" s="224">
        <f t="shared" ca="1" si="54"/>
        <v>82.623478883321397</v>
      </c>
      <c r="Q175" s="224">
        <f t="shared" ca="1" si="58"/>
        <v>0</v>
      </c>
      <c r="R175" s="224">
        <f t="shared" ca="1" si="58"/>
        <v>0</v>
      </c>
      <c r="S175" s="224">
        <f t="shared" ca="1" si="58"/>
        <v>0</v>
      </c>
      <c r="T175" s="224">
        <f t="shared" ca="1" si="55"/>
        <v>0</v>
      </c>
      <c r="U175" s="224">
        <f t="shared" ca="1" si="56"/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468">
        <f ca="1">L177+L178</f>
        <v>19590</v>
      </c>
      <c r="M176" s="224">
        <f ca="1">M177+M178</f>
        <v>111760</v>
      </c>
      <c r="N176" s="224">
        <f ca="1">N177+N178</f>
        <v>92340</v>
      </c>
      <c r="O176" s="224">
        <f t="shared" ca="1" si="53"/>
        <v>471.36294027565083</v>
      </c>
      <c r="P176" s="224">
        <f t="shared" ca="1" si="54"/>
        <v>82.623478883321397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t="shared" ca="1" si="55"/>
        <v>0</v>
      </c>
      <c r="U176" s="224">
        <f t="shared" ca="1" si="56"/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469">
        <v>0</v>
      </c>
      <c r="M177" s="83">
        <v>0</v>
      </c>
      <c r="N177" s="83">
        <v>0</v>
      </c>
      <c r="O177" s="83">
        <f t="shared" si="53"/>
        <v>0</v>
      </c>
      <c r="P177" s="83">
        <f t="shared" si="54"/>
        <v>0</v>
      </c>
      <c r="Q177" s="83">
        <v>0</v>
      </c>
      <c r="R177" s="83">
        <v>0</v>
      </c>
      <c r="S177" s="83">
        <v>0</v>
      </c>
      <c r="T177" s="83">
        <f t="shared" si="55"/>
        <v>0</v>
      </c>
      <c r="U177" s="83">
        <f t="shared" si="56"/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468">
        <f ca="1">IFERROR(__xludf.DUMMYFUNCTION("IMPORTRANGE(""https://docs.google.com/spreadsheets/d/1-uDff_7J0KD5mKrp0Vvzr7lt3OU09vwQwhkpOPPYv2Y/edit?usp=sharing"",""งบพรบ!CK15"")"),19590)</f>
        <v>19590</v>
      </c>
      <c r="M178" s="224">
        <f ca="1">IFERROR(__xludf.DUMMYFUNCTION("IMPORTRANGE(""https://docs.google.com/spreadsheets/d/1-uDff_7J0KD5mKrp0Vvzr7lt3OU09vwQwhkpOPPYv2Y/edit?usp=sharing"",""งบพรบ!CP15"")"),111760)</f>
        <v>111760</v>
      </c>
      <c r="N178" s="224">
        <f ca="1">IFERROR(__xludf.DUMMYFUNCTION("IMPORTRANGE(""https://docs.google.com/spreadsheets/d/1-uDff_7J0KD5mKrp0Vvzr7lt3OU09vwQwhkpOPPYv2Y/edit?usp=sharing"",""งบพรบ!CR15"")"),92340)</f>
        <v>92340</v>
      </c>
      <c r="O178" s="224">
        <f t="shared" ca="1" si="53"/>
        <v>471.36294027565083</v>
      </c>
      <c r="P178" s="224">
        <f t="shared" ca="1" si="54"/>
        <v>82.623478883321397</v>
      </c>
      <c r="Q178" s="224">
        <f ca="1">IFERROR(__xludf.DUMMYFUNCTION("IMPORTRANGE(""https://docs.google.com/spreadsheets/d/1ItG2mGa2ceCfYo0BwxsXqNm01IGEUdYcSSLTEv9YCik/edit?usp=sharing"",""เบิกจ่ายกองทุน!BE15"")"),0)</f>
        <v>0</v>
      </c>
      <c r="R178" s="224">
        <f ca="1">IFERROR(__xludf.DUMMYFUNCTION("IMPORTRANGE(""https://docs.google.com/spreadsheets/d/1ItG2mGa2ceCfYo0BwxsXqNm01IGEUdYcSSLTEv9YCik/edit?usp=sharing"",""เบิกจ่ายกองทุน!BF15"")"),0)</f>
        <v>0</v>
      </c>
      <c r="S178" s="224">
        <f ca="1">IFERROR(__xludf.DUMMYFUNCTION("IMPORTRANGE(""https://docs.google.com/spreadsheets/d/1ItG2mGa2ceCfYo0BwxsXqNm01IGEUdYcSSLTEv9YCik/edit?usp=sharing"",""เบิกจ่ายกองทุน!BG15"")"),0)</f>
        <v>0</v>
      </c>
      <c r="T178" s="224">
        <f t="shared" ca="1" si="55"/>
        <v>0</v>
      </c>
      <c r="U178" s="224">
        <f t="shared" ca="1" si="56"/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468">
        <f ca="1">L180+L181</f>
        <v>0</v>
      </c>
      <c r="M179" s="224">
        <f ca="1">M180+M181</f>
        <v>0</v>
      </c>
      <c r="N179" s="224">
        <f ca="1">N180+N181</f>
        <v>0</v>
      </c>
      <c r="O179" s="224">
        <f t="shared" ca="1" si="53"/>
        <v>0</v>
      </c>
      <c r="P179" s="224">
        <f t="shared" ca="1" si="54"/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 t="shared" si="55"/>
        <v>0</v>
      </c>
      <c r="U179" s="224">
        <f t="shared" si="56"/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469">
        <v>0</v>
      </c>
      <c r="M180" s="83">
        <v>0</v>
      </c>
      <c r="N180" s="83">
        <v>0</v>
      </c>
      <c r="O180" s="83">
        <f t="shared" si="53"/>
        <v>0</v>
      </c>
      <c r="P180" s="83">
        <f t="shared" si="54"/>
        <v>0</v>
      </c>
      <c r="Q180" s="83">
        <v>0</v>
      </c>
      <c r="R180" s="83">
        <v>0</v>
      </c>
      <c r="S180" s="83">
        <v>0</v>
      </c>
      <c r="T180" s="83">
        <f t="shared" si="55"/>
        <v>0</v>
      </c>
      <c r="U180" s="83">
        <f t="shared" si="56"/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468">
        <f ca="1">IFERROR(__xludf.DUMMYFUNCTION("IMPORTRANGE(""https://docs.google.com/spreadsheets/d/1-uDff_7J0KD5mKrp0Vvzr7lt3OU09vwQwhkpOPPYv2Y/edit?usp=sharing"",""งบพรบ!CN15"")"),0)</f>
        <v>0</v>
      </c>
      <c r="M181" s="224">
        <f ca="1">IFERROR(__xludf.DUMMYFUNCTION("IMPORTRANGE(""https://docs.google.com/spreadsheets/d/1-uDff_7J0KD5mKrp0Vvzr7lt3OU09vwQwhkpOPPYv2Y/edit?usp=sharing"",""งบพรบ!CQ15"")"),0)</f>
        <v>0</v>
      </c>
      <c r="N181" s="224">
        <f ca="1">IFERROR(__xludf.DUMMYFUNCTION("IMPORTRANGE(""https://docs.google.com/spreadsheets/d/1-uDff_7J0KD5mKrp0Vvzr7lt3OU09vwQwhkpOPPYv2Y/edit?usp=sharing"",""งบพรบ!CS15"")"),0)</f>
        <v>0</v>
      </c>
      <c r="O181" s="224">
        <f t="shared" ca="1" si="53"/>
        <v>0</v>
      </c>
      <c r="P181" s="224">
        <f t="shared" ca="1" si="54"/>
        <v>0</v>
      </c>
      <c r="Q181" s="224">
        <v>0</v>
      </c>
      <c r="R181" s="224">
        <v>0</v>
      </c>
      <c r="S181" s="224">
        <v>0</v>
      </c>
      <c r="T181" s="224">
        <f t="shared" si="55"/>
        <v>0</v>
      </c>
      <c r="U181" s="224">
        <f t="shared" si="56"/>
        <v>0</v>
      </c>
    </row>
    <row r="182" spans="1:21" ht="19.5" x14ac:dyDescent="0.3">
      <c r="A182" s="138"/>
      <c r="B182" s="139"/>
      <c r="C182" s="129" t="s">
        <v>18</v>
      </c>
      <c r="D182" s="498" t="s">
        <v>38</v>
      </c>
      <c r="E182" s="141"/>
      <c r="F182" s="141"/>
      <c r="G182" s="142"/>
      <c r="H182" s="178"/>
      <c r="I182" s="44"/>
      <c r="J182" s="44"/>
      <c r="K182" s="45"/>
      <c r="L182" s="465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IFERROR(__xludf.DUMMYFUNCTION("IMPORTRANGE(""https://docs.google.com/spreadsheets/d/1eHaY18a8A9IcSdp1K8H6x8fbOy06t2VsZHhMHf-1x7Y/edit?usp=sharing"",""แผน!AA15"")"),7)</f>
        <v>7</v>
      </c>
      <c r="J183" s="466">
        <v>7</v>
      </c>
      <c r="K183" s="224">
        <f ca="1">IF(I183&gt;0,J183*100/I183,0)</f>
        <v>100</v>
      </c>
      <c r="L183" s="465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14" t="s">
        <v>76</v>
      </c>
      <c r="E184" s="40"/>
      <c r="F184" s="40"/>
      <c r="G184" s="42"/>
      <c r="H184" s="526" t="s">
        <v>35</v>
      </c>
      <c r="I184" s="430">
        <v>0</v>
      </c>
      <c r="J184" s="430">
        <v>0</v>
      </c>
      <c r="K184" s="83">
        <f>IF(I184&gt;0,J184*100/I184,0)</f>
        <v>0</v>
      </c>
      <c r="L184" s="465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661">
        <f ca="1">I230+I231</f>
        <v>0</v>
      </c>
      <c r="J185" s="661">
        <f>J230+J231</f>
        <v>0</v>
      </c>
      <c r="K185" s="660">
        <f ca="1">IF(I185&gt;0,J185*100/I185,0)</f>
        <v>0</v>
      </c>
      <c r="L185" s="659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472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471">
        <f ca="1">L187+L188</f>
        <v>66500</v>
      </c>
      <c r="M186" s="470">
        <f ca="1">M187+M188</f>
        <v>43200</v>
      </c>
      <c r="N186" s="470">
        <f ca="1">N187+N188</f>
        <v>40873</v>
      </c>
      <c r="O186" s="470">
        <f t="shared" ref="O186:O194" ca="1" si="59">IF(L186&gt;0,N186*100/L186,0)</f>
        <v>61.463157894736845</v>
      </c>
      <c r="P186" s="470">
        <f t="shared" ref="P186:P194" ca="1" si="60">IF(M186&gt;0,N186*100/M186,0)</f>
        <v>94.613425925925924</v>
      </c>
      <c r="Q186" s="470">
        <f ca="1">Q187+Q188</f>
        <v>56000</v>
      </c>
      <c r="R186" s="470">
        <f ca="1">R187+R188</f>
        <v>70000</v>
      </c>
      <c r="S186" s="470">
        <f ca="1">S187+S188</f>
        <v>0</v>
      </c>
      <c r="T186" s="470">
        <f t="shared" ref="T186:T194" ca="1" si="61">IF(Q186&gt;0,S186*100/Q186,0)</f>
        <v>0</v>
      </c>
      <c r="U186" s="470">
        <f t="shared" ref="U186:U194" ca="1" si="62">IF(R186&gt;0,S186*100/R186,0)</f>
        <v>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469">
        <f t="shared" ref="L187:N188" si="63">L190+L193</f>
        <v>0</v>
      </c>
      <c r="M187" s="83">
        <f t="shared" si="63"/>
        <v>0</v>
      </c>
      <c r="N187" s="83">
        <f t="shared" si="63"/>
        <v>0</v>
      </c>
      <c r="O187" s="83">
        <f t="shared" si="59"/>
        <v>0</v>
      </c>
      <c r="P187" s="83">
        <f t="shared" si="60"/>
        <v>0</v>
      </c>
      <c r="Q187" s="83">
        <f t="shared" ref="Q187:S188" si="64">Q190+Q193</f>
        <v>0</v>
      </c>
      <c r="R187" s="83">
        <f t="shared" si="64"/>
        <v>0</v>
      </c>
      <c r="S187" s="83">
        <f t="shared" si="64"/>
        <v>0</v>
      </c>
      <c r="T187" s="83">
        <f t="shared" si="61"/>
        <v>0</v>
      </c>
      <c r="U187" s="83">
        <f t="shared" si="62"/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468">
        <f t="shared" ca="1" si="63"/>
        <v>66500</v>
      </c>
      <c r="M188" s="224">
        <f t="shared" ca="1" si="63"/>
        <v>43200</v>
      </c>
      <c r="N188" s="224">
        <f t="shared" ca="1" si="63"/>
        <v>40873</v>
      </c>
      <c r="O188" s="224">
        <f t="shared" ca="1" si="59"/>
        <v>61.463157894736845</v>
      </c>
      <c r="P188" s="224">
        <f t="shared" ca="1" si="60"/>
        <v>94.613425925925924</v>
      </c>
      <c r="Q188" s="224">
        <f t="shared" ca="1" si="64"/>
        <v>56000</v>
      </c>
      <c r="R188" s="224">
        <f t="shared" ca="1" si="64"/>
        <v>70000</v>
      </c>
      <c r="S188" s="224">
        <f t="shared" ca="1" si="64"/>
        <v>0</v>
      </c>
      <c r="T188" s="224">
        <f t="shared" ca="1" si="61"/>
        <v>0</v>
      </c>
      <c r="U188" s="224">
        <f t="shared" ca="1" si="62"/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468">
        <f ca="1">L190+L191</f>
        <v>66500</v>
      </c>
      <c r="M189" s="224">
        <f ca="1">M190+M191</f>
        <v>43200</v>
      </c>
      <c r="N189" s="224">
        <f ca="1">N190+N191</f>
        <v>40873</v>
      </c>
      <c r="O189" s="224">
        <f t="shared" ca="1" si="59"/>
        <v>61.463157894736845</v>
      </c>
      <c r="P189" s="224">
        <f t="shared" ca="1" si="60"/>
        <v>94.613425925925924</v>
      </c>
      <c r="Q189" s="224">
        <f ca="1">Q190+Q191</f>
        <v>56000</v>
      </c>
      <c r="R189" s="224">
        <f ca="1">R190+R191</f>
        <v>70000</v>
      </c>
      <c r="S189" s="224">
        <f ca="1">S190+S191</f>
        <v>0</v>
      </c>
      <c r="T189" s="224">
        <f t="shared" ca="1" si="61"/>
        <v>0</v>
      </c>
      <c r="U189" s="224">
        <f t="shared" ca="1" si="62"/>
        <v>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469">
        <v>0</v>
      </c>
      <c r="M190" s="83">
        <v>0</v>
      </c>
      <c r="N190" s="83">
        <v>0</v>
      </c>
      <c r="O190" s="83">
        <f t="shared" si="59"/>
        <v>0</v>
      </c>
      <c r="P190" s="83">
        <f t="shared" si="60"/>
        <v>0</v>
      </c>
      <c r="Q190" s="83">
        <v>0</v>
      </c>
      <c r="R190" s="83">
        <v>0</v>
      </c>
      <c r="S190" s="83">
        <v>0</v>
      </c>
      <c r="T190" s="83">
        <f t="shared" si="61"/>
        <v>0</v>
      </c>
      <c r="U190" s="83">
        <f t="shared" si="62"/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468">
        <f ca="1">IFERROR(__xludf.DUMMYFUNCTION("IMPORTRANGE(""https://docs.google.com/spreadsheets/d/1-uDff_7J0KD5mKrp0Vvzr7lt3OU09vwQwhkpOPPYv2Y/edit?usp=sharing"",""งบพรบ!CU15"")"),66500)</f>
        <v>66500</v>
      </c>
      <c r="M191" s="224">
        <f ca="1">IFERROR(__xludf.DUMMYFUNCTION("IMPORTRANGE(""https://docs.google.com/spreadsheets/d/1-uDff_7J0KD5mKrp0Vvzr7lt3OU09vwQwhkpOPPYv2Y/edit?usp=sharing"",""งบพรบ!CZ15"")"),43200)</f>
        <v>43200</v>
      </c>
      <c r="N191" s="224">
        <f ca="1">IFERROR(__xludf.DUMMYFUNCTION("IMPORTRANGE(""https://docs.google.com/spreadsheets/d/1-uDff_7J0KD5mKrp0Vvzr7lt3OU09vwQwhkpOPPYv2Y/edit?usp=sharing"",""งบพรบ!DB15"")"),40873)</f>
        <v>40873</v>
      </c>
      <c r="O191" s="224">
        <f t="shared" ca="1" si="59"/>
        <v>61.463157894736845</v>
      </c>
      <c r="P191" s="224">
        <f t="shared" ca="1" si="60"/>
        <v>94.613425925925924</v>
      </c>
      <c r="Q191" s="224">
        <f ca="1">IFERROR(__xludf.DUMMYFUNCTION("IMPORTRANGE(""https://docs.google.com/spreadsheets/d/1ItG2mGa2ceCfYo0BwxsXqNm01IGEUdYcSSLTEv9YCik/edit?usp=sharing"",""เบิกจ่ายกองทุน!AV15"")"),56000)</f>
        <v>56000</v>
      </c>
      <c r="R191" s="224">
        <f ca="1">IFERROR(__xludf.DUMMYFUNCTION("IMPORTRANGE(""https://docs.google.com/spreadsheets/d/1ItG2mGa2ceCfYo0BwxsXqNm01IGEUdYcSSLTEv9YCik/edit?usp=sharing"",""เบิกจ่ายกองทุน!AW15"")"),70000)</f>
        <v>70000</v>
      </c>
      <c r="S191" s="224">
        <f ca="1">IFERROR(__xludf.DUMMYFUNCTION("IMPORTRANGE(""https://docs.google.com/spreadsheets/d/1ItG2mGa2ceCfYo0BwxsXqNm01IGEUdYcSSLTEv9YCik/edit?usp=sharing"",""เบิกจ่ายกองทุน!AX15"")"),0)</f>
        <v>0</v>
      </c>
      <c r="T191" s="224">
        <f t="shared" ca="1" si="61"/>
        <v>0</v>
      </c>
      <c r="U191" s="224">
        <f t="shared" ca="1" si="62"/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468">
        <f ca="1">L193+L194</f>
        <v>0</v>
      </c>
      <c r="M192" s="224">
        <f ca="1">M193+M194</f>
        <v>0</v>
      </c>
      <c r="N192" s="224">
        <f ca="1">N193+N194</f>
        <v>0</v>
      </c>
      <c r="O192" s="224">
        <f t="shared" ca="1" si="59"/>
        <v>0</v>
      </c>
      <c r="P192" s="224">
        <f t="shared" ca="1" si="60"/>
        <v>0</v>
      </c>
      <c r="Q192" s="224">
        <f>Q193+Q194</f>
        <v>0</v>
      </c>
      <c r="R192" s="224">
        <f>R193+R194</f>
        <v>0</v>
      </c>
      <c r="S192" s="224">
        <f>S193+S194</f>
        <v>0</v>
      </c>
      <c r="T192" s="224">
        <f t="shared" si="61"/>
        <v>0</v>
      </c>
      <c r="U192" s="224">
        <f t="shared" si="62"/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469">
        <v>0</v>
      </c>
      <c r="M193" s="83">
        <v>0</v>
      </c>
      <c r="N193" s="83">
        <v>0</v>
      </c>
      <c r="O193" s="83">
        <f t="shared" si="59"/>
        <v>0</v>
      </c>
      <c r="P193" s="83">
        <f t="shared" si="60"/>
        <v>0</v>
      </c>
      <c r="Q193" s="83">
        <v>0</v>
      </c>
      <c r="R193" s="83">
        <v>0</v>
      </c>
      <c r="S193" s="83">
        <v>0</v>
      </c>
      <c r="T193" s="83">
        <f t="shared" si="61"/>
        <v>0</v>
      </c>
      <c r="U193" s="83">
        <f t="shared" si="62"/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468">
        <f ca="1">IFERROR(__xludf.DUMMYFUNCTION("IMPORTRANGE(""https://docs.google.com/spreadsheets/d/1-uDff_7J0KD5mKrp0Vvzr7lt3OU09vwQwhkpOPPYv2Y/edit?usp=sharing"",""งบพรบ!CX15"")"),0)</f>
        <v>0</v>
      </c>
      <c r="M194" s="224">
        <f ca="1">IFERROR(__xludf.DUMMYFUNCTION("IMPORTRANGE(""https://docs.google.com/spreadsheets/d/1-uDff_7J0KD5mKrp0Vvzr7lt3OU09vwQwhkpOPPYv2Y/edit?usp=sharing"",""งบพรบ!DA15"")"),0)</f>
        <v>0</v>
      </c>
      <c r="N194" s="224">
        <f ca="1">IFERROR(__xludf.DUMMYFUNCTION("IMPORTRANGE(""https://docs.google.com/spreadsheets/d/1-uDff_7J0KD5mKrp0Vvzr7lt3OU09vwQwhkpOPPYv2Y/edit?usp=sharing"",""งบพรบ!DC15"")"),0)</f>
        <v>0</v>
      </c>
      <c r="O194" s="224">
        <f t="shared" ca="1" si="59"/>
        <v>0</v>
      </c>
      <c r="P194" s="224">
        <f t="shared" ca="1" si="60"/>
        <v>0</v>
      </c>
      <c r="Q194" s="224">
        <v>0</v>
      </c>
      <c r="R194" s="224">
        <v>0</v>
      </c>
      <c r="S194" s="224">
        <v>0</v>
      </c>
      <c r="T194" s="224">
        <f t="shared" si="61"/>
        <v>0</v>
      </c>
      <c r="U194" s="224">
        <f t="shared" si="62"/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ca="1">I198</f>
        <v>4</v>
      </c>
      <c r="J195" s="303">
        <f>J198</f>
        <v>2</v>
      </c>
      <c r="K195" s="304">
        <f ca="1">IF(I195&gt;0,J195*100/I195,0)</f>
        <v>50</v>
      </c>
      <c r="L195" s="557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654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471">
        <f ca="1">IFERROR(__xludf.DUMMYFUNCTION("IMPORTRANGE(""https://docs.google.com/spreadsheets/d/1eHaY18a8A9IcSdp1K8H6x8fbOy06t2VsZHhMHf-1x7Y/edit?usp=sharing"",""แผน!AB15"")"),6000)</f>
        <v>6000</v>
      </c>
      <c r="M196" s="45"/>
      <c r="N196" s="658">
        <v>1540</v>
      </c>
      <c r="O196" s="470">
        <f ca="1">IF(L196&gt;0,N196*100/L196,0)</f>
        <v>25.666666666666668</v>
      </c>
      <c r="P196" s="47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498" t="s">
        <v>38</v>
      </c>
      <c r="E197" s="141"/>
      <c r="F197" s="141"/>
      <c r="G197" s="142"/>
      <c r="H197" s="143"/>
      <c r="I197" s="44"/>
      <c r="J197" s="44"/>
      <c r="K197" s="45"/>
      <c r="L197" s="465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IFERROR(__xludf.DUMMYFUNCTION("IMPORTRANGE(""https://docs.google.com/spreadsheets/d/1eHaY18a8A9IcSdp1K8H6x8fbOy06t2VsZHhMHf-1x7Y/edit?usp=sharing"",""แผน!AE15"")"),4)</f>
        <v>4</v>
      </c>
      <c r="J198" s="466">
        <v>2</v>
      </c>
      <c r="K198" s="224">
        <f ca="1">IF(I198&gt;0,J198*100/I198,0)</f>
        <v>50</v>
      </c>
      <c r="L198" s="465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46</v>
      </c>
      <c r="K199" s="45"/>
      <c r="L199" s="465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466">
        <v>46</v>
      </c>
      <c r="K200" s="45"/>
      <c r="L200" s="465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466">
        <v>0</v>
      </c>
      <c r="K201" s="45"/>
      <c r="L201" s="465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ca="1">I209</f>
        <v>4</v>
      </c>
      <c r="J202" s="303">
        <f>J209</f>
        <v>0</v>
      </c>
      <c r="K202" s="304">
        <f ca="1">IF(I202&gt;0,J202*100/I202,0)</f>
        <v>0</v>
      </c>
      <c r="L202" s="557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654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471">
        <f ca="1">L204+L205+L206+L207</f>
        <v>20000</v>
      </c>
      <c r="M203" s="45"/>
      <c r="N203" s="470">
        <f>N204+N205+N206+N207</f>
        <v>1740</v>
      </c>
      <c r="O203" s="470">
        <f ca="1">IF(L203&gt;0,N203*100/L203,0)</f>
        <v>8.6999999999999993</v>
      </c>
      <c r="P203" s="470">
        <f>IF(M203&gt;0,N203*100/M203,0)</f>
        <v>0</v>
      </c>
      <c r="Q203" s="657">
        <f ca="1">Q204+Q205+Q206+Q207</f>
        <v>56000</v>
      </c>
      <c r="R203" s="656"/>
      <c r="S203" s="655">
        <f>S204+S205+S206+S207</f>
        <v>0</v>
      </c>
      <c r="T203" s="655">
        <f ca="1">IF(Q203&gt;0,S203*100/Q203,0)</f>
        <v>0</v>
      </c>
      <c r="U203" s="655">
        <f>IF(R203&gt;0,S203*100/R203,0)</f>
        <v>0</v>
      </c>
    </row>
    <row r="204" spans="1:21" ht="18.75" x14ac:dyDescent="0.25">
      <c r="A204" s="128"/>
      <c r="B204" s="158"/>
      <c r="C204" s="40"/>
      <c r="D204" s="653" t="s">
        <v>311</v>
      </c>
      <c r="E204" s="40"/>
      <c r="F204" s="40"/>
      <c r="G204" s="42"/>
      <c r="H204" s="134" t="s">
        <v>14</v>
      </c>
      <c r="I204" s="135"/>
      <c r="J204" s="135"/>
      <c r="K204" s="136"/>
      <c r="L204" s="468">
        <f ca="1">IFERROR(__xludf.DUMMYFUNCTION("IMPORTRANGE(""https://docs.google.com/spreadsheets/d/1eHaY18a8A9IcSdp1K8H6x8fbOy06t2VsZHhMHf-1x7Y/edit?usp=sharing"",""แผน!AG15"")"),4000)</f>
        <v>4000</v>
      </c>
      <c r="M204" s="45"/>
      <c r="N204" s="644">
        <v>1740</v>
      </c>
      <c r="O204" s="136"/>
      <c r="P204" s="45"/>
      <c r="Q204" s="468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307</v>
      </c>
      <c r="E205" s="40"/>
      <c r="F205" s="40"/>
      <c r="G205" s="42"/>
      <c r="H205" s="43" t="s">
        <v>14</v>
      </c>
      <c r="I205" s="44"/>
      <c r="J205" s="44"/>
      <c r="K205" s="45"/>
      <c r="L205" s="468">
        <f ca="1">IFERROR(__xludf.DUMMYFUNCTION("IMPORTRANGE(""https://docs.google.com/spreadsheets/d/1eHaY18a8A9IcSdp1K8H6x8fbOy06t2VsZHhMHf-1x7Y/edit?usp=sharing"",""แผน!AH15"")"),0)</f>
        <v>0</v>
      </c>
      <c r="M205" s="45"/>
      <c r="N205" s="644">
        <v>0</v>
      </c>
      <c r="O205" s="136"/>
      <c r="P205" s="45"/>
      <c r="Q205" s="468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468">
        <f ca="1">IFERROR(__xludf.DUMMYFUNCTION("IMPORTRANGE(""https://docs.google.com/spreadsheets/d/1eHaY18a8A9IcSdp1K8H6x8fbOy06t2VsZHhMHf-1x7Y/edit?usp=sharing"",""แผน!AI15"")"),0)</f>
        <v>0</v>
      </c>
      <c r="M206" s="45"/>
      <c r="N206" s="644">
        <v>0</v>
      </c>
      <c r="O206" s="136"/>
      <c r="P206" s="45"/>
      <c r="Q206" s="468">
        <f ca="1">IFERROR(__xludf.DUMMYFUNCTION("IMPORTRANGE(""https://docs.google.com/spreadsheets/d/1eHaY18a8A9IcSdp1K8H6x8fbOy06t2VsZHhMHf-1x7Y/edit?usp=sharing"",""แผน!LV15"")"),56000)</f>
        <v>56000</v>
      </c>
      <c r="R206" s="45"/>
      <c r="S206" s="644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468">
        <f ca="1">IFERROR(__xludf.DUMMYFUNCTION("IMPORTRANGE(""https://docs.google.com/spreadsheets/d/1eHaY18a8A9IcSdp1K8H6x8fbOy06t2VsZHhMHf-1x7Y/edit?usp=sharing"",""แผน!AJ15"")"),16000)</f>
        <v>16000</v>
      </c>
      <c r="M207" s="45"/>
      <c r="N207" s="644">
        <v>0</v>
      </c>
      <c r="O207" s="136"/>
      <c r="P207" s="45"/>
      <c r="Q207" s="468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498" t="s">
        <v>38</v>
      </c>
      <c r="E208" s="141"/>
      <c r="F208" s="141"/>
      <c r="G208" s="142"/>
      <c r="H208" s="143"/>
      <c r="I208" s="135"/>
      <c r="J208" s="135"/>
      <c r="K208" s="136"/>
      <c r="L208" s="492"/>
      <c r="M208" s="136"/>
      <c r="N208" s="136"/>
      <c r="O208" s="136"/>
      <c r="P208" s="136"/>
      <c r="Q208" s="4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IFERROR(__xludf.DUMMYFUNCTION("IMPORTRANGE(""https://docs.google.com/spreadsheets/d/1eHaY18a8A9IcSdp1K8H6x8fbOy06t2VsZHhMHf-1x7Y/edit?usp=sharing"",""แผน!AK15"")"),4)</f>
        <v>4</v>
      </c>
      <c r="J209" s="466">
        <v>0</v>
      </c>
      <c r="K209" s="497">
        <f ca="1">IF(I209&gt;0,J209*100/I209,0)</f>
        <v>0</v>
      </c>
      <c r="L209" s="465"/>
      <c r="M209" s="45"/>
      <c r="N209" s="45"/>
      <c r="O209" s="45"/>
      <c r="P209" s="45"/>
      <c r="Q209" s="465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465"/>
      <c r="M210" s="45"/>
      <c r="N210" s="45"/>
      <c r="O210" s="45"/>
      <c r="P210" s="45"/>
      <c r="Q210" s="46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IFERROR(__xludf.DUMMYFUNCTION("IMPORTRANGE(""https://docs.google.com/spreadsheets/d/1eHaY18a8A9IcSdp1K8H6x8fbOy06t2VsZHhMHf-1x7Y/edit?usp=sharing"",""แผน!JX15"")"),4)</f>
        <v>4</v>
      </c>
      <c r="J211" s="466">
        <v>0</v>
      </c>
      <c r="K211" s="497">
        <f ca="1">IF(I211&gt;0,J211*100/I211,0)</f>
        <v>0</v>
      </c>
      <c r="L211" s="465"/>
      <c r="M211" s="45"/>
      <c r="N211" s="45"/>
      <c r="O211" s="45"/>
      <c r="P211" s="45"/>
      <c r="Q211" s="46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IFERROR(__xludf.DUMMYFUNCTION("IMPORTRANGE(""https://docs.google.com/spreadsheets/d/1eHaY18a8A9IcSdp1K8H6x8fbOy06t2VsZHhMHf-1x7Y/edit?usp=sharing"",""แผน!JY15"")"),0)</f>
        <v>0</v>
      </c>
      <c r="J212" s="466">
        <v>0</v>
      </c>
      <c r="K212" s="497">
        <f ca="1">IF(I212&gt;0,J212*100/I212,0)</f>
        <v>0</v>
      </c>
      <c r="L212" s="465"/>
      <c r="M212" s="45"/>
      <c r="N212" s="45"/>
      <c r="O212" s="45"/>
      <c r="P212" s="45"/>
      <c r="Q212" s="465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ca="1">I220</f>
        <v>0</v>
      </c>
      <c r="J213" s="303">
        <f>J220</f>
        <v>0</v>
      </c>
      <c r="K213" s="304">
        <f ca="1">IF(I213&gt;0,J213*100/I213,0)</f>
        <v>0</v>
      </c>
      <c r="L213" s="557"/>
      <c r="M213" s="219"/>
      <c r="N213" s="219"/>
      <c r="O213" s="219"/>
      <c r="P213" s="219"/>
      <c r="Q213" s="557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654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471">
        <f ca="1">L215+L216+L217</f>
        <v>0</v>
      </c>
      <c r="M214" s="45"/>
      <c r="N214" s="470">
        <f>N215+N216+N217</f>
        <v>0</v>
      </c>
      <c r="O214" s="470">
        <f ca="1">IF(L214&gt;0,N214*100/L214,0)</f>
        <v>0</v>
      </c>
      <c r="P214" s="470">
        <f>IF(M214&gt;0,N214*100/M214,0)</f>
        <v>0</v>
      </c>
      <c r="Q214" s="471">
        <f ca="1">Q215+Q216+Q217</f>
        <v>0</v>
      </c>
      <c r="R214" s="45"/>
      <c r="S214" s="470">
        <f>S215+S216+S217</f>
        <v>0</v>
      </c>
      <c r="T214" s="470">
        <f ca="1">IF(Q214&gt;0,S214*100/Q214,0)</f>
        <v>0</v>
      </c>
      <c r="U214" s="470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468">
        <f ca="1">IFERROR(__xludf.DUMMYFUNCTION("IMPORTRANGE(""https://docs.google.com/spreadsheets/d/1eHaY18a8A9IcSdp1K8H6x8fbOy06t2VsZHhMHf-1x7Y/edit?usp=sharing"",""แผน!AM15"")"),0)</f>
        <v>0</v>
      </c>
      <c r="M215" s="45"/>
      <c r="N215" s="644">
        <v>0</v>
      </c>
      <c r="O215" s="136"/>
      <c r="P215" s="45"/>
      <c r="Q215" s="468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468">
        <f ca="1">IFERROR(__xludf.DUMMYFUNCTION("IMPORTRANGE(""https://docs.google.com/spreadsheets/d/1eHaY18a8A9IcSdp1K8H6x8fbOy06t2VsZHhMHf-1x7Y/edit?usp=sharing"",""แผน!AN15"")"),0)</f>
        <v>0</v>
      </c>
      <c r="M216" s="45"/>
      <c r="N216" s="644">
        <v>0</v>
      </c>
      <c r="O216" s="136"/>
      <c r="P216" s="45"/>
      <c r="Q216" s="468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468">
        <f ca="1">IFERROR(__xludf.DUMMYFUNCTION("IMPORTRANGE(""https://docs.google.com/spreadsheets/d/1eHaY18a8A9IcSdp1K8H6x8fbOy06t2VsZHhMHf-1x7Y/edit?usp=sharing"",""แผน!AO15"")"),0)</f>
        <v>0</v>
      </c>
      <c r="M217" s="45"/>
      <c r="N217" s="644">
        <v>0</v>
      </c>
      <c r="O217" s="136"/>
      <c r="P217" s="45"/>
      <c r="Q217" s="468">
        <f ca="1">IFERROR(__xludf.DUMMYFUNCTION("IMPORTRANGE(""https://docs.google.com/spreadsheets/d/1eHaY18a8A9IcSdp1K8H6x8fbOy06t2VsZHhMHf-1x7Y/edit?usp=sharing"",""แผน!LY15"")"),0)</f>
        <v>0</v>
      </c>
      <c r="R217" s="45"/>
      <c r="S217" s="644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498" t="s">
        <v>38</v>
      </c>
      <c r="E218" s="141"/>
      <c r="F218" s="141"/>
      <c r="G218" s="142"/>
      <c r="H218" s="143"/>
      <c r="I218" s="135"/>
      <c r="J218" s="44"/>
      <c r="K218" s="45"/>
      <c r="L218" s="465"/>
      <c r="M218" s="45"/>
      <c r="N218" s="45"/>
      <c r="O218" s="136"/>
      <c r="P218" s="136"/>
      <c r="Q218" s="465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IFERROR(__xludf.DUMMYFUNCTION("IMPORTRANGE(""https://docs.google.com/spreadsheets/d/1eHaY18a8A9IcSdp1K8H6x8fbOy06t2VsZHhMHf-1x7Y/edit?usp=sharing"",""แผน!AP15"")"),0)</f>
        <v>0</v>
      </c>
      <c r="J219" s="466">
        <v>0</v>
      </c>
      <c r="K219" s="224">
        <f ca="1">IF(I219&gt;0,J219*100/I219,0)</f>
        <v>0</v>
      </c>
      <c r="L219" s="465"/>
      <c r="M219" s="45"/>
      <c r="N219" s="45"/>
      <c r="O219" s="45"/>
      <c r="P219" s="45"/>
      <c r="Q219" s="465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IFERROR(__xludf.DUMMYFUNCTION("IMPORTRANGE(""https://docs.google.com/spreadsheets/d/1eHaY18a8A9IcSdp1K8H6x8fbOy06t2VsZHhMHf-1x7Y/edit?usp=sharing"",""แผน!AP15"")"),0)</f>
        <v>0</v>
      </c>
      <c r="J220" s="466">
        <v>0</v>
      </c>
      <c r="K220" s="224">
        <f ca="1">IF(I220&gt;0,J220*100/I220,0)</f>
        <v>0</v>
      </c>
      <c r="L220" s="465"/>
      <c r="M220" s="45"/>
      <c r="N220" s="45"/>
      <c r="O220" s="45"/>
      <c r="P220" s="45"/>
      <c r="Q220" s="465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ca="1">I229</f>
        <v>60000</v>
      </c>
      <c r="J221" s="303">
        <f>J229</f>
        <v>0</v>
      </c>
      <c r="K221" s="304">
        <f ca="1">IF(I221&gt;0,J221*100/I221,0)</f>
        <v>0</v>
      </c>
      <c r="L221" s="557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654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471">
        <f ca="1">L223+L224+L225</f>
        <v>8500</v>
      </c>
      <c r="M222" s="45"/>
      <c r="N222" s="470">
        <f>N223+N224+N225</f>
        <v>0</v>
      </c>
      <c r="O222" s="470">
        <f ca="1">IF(L222&gt;0,N222*100/L222,0)</f>
        <v>0</v>
      </c>
      <c r="P222" s="47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653" t="s">
        <v>308</v>
      </c>
      <c r="E223" s="40"/>
      <c r="F223" s="40"/>
      <c r="G223" s="42"/>
      <c r="H223" s="134" t="s">
        <v>14</v>
      </c>
      <c r="I223" s="135"/>
      <c r="J223" s="135"/>
      <c r="K223" s="136"/>
      <c r="L223" s="468">
        <f ca="1">IFERROR(__xludf.DUMMYFUNCTION("IMPORTRANGE(""https://docs.google.com/spreadsheets/d/1eHaY18a8A9IcSdp1K8H6x8fbOy06t2VsZHhMHf-1x7Y/edit?usp=sharing"",""แผน!AR15"")"),2500)</f>
        <v>2500</v>
      </c>
      <c r="M223" s="45"/>
      <c r="N223" s="644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307</v>
      </c>
      <c r="E224" s="40"/>
      <c r="F224" s="40"/>
      <c r="G224" s="42"/>
      <c r="H224" s="134" t="s">
        <v>14</v>
      </c>
      <c r="I224" s="44"/>
      <c r="J224" s="44"/>
      <c r="K224" s="45"/>
      <c r="L224" s="468">
        <f ca="1">IFERROR(__xludf.DUMMYFUNCTION("IMPORTRANGE(""https://docs.google.com/spreadsheets/d/1eHaY18a8A9IcSdp1K8H6x8fbOy06t2VsZHhMHf-1x7Y/edit?usp=sharing"",""แผน!AS15"")"),6000)</f>
        <v>6000</v>
      </c>
      <c r="M224" s="45"/>
      <c r="N224" s="644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468">
        <f ca="1">IFERROR(__xludf.DUMMYFUNCTION("IMPORTRANGE(""https://docs.google.com/spreadsheets/d/1eHaY18a8A9IcSdp1K8H6x8fbOy06t2VsZHhMHf-1x7Y/edit?usp=sharing"",""แผน!AT15"")"),0)</f>
        <v>0</v>
      </c>
      <c r="M225" s="45"/>
      <c r="N225" s="644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498" t="s">
        <v>38</v>
      </c>
      <c r="E226" s="141"/>
      <c r="F226" s="141"/>
      <c r="G226" s="142"/>
      <c r="H226" s="143"/>
      <c r="I226" s="135"/>
      <c r="J226" s="135"/>
      <c r="K226" s="136"/>
      <c r="L226" s="4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4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IFERROR(__xludf.DUMMYFUNCTION("IMPORTRANGE(""https://docs.google.com/spreadsheets/d/1eHaY18a8A9IcSdp1K8H6x8fbOy06t2VsZHhMHf-1x7Y/edit?usp=sharing"",""แผน!AV15"")"),60000)</f>
        <v>60000</v>
      </c>
      <c r="J228" s="466">
        <v>60000</v>
      </c>
      <c r="K228" s="497">
        <f ca="1">IF(I228&gt;0,J228*100/I228,0)</f>
        <v>100</v>
      </c>
      <c r="L228" s="4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IFERROR(__xludf.DUMMYFUNCTION("IMPORTRANGE(""https://docs.google.com/spreadsheets/d/1eHaY18a8A9IcSdp1K8H6x8fbOy06t2VsZHhMHf-1x7Y/edit?usp=sharing"",""แผน!AV15"")"),60000)</f>
        <v>60000</v>
      </c>
      <c r="J229" s="466">
        <v>0</v>
      </c>
      <c r="K229" s="497">
        <f ca="1">IF(I229&gt;0,J229*100/I229,0)</f>
        <v>0</v>
      </c>
      <c r="L229" s="465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IFERROR(__xludf.DUMMYFUNCTION("IMPORTRANGE(""https://docs.google.com/spreadsheets/d/1eHaY18a8A9IcSdp1K8H6x8fbOy06t2VsZHhMHf-1x7Y/edit?usp=sharing"",""แผน!AU15"")"),0)</f>
        <v>0</v>
      </c>
      <c r="J230" s="466">
        <v>0</v>
      </c>
      <c r="K230" s="497">
        <f ca="1">IF(I230&gt;0,J230*100/I230,0)</f>
        <v>0</v>
      </c>
      <c r="L230" s="465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3">
        <f ca="1">I242+I253</f>
        <v>0</v>
      </c>
      <c r="J231" s="303">
        <f>J242+J253</f>
        <v>0</v>
      </c>
      <c r="K231" s="304">
        <f ca="1">IF(I231&gt;0,J231*100/I231,0)</f>
        <v>0</v>
      </c>
      <c r="L231" s="557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472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652">
        <f ca="1">L243+L254</f>
        <v>0</v>
      </c>
      <c r="M232" s="45"/>
      <c r="N232" s="651">
        <f>N243+N254</f>
        <v>0</v>
      </c>
      <c r="O232" s="45"/>
      <c r="P232" s="45"/>
      <c r="Q232" s="45"/>
      <c r="R232" s="45"/>
      <c r="S232" s="45"/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469">
        <f ca="1">L244+L255</f>
        <v>0</v>
      </c>
      <c r="M233" s="45"/>
      <c r="N233" s="83">
        <f>N244+N255</f>
        <v>0</v>
      </c>
      <c r="O233" s="45"/>
      <c r="P233" s="45"/>
      <c r="Q233" s="713">
        <v>0</v>
      </c>
      <c r="R233" s="712">
        <v>0</v>
      </c>
      <c r="S233" s="712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469">
        <f ca="1">L245+L256</f>
        <v>0</v>
      </c>
      <c r="M234" s="45"/>
      <c r="N234" s="83">
        <f>N245+N256</f>
        <v>0</v>
      </c>
      <c r="O234" s="45"/>
      <c r="P234" s="45"/>
      <c r="Q234" s="711">
        <v>0</v>
      </c>
      <c r="R234" s="710">
        <v>0</v>
      </c>
      <c r="S234" s="710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469">
        <f ca="1">L246+L257</f>
        <v>0</v>
      </c>
      <c r="M235" s="45"/>
      <c r="N235" s="83">
        <f>N246+N257</f>
        <v>0</v>
      </c>
      <c r="O235" s="45"/>
      <c r="P235" s="45"/>
      <c r="Q235" s="711">
        <v>0</v>
      </c>
      <c r="R235" s="710">
        <v>0</v>
      </c>
      <c r="S235" s="710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469">
        <f ca="1">L247+L258</f>
        <v>0</v>
      </c>
      <c r="M236" s="45"/>
      <c r="N236" s="83">
        <f>N247+N258</f>
        <v>0</v>
      </c>
      <c r="O236" s="45"/>
      <c r="P236" s="45"/>
      <c r="Q236" s="711">
        <v>0</v>
      </c>
      <c r="R236" s="710">
        <v>0</v>
      </c>
      <c r="S236" s="710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498" t="s">
        <v>38</v>
      </c>
      <c r="E237" s="141"/>
      <c r="F237" s="141"/>
      <c r="G237" s="142"/>
      <c r="H237" s="143"/>
      <c r="I237" s="135"/>
      <c r="J237" s="44"/>
      <c r="K237" s="45"/>
      <c r="L237" s="465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465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465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465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465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649" t="s">
        <v>111</v>
      </c>
      <c r="D242" s="214"/>
      <c r="E242" s="214"/>
      <c r="F242" s="214"/>
      <c r="G242" s="215"/>
      <c r="H242" s="648" t="s">
        <v>35</v>
      </c>
      <c r="I242" s="647">
        <f ca="1">I249</f>
        <v>0</v>
      </c>
      <c r="J242" s="647">
        <f>J249</f>
        <v>0</v>
      </c>
      <c r="K242" s="646">
        <f ca="1">IF(I242&gt;0,J242*100/I242,0)</f>
        <v>0</v>
      </c>
      <c r="L242" s="557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527" t="s">
        <v>18</v>
      </c>
      <c r="D243" s="494" t="s">
        <v>19</v>
      </c>
      <c r="E243" s="40"/>
      <c r="F243" s="40"/>
      <c r="G243" s="42"/>
      <c r="H243" s="372" t="s">
        <v>14</v>
      </c>
      <c r="I243" s="135"/>
      <c r="J243" s="135"/>
      <c r="K243" s="136"/>
      <c r="L243" s="471">
        <f ca="1">L244+L245+L246+L247</f>
        <v>0</v>
      </c>
      <c r="M243" s="45"/>
      <c r="N243" s="470">
        <f>N244+N245+N246+N247</f>
        <v>0</v>
      </c>
      <c r="O243" s="470">
        <f ca="1">IF(L243&gt;0,N243*100/L243,0)</f>
        <v>0</v>
      </c>
      <c r="P243" s="470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468">
        <f ca="1">IFERROR(__xludf.DUMMYFUNCTION("IMPORTRANGE(""https://docs.google.com/spreadsheets/d/1eHaY18a8A9IcSdp1K8H6x8fbOy06t2VsZHhMHf-1x7Y/edit?usp=sharing"",""แผน!AX15"")"),0)</f>
        <v>0</v>
      </c>
      <c r="M244" s="45"/>
      <c r="N244" s="644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468">
        <f ca="1">IFERROR(__xludf.DUMMYFUNCTION("IMPORTRANGE(""https://docs.google.com/spreadsheets/d/1eHaY18a8A9IcSdp1K8H6x8fbOy06t2VsZHhMHf-1x7Y/edit?usp=sharing"",""แผน!AY15"")"),0)</f>
        <v>0</v>
      </c>
      <c r="M245" s="45"/>
      <c r="N245" s="644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468">
        <f ca="1">IFERROR(__xludf.DUMMYFUNCTION("IMPORTRANGE(""https://docs.google.com/spreadsheets/d/1eHaY18a8A9IcSdp1K8H6x8fbOy06t2VsZHhMHf-1x7Y/edit?usp=sharing"",""แผน!AZ15"")"),0)</f>
        <v>0</v>
      </c>
      <c r="M246" s="45"/>
      <c r="N246" s="644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468">
        <f ca="1">IFERROR(__xludf.DUMMYFUNCTION("IMPORTRANGE(""https://docs.google.com/spreadsheets/d/1eHaY18a8A9IcSdp1K8H6x8fbOy06t2VsZHhMHf-1x7Y/edit?usp=sharing"",""แผน!BA15"")"),0)</f>
        <v>0</v>
      </c>
      <c r="M247" s="45"/>
      <c r="N247" s="644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643" t="s">
        <v>18</v>
      </c>
      <c r="D248" s="509" t="s">
        <v>38</v>
      </c>
      <c r="E248" s="141"/>
      <c r="F248" s="141"/>
      <c r="G248" s="142"/>
      <c r="H248" s="143"/>
      <c r="I248" s="135"/>
      <c r="J248" s="44"/>
      <c r="K248" s="45"/>
      <c r="L248" s="465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640" t="s">
        <v>35</v>
      </c>
      <c r="I249" s="430">
        <f ca="1">IFERROR(__xludf.DUMMYFUNCTION("IMPORTRANGE(""https://docs.google.com/spreadsheets/d/1eHaY18a8A9IcSdp1K8H6x8fbOy06t2VsZHhMHf-1x7Y/edit?usp=sharing"",""แผน!BG15"")"),0)</f>
        <v>0</v>
      </c>
      <c r="J249" s="525">
        <v>0</v>
      </c>
      <c r="K249" s="83">
        <f ca="1">IF(I249&gt;0,J249*100/I249,0)</f>
        <v>0</v>
      </c>
      <c r="L249" s="465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642" t="s">
        <v>43</v>
      </c>
      <c r="E250" s="145"/>
      <c r="F250" s="145"/>
      <c r="G250" s="143"/>
      <c r="H250" s="143"/>
      <c r="I250" s="44"/>
      <c r="J250" s="44"/>
      <c r="K250" s="45"/>
      <c r="L250" s="465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1" t="s">
        <v>109</v>
      </c>
      <c r="F251" s="145"/>
      <c r="G251" s="143"/>
      <c r="H251" s="640" t="s">
        <v>35</v>
      </c>
      <c r="I251" s="430">
        <v>0</v>
      </c>
      <c r="J251" s="525">
        <v>0</v>
      </c>
      <c r="K251" s="83">
        <f>IF(I251&gt;0,J251*100/I251,0)</f>
        <v>0</v>
      </c>
      <c r="L251" s="465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641" t="s">
        <v>110</v>
      </c>
      <c r="F252" s="145"/>
      <c r="G252" s="143"/>
      <c r="H252" s="640" t="s">
        <v>61</v>
      </c>
      <c r="I252" s="430">
        <v>0</v>
      </c>
      <c r="J252" s="525">
        <v>0</v>
      </c>
      <c r="K252" s="83">
        <f>IF(I252&gt;0,J252*100/I252,0)</f>
        <v>0</v>
      </c>
      <c r="L252" s="465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649" t="s">
        <v>112</v>
      </c>
      <c r="D253" s="214"/>
      <c r="E253" s="214"/>
      <c r="F253" s="214"/>
      <c r="G253" s="215"/>
      <c r="H253" s="648" t="s">
        <v>35</v>
      </c>
      <c r="I253" s="647">
        <f ca="1">I260</f>
        <v>0</v>
      </c>
      <c r="J253" s="647">
        <f>J260</f>
        <v>0</v>
      </c>
      <c r="K253" s="646">
        <f ca="1">IF(I253&gt;0,J253*100/I253,0)</f>
        <v>0</v>
      </c>
      <c r="L253" s="557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527" t="s">
        <v>18</v>
      </c>
      <c r="D254" s="645" t="s">
        <v>19</v>
      </c>
      <c r="E254" s="40"/>
      <c r="F254" s="40"/>
      <c r="G254" s="42"/>
      <c r="H254" s="372" t="s">
        <v>14</v>
      </c>
      <c r="I254" s="135"/>
      <c r="J254" s="135"/>
      <c r="K254" s="136"/>
      <c r="L254" s="471">
        <f ca="1">L255+L256+L257+L258</f>
        <v>0</v>
      </c>
      <c r="M254" s="45"/>
      <c r="N254" s="470">
        <f>N255+N256+N257+N258</f>
        <v>0</v>
      </c>
      <c r="O254" s="470">
        <f ca="1">IF(L254&gt;0,N254*100/L254,0)</f>
        <v>0</v>
      </c>
      <c r="P254" s="470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468">
        <f ca="1">IFERROR(__xludf.DUMMYFUNCTION("IMPORTRANGE(""https://docs.google.com/spreadsheets/d/1eHaY18a8A9IcSdp1K8H6x8fbOy06t2VsZHhMHf-1x7Y/edit?usp=sharing"",""แผน!BB15"")"),0)</f>
        <v>0</v>
      </c>
      <c r="M255" s="45"/>
      <c r="N255" s="644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468">
        <f ca="1">IFERROR(__xludf.DUMMYFUNCTION("IMPORTRANGE(""https://docs.google.com/spreadsheets/d/1eHaY18a8A9IcSdp1K8H6x8fbOy06t2VsZHhMHf-1x7Y/edit?usp=sharing"",""แผน!BC15"")"),0)</f>
        <v>0</v>
      </c>
      <c r="M256" s="45"/>
      <c r="N256" s="644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468">
        <f ca="1">IFERROR(__xludf.DUMMYFUNCTION("IMPORTRANGE(""https://docs.google.com/spreadsheets/d/1eHaY18a8A9IcSdp1K8H6x8fbOy06t2VsZHhMHf-1x7Y/edit?usp=sharing"",""แผน!BD15"")"),0)</f>
        <v>0</v>
      </c>
      <c r="M257" s="45"/>
      <c r="N257" s="644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468">
        <f ca="1">IFERROR(__xludf.DUMMYFUNCTION("IMPORTRANGE(""https://docs.google.com/spreadsheets/d/1eHaY18a8A9IcSdp1K8H6x8fbOy06t2VsZHhMHf-1x7Y/edit?usp=sharing"",""แผน!BE15"")"),0)</f>
        <v>0</v>
      </c>
      <c r="M258" s="45"/>
      <c r="N258" s="644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643" t="s">
        <v>18</v>
      </c>
      <c r="D259" s="509" t="s">
        <v>38</v>
      </c>
      <c r="E259" s="141"/>
      <c r="F259" s="141"/>
      <c r="G259" s="142"/>
      <c r="H259" s="143"/>
      <c r="I259" s="135"/>
      <c r="J259" s="44"/>
      <c r="K259" s="45"/>
      <c r="L259" s="465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640" t="s">
        <v>35</v>
      </c>
      <c r="I260" s="430">
        <f ca="1">IFERROR(__xludf.DUMMYFUNCTION("IMPORTRANGE(""https://docs.google.com/spreadsheets/d/1eHaY18a8A9IcSdp1K8H6x8fbOy06t2VsZHhMHf-1x7Y/edit?usp=sharing"",""แผน!BH15"")"),0)</f>
        <v>0</v>
      </c>
      <c r="J260" s="525">
        <v>0</v>
      </c>
      <c r="K260" s="83">
        <f ca="1">IF(I260&gt;0,J260*100/I260,0)</f>
        <v>0</v>
      </c>
      <c r="L260" s="465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642" t="s">
        <v>43</v>
      </c>
      <c r="E261" s="145"/>
      <c r="F261" s="145"/>
      <c r="G261" s="143"/>
      <c r="H261" s="143"/>
      <c r="I261" s="44"/>
      <c r="J261" s="44"/>
      <c r="K261" s="45"/>
      <c r="L261" s="465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1" t="s">
        <v>109</v>
      </c>
      <c r="F262" s="145"/>
      <c r="G262" s="143"/>
      <c r="H262" s="640" t="s">
        <v>35</v>
      </c>
      <c r="I262" s="44"/>
      <c r="J262" s="525">
        <v>0</v>
      </c>
      <c r="K262" s="83">
        <f>IF(I262&gt;0,J262*100/I262,0)</f>
        <v>0</v>
      </c>
      <c r="L262" s="465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641" t="s">
        <v>110</v>
      </c>
      <c r="F263" s="145"/>
      <c r="G263" s="143"/>
      <c r="H263" s="640" t="s">
        <v>61</v>
      </c>
      <c r="I263" s="44"/>
      <c r="J263" s="525">
        <v>0</v>
      </c>
      <c r="K263" s="83">
        <f>IF(I263&gt;0,J263*100/I263,0)</f>
        <v>0</v>
      </c>
      <c r="L263" s="465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639" t="s">
        <v>113</v>
      </c>
      <c r="B264" s="638"/>
      <c r="C264" s="638"/>
      <c r="D264" s="637"/>
      <c r="E264" s="637"/>
      <c r="F264" s="637"/>
      <c r="G264" s="636"/>
      <c r="H264" s="636"/>
      <c r="I264" s="635"/>
      <c r="J264" s="635"/>
      <c r="K264" s="633"/>
      <c r="L264" s="634"/>
      <c r="M264" s="633"/>
      <c r="N264" s="633"/>
      <c r="O264" s="633"/>
      <c r="P264" s="633"/>
      <c r="Q264" s="633"/>
      <c r="R264" s="633"/>
      <c r="S264" s="633"/>
      <c r="T264" s="633"/>
      <c r="U264" s="633"/>
    </row>
    <row r="265" spans="1:21" ht="19.5" x14ac:dyDescent="0.3">
      <c r="A265" s="632"/>
      <c r="B265" s="631" t="s">
        <v>114</v>
      </c>
      <c r="C265" s="630"/>
      <c r="D265" s="603"/>
      <c r="E265" s="603"/>
      <c r="F265" s="603"/>
      <c r="G265" s="602"/>
      <c r="H265" s="629" t="s">
        <v>35</v>
      </c>
      <c r="I265" s="628">
        <f ca="1">I276</f>
        <v>24</v>
      </c>
      <c r="J265" s="628">
        <f>J276</f>
        <v>0</v>
      </c>
      <c r="K265" s="627">
        <f ca="1">IF(I265&gt;0,J265*100/I265,0)</f>
        <v>0</v>
      </c>
      <c r="L265" s="626"/>
      <c r="M265" s="625"/>
      <c r="N265" s="625"/>
      <c r="O265" s="625"/>
      <c r="P265" s="625"/>
      <c r="Q265" s="625"/>
      <c r="R265" s="625"/>
      <c r="S265" s="625"/>
      <c r="T265" s="625"/>
      <c r="U265" s="625"/>
    </row>
    <row r="266" spans="1:21" ht="19.5" x14ac:dyDescent="0.3">
      <c r="A266" s="610"/>
      <c r="B266" s="609"/>
      <c r="C266" s="624" t="s">
        <v>18</v>
      </c>
      <c r="D266" s="623" t="s">
        <v>19</v>
      </c>
      <c r="E266" s="609"/>
      <c r="F266" s="609"/>
      <c r="G266" s="608"/>
      <c r="H266" s="622" t="s">
        <v>14</v>
      </c>
      <c r="I266" s="479"/>
      <c r="J266" s="479"/>
      <c r="K266" s="476"/>
      <c r="L266" s="621">
        <f ca="1">L267+L268</f>
        <v>0</v>
      </c>
      <c r="M266" s="620">
        <f ca="1">M267+M268</f>
        <v>5000</v>
      </c>
      <c r="N266" s="620">
        <f ca="1">N267+N268</f>
        <v>0</v>
      </c>
      <c r="O266" s="620">
        <f t="shared" ref="O266:O274" ca="1" si="65">IF(L266&gt;0,N266*100/L266,0)</f>
        <v>0</v>
      </c>
      <c r="P266" s="620">
        <f t="shared" ref="P266:P274" ca="1" si="66">IF(M266&gt;0,N266*100/M266,0)</f>
        <v>0</v>
      </c>
      <c r="Q266" s="620">
        <f ca="1">Q267+Q268</f>
        <v>53440</v>
      </c>
      <c r="R266" s="620">
        <f ca="1">R267+R268</f>
        <v>53440</v>
      </c>
      <c r="S266" s="620">
        <f ca="1">S267+S268</f>
        <v>0</v>
      </c>
      <c r="T266" s="620">
        <f t="shared" ref="T266:T274" ca="1" si="67">IF(Q266&gt;0,S266*100/Q266,0)</f>
        <v>0</v>
      </c>
      <c r="U266" s="620">
        <f t="shared" ref="U266:U274" ca="1" si="68">IF(R266&gt;0,S266*100/R266,0)</f>
        <v>0</v>
      </c>
    </row>
    <row r="267" spans="1:21" ht="18.75" hidden="1" x14ac:dyDescent="0.25">
      <c r="A267" s="615"/>
      <c r="B267" s="614"/>
      <c r="C267" s="614"/>
      <c r="D267" s="614"/>
      <c r="E267" s="156" t="s">
        <v>20</v>
      </c>
      <c r="F267" s="614"/>
      <c r="G267" s="613"/>
      <c r="H267" s="157" t="s">
        <v>14</v>
      </c>
      <c r="I267" s="619"/>
      <c r="J267" s="619"/>
      <c r="K267" s="618"/>
      <c r="L267" s="469">
        <f t="shared" ref="L267:N268" si="69">L270+L273</f>
        <v>0</v>
      </c>
      <c r="M267" s="83">
        <f t="shared" si="69"/>
        <v>0</v>
      </c>
      <c r="N267" s="83">
        <f t="shared" si="69"/>
        <v>0</v>
      </c>
      <c r="O267" s="83">
        <f t="shared" si="65"/>
        <v>0</v>
      </c>
      <c r="P267" s="83">
        <f t="shared" si="66"/>
        <v>0</v>
      </c>
      <c r="Q267" s="83">
        <f t="shared" ref="Q267:S268" si="70">Q270+Q273</f>
        <v>0</v>
      </c>
      <c r="R267" s="83">
        <f t="shared" si="70"/>
        <v>0</v>
      </c>
      <c r="S267" s="83">
        <f t="shared" si="70"/>
        <v>0</v>
      </c>
      <c r="T267" s="83">
        <f t="shared" si="67"/>
        <v>0</v>
      </c>
      <c r="U267" s="83">
        <f t="shared" si="68"/>
        <v>0</v>
      </c>
    </row>
    <row r="268" spans="1:21" ht="18.75" hidden="1" x14ac:dyDescent="0.25">
      <c r="A268" s="610"/>
      <c r="B268" s="609"/>
      <c r="C268" s="609"/>
      <c r="D268" s="609"/>
      <c r="E268" s="605" t="s">
        <v>21</v>
      </c>
      <c r="F268" s="609"/>
      <c r="G268" s="608"/>
      <c r="H268" s="480" t="s">
        <v>14</v>
      </c>
      <c r="I268" s="479"/>
      <c r="J268" s="479"/>
      <c r="K268" s="476"/>
      <c r="L268" s="606">
        <f t="shared" ca="1" si="69"/>
        <v>0</v>
      </c>
      <c r="M268" s="486">
        <f t="shared" ca="1" si="69"/>
        <v>5000</v>
      </c>
      <c r="N268" s="486">
        <f t="shared" ca="1" si="69"/>
        <v>0</v>
      </c>
      <c r="O268" s="486">
        <f t="shared" ca="1" si="65"/>
        <v>0</v>
      </c>
      <c r="P268" s="486">
        <f t="shared" ca="1" si="66"/>
        <v>0</v>
      </c>
      <c r="Q268" s="486">
        <f t="shared" ca="1" si="70"/>
        <v>53440</v>
      </c>
      <c r="R268" s="486">
        <f t="shared" ca="1" si="70"/>
        <v>53440</v>
      </c>
      <c r="S268" s="486">
        <f t="shared" ca="1" si="70"/>
        <v>0</v>
      </c>
      <c r="T268" s="486">
        <f t="shared" ca="1" si="67"/>
        <v>0</v>
      </c>
      <c r="U268" s="486">
        <f t="shared" ca="1" si="68"/>
        <v>0</v>
      </c>
    </row>
    <row r="269" spans="1:21" ht="18.75" x14ac:dyDescent="0.25">
      <c r="A269" s="610"/>
      <c r="B269" s="609"/>
      <c r="C269" s="609"/>
      <c r="D269" s="616" t="s">
        <v>22</v>
      </c>
      <c r="E269" s="609"/>
      <c r="F269" s="609"/>
      <c r="G269" s="608"/>
      <c r="H269" s="617" t="s">
        <v>14</v>
      </c>
      <c r="I269" s="601"/>
      <c r="J269" s="601"/>
      <c r="K269" s="599"/>
      <c r="L269" s="606">
        <f ca="1">L270+L271</f>
        <v>0</v>
      </c>
      <c r="M269" s="486">
        <f ca="1">M270+M271</f>
        <v>5000</v>
      </c>
      <c r="N269" s="486">
        <f ca="1">N270+N271</f>
        <v>0</v>
      </c>
      <c r="O269" s="486">
        <f t="shared" ca="1" si="65"/>
        <v>0</v>
      </c>
      <c r="P269" s="486">
        <f t="shared" ca="1" si="66"/>
        <v>0</v>
      </c>
      <c r="Q269" s="486">
        <f ca="1">Q270+Q271</f>
        <v>53440</v>
      </c>
      <c r="R269" s="486">
        <f ca="1">R270+R271</f>
        <v>53440</v>
      </c>
      <c r="S269" s="486">
        <f ca="1">S270+S271</f>
        <v>0</v>
      </c>
      <c r="T269" s="486">
        <f t="shared" ca="1" si="67"/>
        <v>0</v>
      </c>
      <c r="U269" s="486">
        <f t="shared" ca="1" si="68"/>
        <v>0</v>
      </c>
    </row>
    <row r="270" spans="1:21" ht="18.75" hidden="1" x14ac:dyDescent="0.25">
      <c r="A270" s="615"/>
      <c r="B270" s="614"/>
      <c r="C270" s="614"/>
      <c r="D270" s="614"/>
      <c r="E270" s="156" t="s">
        <v>36</v>
      </c>
      <c r="F270" s="614"/>
      <c r="G270" s="613"/>
      <c r="H270" s="159" t="s">
        <v>14</v>
      </c>
      <c r="I270" s="612"/>
      <c r="J270" s="612"/>
      <c r="K270" s="611"/>
      <c r="L270" s="469">
        <v>0</v>
      </c>
      <c r="M270" s="83">
        <v>0</v>
      </c>
      <c r="N270" s="83">
        <v>0</v>
      </c>
      <c r="O270" s="83">
        <f t="shared" si="65"/>
        <v>0</v>
      </c>
      <c r="P270" s="83">
        <f t="shared" si="66"/>
        <v>0</v>
      </c>
      <c r="Q270" s="83">
        <v>0</v>
      </c>
      <c r="R270" s="83">
        <v>0</v>
      </c>
      <c r="S270" s="83">
        <v>0</v>
      </c>
      <c r="T270" s="83">
        <f t="shared" si="67"/>
        <v>0</v>
      </c>
      <c r="U270" s="83">
        <f t="shared" si="68"/>
        <v>0</v>
      </c>
    </row>
    <row r="271" spans="1:21" ht="18.75" hidden="1" x14ac:dyDescent="0.25">
      <c r="A271" s="610"/>
      <c r="B271" s="609"/>
      <c r="C271" s="609"/>
      <c r="D271" s="609"/>
      <c r="E271" s="605" t="s">
        <v>37</v>
      </c>
      <c r="F271" s="609"/>
      <c r="G271" s="608"/>
      <c r="H271" s="617" t="s">
        <v>14</v>
      </c>
      <c r="I271" s="601"/>
      <c r="J271" s="601"/>
      <c r="K271" s="599"/>
      <c r="L271" s="606">
        <f ca="1">IFERROR(__xludf.DUMMYFUNCTION("IMPORTRANGE(""https://docs.google.com/spreadsheets/d/1-uDff_7J0KD5mKrp0Vvzr7lt3OU09vwQwhkpOPPYv2Y/edit?usp=sharing"",""งบพรบ!DE15"")"),0)</f>
        <v>0</v>
      </c>
      <c r="M271" s="486">
        <f ca="1">IFERROR(__xludf.DUMMYFUNCTION("IMPORTRANGE(""https://docs.google.com/spreadsheets/d/1-uDff_7J0KD5mKrp0Vvzr7lt3OU09vwQwhkpOPPYv2Y/edit?usp=sharing"",""งบพรบ!DJ15"")"),5000)</f>
        <v>5000</v>
      </c>
      <c r="N271" s="486">
        <f ca="1">IFERROR(__xludf.DUMMYFUNCTION("IMPORTRANGE(""https://docs.google.com/spreadsheets/d/1-uDff_7J0KD5mKrp0Vvzr7lt3OU09vwQwhkpOPPYv2Y/edit?usp=sharing"",""งบพรบ!DL15"")"),0)</f>
        <v>0</v>
      </c>
      <c r="O271" s="486">
        <f t="shared" ca="1" si="65"/>
        <v>0</v>
      </c>
      <c r="P271" s="486">
        <f t="shared" ca="1" si="66"/>
        <v>0</v>
      </c>
      <c r="Q271" s="486">
        <f ca="1">IFERROR(__xludf.DUMMYFUNCTION("IMPORTRANGE(""https://docs.google.com/spreadsheets/d/1ItG2mGa2ceCfYo0BwxsXqNm01IGEUdYcSSLTEv9YCik/edit?usp=sharing"",""เบิกจ่ายกองทุน!AJ15"")"),53440)</f>
        <v>53440</v>
      </c>
      <c r="R271" s="486">
        <f ca="1">IFERROR(__xludf.DUMMYFUNCTION("IMPORTRANGE(""https://docs.google.com/spreadsheets/d/1ItG2mGa2ceCfYo0BwxsXqNm01IGEUdYcSSLTEv9YCik/edit?usp=sharing"",""เบิกจ่ายกองทุน!AK15"")"),53440)</f>
        <v>53440</v>
      </c>
      <c r="S271" s="486">
        <f ca="1">IFERROR(__xludf.DUMMYFUNCTION("IMPORTRANGE(""https://docs.google.com/spreadsheets/d/1ItG2mGa2ceCfYo0BwxsXqNm01IGEUdYcSSLTEv9YCik/edit?usp=sharing"",""เบิกจ่ายกองทุน!AL15"")"),0)</f>
        <v>0</v>
      </c>
      <c r="T271" s="486">
        <f t="shared" ca="1" si="67"/>
        <v>0</v>
      </c>
      <c r="U271" s="486">
        <f t="shared" ca="1" si="68"/>
        <v>0</v>
      </c>
    </row>
    <row r="272" spans="1:21" ht="18.75" x14ac:dyDescent="0.25">
      <c r="A272" s="610"/>
      <c r="B272" s="609"/>
      <c r="C272" s="609"/>
      <c r="D272" s="616" t="s">
        <v>23</v>
      </c>
      <c r="E272" s="609"/>
      <c r="F272" s="609"/>
      <c r="G272" s="608"/>
      <c r="H272" s="607" t="s">
        <v>14</v>
      </c>
      <c r="I272" s="601"/>
      <c r="J272" s="601"/>
      <c r="K272" s="599"/>
      <c r="L272" s="606">
        <f ca="1">L273+L274</f>
        <v>0</v>
      </c>
      <c r="M272" s="486">
        <f ca="1">M273+M274</f>
        <v>0</v>
      </c>
      <c r="N272" s="486">
        <f ca="1">N273+N274</f>
        <v>0</v>
      </c>
      <c r="O272" s="486">
        <f t="shared" ca="1" si="65"/>
        <v>0</v>
      </c>
      <c r="P272" s="486">
        <f t="shared" ca="1" si="66"/>
        <v>0</v>
      </c>
      <c r="Q272" s="486">
        <f>Q273+Q274</f>
        <v>0</v>
      </c>
      <c r="R272" s="486">
        <f>R273+R274</f>
        <v>0</v>
      </c>
      <c r="S272" s="486">
        <f>S273+S274</f>
        <v>0</v>
      </c>
      <c r="T272" s="486">
        <f t="shared" si="67"/>
        <v>0</v>
      </c>
      <c r="U272" s="486">
        <f t="shared" si="68"/>
        <v>0</v>
      </c>
    </row>
    <row r="273" spans="1:21" ht="18.75" hidden="1" x14ac:dyDescent="0.25">
      <c r="A273" s="615"/>
      <c r="B273" s="614"/>
      <c r="C273" s="614"/>
      <c r="D273" s="614"/>
      <c r="E273" s="156" t="s">
        <v>20</v>
      </c>
      <c r="F273" s="614"/>
      <c r="G273" s="613"/>
      <c r="H273" s="159" t="s">
        <v>14</v>
      </c>
      <c r="I273" s="612"/>
      <c r="J273" s="612"/>
      <c r="K273" s="611"/>
      <c r="L273" s="469">
        <v>0</v>
      </c>
      <c r="M273" s="83">
        <v>0</v>
      </c>
      <c r="N273" s="83">
        <v>0</v>
      </c>
      <c r="O273" s="83">
        <f t="shared" si="65"/>
        <v>0</v>
      </c>
      <c r="P273" s="83">
        <f t="shared" si="66"/>
        <v>0</v>
      </c>
      <c r="Q273" s="83">
        <v>0</v>
      </c>
      <c r="R273" s="83">
        <v>0</v>
      </c>
      <c r="S273" s="83">
        <v>0</v>
      </c>
      <c r="T273" s="83">
        <f t="shared" si="67"/>
        <v>0</v>
      </c>
      <c r="U273" s="83">
        <f t="shared" si="68"/>
        <v>0</v>
      </c>
    </row>
    <row r="274" spans="1:21" ht="18.75" hidden="1" x14ac:dyDescent="0.25">
      <c r="A274" s="610"/>
      <c r="B274" s="609"/>
      <c r="C274" s="609"/>
      <c r="D274" s="609"/>
      <c r="E274" s="605" t="s">
        <v>21</v>
      </c>
      <c r="F274" s="609"/>
      <c r="G274" s="608"/>
      <c r="H274" s="607" t="s">
        <v>14</v>
      </c>
      <c r="I274" s="601"/>
      <c r="J274" s="601"/>
      <c r="K274" s="599"/>
      <c r="L274" s="606">
        <f ca="1">IFERROR(__xludf.DUMMYFUNCTION("IMPORTRANGE(""https://docs.google.com/spreadsheets/d/1-uDff_7J0KD5mKrp0Vvzr7lt3OU09vwQwhkpOPPYv2Y/edit?usp=sharing"",""งบพรบ!DH15"")"),0)</f>
        <v>0</v>
      </c>
      <c r="M274" s="486">
        <f ca="1">IFERROR(__xludf.DUMMYFUNCTION("IMPORTRANGE(""https://docs.google.com/spreadsheets/d/1-uDff_7J0KD5mKrp0Vvzr7lt3OU09vwQwhkpOPPYv2Y/edit?usp=sharing"",""งบพรบ!DK15"")"),0)</f>
        <v>0</v>
      </c>
      <c r="N274" s="486">
        <f ca="1">IFERROR(__xludf.DUMMYFUNCTION("IMPORTRANGE(""https://docs.google.com/spreadsheets/d/1-uDff_7J0KD5mKrp0Vvzr7lt3OU09vwQwhkpOPPYv2Y/edit?usp=sharing"",""งบพรบ!DM15"")"),0)</f>
        <v>0</v>
      </c>
      <c r="O274" s="486">
        <f t="shared" ca="1" si="65"/>
        <v>0</v>
      </c>
      <c r="P274" s="486">
        <f t="shared" ca="1" si="66"/>
        <v>0</v>
      </c>
      <c r="Q274" s="486">
        <v>0</v>
      </c>
      <c r="R274" s="486">
        <v>0</v>
      </c>
      <c r="S274" s="486">
        <v>0</v>
      </c>
      <c r="T274" s="486">
        <f t="shared" si="67"/>
        <v>0</v>
      </c>
      <c r="U274" s="486">
        <f t="shared" si="68"/>
        <v>0</v>
      </c>
    </row>
    <row r="275" spans="1:21" ht="19.5" x14ac:dyDescent="0.3">
      <c r="A275" s="485"/>
      <c r="B275" s="484"/>
      <c r="C275" s="605" t="s">
        <v>18</v>
      </c>
      <c r="D275" s="604" t="s">
        <v>38</v>
      </c>
      <c r="E275" s="603"/>
      <c r="F275" s="603"/>
      <c r="G275" s="602"/>
      <c r="H275" s="481"/>
      <c r="I275" s="601"/>
      <c r="J275" s="601"/>
      <c r="K275" s="599"/>
      <c r="L275" s="600"/>
      <c r="M275" s="599"/>
      <c r="N275" s="599"/>
      <c r="O275" s="599"/>
      <c r="P275" s="599"/>
      <c r="Q275" s="599"/>
      <c r="R275" s="599"/>
      <c r="S275" s="599"/>
      <c r="T275" s="599"/>
      <c r="U275" s="599"/>
    </row>
    <row r="276" spans="1:21" ht="18.75" x14ac:dyDescent="0.25">
      <c r="A276" s="598"/>
      <c r="B276" s="597"/>
      <c r="C276" s="597"/>
      <c r="D276" s="596" t="s">
        <v>115</v>
      </c>
      <c r="E276" s="595"/>
      <c r="F276" s="595"/>
      <c r="G276" s="594"/>
      <c r="H276" s="593" t="s">
        <v>35</v>
      </c>
      <c r="I276" s="592">
        <f ca="1">IFERROR(__xludf.DUMMYFUNCTION("IMPORTRANGE(""https://docs.google.com/spreadsheets/d/1eHaY18a8A9IcSdp1K8H6x8fbOy06t2VsZHhMHf-1x7Y/edit?usp=sharing"",""แผน!EC15"")"),24)</f>
        <v>24</v>
      </c>
      <c r="J276" s="444">
        <v>0</v>
      </c>
      <c r="K276" s="591">
        <f ca="1">IF(I276&gt;0,J276*100/I276,0)</f>
        <v>0</v>
      </c>
      <c r="L276" s="465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590" t="s">
        <v>116</v>
      </c>
      <c r="E277" s="252"/>
      <c r="F277" s="252"/>
      <c r="G277" s="253"/>
      <c r="H277" s="589" t="s">
        <v>35</v>
      </c>
      <c r="I277" s="433">
        <v>0</v>
      </c>
      <c r="J277" s="433">
        <v>0</v>
      </c>
      <c r="K277" s="588">
        <v>0</v>
      </c>
      <c r="L277" s="587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58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585">
        <f ca="1">I293</f>
        <v>30</v>
      </c>
      <c r="J280" s="585">
        <f>J293</f>
        <v>30</v>
      </c>
      <c r="K280" s="584">
        <f ca="1">IF(I280&gt;0,J280*100/I280,0)</f>
        <v>100</v>
      </c>
      <c r="L280" s="583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585">
        <f ca="1">I292</f>
        <v>300</v>
      </c>
      <c r="J281" s="585">
        <f>J292</f>
        <v>300</v>
      </c>
      <c r="K281" s="584">
        <f ca="1">IF(I281&gt;0,J281*100/I281,0)</f>
        <v>100</v>
      </c>
      <c r="L281" s="583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472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471">
        <f ca="1">L283+L284</f>
        <v>85120</v>
      </c>
      <c r="M282" s="470">
        <f ca="1">M283+M284</f>
        <v>85120</v>
      </c>
      <c r="N282" s="470">
        <f ca="1">N283+N284</f>
        <v>48438</v>
      </c>
      <c r="O282" s="470">
        <f t="shared" ref="O282:O290" ca="1" si="71">IF(L282&gt;0,N282*100/L282,0)</f>
        <v>56.905545112781958</v>
      </c>
      <c r="P282" s="470">
        <f t="shared" ref="P282:P290" ca="1" si="72">IF(M282&gt;0,N282*100/M282,0)</f>
        <v>56.905545112781958</v>
      </c>
      <c r="Q282" s="470">
        <f>Q283+Q284</f>
        <v>0</v>
      </c>
      <c r="R282" s="470">
        <f>R283+R284</f>
        <v>0</v>
      </c>
      <c r="S282" s="470">
        <f>S283+S284</f>
        <v>0</v>
      </c>
      <c r="T282" s="470">
        <f t="shared" ref="T282:T290" si="73">IF(Q282&gt;0,S282*100/Q282,0)</f>
        <v>0</v>
      </c>
      <c r="U282" s="470">
        <f t="shared" ref="U282:U290" si="74"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469">
        <f t="shared" ref="L283:N284" si="75">L286+L289</f>
        <v>0</v>
      </c>
      <c r="M283" s="83">
        <f t="shared" si="75"/>
        <v>0</v>
      </c>
      <c r="N283" s="83">
        <f t="shared" si="75"/>
        <v>0</v>
      </c>
      <c r="O283" s="83">
        <f t="shared" si="71"/>
        <v>0</v>
      </c>
      <c r="P283" s="83">
        <f t="shared" si="72"/>
        <v>0</v>
      </c>
      <c r="Q283" s="83">
        <f t="shared" ref="Q283:S284" si="76">Q286+Q289</f>
        <v>0</v>
      </c>
      <c r="R283" s="83">
        <f t="shared" si="76"/>
        <v>0</v>
      </c>
      <c r="S283" s="83">
        <f t="shared" si="76"/>
        <v>0</v>
      </c>
      <c r="T283" s="83">
        <f t="shared" si="73"/>
        <v>0</v>
      </c>
      <c r="U283" s="83">
        <f t="shared" si="74"/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468">
        <f t="shared" ca="1" si="75"/>
        <v>85120</v>
      </c>
      <c r="M284" s="224">
        <f t="shared" ca="1" si="75"/>
        <v>85120</v>
      </c>
      <c r="N284" s="224">
        <f t="shared" ca="1" si="75"/>
        <v>48438</v>
      </c>
      <c r="O284" s="224">
        <f t="shared" ca="1" si="71"/>
        <v>56.905545112781958</v>
      </c>
      <c r="P284" s="224">
        <f t="shared" ca="1" si="72"/>
        <v>56.905545112781958</v>
      </c>
      <c r="Q284" s="224">
        <f t="shared" si="76"/>
        <v>0</v>
      </c>
      <c r="R284" s="224">
        <f t="shared" si="76"/>
        <v>0</v>
      </c>
      <c r="S284" s="224">
        <f t="shared" si="76"/>
        <v>0</v>
      </c>
      <c r="T284" s="224">
        <f t="shared" si="73"/>
        <v>0</v>
      </c>
      <c r="U284" s="224">
        <f t="shared" si="74"/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468">
        <f ca="1">L286+L287</f>
        <v>85120</v>
      </c>
      <c r="M285" s="224">
        <f ca="1">M286+M287</f>
        <v>85120</v>
      </c>
      <c r="N285" s="224">
        <f ca="1">N286+N287</f>
        <v>48438</v>
      </c>
      <c r="O285" s="224">
        <f t="shared" ca="1" si="71"/>
        <v>56.905545112781958</v>
      </c>
      <c r="P285" s="224">
        <f t="shared" ca="1" si="72"/>
        <v>56.905545112781958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 t="shared" si="73"/>
        <v>0</v>
      </c>
      <c r="U285" s="224">
        <f t="shared" si="74"/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469">
        <v>0</v>
      </c>
      <c r="M286" s="83">
        <v>0</v>
      </c>
      <c r="N286" s="83">
        <v>0</v>
      </c>
      <c r="O286" s="83">
        <f t="shared" si="71"/>
        <v>0</v>
      </c>
      <c r="P286" s="83">
        <f t="shared" si="72"/>
        <v>0</v>
      </c>
      <c r="Q286" s="83">
        <v>0</v>
      </c>
      <c r="R286" s="83">
        <v>0</v>
      </c>
      <c r="S286" s="83">
        <v>0</v>
      </c>
      <c r="T286" s="83">
        <f t="shared" si="73"/>
        <v>0</v>
      </c>
      <c r="U286" s="83">
        <f t="shared" si="74"/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468">
        <f ca="1">IFERROR(__xludf.DUMMYFUNCTION("IMPORTRANGE(""https://docs.google.com/spreadsheets/d/1-uDff_7J0KD5mKrp0Vvzr7lt3OU09vwQwhkpOPPYv2Y/edit?usp=sharing"",""งบพรบ!DO15"")"),85120)</f>
        <v>85120</v>
      </c>
      <c r="M287" s="224">
        <f ca="1">IFERROR(__xludf.DUMMYFUNCTION("IMPORTRANGE(""https://docs.google.com/spreadsheets/d/1-uDff_7J0KD5mKrp0Vvzr7lt3OU09vwQwhkpOPPYv2Y/edit?usp=sharing"",""งบพรบ!DT15"")"),85120)</f>
        <v>85120</v>
      </c>
      <c r="N287" s="224">
        <f ca="1">IFERROR(__xludf.DUMMYFUNCTION("IMPORTRANGE(""https://docs.google.com/spreadsheets/d/1-uDff_7J0KD5mKrp0Vvzr7lt3OU09vwQwhkpOPPYv2Y/edit?usp=sharing"",""งบพรบ!DV15"")"),48438)</f>
        <v>48438</v>
      </c>
      <c r="O287" s="224">
        <f t="shared" ca="1" si="71"/>
        <v>56.905545112781958</v>
      </c>
      <c r="P287" s="224">
        <f t="shared" ca="1" si="72"/>
        <v>56.905545112781958</v>
      </c>
      <c r="Q287" s="224">
        <v>0</v>
      </c>
      <c r="R287" s="224">
        <v>0</v>
      </c>
      <c r="S287" s="224">
        <v>0</v>
      </c>
      <c r="T287" s="83">
        <f t="shared" si="73"/>
        <v>0</v>
      </c>
      <c r="U287" s="83">
        <f t="shared" si="74"/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468">
        <f ca="1">L289+L290</f>
        <v>0</v>
      </c>
      <c r="M288" s="224">
        <f ca="1">M289+M290</f>
        <v>0</v>
      </c>
      <c r="N288" s="224">
        <f ca="1">N289+N290</f>
        <v>0</v>
      </c>
      <c r="O288" s="224">
        <f t="shared" ca="1" si="71"/>
        <v>0</v>
      </c>
      <c r="P288" s="224">
        <f t="shared" ca="1" si="72"/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 t="shared" si="73"/>
        <v>0</v>
      </c>
      <c r="U288" s="224">
        <f t="shared" si="74"/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469">
        <v>0</v>
      </c>
      <c r="M289" s="83">
        <v>0</v>
      </c>
      <c r="N289" s="83">
        <v>0</v>
      </c>
      <c r="O289" s="83">
        <f t="shared" si="71"/>
        <v>0</v>
      </c>
      <c r="P289" s="83">
        <f t="shared" si="72"/>
        <v>0</v>
      </c>
      <c r="Q289" s="83">
        <v>0</v>
      </c>
      <c r="R289" s="83">
        <v>0</v>
      </c>
      <c r="S289" s="83">
        <v>0</v>
      </c>
      <c r="T289" s="83">
        <f t="shared" si="73"/>
        <v>0</v>
      </c>
      <c r="U289" s="83">
        <f t="shared" si="74"/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468">
        <f ca="1">IFERROR(__xludf.DUMMYFUNCTION("IMPORTRANGE(""https://docs.google.com/spreadsheets/d/1-uDff_7J0KD5mKrp0Vvzr7lt3OU09vwQwhkpOPPYv2Y/edit?usp=sharing"",""งบพรบ!DR15"")"),0)</f>
        <v>0</v>
      </c>
      <c r="M290" s="224">
        <f ca="1">IFERROR(__xludf.DUMMYFUNCTION("IMPORTRANGE(""https://docs.google.com/spreadsheets/d/1-uDff_7J0KD5mKrp0Vvzr7lt3OU09vwQwhkpOPPYv2Y/edit?usp=sharing"",""งบพรบ!DU15"")"),0)</f>
        <v>0</v>
      </c>
      <c r="N290" s="224">
        <f ca="1">IFERROR(__xludf.DUMMYFUNCTION("IMPORTRANGE(""https://docs.google.com/spreadsheets/d/1-uDff_7J0KD5mKrp0Vvzr7lt3OU09vwQwhkpOPPYv2Y/edit?usp=sharing"",""งบพรบ!DW15"")"),0)</f>
        <v>0</v>
      </c>
      <c r="O290" s="224">
        <f t="shared" ca="1" si="71"/>
        <v>0</v>
      </c>
      <c r="P290" s="224">
        <f t="shared" ca="1" si="72"/>
        <v>0</v>
      </c>
      <c r="Q290" s="224">
        <v>0</v>
      </c>
      <c r="R290" s="224">
        <v>0</v>
      </c>
      <c r="S290" s="224">
        <v>0</v>
      </c>
      <c r="T290" s="224">
        <f t="shared" si="73"/>
        <v>0</v>
      </c>
      <c r="U290" s="224">
        <f t="shared" si="74"/>
        <v>0</v>
      </c>
    </row>
    <row r="291" spans="1:21" ht="19.5" x14ac:dyDescent="0.3">
      <c r="A291" s="138"/>
      <c r="B291" s="139"/>
      <c r="C291" s="129" t="s">
        <v>18</v>
      </c>
      <c r="D291" s="498" t="s">
        <v>38</v>
      </c>
      <c r="E291" s="141"/>
      <c r="F291" s="141"/>
      <c r="G291" s="142"/>
      <c r="H291" s="143"/>
      <c r="I291" s="135"/>
      <c r="J291" s="135"/>
      <c r="K291" s="136"/>
      <c r="L291" s="4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IFERROR(__xludf.DUMMYFUNCTION("IMPORTRANGE(""https://docs.google.com/spreadsheets/d/1eHaY18a8A9IcSdp1K8H6x8fbOy06t2VsZHhMHf-1x7Y/edit?usp=sharing"",""แผน!EE15"")"),300)</f>
        <v>300</v>
      </c>
      <c r="J292" s="466">
        <v>300</v>
      </c>
      <c r="K292" s="497">
        <f ca="1">IF(I292&gt;0,J292*100/I292,0)</f>
        <v>100</v>
      </c>
      <c r="L292" s="4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IFERROR(__xludf.DUMMYFUNCTION("IMPORTRANGE(""https://docs.google.com/spreadsheets/d/1eHaY18a8A9IcSdp1K8H6x8fbOy06t2VsZHhMHf-1x7Y/edit?usp=sharing"",""แผน!ED15"")"),30)</f>
        <v>30</v>
      </c>
      <c r="J293" s="328">
        <f>J296</f>
        <v>30</v>
      </c>
      <c r="K293" s="582">
        <f ca="1">IF(I293&gt;0,J293*100/I293,0)</f>
        <v>100</v>
      </c>
      <c r="L293" s="4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4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581">
        <f ca="1">IFERROR(__xludf.DUMMYFUNCTION("IMPORTRANGE(""https://docs.google.com/spreadsheets/d/1eHaY18a8A9IcSdp1K8H6x8fbOy06t2VsZHhMHf-1x7Y/edit?usp=sharing"",""แผน!ED15"")"),30)</f>
        <v>30</v>
      </c>
      <c r="J295" s="466">
        <v>30</v>
      </c>
      <c r="K295" s="497">
        <f ca="1">IF(I295&gt;0,J295*100/I295,0)</f>
        <v>100</v>
      </c>
      <c r="L295" s="4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581">
        <f ca="1">IFERROR(__xludf.DUMMYFUNCTION("IMPORTRANGE(""https://docs.google.com/spreadsheets/d/1eHaY18a8A9IcSdp1K8H6x8fbOy06t2VsZHhMHf-1x7Y/edit?usp=sharing"",""แผน!ED15"")"),30)</f>
        <v>30</v>
      </c>
      <c r="J296" s="466">
        <v>30</v>
      </c>
      <c r="K296" s="497">
        <f ca="1">IF(I296&gt;0,J296*100/I296,0)</f>
        <v>100</v>
      </c>
      <c r="L296" s="4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571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hidden="1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571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580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57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541">
        <f ca="1">I314</f>
        <v>20</v>
      </c>
      <c r="J302" s="541">
        <f>J314</f>
        <v>20</v>
      </c>
      <c r="K302" s="540">
        <f ca="1">IF(I302&gt;0,J302*100/I302,0)</f>
        <v>100</v>
      </c>
      <c r="L302" s="539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472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471">
        <f ca="1">L304+L305</f>
        <v>389000</v>
      </c>
      <c r="M303" s="470">
        <f ca="1">M304+M305</f>
        <v>389000</v>
      </c>
      <c r="N303" s="470">
        <f ca="1">N304+N305</f>
        <v>299233.61</v>
      </c>
      <c r="O303" s="470">
        <f t="shared" ref="O303:O311" ca="1" si="77">IF(L303&gt;0,N303*100/L303,0)</f>
        <v>76.923807197943447</v>
      </c>
      <c r="P303" s="470">
        <f t="shared" ref="P303:P311" ca="1" si="78">IF(M303&gt;0,N303*100/M303,0)</f>
        <v>76.923807197943447</v>
      </c>
      <c r="Q303" s="470">
        <f ca="1">Q304+Q305</f>
        <v>144609.24</v>
      </c>
      <c r="R303" s="470">
        <f ca="1">R304+R305</f>
        <v>144609</v>
      </c>
      <c r="S303" s="470">
        <f ca="1">S304+S305</f>
        <v>0</v>
      </c>
      <c r="T303" s="470">
        <f t="shared" ref="T303:T311" ca="1" si="79">IF(Q303&gt;0,S303*100/Q303,0)</f>
        <v>0</v>
      </c>
      <c r="U303" s="470">
        <f t="shared" ref="U303:U311" ca="1" si="80">IF(R303&gt;0,S303*100/R303,0)</f>
        <v>0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469">
        <f t="shared" ref="L304:N305" si="81">L307+L310</f>
        <v>0</v>
      </c>
      <c r="M304" s="83">
        <f t="shared" si="81"/>
        <v>0</v>
      </c>
      <c r="N304" s="83">
        <f t="shared" si="81"/>
        <v>0</v>
      </c>
      <c r="O304" s="83">
        <f t="shared" si="77"/>
        <v>0</v>
      </c>
      <c r="P304" s="83">
        <f t="shared" si="78"/>
        <v>0</v>
      </c>
      <c r="Q304" s="83">
        <f t="shared" ref="Q304:S305" si="82">Q307+Q310</f>
        <v>0</v>
      </c>
      <c r="R304" s="83">
        <f t="shared" si="82"/>
        <v>0</v>
      </c>
      <c r="S304" s="83">
        <f t="shared" si="82"/>
        <v>0</v>
      </c>
      <c r="T304" s="83">
        <f t="shared" si="79"/>
        <v>0</v>
      </c>
      <c r="U304" s="83">
        <f t="shared" si="80"/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468">
        <f t="shared" ca="1" si="81"/>
        <v>389000</v>
      </c>
      <c r="M305" s="224">
        <f t="shared" ca="1" si="81"/>
        <v>389000</v>
      </c>
      <c r="N305" s="224">
        <f t="shared" ca="1" si="81"/>
        <v>299233.61</v>
      </c>
      <c r="O305" s="224">
        <f t="shared" ca="1" si="77"/>
        <v>76.923807197943447</v>
      </c>
      <c r="P305" s="224">
        <f t="shared" ca="1" si="78"/>
        <v>76.923807197943447</v>
      </c>
      <c r="Q305" s="224">
        <f t="shared" ca="1" si="82"/>
        <v>144609.24</v>
      </c>
      <c r="R305" s="224">
        <f t="shared" ca="1" si="82"/>
        <v>144609</v>
      </c>
      <c r="S305" s="224">
        <f t="shared" ca="1" si="82"/>
        <v>0</v>
      </c>
      <c r="T305" s="224">
        <f t="shared" ca="1" si="79"/>
        <v>0</v>
      </c>
      <c r="U305" s="224">
        <f t="shared" ca="1" si="80"/>
        <v>0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468">
        <f ca="1">L307+L308</f>
        <v>389000</v>
      </c>
      <c r="M306" s="224">
        <f ca="1">M307+M308</f>
        <v>389000</v>
      </c>
      <c r="N306" s="224">
        <f ca="1">N307+N308</f>
        <v>299233.61</v>
      </c>
      <c r="O306" s="224">
        <f t="shared" ca="1" si="77"/>
        <v>76.923807197943447</v>
      </c>
      <c r="P306" s="224">
        <f t="shared" ca="1" si="78"/>
        <v>76.923807197943447</v>
      </c>
      <c r="Q306" s="224">
        <f ca="1">Q307+Q308</f>
        <v>144609.24</v>
      </c>
      <c r="R306" s="224">
        <f ca="1">R307+R308</f>
        <v>144609</v>
      </c>
      <c r="S306" s="224">
        <f ca="1">S307+S308</f>
        <v>0</v>
      </c>
      <c r="T306" s="224">
        <f t="shared" ca="1" si="79"/>
        <v>0</v>
      </c>
      <c r="U306" s="224">
        <f t="shared" ca="1" si="80"/>
        <v>0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469">
        <v>0</v>
      </c>
      <c r="M307" s="83">
        <v>0</v>
      </c>
      <c r="N307" s="83">
        <v>0</v>
      </c>
      <c r="O307" s="83">
        <f t="shared" si="77"/>
        <v>0</v>
      </c>
      <c r="P307" s="83">
        <f t="shared" si="78"/>
        <v>0</v>
      </c>
      <c r="Q307" s="83">
        <v>0</v>
      </c>
      <c r="R307" s="83">
        <v>0</v>
      </c>
      <c r="S307" s="83">
        <v>0</v>
      </c>
      <c r="T307" s="83">
        <f t="shared" si="79"/>
        <v>0</v>
      </c>
      <c r="U307" s="83">
        <f t="shared" si="80"/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468">
        <f ca="1">IFERROR(__xludf.DUMMYFUNCTION("IMPORTRANGE(""https://docs.google.com/spreadsheets/d/1-uDff_7J0KD5mKrp0Vvzr7lt3OU09vwQwhkpOPPYv2Y/edit?usp=sharing"",""งบพรบ!DY15"")"),389000)</f>
        <v>389000</v>
      </c>
      <c r="M308" s="224">
        <f ca="1">IFERROR(__xludf.DUMMYFUNCTION("IMPORTRANGE(""https://docs.google.com/spreadsheets/d/1-uDff_7J0KD5mKrp0Vvzr7lt3OU09vwQwhkpOPPYv2Y/edit?usp=sharing"",""งบพรบ!ED15"")"),389000)</f>
        <v>389000</v>
      </c>
      <c r="N308" s="224">
        <f ca="1">IFERROR(__xludf.DUMMYFUNCTION("IMPORTRANGE(""https://docs.google.com/spreadsheets/d/1-uDff_7J0KD5mKrp0Vvzr7lt3OU09vwQwhkpOPPYv2Y/edit?usp=sharing"",""งบพรบ!EF15"")"),299233.61)</f>
        <v>299233.61</v>
      </c>
      <c r="O308" s="224">
        <f t="shared" ca="1" si="77"/>
        <v>76.923807197943447</v>
      </c>
      <c r="P308" s="224">
        <f t="shared" ca="1" si="78"/>
        <v>76.923807197943447</v>
      </c>
      <c r="Q308" s="224">
        <f ca="1">IFERROR(__xludf.DUMMYFUNCTION("IMPORTRANGE(""https://docs.google.com/spreadsheets/d/1ItG2mGa2ceCfYo0BwxsXqNm01IGEUdYcSSLTEv9YCik/edit?usp=sharing"",""เบิกจ่ายกองทุน!AP15"")"),144609.24)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IFERROR(__xludf.DUMMYFUNCTION("IMPORTRANGE(""https://docs.google.com/spreadsheets/d/1ItG2mGa2ceCfYo0BwxsXqNm01IGEUdYcSSLTEv9YCik/edit?usp=sharing"",""เบิกจ่ายกองทุน!AQ15"")"),144609)</f>
        <v>144609</v>
      </c>
      <c r="S308" s="224">
        <f ca="1">IFERROR(__xludf.DUMMYFUNCTION("IMPORTRANGE(""https://docs.google.com/spreadsheets/d/1ItG2mGa2ceCfYo0BwxsXqNm01IGEUdYcSSLTEv9YCik/edit?usp=sharing"",""เบิกจ่ายกองทุน!AR15"")"),0)</f>
        <v>0</v>
      </c>
      <c r="T308" s="224">
        <f t="shared" ca="1" si="79"/>
        <v>0</v>
      </c>
      <c r="U308" s="224">
        <f t="shared" ca="1" si="80"/>
        <v>0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468">
        <f ca="1">L310+L311</f>
        <v>0</v>
      </c>
      <c r="M309" s="224">
        <f ca="1">M310+M311</f>
        <v>0</v>
      </c>
      <c r="N309" s="224">
        <f ca="1">N310+N311</f>
        <v>0</v>
      </c>
      <c r="O309" s="224">
        <f t="shared" ca="1" si="77"/>
        <v>0</v>
      </c>
      <c r="P309" s="224">
        <f t="shared" ca="1" si="78"/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 t="shared" si="79"/>
        <v>0</v>
      </c>
      <c r="U309" s="224">
        <f t="shared" si="80"/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469">
        <v>0</v>
      </c>
      <c r="M310" s="83">
        <v>0</v>
      </c>
      <c r="N310" s="83">
        <v>0</v>
      </c>
      <c r="O310" s="83">
        <f t="shared" si="77"/>
        <v>0</v>
      </c>
      <c r="P310" s="83">
        <f t="shared" si="78"/>
        <v>0</v>
      </c>
      <c r="Q310" s="83">
        <v>0</v>
      </c>
      <c r="R310" s="83">
        <v>0</v>
      </c>
      <c r="S310" s="83">
        <v>0</v>
      </c>
      <c r="T310" s="83">
        <f t="shared" si="79"/>
        <v>0</v>
      </c>
      <c r="U310" s="83">
        <f t="shared" si="80"/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468">
        <f ca="1">IFERROR(__xludf.DUMMYFUNCTION("IMPORTRANGE(""https://docs.google.com/spreadsheets/d/1-uDff_7J0KD5mKrp0Vvzr7lt3OU09vwQwhkpOPPYv2Y/edit?usp=sharing"",""งบพรบ!EB15"")"),0)</f>
        <v>0</v>
      </c>
      <c r="M311" s="224">
        <f ca="1">IFERROR(__xludf.DUMMYFUNCTION("IMPORTRANGE(""https://docs.google.com/spreadsheets/d/1-uDff_7J0KD5mKrp0Vvzr7lt3OU09vwQwhkpOPPYv2Y/edit?usp=sharing"",""งบพรบ!EE15"")"),0)</f>
        <v>0</v>
      </c>
      <c r="N311" s="224">
        <f ca="1">IFERROR(__xludf.DUMMYFUNCTION("IMPORTRANGE(""https://docs.google.com/spreadsheets/d/1-uDff_7J0KD5mKrp0Vvzr7lt3OU09vwQwhkpOPPYv2Y/edit?usp=sharing"",""งบพรบ!EG15"")"),0)</f>
        <v>0</v>
      </c>
      <c r="O311" s="224">
        <f t="shared" ca="1" si="77"/>
        <v>0</v>
      </c>
      <c r="P311" s="224">
        <f t="shared" ca="1" si="78"/>
        <v>0</v>
      </c>
      <c r="Q311" s="224">
        <v>0</v>
      </c>
      <c r="R311" s="224">
        <v>0</v>
      </c>
      <c r="S311" s="224">
        <v>0</v>
      </c>
      <c r="T311" s="224">
        <f t="shared" si="79"/>
        <v>0</v>
      </c>
      <c r="U311" s="224">
        <f t="shared" si="80"/>
        <v>0</v>
      </c>
    </row>
    <row r="312" spans="1:21" ht="19.5" x14ac:dyDescent="0.3">
      <c r="A312" s="138"/>
      <c r="B312" s="139"/>
      <c r="C312" s="129" t="s">
        <v>18</v>
      </c>
      <c r="D312" s="498" t="s">
        <v>38</v>
      </c>
      <c r="E312" s="141"/>
      <c r="F312" s="141"/>
      <c r="G312" s="142"/>
      <c r="H312" s="143"/>
      <c r="I312" s="44"/>
      <c r="J312" s="44"/>
      <c r="K312" s="45"/>
      <c r="L312" s="465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579"/>
      <c r="E313" s="18"/>
      <c r="F313" s="18"/>
      <c r="G313" s="19"/>
      <c r="H313" s="19"/>
      <c r="I313" s="20"/>
      <c r="J313" s="577"/>
      <c r="K313" s="21"/>
      <c r="L313" s="571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IFERROR(__xludf.DUMMYFUNCTION("IMPORTRANGE(""https://docs.google.com/spreadsheets/d/1eHaY18a8A9IcSdp1K8H6x8fbOy06t2VsZHhMHf-1x7Y/edit?usp=sharing"",""แผน!EF15"")"),20)</f>
        <v>20</v>
      </c>
      <c r="J314" s="466">
        <v>20</v>
      </c>
      <c r="K314" s="224">
        <f ca="1">IF(I314&gt;0,J314*100/I314,0)</f>
        <v>100</v>
      </c>
      <c r="L314" s="465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579"/>
      <c r="E315" s="18"/>
      <c r="F315" s="18"/>
      <c r="G315" s="19"/>
      <c r="H315" s="578"/>
      <c r="I315" s="577"/>
      <c r="J315" s="577"/>
      <c r="K315" s="576"/>
      <c r="L315" s="571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579"/>
      <c r="E316" s="18"/>
      <c r="F316" s="18"/>
      <c r="G316" s="19"/>
      <c r="H316" s="578"/>
      <c r="I316" s="577"/>
      <c r="J316" s="577"/>
      <c r="K316" s="576"/>
      <c r="L316" s="571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575"/>
      <c r="E317" s="18"/>
      <c r="F317" s="18"/>
      <c r="G317" s="19"/>
      <c r="H317" s="574"/>
      <c r="I317" s="573"/>
      <c r="J317" s="573"/>
      <c r="K317" s="572"/>
      <c r="L317" s="571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57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hidden="1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541">
        <f ca="1">I330</f>
        <v>0</v>
      </c>
      <c r="J319" s="541">
        <f>J330</f>
        <v>0</v>
      </c>
      <c r="K319" s="540">
        <f ca="1">IF(I319&gt;0,J319*100/I319,0)</f>
        <v>0</v>
      </c>
      <c r="L319" s="539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hidden="1" x14ac:dyDescent="0.3">
      <c r="A320" s="128"/>
      <c r="B320" s="40"/>
      <c r="C320" s="129" t="s">
        <v>18</v>
      </c>
      <c r="D320" s="472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471">
        <f ca="1">L321+L322</f>
        <v>0</v>
      </c>
      <c r="M320" s="470">
        <f ca="1">M321+M322</f>
        <v>0</v>
      </c>
      <c r="N320" s="470">
        <f ca="1">N321+N322</f>
        <v>0</v>
      </c>
      <c r="O320" s="470">
        <f t="shared" ref="O320:O328" ca="1" si="83">IF(L320&gt;0,N320*100/L320,0)</f>
        <v>0</v>
      </c>
      <c r="P320" s="470">
        <f t="shared" ref="P320:P328" ca="1" si="84">IF(M320&gt;0,N320*100/M320,0)</f>
        <v>0</v>
      </c>
      <c r="Q320" s="470">
        <f>Q321+Q322</f>
        <v>0</v>
      </c>
      <c r="R320" s="470">
        <f>R321+R322</f>
        <v>0</v>
      </c>
      <c r="S320" s="470">
        <f>S321+S322</f>
        <v>0</v>
      </c>
      <c r="T320" s="470">
        <f t="shared" ref="T320:T328" si="85">IF(Q320&gt;0,S320*100/Q320,0)</f>
        <v>0</v>
      </c>
      <c r="U320" s="470">
        <f t="shared" ref="U320:U328" si="86"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469">
        <f t="shared" ref="L321:N322" si="87">L324+L327</f>
        <v>0</v>
      </c>
      <c r="M321" s="83">
        <f t="shared" si="87"/>
        <v>0</v>
      </c>
      <c r="N321" s="83">
        <f t="shared" si="87"/>
        <v>0</v>
      </c>
      <c r="O321" s="83">
        <f t="shared" si="83"/>
        <v>0</v>
      </c>
      <c r="P321" s="83">
        <f t="shared" si="84"/>
        <v>0</v>
      </c>
      <c r="Q321" s="83">
        <f t="shared" ref="Q321:S322" si="88">Q324+Q327</f>
        <v>0</v>
      </c>
      <c r="R321" s="83">
        <f t="shared" si="88"/>
        <v>0</v>
      </c>
      <c r="S321" s="83">
        <f t="shared" si="88"/>
        <v>0</v>
      </c>
      <c r="T321" s="83">
        <f t="shared" si="85"/>
        <v>0</v>
      </c>
      <c r="U321" s="83">
        <f t="shared" si="86"/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468">
        <f t="shared" ca="1" si="87"/>
        <v>0</v>
      </c>
      <c r="M322" s="224">
        <f t="shared" ca="1" si="87"/>
        <v>0</v>
      </c>
      <c r="N322" s="224">
        <f t="shared" ca="1" si="87"/>
        <v>0</v>
      </c>
      <c r="O322" s="224">
        <f t="shared" ca="1" si="83"/>
        <v>0</v>
      </c>
      <c r="P322" s="224">
        <f t="shared" ca="1" si="84"/>
        <v>0</v>
      </c>
      <c r="Q322" s="224">
        <f t="shared" si="88"/>
        <v>0</v>
      </c>
      <c r="R322" s="224">
        <f t="shared" si="88"/>
        <v>0</v>
      </c>
      <c r="S322" s="224">
        <f t="shared" si="88"/>
        <v>0</v>
      </c>
      <c r="T322" s="224">
        <f t="shared" si="85"/>
        <v>0</v>
      </c>
      <c r="U322" s="224">
        <f t="shared" si="86"/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468">
        <f ca="1">L324+L325</f>
        <v>0</v>
      </c>
      <c r="M323" s="224">
        <f ca="1">M324+M325</f>
        <v>0</v>
      </c>
      <c r="N323" s="224">
        <f ca="1">N324+N325</f>
        <v>0</v>
      </c>
      <c r="O323" s="224">
        <f t="shared" ca="1" si="83"/>
        <v>0</v>
      </c>
      <c r="P323" s="224">
        <f t="shared" ca="1" si="84"/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 t="shared" si="85"/>
        <v>0</v>
      </c>
      <c r="U323" s="224">
        <f t="shared" si="86"/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469">
        <v>0</v>
      </c>
      <c r="M324" s="83">
        <v>0</v>
      </c>
      <c r="N324" s="83">
        <v>0</v>
      </c>
      <c r="O324" s="83">
        <f t="shared" si="83"/>
        <v>0</v>
      </c>
      <c r="P324" s="83">
        <f t="shared" si="84"/>
        <v>0</v>
      </c>
      <c r="Q324" s="83">
        <v>0</v>
      </c>
      <c r="R324" s="83">
        <v>0</v>
      </c>
      <c r="S324" s="83">
        <v>0</v>
      </c>
      <c r="T324" s="83">
        <f t="shared" si="85"/>
        <v>0</v>
      </c>
      <c r="U324" s="83">
        <f t="shared" si="86"/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468">
        <f ca="1">IFERROR(__xludf.DUMMYFUNCTION("IMPORTRANGE(""https://docs.google.com/spreadsheets/d/1-uDff_7J0KD5mKrp0Vvzr7lt3OU09vwQwhkpOPPYv2Y/edit?usp=sharing"",""งบพรบ!EI15"")"),0)</f>
        <v>0</v>
      </c>
      <c r="M325" s="224">
        <f ca="1">IFERROR(__xludf.DUMMYFUNCTION("IMPORTRANGE(""https://docs.google.com/spreadsheets/d/1-uDff_7J0KD5mKrp0Vvzr7lt3OU09vwQwhkpOPPYv2Y/edit?usp=sharing"",""งบพรบ!EN15"")"),0)</f>
        <v>0</v>
      </c>
      <c r="N325" s="224">
        <f ca="1">IFERROR(__xludf.DUMMYFUNCTION("IMPORTRANGE(""https://docs.google.com/spreadsheets/d/1-uDff_7J0KD5mKrp0Vvzr7lt3OU09vwQwhkpOPPYv2Y/edit?usp=sharing"",""งบพรบ!EP15"")"),0)</f>
        <v>0</v>
      </c>
      <c r="O325" s="224">
        <f t="shared" ca="1" si="83"/>
        <v>0</v>
      </c>
      <c r="P325" s="224">
        <f t="shared" ca="1" si="84"/>
        <v>0</v>
      </c>
      <c r="Q325" s="224">
        <v>0</v>
      </c>
      <c r="R325" s="224">
        <v>0</v>
      </c>
      <c r="S325" s="224">
        <v>0</v>
      </c>
      <c r="T325" s="224">
        <f t="shared" si="85"/>
        <v>0</v>
      </c>
      <c r="U325" s="224">
        <f t="shared" si="86"/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468">
        <f ca="1">L327+L328</f>
        <v>0</v>
      </c>
      <c r="M326" s="224">
        <f ca="1">M327+M328</f>
        <v>0</v>
      </c>
      <c r="N326" s="224">
        <f ca="1">N327+N328</f>
        <v>0</v>
      </c>
      <c r="O326" s="224">
        <f t="shared" ca="1" si="83"/>
        <v>0</v>
      </c>
      <c r="P326" s="224">
        <f t="shared" ca="1" si="84"/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 t="shared" si="85"/>
        <v>0</v>
      </c>
      <c r="U326" s="224">
        <f t="shared" si="86"/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469">
        <v>0</v>
      </c>
      <c r="M327" s="83">
        <v>0</v>
      </c>
      <c r="N327" s="83">
        <v>0</v>
      </c>
      <c r="O327" s="83">
        <f t="shared" si="83"/>
        <v>0</v>
      </c>
      <c r="P327" s="83">
        <f t="shared" si="84"/>
        <v>0</v>
      </c>
      <c r="Q327" s="83">
        <v>0</v>
      </c>
      <c r="R327" s="83">
        <v>0</v>
      </c>
      <c r="S327" s="83">
        <v>0</v>
      </c>
      <c r="T327" s="83">
        <f t="shared" si="85"/>
        <v>0</v>
      </c>
      <c r="U327" s="83">
        <f t="shared" si="86"/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468">
        <f ca="1">IFERROR(__xludf.DUMMYFUNCTION("IMPORTRANGE(""https://docs.google.com/spreadsheets/d/1-uDff_7J0KD5mKrp0Vvzr7lt3OU09vwQwhkpOPPYv2Y/edit?usp=sharing"",""งบพรบ!EL15"")"),0)</f>
        <v>0</v>
      </c>
      <c r="M328" s="224">
        <f ca="1">IFERROR(__xludf.DUMMYFUNCTION("IMPORTRANGE(""https://docs.google.com/spreadsheets/d/1-uDff_7J0KD5mKrp0Vvzr7lt3OU09vwQwhkpOPPYv2Y/edit?usp=sharing"",""งบพรบ!EO15"")"),0)</f>
        <v>0</v>
      </c>
      <c r="N328" s="224">
        <f ca="1">IFERROR(__xludf.DUMMYFUNCTION("IMPORTRANGE(""https://docs.google.com/spreadsheets/d/1-uDff_7J0KD5mKrp0Vvzr7lt3OU09vwQwhkpOPPYv2Y/edit?usp=sharing"",""งบพรบ!EQ15"")"),0)</f>
        <v>0</v>
      </c>
      <c r="O328" s="224">
        <f t="shared" ca="1" si="83"/>
        <v>0</v>
      </c>
      <c r="P328" s="224">
        <f t="shared" ca="1" si="84"/>
        <v>0</v>
      </c>
      <c r="Q328" s="224">
        <v>0</v>
      </c>
      <c r="R328" s="224">
        <v>0</v>
      </c>
      <c r="S328" s="224">
        <v>0</v>
      </c>
      <c r="T328" s="224">
        <f t="shared" si="85"/>
        <v>0</v>
      </c>
      <c r="U328" s="224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8" t="s">
        <v>38</v>
      </c>
      <c r="E329" s="141"/>
      <c r="F329" s="141"/>
      <c r="G329" s="142"/>
      <c r="H329" s="143"/>
      <c r="I329" s="135"/>
      <c r="J329" s="44"/>
      <c r="K329" s="45"/>
      <c r="L329" s="465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IFERROR(__xludf.DUMMYFUNCTION("IMPORTRANGE(""https://docs.google.com/spreadsheets/d/1eHaY18a8A9IcSdp1K8H6x8fbOy06t2VsZHhMHf-1x7Y/edit?usp=sharing"",""แผน!EJ15"")"),0)</f>
        <v>0</v>
      </c>
      <c r="J330" s="466">
        <v>0</v>
      </c>
      <c r="K330" s="224">
        <f ca="1">IF(I330&gt;0,J330*100/I330,0)</f>
        <v>0</v>
      </c>
      <c r="L330" s="465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57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569">
        <f ca="1">I344</f>
        <v>4000</v>
      </c>
      <c r="J332" s="568">
        <f ca="1">J344+J347+J348+J349+J353</f>
        <v>12345</v>
      </c>
      <c r="K332" s="567">
        <f ca="1">IF(I332&gt;0,J332*100/I332,0)</f>
        <v>308.625</v>
      </c>
      <c r="L332" s="539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472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471">
        <f ca="1">L334+L335</f>
        <v>116000</v>
      </c>
      <c r="M333" s="470">
        <f ca="1">M334+M335</f>
        <v>121000</v>
      </c>
      <c r="N333" s="470">
        <f ca="1">N334+N335</f>
        <v>119766</v>
      </c>
      <c r="O333" s="470">
        <f t="shared" ref="O333:O341" ca="1" si="89">IF(L333&gt;0,N333*100/L333,0)</f>
        <v>103.24655172413793</v>
      </c>
      <c r="P333" s="470">
        <f t="shared" ref="P333:P341" ca="1" si="90">IF(M333&gt;0,N333*100/M333,0)</f>
        <v>98.980165289256192</v>
      </c>
      <c r="Q333" s="470">
        <f>Q334+Q335</f>
        <v>0</v>
      </c>
      <c r="R333" s="470">
        <f>R334+R335</f>
        <v>0</v>
      </c>
      <c r="S333" s="470">
        <f>S334+S335</f>
        <v>0</v>
      </c>
      <c r="T333" s="470">
        <f t="shared" ref="T333:T341" si="91">IF(Q333&gt;0,S333*100/Q333,0)</f>
        <v>0</v>
      </c>
      <c r="U333" s="470">
        <f t="shared" ref="U333:U341" si="92"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469">
        <f t="shared" ref="L334:N335" si="93">L337+L340</f>
        <v>0</v>
      </c>
      <c r="M334" s="83">
        <f t="shared" si="93"/>
        <v>0</v>
      </c>
      <c r="N334" s="83">
        <f t="shared" si="93"/>
        <v>0</v>
      </c>
      <c r="O334" s="83">
        <f t="shared" si="89"/>
        <v>0</v>
      </c>
      <c r="P334" s="83">
        <f t="shared" si="90"/>
        <v>0</v>
      </c>
      <c r="Q334" s="83">
        <f t="shared" ref="Q334:S335" si="94">Q337+Q340</f>
        <v>0</v>
      </c>
      <c r="R334" s="83">
        <f t="shared" si="94"/>
        <v>0</v>
      </c>
      <c r="S334" s="83">
        <f t="shared" si="94"/>
        <v>0</v>
      </c>
      <c r="T334" s="83">
        <f t="shared" si="91"/>
        <v>0</v>
      </c>
      <c r="U334" s="83">
        <f t="shared" si="92"/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468">
        <f t="shared" ca="1" si="93"/>
        <v>116000</v>
      </c>
      <c r="M335" s="224">
        <f t="shared" ca="1" si="93"/>
        <v>121000</v>
      </c>
      <c r="N335" s="224">
        <f t="shared" ca="1" si="93"/>
        <v>119766</v>
      </c>
      <c r="O335" s="224">
        <f t="shared" ca="1" si="89"/>
        <v>103.24655172413793</v>
      </c>
      <c r="P335" s="224">
        <f t="shared" ca="1" si="90"/>
        <v>98.980165289256192</v>
      </c>
      <c r="Q335" s="224">
        <f t="shared" si="94"/>
        <v>0</v>
      </c>
      <c r="R335" s="224">
        <f t="shared" si="94"/>
        <v>0</v>
      </c>
      <c r="S335" s="224">
        <f t="shared" si="94"/>
        <v>0</v>
      </c>
      <c r="T335" s="224">
        <f t="shared" si="91"/>
        <v>0</v>
      </c>
      <c r="U335" s="224">
        <f t="shared" si="92"/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468">
        <f ca="1">L337+L338</f>
        <v>116000</v>
      </c>
      <c r="M336" s="224">
        <f ca="1">M337+M338</f>
        <v>121000</v>
      </c>
      <c r="N336" s="224">
        <f ca="1">N337+N338</f>
        <v>119766</v>
      </c>
      <c r="O336" s="224">
        <f t="shared" ca="1" si="89"/>
        <v>103.24655172413793</v>
      </c>
      <c r="P336" s="224">
        <f t="shared" ca="1" si="90"/>
        <v>98.980165289256192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 t="shared" si="91"/>
        <v>0</v>
      </c>
      <c r="U336" s="224">
        <f t="shared" si="92"/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469">
        <v>0</v>
      </c>
      <c r="M337" s="83">
        <v>0</v>
      </c>
      <c r="N337" s="83">
        <v>0</v>
      </c>
      <c r="O337" s="83">
        <f t="shared" si="89"/>
        <v>0</v>
      </c>
      <c r="P337" s="83">
        <f t="shared" si="90"/>
        <v>0</v>
      </c>
      <c r="Q337" s="83">
        <v>0</v>
      </c>
      <c r="R337" s="83">
        <v>0</v>
      </c>
      <c r="S337" s="83">
        <v>0</v>
      </c>
      <c r="T337" s="83">
        <f t="shared" si="91"/>
        <v>0</v>
      </c>
      <c r="U337" s="83">
        <f t="shared" si="92"/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468">
        <f ca="1">IFERROR(__xludf.DUMMYFUNCTION("IMPORTRANGE(""https://docs.google.com/spreadsheets/d/1-uDff_7J0KD5mKrp0Vvzr7lt3OU09vwQwhkpOPPYv2Y/edit?usp=sharing"",""งบพรบ!ES15"")"),116000)</f>
        <v>116000</v>
      </c>
      <c r="M338" s="224">
        <f ca="1">IFERROR(__xludf.DUMMYFUNCTION("IMPORTRANGE(""https://docs.google.com/spreadsheets/d/1-uDff_7J0KD5mKrp0Vvzr7lt3OU09vwQwhkpOPPYv2Y/edit?usp=sharing"",""งบพรบ!EX15"")"),121000)</f>
        <v>121000</v>
      </c>
      <c r="N338" s="224">
        <f ca="1">IFERROR(__xludf.DUMMYFUNCTION("IMPORTRANGE(""https://docs.google.com/spreadsheets/d/1-uDff_7J0KD5mKrp0Vvzr7lt3OU09vwQwhkpOPPYv2Y/edit?usp=sharing"",""งบพรบ!EZ15"")"),119766)</f>
        <v>119766</v>
      </c>
      <c r="O338" s="224">
        <f t="shared" ca="1" si="89"/>
        <v>103.24655172413793</v>
      </c>
      <c r="P338" s="224">
        <f t="shared" ca="1" si="90"/>
        <v>98.980165289256192</v>
      </c>
      <c r="Q338" s="224">
        <v>0</v>
      </c>
      <c r="R338" s="224">
        <v>0</v>
      </c>
      <c r="S338" s="224">
        <v>0</v>
      </c>
      <c r="T338" s="224">
        <f t="shared" si="91"/>
        <v>0</v>
      </c>
      <c r="U338" s="224">
        <f t="shared" si="92"/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468">
        <f ca="1">L340+L341</f>
        <v>0</v>
      </c>
      <c r="M339" s="224">
        <f ca="1">M340+M341</f>
        <v>0</v>
      </c>
      <c r="N339" s="224">
        <f ca="1">N340+N341</f>
        <v>0</v>
      </c>
      <c r="O339" s="224">
        <f t="shared" ca="1" si="89"/>
        <v>0</v>
      </c>
      <c r="P339" s="224">
        <f t="shared" ca="1" si="90"/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 t="shared" si="91"/>
        <v>0</v>
      </c>
      <c r="U339" s="224">
        <f t="shared" si="92"/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469">
        <v>0</v>
      </c>
      <c r="M340" s="83">
        <v>0</v>
      </c>
      <c r="N340" s="83">
        <v>0</v>
      </c>
      <c r="O340" s="83">
        <f t="shared" si="89"/>
        <v>0</v>
      </c>
      <c r="P340" s="83">
        <f t="shared" si="90"/>
        <v>0</v>
      </c>
      <c r="Q340" s="83">
        <v>0</v>
      </c>
      <c r="R340" s="83">
        <v>0</v>
      </c>
      <c r="S340" s="83">
        <v>0</v>
      </c>
      <c r="T340" s="83">
        <f t="shared" si="91"/>
        <v>0</v>
      </c>
      <c r="U340" s="83">
        <f t="shared" si="92"/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468">
        <f ca="1">IFERROR(__xludf.DUMMYFUNCTION("IMPORTRANGE(""https://docs.google.com/spreadsheets/d/1-uDff_7J0KD5mKrp0Vvzr7lt3OU09vwQwhkpOPPYv2Y/edit?usp=sharing"",""งบพรบ!EV15"")"),0)</f>
        <v>0</v>
      </c>
      <c r="M341" s="224">
        <f ca="1">IFERROR(__xludf.DUMMYFUNCTION("IMPORTRANGE(""https://docs.google.com/spreadsheets/d/1-uDff_7J0KD5mKrp0Vvzr7lt3OU09vwQwhkpOPPYv2Y/edit?usp=sharing"",""งบพรบ!EY15"")"),0)</f>
        <v>0</v>
      </c>
      <c r="N341" s="224">
        <f ca="1">IFERROR(__xludf.DUMMYFUNCTION("IMPORTRANGE(""https://docs.google.com/spreadsheets/d/1-uDff_7J0KD5mKrp0Vvzr7lt3OU09vwQwhkpOPPYv2Y/edit?usp=sharing"",""งบพรบ!FA15"")"),0)</f>
        <v>0</v>
      </c>
      <c r="O341" s="224">
        <f t="shared" ca="1" si="89"/>
        <v>0</v>
      </c>
      <c r="P341" s="224">
        <f t="shared" ca="1" si="90"/>
        <v>0</v>
      </c>
      <c r="Q341" s="224">
        <v>0</v>
      </c>
      <c r="R341" s="224">
        <v>0</v>
      </c>
      <c r="S341" s="224">
        <v>0</v>
      </c>
      <c r="T341" s="224">
        <f t="shared" si="91"/>
        <v>0</v>
      </c>
      <c r="U341" s="224">
        <f t="shared" si="92"/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465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566"/>
      <c r="B343" s="563"/>
      <c r="C343" s="565"/>
      <c r="D343" s="563"/>
      <c r="E343" s="564" t="s">
        <v>137</v>
      </c>
      <c r="F343" s="563"/>
      <c r="G343" s="562"/>
      <c r="H343" s="561" t="s">
        <v>35</v>
      </c>
      <c r="I343" s="560">
        <v>0</v>
      </c>
      <c r="J343" s="560">
        <f ca="1">J344+J347+J348+J349</f>
        <v>3749</v>
      </c>
      <c r="K343" s="559">
        <v>0</v>
      </c>
      <c r="L343" s="557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IFERROR(__xludf.DUMMYFUNCTION("IMPORTRANGE(""https://docs.google.com/spreadsheets/d/1eHaY18a8A9IcSdp1K8H6x8fbOy06t2VsZHhMHf-1x7Y/edit?usp=sharing"",""แผน!EK15"")"),4000)</f>
        <v>4000</v>
      </c>
      <c r="J344" s="184">
        <f ca="1">IFERROR(__xludf.DUMMYFUNCTION("IMPORTRANGE(""https://docs.google.com/spreadsheets/d/1awYsYK3VOup2i3Pq_Yjnu8DRu_mYwSBnCR2QPthd0rU/edit?usp=sharing"",""ศูนย์ยกเว้นโฉนด!D15"")"),3739)</f>
        <v>3739</v>
      </c>
      <c r="K344" s="224">
        <f ca="1">IF(I344&gt;0,J344*100/I344,0)</f>
        <v>93.474999999999994</v>
      </c>
      <c r="L344" s="465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465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IFERROR(__xludf.DUMMYFUNCTION("IMPORTRANGE(""https://docs.google.com/spreadsheets/d/1eHaY18a8A9IcSdp1K8H6x8fbOy06t2VsZHhMHf-1x7Y/edit?usp=sharing"",""แผน!EL15"")"),5)</f>
        <v>5</v>
      </c>
      <c r="J346" s="184">
        <f ca="1">IFERROR(__xludf.DUMMYFUNCTION("IMPORTRANGE(""https://docs.google.com/spreadsheets/d/1awYsYK3VOup2i3Pq_Yjnu8DRu_mYwSBnCR2QPthd0rU/edit?usp=sharing"",""ศูนย์รวม!E15"")"),0)</f>
        <v>0</v>
      </c>
      <c r="K346" s="224">
        <f ca="1">IF(I346&gt;0,J346*100/I346,0)</f>
        <v>0</v>
      </c>
      <c r="L346" s="465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IFERROR(__xludf.DUMMYFUNCTION("IMPORTRANGE(""https://docs.google.com/spreadsheets/d/1awYsYK3VOup2i3Pq_Yjnu8DRu_mYwSBnCR2QPthd0rU/edit?usp=sharing"",""ศูนย์ยกเว้นโฉนด!F15"")"),0)</f>
        <v>0</v>
      </c>
      <c r="K347" s="45"/>
      <c r="L347" s="465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IFERROR(__xludf.DUMMYFUNCTION("IMPORTRANGE(""https://docs.google.com/spreadsheets/d/1awYsYK3VOup2i3Pq_Yjnu8DRu_mYwSBnCR2QPthd0rU/edit?usp=sharing"",""ศูนย์ยกเว้นโฉนด!G15"")"),10)</f>
        <v>10</v>
      </c>
      <c r="K348" s="45"/>
      <c r="L348" s="465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IFERROR(__xludf.DUMMYFUNCTION("IMPORTRANGE(""https://docs.google.com/spreadsheets/d/1awYsYK3VOup2i3Pq_Yjnu8DRu_mYwSBnCR2QPthd0rU/edit?usp=sharing"",""ศูนย์ยกเว้นโฉนด!H15"")"),0)</f>
        <v>0</v>
      </c>
      <c r="K349" s="45"/>
      <c r="L349" s="465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0"/>
      <c r="F350" s="40"/>
      <c r="G350" s="42"/>
      <c r="H350" s="180"/>
      <c r="I350" s="44"/>
      <c r="J350" s="44"/>
      <c r="K350" s="45"/>
      <c r="L350" s="465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558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13183</v>
      </c>
      <c r="K351" s="304">
        <v>0</v>
      </c>
      <c r="L351" s="557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IFERROR(__xludf.DUMMYFUNCTION("IMPORTRANGE(""https://docs.google.com/spreadsheets/d/1awYsYK3VOup2i3Pq_Yjnu8DRu_mYwSBnCR2QPthd0rU/edit?usp=sharing"",""โฉนดM3!G15"")"),4587)</f>
        <v>4587</v>
      </c>
      <c r="K352" s="45"/>
      <c r="L352" s="465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IFERROR(__xludf.DUMMYFUNCTION("IMPORTRANGE(""https://docs.google.com/spreadsheets/d/1awYsYK3VOup2i3Pq_Yjnu8DRu_mYwSBnCR2QPthd0rU/edit?usp=sharing"",""โฉนดM3!H15"")"),8596)</f>
        <v>8596</v>
      </c>
      <c r="K353" s="45"/>
      <c r="L353" s="465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0"/>
      <c r="F354" s="40"/>
      <c r="G354" s="42"/>
      <c r="H354" s="180"/>
      <c r="I354" s="44"/>
      <c r="J354" s="44"/>
      <c r="K354" s="45"/>
      <c r="L354" s="465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539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472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471">
        <f ca="1">L357+L358</f>
        <v>656110</v>
      </c>
      <c r="M356" s="470">
        <f ca="1">M357+M358</f>
        <v>656110</v>
      </c>
      <c r="N356" s="470">
        <f ca="1">N357+N358</f>
        <v>301506.39</v>
      </c>
      <c r="O356" s="470">
        <f t="shared" ref="O356:O364" ca="1" si="95">IF(L356&gt;0,N356*100/L356,0)</f>
        <v>45.953634299126669</v>
      </c>
      <c r="P356" s="470">
        <f t="shared" ref="P356:P364" ca="1" si="96">IF(M356&gt;0,N356*100/M356,0)</f>
        <v>45.953634299126669</v>
      </c>
      <c r="Q356" s="470">
        <f>Q357+Q358</f>
        <v>0</v>
      </c>
      <c r="R356" s="470">
        <f>R357+R358</f>
        <v>0</v>
      </c>
      <c r="S356" s="470">
        <f>S357+S358</f>
        <v>0</v>
      </c>
      <c r="T356" s="470">
        <f t="shared" ref="T356:T364" si="97">IF(Q356&gt;0,S356*100/Q356,0)</f>
        <v>0</v>
      </c>
      <c r="U356" s="470">
        <f t="shared" ref="U356:U364" si="98"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469">
        <f t="shared" ref="L357:N358" si="99">L360+L363</f>
        <v>0</v>
      </c>
      <c r="M357" s="83">
        <f t="shared" si="99"/>
        <v>0</v>
      </c>
      <c r="N357" s="83">
        <f t="shared" si="99"/>
        <v>0</v>
      </c>
      <c r="O357" s="83">
        <f t="shared" si="95"/>
        <v>0</v>
      </c>
      <c r="P357" s="83">
        <f t="shared" si="96"/>
        <v>0</v>
      </c>
      <c r="Q357" s="83">
        <f t="shared" ref="Q357:S358" si="100">Q360+Q363</f>
        <v>0</v>
      </c>
      <c r="R357" s="83">
        <f t="shared" si="100"/>
        <v>0</v>
      </c>
      <c r="S357" s="83">
        <f t="shared" si="100"/>
        <v>0</v>
      </c>
      <c r="T357" s="83">
        <f t="shared" si="97"/>
        <v>0</v>
      </c>
      <c r="U357" s="83">
        <f t="shared" si="98"/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468">
        <f t="shared" ca="1" si="99"/>
        <v>656110</v>
      </c>
      <c r="M358" s="224">
        <f t="shared" ca="1" si="99"/>
        <v>656110</v>
      </c>
      <c r="N358" s="224">
        <f t="shared" ca="1" si="99"/>
        <v>301506.39</v>
      </c>
      <c r="O358" s="224">
        <f t="shared" ca="1" si="95"/>
        <v>45.953634299126669</v>
      </c>
      <c r="P358" s="224">
        <f t="shared" ca="1" si="96"/>
        <v>45.953634299126669</v>
      </c>
      <c r="Q358" s="224">
        <f t="shared" si="100"/>
        <v>0</v>
      </c>
      <c r="R358" s="224">
        <f t="shared" si="100"/>
        <v>0</v>
      </c>
      <c r="S358" s="224">
        <f t="shared" si="100"/>
        <v>0</v>
      </c>
      <c r="T358" s="224">
        <f t="shared" si="97"/>
        <v>0</v>
      </c>
      <c r="U358" s="224">
        <f t="shared" si="98"/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468">
        <f ca="1">L360+L361</f>
        <v>656110</v>
      </c>
      <c r="M359" s="224">
        <f ca="1">M360+M361</f>
        <v>656110</v>
      </c>
      <c r="N359" s="224">
        <f ca="1">N360+N361</f>
        <v>301506.39</v>
      </c>
      <c r="O359" s="224">
        <f t="shared" ca="1" si="95"/>
        <v>45.953634299126669</v>
      </c>
      <c r="P359" s="224">
        <f t="shared" ca="1" si="96"/>
        <v>45.953634299126669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 t="shared" si="97"/>
        <v>0</v>
      </c>
      <c r="U359" s="224">
        <f t="shared" si="98"/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469">
        <v>0</v>
      </c>
      <c r="M360" s="83">
        <v>0</v>
      </c>
      <c r="N360" s="83">
        <v>0</v>
      </c>
      <c r="O360" s="83">
        <f t="shared" si="95"/>
        <v>0</v>
      </c>
      <c r="P360" s="83">
        <f t="shared" si="96"/>
        <v>0</v>
      </c>
      <c r="Q360" s="83">
        <v>0</v>
      </c>
      <c r="R360" s="83">
        <v>0</v>
      </c>
      <c r="S360" s="83">
        <v>0</v>
      </c>
      <c r="T360" s="83">
        <f t="shared" si="97"/>
        <v>0</v>
      </c>
      <c r="U360" s="83">
        <f t="shared" si="98"/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468">
        <f ca="1">IFERROR(__xludf.DUMMYFUNCTION("IMPORTRANGE(""https://docs.google.com/spreadsheets/d/1-uDff_7J0KD5mKrp0Vvzr7lt3OU09vwQwhkpOPPYv2Y/edit?usp=sharing"",""งบพรบ!FC15"")"),656110)</f>
        <v>656110</v>
      </c>
      <c r="M361" s="224">
        <f ca="1">IFERROR(__xludf.DUMMYFUNCTION("IMPORTRANGE(""https://docs.google.com/spreadsheets/d/1-uDff_7J0KD5mKrp0Vvzr7lt3OU09vwQwhkpOPPYv2Y/edit?usp=sharing"",""งบพรบ!FH15"")"),656110)</f>
        <v>656110</v>
      </c>
      <c r="N361" s="224">
        <f ca="1">IFERROR(__xludf.DUMMYFUNCTION("IMPORTRANGE(""https://docs.google.com/spreadsheets/d/1-uDff_7J0KD5mKrp0Vvzr7lt3OU09vwQwhkpOPPYv2Y/edit?usp=sharing"",""งบพรบ!FJ15"")"),301506.39)</f>
        <v>301506.39</v>
      </c>
      <c r="O361" s="224">
        <f t="shared" ca="1" si="95"/>
        <v>45.953634299126669</v>
      </c>
      <c r="P361" s="224">
        <f t="shared" ca="1" si="96"/>
        <v>45.953634299126669</v>
      </c>
      <c r="Q361" s="224">
        <v>0</v>
      </c>
      <c r="R361" s="224">
        <v>0</v>
      </c>
      <c r="S361" s="224">
        <v>0</v>
      </c>
      <c r="T361" s="224">
        <f t="shared" si="97"/>
        <v>0</v>
      </c>
      <c r="U361" s="224">
        <f t="shared" si="98"/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468">
        <f ca="1">L363+L364</f>
        <v>0</v>
      </c>
      <c r="M362" s="224">
        <f ca="1">M363+M364</f>
        <v>0</v>
      </c>
      <c r="N362" s="224">
        <f ca="1">N363+N364</f>
        <v>0</v>
      </c>
      <c r="O362" s="224">
        <f t="shared" ca="1" si="95"/>
        <v>0</v>
      </c>
      <c r="P362" s="224">
        <f t="shared" ca="1" si="96"/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 t="shared" si="97"/>
        <v>0</v>
      </c>
      <c r="U362" s="224">
        <f t="shared" si="98"/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469">
        <v>0</v>
      </c>
      <c r="M363" s="83">
        <v>0</v>
      </c>
      <c r="N363" s="83">
        <v>0</v>
      </c>
      <c r="O363" s="83">
        <f t="shared" si="95"/>
        <v>0</v>
      </c>
      <c r="P363" s="83">
        <f t="shared" si="96"/>
        <v>0</v>
      </c>
      <c r="Q363" s="83">
        <v>0</v>
      </c>
      <c r="R363" s="83">
        <v>0</v>
      </c>
      <c r="S363" s="83">
        <v>0</v>
      </c>
      <c r="T363" s="83">
        <f t="shared" si="97"/>
        <v>0</v>
      </c>
      <c r="U363" s="83">
        <f t="shared" si="98"/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468">
        <f ca="1">IFERROR(__xludf.DUMMYFUNCTION("IMPORTRANGE(""https://docs.google.com/spreadsheets/d/1-uDff_7J0KD5mKrp0Vvzr7lt3OU09vwQwhkpOPPYv2Y/edit?usp=sharing"",""งบพรบ!FF15"")"),0)</f>
        <v>0</v>
      </c>
      <c r="M364" s="224">
        <f ca="1">IFERROR(__xludf.DUMMYFUNCTION("IMPORTRANGE(""https://docs.google.com/spreadsheets/d/1-uDff_7J0KD5mKrp0Vvzr7lt3OU09vwQwhkpOPPYv2Y/edit?usp=sharing"",""งบพรบ!FI15"")"),0)</f>
        <v>0</v>
      </c>
      <c r="N364" s="224">
        <f ca="1">IFERROR(__xludf.DUMMYFUNCTION("IMPORTRANGE(""https://docs.google.com/spreadsheets/d/1-uDff_7J0KD5mKrp0Vvzr7lt3OU09vwQwhkpOPPYv2Y/edit?usp=sharing"",""งบพรบ!FK15"")"),0)</f>
        <v>0</v>
      </c>
      <c r="O364" s="224">
        <f t="shared" ca="1" si="95"/>
        <v>0</v>
      </c>
      <c r="P364" s="224">
        <f t="shared" ca="1" si="96"/>
        <v>0</v>
      </c>
      <c r="Q364" s="224">
        <v>0</v>
      </c>
      <c r="R364" s="224">
        <v>0</v>
      </c>
      <c r="S364" s="224">
        <v>0</v>
      </c>
      <c r="T364" s="224">
        <f t="shared" si="97"/>
        <v>0</v>
      </c>
      <c r="U364" s="224">
        <f t="shared" si="98"/>
        <v>0</v>
      </c>
    </row>
    <row r="365" spans="1:21" ht="19.5" x14ac:dyDescent="0.3">
      <c r="A365" s="211"/>
      <c r="B365" s="212"/>
      <c r="C365" s="214"/>
      <c r="D365" s="558" t="s">
        <v>149</v>
      </c>
      <c r="E365" s="214"/>
      <c r="F365" s="214"/>
      <c r="G365" s="215"/>
      <c r="H365" s="223" t="s">
        <v>35</v>
      </c>
      <c r="I365" s="303">
        <f ca="1">I371</f>
        <v>805</v>
      </c>
      <c r="J365" s="303">
        <f ca="1">J371</f>
        <v>465</v>
      </c>
      <c r="K365" s="304">
        <f ca="1">IF(I365&gt;0,J365*100/I365,0)</f>
        <v>57.763975155279503</v>
      </c>
      <c r="L365" s="557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498" t="s">
        <v>38</v>
      </c>
      <c r="E366" s="141"/>
      <c r="F366" s="141"/>
      <c r="G366" s="142"/>
      <c r="H366" s="143"/>
      <c r="I366" s="44"/>
      <c r="J366" s="44"/>
      <c r="K366" s="45"/>
      <c r="L366" s="4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IFERROR(__xludf.DUMMYFUNCTION("IMPORTRANGE(""https://docs.google.com/spreadsheets/d/1tdoBKaGub7dwA3U6UFTqxio9LNnvDCQjHKmttSEBsFQ/edit?usp=sharing"",""จัดที่ดิน!AB15"")"),247)</f>
        <v>247</v>
      </c>
      <c r="K367" s="224">
        <f t="shared" ref="K367:K372" si="101">IF(I367&gt;0,J367*100/I367,0)</f>
        <v>0</v>
      </c>
      <c r="L367" s="4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IFERROR(__xludf.DUMMYFUNCTION("IMPORTRANGE(""https://docs.google.com/spreadsheets/d/1eHaY18a8A9IcSdp1K8H6x8fbOy06t2VsZHhMHf-1x7Y/edit?usp=sharing"",""แผน!EW15"")"),590)</f>
        <v>590</v>
      </c>
      <c r="J368" s="556">
        <f ca="1">IFERROR(__xludf.DUMMYFUNCTION("IMPORTRANGE(""https://docs.google.com/spreadsheets/d/1tdoBKaGub7dwA3U6UFTqxio9LNnvDCQjHKmttSEBsFQ/edit?usp=sharing"",""จัดที่ดิน!AC15"")"),1076.68)</f>
        <v>1076.68</v>
      </c>
      <c r="K368" s="224">
        <f t="shared" ca="1" si="101"/>
        <v>182.48813559322033</v>
      </c>
      <c r="L368" s="4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IFERROR(__xludf.DUMMYFUNCTION("IMPORTRANGE(""https://docs.google.com/spreadsheets/d/1eHaY18a8A9IcSdp1K8H6x8fbOy06t2VsZHhMHf-1x7Y/edit?usp=sharing"",""แผน!EX15"")"),805)</f>
        <v>805</v>
      </c>
      <c r="J369" s="184">
        <f ca="1">IFERROR(__xludf.DUMMYFUNCTION("IMPORTRANGE(""https://docs.google.com/spreadsheets/d/1tdoBKaGub7dwA3U6UFTqxio9LNnvDCQjHKmttSEBsFQ/edit?usp=sharing"",""จัดที่ดิน!AD15"")"),615)</f>
        <v>615</v>
      </c>
      <c r="K369" s="224">
        <f t="shared" ca="1" si="101"/>
        <v>76.397515527950304</v>
      </c>
      <c r="L369" s="4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556">
        <f ca="1">IFERROR(__xludf.DUMMYFUNCTION("IMPORTRANGE(""https://docs.google.com/spreadsheets/d/1tdoBKaGub7dwA3U6UFTqxio9LNnvDCQjHKmttSEBsFQ/edit?usp=sharing"",""จัดที่ดิน!AE15"")"),4355.67)</f>
        <v>4355.67</v>
      </c>
      <c r="K370" s="224">
        <f t="shared" si="101"/>
        <v>0</v>
      </c>
      <c r="L370" s="4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IFERROR(__xludf.DUMMYFUNCTION("IMPORTRANGE(""https://docs.google.com/spreadsheets/d/1eHaY18a8A9IcSdp1K8H6x8fbOy06t2VsZHhMHf-1x7Y/edit?usp=sharing"",""แผน!EY15"")"),805)</f>
        <v>805</v>
      </c>
      <c r="J371" s="184">
        <f ca="1">IFERROR(__xludf.DUMMYFUNCTION("IMPORTRANGE(""https://docs.google.com/spreadsheets/d/1tdoBKaGub7dwA3U6UFTqxio9LNnvDCQjHKmttSEBsFQ/edit?usp=sharing"",""จัดที่ดิน!AF15"")"),465)</f>
        <v>465</v>
      </c>
      <c r="K371" s="224">
        <f t="shared" ca="1" si="101"/>
        <v>57.763975155279503</v>
      </c>
      <c r="L371" s="4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556">
        <f ca="1">IFERROR(__xludf.DUMMYFUNCTION("IMPORTRANGE(""https://docs.google.com/spreadsheets/d/1tdoBKaGub7dwA3U6UFTqxio9LNnvDCQjHKmttSEBsFQ/edit?usp=sharing"",""จัดที่ดิน!AG15"")"),3498.77)</f>
        <v>3498.77</v>
      </c>
      <c r="K372" s="224">
        <f t="shared" si="101"/>
        <v>0</v>
      </c>
      <c r="L372" s="4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2"/>
      <c r="H373" s="52"/>
      <c r="I373" s="54"/>
      <c r="J373" s="54"/>
      <c r="K373" s="3"/>
      <c r="L373" s="46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555"/>
      <c r="B374" s="554" t="s">
        <v>153</v>
      </c>
      <c r="C374" s="553"/>
      <c r="D374" s="552"/>
      <c r="E374" s="551"/>
      <c r="F374" s="551"/>
      <c r="G374" s="550"/>
      <c r="H374" s="549" t="s">
        <v>46</v>
      </c>
      <c r="I374" s="548">
        <f ca="1">I386+I388</f>
        <v>2000</v>
      </c>
      <c r="J374" s="548">
        <f ca="1">J386+J388</f>
        <v>12</v>
      </c>
      <c r="K374" s="547">
        <f ca="1">IF(I374&gt;0,J374*100/I374,0)</f>
        <v>0.6</v>
      </c>
      <c r="L374" s="539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128"/>
      <c r="B375" s="158"/>
      <c r="C375" s="161" t="s">
        <v>18</v>
      </c>
      <c r="D375" s="544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471">
        <f>L376+L377</f>
        <v>0</v>
      </c>
      <c r="M375" s="470">
        <f>M376+M377</f>
        <v>0</v>
      </c>
      <c r="N375" s="470">
        <f>N376+N377</f>
        <v>0</v>
      </c>
      <c r="O375" s="470">
        <f t="shared" ref="O375:O383" si="102">IF(L375&gt;0,N375*100/L375,0)</f>
        <v>0</v>
      </c>
      <c r="P375" s="470">
        <f t="shared" ref="P375:P383" si="103">IF(M375&gt;0,N375*100/M375,0)</f>
        <v>0</v>
      </c>
      <c r="Q375" s="470">
        <f ca="1">Q376+Q377</f>
        <v>125000</v>
      </c>
      <c r="R375" s="470">
        <f ca="1">R376+R377</f>
        <v>125000</v>
      </c>
      <c r="S375" s="470">
        <f ca="1">S376+S377</f>
        <v>0</v>
      </c>
      <c r="T375" s="470">
        <f t="shared" ref="T375:T383" ca="1" si="104">IF(Q375&gt;0,S375*100/Q375,0)</f>
        <v>0</v>
      </c>
      <c r="U375" s="470">
        <f t="shared" ref="U375:U383" ca="1" si="105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469">
        <f t="shared" ref="L376:N377" si="106">L379+L382</f>
        <v>0</v>
      </c>
      <c r="M376" s="83">
        <f t="shared" si="106"/>
        <v>0</v>
      </c>
      <c r="N376" s="83">
        <f t="shared" si="106"/>
        <v>0</v>
      </c>
      <c r="O376" s="83">
        <f t="shared" si="102"/>
        <v>0</v>
      </c>
      <c r="P376" s="83">
        <f t="shared" si="103"/>
        <v>0</v>
      </c>
      <c r="Q376" s="83">
        <f t="shared" ref="Q376:S377" si="107">Q379+Q382</f>
        <v>0</v>
      </c>
      <c r="R376" s="83">
        <f t="shared" si="107"/>
        <v>0</v>
      </c>
      <c r="S376" s="83">
        <f t="shared" si="107"/>
        <v>0</v>
      </c>
      <c r="T376" s="83">
        <f t="shared" si="104"/>
        <v>0</v>
      </c>
      <c r="U376" s="83">
        <f t="shared" si="105"/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468">
        <f t="shared" si="106"/>
        <v>0</v>
      </c>
      <c r="M377" s="224">
        <f t="shared" si="106"/>
        <v>0</v>
      </c>
      <c r="N377" s="224">
        <f t="shared" si="106"/>
        <v>0</v>
      </c>
      <c r="O377" s="224">
        <f t="shared" si="102"/>
        <v>0</v>
      </c>
      <c r="P377" s="224">
        <f t="shared" si="103"/>
        <v>0</v>
      </c>
      <c r="Q377" s="224">
        <f t="shared" ca="1" si="107"/>
        <v>125000</v>
      </c>
      <c r="R377" s="224">
        <f t="shared" ca="1" si="107"/>
        <v>125000</v>
      </c>
      <c r="S377" s="224">
        <f t="shared" ca="1" si="107"/>
        <v>0</v>
      </c>
      <c r="T377" s="224">
        <f t="shared" ca="1" si="104"/>
        <v>0</v>
      </c>
      <c r="U377" s="224">
        <f t="shared" ca="1" si="105"/>
        <v>0</v>
      </c>
    </row>
    <row r="378" spans="1:21" ht="18.75" x14ac:dyDescent="0.25">
      <c r="A378" s="128"/>
      <c r="B378" s="158"/>
      <c r="C378" s="158"/>
      <c r="D378" s="53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468">
        <f>L379+L380</f>
        <v>0</v>
      </c>
      <c r="M378" s="224">
        <f>M379+M380</f>
        <v>0</v>
      </c>
      <c r="N378" s="224">
        <f>N379+N380</f>
        <v>0</v>
      </c>
      <c r="O378" s="224">
        <f t="shared" si="102"/>
        <v>0</v>
      </c>
      <c r="P378" s="224">
        <f t="shared" si="103"/>
        <v>0</v>
      </c>
      <c r="Q378" s="224">
        <f ca="1">Q379+Q380</f>
        <v>125000</v>
      </c>
      <c r="R378" s="224">
        <f ca="1">R379+R380</f>
        <v>125000</v>
      </c>
      <c r="S378" s="224">
        <f ca="1">S379+S380</f>
        <v>0</v>
      </c>
      <c r="T378" s="224">
        <f t="shared" ca="1" si="104"/>
        <v>0</v>
      </c>
      <c r="U378" s="224">
        <f t="shared" ca="1" si="105"/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469">
        <v>0</v>
      </c>
      <c r="M379" s="83">
        <v>0</v>
      </c>
      <c r="N379" s="83">
        <v>0</v>
      </c>
      <c r="O379" s="83">
        <f t="shared" si="102"/>
        <v>0</v>
      </c>
      <c r="P379" s="83">
        <f t="shared" si="103"/>
        <v>0</v>
      </c>
      <c r="Q379" s="83">
        <v>0</v>
      </c>
      <c r="R379" s="83">
        <v>0</v>
      </c>
      <c r="S379" s="83">
        <v>0</v>
      </c>
      <c r="T379" s="83">
        <f t="shared" si="104"/>
        <v>0</v>
      </c>
      <c r="U379" s="83">
        <f t="shared" si="105"/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468">
        <v>0</v>
      </c>
      <c r="M380" s="224">
        <v>0</v>
      </c>
      <c r="N380" s="224">
        <v>0</v>
      </c>
      <c r="O380" s="224">
        <f t="shared" si="102"/>
        <v>0</v>
      </c>
      <c r="P380" s="224">
        <f t="shared" si="103"/>
        <v>0</v>
      </c>
      <c r="Q380" s="224">
        <f ca="1">IFERROR(__xludf.DUMMYFUNCTION("IMPORTRANGE(""https://docs.google.com/spreadsheets/d/1ItG2mGa2ceCfYo0BwxsXqNm01IGEUdYcSSLTEv9YCik/edit?usp=sharing"",""เบิกจ่ายกองทุน!AY15"")"),125000)</f>
        <v>125000</v>
      </c>
      <c r="R380" s="224">
        <f ca="1">IFERROR(__xludf.DUMMYFUNCTION("IMPORTRANGE(""https://docs.google.com/spreadsheets/d/1ItG2mGa2ceCfYo0BwxsXqNm01IGEUdYcSSLTEv9YCik/edit?usp=sharing"",""เบิกจ่ายกองทุน!AZ15"")"),125000)</f>
        <v>125000</v>
      </c>
      <c r="S380" s="224">
        <f ca="1">IFERROR(__xludf.DUMMYFUNCTION("IMPORTRANGE(""https://docs.google.com/spreadsheets/d/1ItG2mGa2ceCfYo0BwxsXqNm01IGEUdYcSSLTEv9YCik/edit?usp=sharing"",""เบิกจ่ายกองทุน!BA15"")"),0)</f>
        <v>0</v>
      </c>
      <c r="T380" s="224">
        <f t="shared" ca="1" si="104"/>
        <v>0</v>
      </c>
      <c r="U380" s="224">
        <f t="shared" ca="1" si="105"/>
        <v>0</v>
      </c>
    </row>
    <row r="381" spans="1:21" ht="18.75" x14ac:dyDescent="0.25">
      <c r="A381" s="128"/>
      <c r="B381" s="158"/>
      <c r="C381" s="158"/>
      <c r="D381" s="53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468">
        <f>L382+L383</f>
        <v>0</v>
      </c>
      <c r="M381" s="224">
        <f>M382+M383</f>
        <v>0</v>
      </c>
      <c r="N381" s="224">
        <f>N382+N383</f>
        <v>0</v>
      </c>
      <c r="O381" s="224">
        <f t="shared" si="102"/>
        <v>0</v>
      </c>
      <c r="P381" s="224">
        <f t="shared" si="103"/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 t="shared" si="104"/>
        <v>0</v>
      </c>
      <c r="U381" s="224">
        <f t="shared" si="105"/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469">
        <v>0</v>
      </c>
      <c r="M382" s="83">
        <v>0</v>
      </c>
      <c r="N382" s="83">
        <v>0</v>
      </c>
      <c r="O382" s="83">
        <f t="shared" si="102"/>
        <v>0</v>
      </c>
      <c r="P382" s="83">
        <f t="shared" si="103"/>
        <v>0</v>
      </c>
      <c r="Q382" s="83">
        <v>0</v>
      </c>
      <c r="R382" s="83">
        <v>0</v>
      </c>
      <c r="S382" s="83">
        <v>0</v>
      </c>
      <c r="T382" s="83">
        <f t="shared" si="104"/>
        <v>0</v>
      </c>
      <c r="U382" s="83">
        <f t="shared" si="105"/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468">
        <v>0</v>
      </c>
      <c r="M383" s="224">
        <v>0</v>
      </c>
      <c r="N383" s="224">
        <v>0</v>
      </c>
      <c r="O383" s="224">
        <f t="shared" si="102"/>
        <v>0</v>
      </c>
      <c r="P383" s="224">
        <f t="shared" si="103"/>
        <v>0</v>
      </c>
      <c r="Q383" s="224">
        <v>0</v>
      </c>
      <c r="R383" s="224">
        <v>0</v>
      </c>
      <c r="S383" s="224">
        <v>0</v>
      </c>
      <c r="T383" s="224">
        <f t="shared" si="104"/>
        <v>0</v>
      </c>
      <c r="U383" s="224">
        <f t="shared" si="105"/>
        <v>0</v>
      </c>
    </row>
    <row r="384" spans="1:21" ht="19.5" x14ac:dyDescent="0.3">
      <c r="A384" s="138"/>
      <c r="B384" s="139"/>
      <c r="C384" s="161" t="s">
        <v>18</v>
      </c>
      <c r="D384" s="491" t="s">
        <v>38</v>
      </c>
      <c r="E384" s="141"/>
      <c r="F384" s="141"/>
      <c r="G384" s="142"/>
      <c r="H384" s="178"/>
      <c r="I384" s="135"/>
      <c r="J384" s="44"/>
      <c r="K384" s="45"/>
      <c r="L384" s="465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IFERROR(__xludf.DUMMYFUNCTION("IMPORTRANGE(""https://docs.google.com/spreadsheets/d/1w5rwWK1o49a35cNtocGL0gxDwhFSTZUQu90BiH9_zqM/edit?usp=sharing"",""RTK!H15"")"),3)</f>
        <v>3</v>
      </c>
      <c r="K385" s="224">
        <f>IF(I385&gt;0,J385*100/I385,0)</f>
        <v>0</v>
      </c>
      <c r="L385" s="465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IFERROR(__xludf.DUMMYFUNCTION("IMPORTRANGE(""https://docs.google.com/spreadsheets/d/1w5rwWK1o49a35cNtocGL0gxDwhFSTZUQu90BiH9_zqM/edit?usp=sharing"",""RTK!G15"")"),2000)</f>
        <v>2000</v>
      </c>
      <c r="J386" s="184">
        <f ca="1">IFERROR(__xludf.DUMMYFUNCTION("IMPORTRANGE(""https://docs.google.com/spreadsheets/d/1w5rwWK1o49a35cNtocGL0gxDwhFSTZUQu90BiH9_zqM/edit?usp=sharing"",""RTK!I15"")"),12)</f>
        <v>12</v>
      </c>
      <c r="K386" s="224">
        <f ca="1">IF(I386&gt;0,J386*100/I386,0)</f>
        <v>0.6</v>
      </c>
      <c r="L386" s="465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545"/>
      <c r="B387" s="545"/>
      <c r="C387" s="545"/>
      <c r="D387" s="545"/>
      <c r="E387" s="546" t="s">
        <v>155</v>
      </c>
      <c r="F387" s="545"/>
      <c r="G387" s="488"/>
      <c r="H387" s="480" t="s">
        <v>34</v>
      </c>
      <c r="I387" s="487">
        <v>0</v>
      </c>
      <c r="J387" s="487">
        <f ca="1">IFERROR(__xludf.DUMMYFUNCTION("IMPORTRANGE(""https://docs.google.com/spreadsheets/d/1w5rwWK1o49a35cNtocGL0gxDwhFSTZUQu90BiH9_zqM/edit?usp=sharing"",""RTK!L15"")"),0)</f>
        <v>0</v>
      </c>
      <c r="K387" s="486">
        <f>IF(I387&gt;0,J387*100/I387,0)</f>
        <v>0</v>
      </c>
      <c r="L387" s="477"/>
      <c r="M387" s="476"/>
      <c r="N387" s="476"/>
      <c r="O387" s="476"/>
      <c r="P387" s="476"/>
      <c r="Q387" s="476"/>
      <c r="R387" s="476"/>
      <c r="S387" s="476"/>
      <c r="T387" s="476"/>
      <c r="U387" s="476"/>
    </row>
    <row r="388" spans="1:21" ht="18.75" x14ac:dyDescent="0.25">
      <c r="A388" s="545"/>
      <c r="B388" s="545"/>
      <c r="C388" s="545"/>
      <c r="D388" s="545"/>
      <c r="E388" s="545"/>
      <c r="F388" s="545"/>
      <c r="G388" s="488"/>
      <c r="H388" s="480" t="s">
        <v>46</v>
      </c>
      <c r="I388" s="487">
        <f ca="1">IFERROR(__xludf.DUMMYFUNCTION("IMPORTRANGE(""https://docs.google.com/spreadsheets/d/1w5rwWK1o49a35cNtocGL0gxDwhFSTZUQu90BiH9_zqM/edit?usp=sharing"",""RTK!K15"")"),0)</f>
        <v>0</v>
      </c>
      <c r="J388" s="487">
        <f ca="1">IFERROR(__xludf.DUMMYFUNCTION("IMPORTRANGE(""https://docs.google.com/spreadsheets/d/1w5rwWK1o49a35cNtocGL0gxDwhFSTZUQu90BiH9_zqM/edit?usp=sharing"",""RTK!M15"")"),0)</f>
        <v>0</v>
      </c>
      <c r="K388" s="486">
        <f ca="1">IF(I388&gt;0,J388*100/I388,0)</f>
        <v>0</v>
      </c>
      <c r="L388" s="477"/>
      <c r="M388" s="476"/>
      <c r="N388" s="476"/>
      <c r="O388" s="476"/>
      <c r="P388" s="476"/>
      <c r="Q388" s="476"/>
      <c r="R388" s="476"/>
      <c r="S388" s="476"/>
      <c r="T388" s="476"/>
      <c r="U388" s="476"/>
    </row>
    <row r="389" spans="1:21" ht="12.75" hidden="1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11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16"/>
      <c r="B390" s="316"/>
      <c r="C390" s="316"/>
      <c r="D390" s="316"/>
      <c r="E390" s="316"/>
      <c r="F390" s="316"/>
      <c r="G390" s="317"/>
      <c r="H390" s="317"/>
      <c r="I390" s="318"/>
      <c r="J390" s="318"/>
      <c r="K390" s="319"/>
      <c r="L390" s="496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hidden="1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>I402</f>
        <v>0</v>
      </c>
      <c r="J391" s="307">
        <f>J402</f>
        <v>0</v>
      </c>
      <c r="K391" s="540">
        <f>IF(I391&gt;0,J391*100/I391,0)</f>
        <v>0</v>
      </c>
      <c r="L391" s="539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hidden="1" x14ac:dyDescent="0.3">
      <c r="A392" s="128"/>
      <c r="B392" s="158"/>
      <c r="C392" s="161" t="s">
        <v>18</v>
      </c>
      <c r="D392" s="54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471">
        <f>L393+L394</f>
        <v>0</v>
      </c>
      <c r="M392" s="470">
        <f>M393+M394</f>
        <v>0</v>
      </c>
      <c r="N392" s="470">
        <f>N393+N394</f>
        <v>0</v>
      </c>
      <c r="O392" s="470">
        <f t="shared" ref="O392:O400" si="108">IF(L392&gt;0,N392*100/L392,0)</f>
        <v>0</v>
      </c>
      <c r="P392" s="470">
        <f t="shared" ref="P392:P400" si="109">IF(M392&gt;0,N392*100/M392,0)</f>
        <v>0</v>
      </c>
      <c r="Q392" s="470">
        <f>Q393+Q394</f>
        <v>0</v>
      </c>
      <c r="R392" s="470">
        <f>R393+R394</f>
        <v>0</v>
      </c>
      <c r="S392" s="470">
        <f>S393+S394</f>
        <v>0</v>
      </c>
      <c r="T392" s="470">
        <f t="shared" ref="T392:T400" si="110">IF(Q392&gt;0,S392*100/Q392,0)</f>
        <v>0</v>
      </c>
      <c r="U392" s="470">
        <f t="shared" ref="U392:U400" si="11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469">
        <f t="shared" ref="L393:N394" si="112">L396+L399</f>
        <v>0</v>
      </c>
      <c r="M393" s="83">
        <f t="shared" si="112"/>
        <v>0</v>
      </c>
      <c r="N393" s="83">
        <f t="shared" si="112"/>
        <v>0</v>
      </c>
      <c r="O393" s="83">
        <f t="shared" si="108"/>
        <v>0</v>
      </c>
      <c r="P393" s="83">
        <f t="shared" si="109"/>
        <v>0</v>
      </c>
      <c r="Q393" s="83">
        <f t="shared" ref="Q393:S394" si="113">Q396+Q399</f>
        <v>0</v>
      </c>
      <c r="R393" s="83">
        <f t="shared" si="113"/>
        <v>0</v>
      </c>
      <c r="S393" s="83">
        <f t="shared" si="113"/>
        <v>0</v>
      </c>
      <c r="T393" s="83">
        <f t="shared" si="110"/>
        <v>0</v>
      </c>
      <c r="U393" s="83">
        <f t="shared" si="111"/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468">
        <f t="shared" si="112"/>
        <v>0</v>
      </c>
      <c r="M394" s="224">
        <f t="shared" si="112"/>
        <v>0</v>
      </c>
      <c r="N394" s="224">
        <f t="shared" si="112"/>
        <v>0</v>
      </c>
      <c r="O394" s="224">
        <f t="shared" si="108"/>
        <v>0</v>
      </c>
      <c r="P394" s="224">
        <f t="shared" si="109"/>
        <v>0</v>
      </c>
      <c r="Q394" s="224">
        <f t="shared" si="113"/>
        <v>0</v>
      </c>
      <c r="R394" s="224">
        <f t="shared" si="113"/>
        <v>0</v>
      </c>
      <c r="S394" s="224">
        <f t="shared" si="113"/>
        <v>0</v>
      </c>
      <c r="T394" s="224">
        <f t="shared" si="110"/>
        <v>0</v>
      </c>
      <c r="U394" s="224">
        <f t="shared" si="111"/>
        <v>0</v>
      </c>
    </row>
    <row r="395" spans="1:21" ht="18.75" hidden="1" x14ac:dyDescent="0.25">
      <c r="A395" s="128"/>
      <c r="B395" s="158"/>
      <c r="C395" s="158"/>
      <c r="D395" s="53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468">
        <f>L396+L397</f>
        <v>0</v>
      </c>
      <c r="M395" s="224">
        <f>M396+M397</f>
        <v>0</v>
      </c>
      <c r="N395" s="224">
        <f>N396+N397</f>
        <v>0</v>
      </c>
      <c r="O395" s="224">
        <f t="shared" si="108"/>
        <v>0</v>
      </c>
      <c r="P395" s="224">
        <f t="shared" si="109"/>
        <v>0</v>
      </c>
      <c r="Q395" s="224">
        <f>Q396+Q397</f>
        <v>0</v>
      </c>
      <c r="R395" s="224">
        <f>R396+R397</f>
        <v>0</v>
      </c>
      <c r="S395" s="224">
        <f>S396+S397</f>
        <v>0</v>
      </c>
      <c r="T395" s="224">
        <f t="shared" si="110"/>
        <v>0</v>
      </c>
      <c r="U395" s="224">
        <f t="shared" si="111"/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469">
        <v>0</v>
      </c>
      <c r="M396" s="83">
        <v>0</v>
      </c>
      <c r="N396" s="83">
        <v>0</v>
      </c>
      <c r="O396" s="83">
        <f t="shared" si="108"/>
        <v>0</v>
      </c>
      <c r="P396" s="83">
        <f t="shared" si="109"/>
        <v>0</v>
      </c>
      <c r="Q396" s="83">
        <v>0</v>
      </c>
      <c r="R396" s="83">
        <v>0</v>
      </c>
      <c r="S396" s="83">
        <v>0</v>
      </c>
      <c r="T396" s="83">
        <f t="shared" si="110"/>
        <v>0</v>
      </c>
      <c r="U396" s="83">
        <f t="shared" si="111"/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468">
        <v>0</v>
      </c>
      <c r="M397" s="224">
        <v>0</v>
      </c>
      <c r="N397" s="224">
        <v>0</v>
      </c>
      <c r="O397" s="224">
        <f t="shared" si="108"/>
        <v>0</v>
      </c>
      <c r="P397" s="224">
        <f t="shared" si="109"/>
        <v>0</v>
      </c>
      <c r="Q397" s="224">
        <v>0</v>
      </c>
      <c r="R397" s="224">
        <v>0</v>
      </c>
      <c r="S397" s="224">
        <v>0</v>
      </c>
      <c r="T397" s="224">
        <f t="shared" si="110"/>
        <v>0</v>
      </c>
      <c r="U397" s="224">
        <f t="shared" si="111"/>
        <v>0</v>
      </c>
    </row>
    <row r="398" spans="1:21" ht="18.75" hidden="1" x14ac:dyDescent="0.25">
      <c r="A398" s="128"/>
      <c r="B398" s="158"/>
      <c r="C398" s="158"/>
      <c r="D398" s="53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468">
        <f>L399+L400</f>
        <v>0</v>
      </c>
      <c r="M398" s="224">
        <f>M399+M400</f>
        <v>0</v>
      </c>
      <c r="N398" s="224">
        <f>N399+N400</f>
        <v>0</v>
      </c>
      <c r="O398" s="224">
        <f t="shared" si="108"/>
        <v>0</v>
      </c>
      <c r="P398" s="224">
        <f t="shared" si="109"/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 t="shared" si="110"/>
        <v>0</v>
      </c>
      <c r="U398" s="224">
        <f t="shared" si="111"/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469">
        <v>0</v>
      </c>
      <c r="M399" s="83">
        <v>0</v>
      </c>
      <c r="N399" s="83">
        <v>0</v>
      </c>
      <c r="O399" s="83">
        <f t="shared" si="108"/>
        <v>0</v>
      </c>
      <c r="P399" s="83">
        <f t="shared" si="109"/>
        <v>0</v>
      </c>
      <c r="Q399" s="83">
        <v>0</v>
      </c>
      <c r="R399" s="83">
        <v>0</v>
      </c>
      <c r="S399" s="83">
        <v>0</v>
      </c>
      <c r="T399" s="83">
        <f t="shared" si="110"/>
        <v>0</v>
      </c>
      <c r="U399" s="83">
        <f t="shared" si="111"/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468">
        <v>0</v>
      </c>
      <c r="M400" s="224">
        <v>0</v>
      </c>
      <c r="N400" s="224">
        <v>0</v>
      </c>
      <c r="O400" s="224">
        <f t="shared" si="108"/>
        <v>0</v>
      </c>
      <c r="P400" s="224">
        <f t="shared" si="109"/>
        <v>0</v>
      </c>
      <c r="Q400" s="224">
        <v>0</v>
      </c>
      <c r="R400" s="224">
        <v>0</v>
      </c>
      <c r="S400" s="224">
        <v>0</v>
      </c>
      <c r="T400" s="224">
        <f t="shared" si="110"/>
        <v>0</v>
      </c>
      <c r="U400" s="224">
        <f t="shared" si="111"/>
        <v>0</v>
      </c>
    </row>
    <row r="401" spans="1:21" ht="19.5" hidden="1" x14ac:dyDescent="0.3">
      <c r="A401" s="138"/>
      <c r="B401" s="139"/>
      <c r="C401" s="161" t="s">
        <v>18</v>
      </c>
      <c r="D401" s="491" t="s">
        <v>38</v>
      </c>
      <c r="E401" s="141"/>
      <c r="F401" s="141"/>
      <c r="G401" s="142"/>
      <c r="H401" s="178"/>
      <c r="I401" s="135"/>
      <c r="J401" s="44"/>
      <c r="K401" s="45"/>
      <c r="L401" s="465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11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11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11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11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11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11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11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11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11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496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hidden="1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541">
        <f ca="1">I423</f>
        <v>0</v>
      </c>
      <c r="J412" s="541">
        <f>J423</f>
        <v>0</v>
      </c>
      <c r="K412" s="540">
        <f ca="1">IF(I412&gt;0,J412*100/I412,0)</f>
        <v>0</v>
      </c>
      <c r="L412" s="539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hidden="1" x14ac:dyDescent="0.3">
      <c r="A413" s="128"/>
      <c r="B413" s="158"/>
      <c r="C413" s="322" t="s">
        <v>18</v>
      </c>
      <c r="D413" s="819" t="s">
        <v>19</v>
      </c>
      <c r="E413" s="800"/>
      <c r="F413" s="800"/>
      <c r="G413" s="801"/>
      <c r="H413" s="323" t="s">
        <v>14</v>
      </c>
      <c r="I413" s="44"/>
      <c r="J413" s="44"/>
      <c r="K413" s="45"/>
      <c r="L413" s="471">
        <f>L414+L415</f>
        <v>0</v>
      </c>
      <c r="M413" s="470">
        <f>M414+M415</f>
        <v>0</v>
      </c>
      <c r="N413" s="470">
        <f>N414+N415</f>
        <v>0</v>
      </c>
      <c r="O413" s="470">
        <f t="shared" ref="O413:O421" si="114">IF(L413&gt;0,N413*100/L413,0)</f>
        <v>0</v>
      </c>
      <c r="P413" s="470">
        <f t="shared" ref="P413:P421" si="115">IF(M413&gt;0,N413*100/M413,0)</f>
        <v>0</v>
      </c>
      <c r="Q413" s="470">
        <f ca="1">Q414+Q415</f>
        <v>0</v>
      </c>
      <c r="R413" s="470">
        <f ca="1">R414+R415</f>
        <v>0</v>
      </c>
      <c r="S413" s="470">
        <f ca="1">S414+S415</f>
        <v>0</v>
      </c>
      <c r="T413" s="470">
        <f t="shared" ref="T413:T421" ca="1" si="116">IF(Q413&gt;0,S413*100/Q413,0)</f>
        <v>0</v>
      </c>
      <c r="U413" s="470">
        <f t="shared" ref="U413:U421" ca="1" si="117">IF(R413&gt;0,S413*100/R413,0)</f>
        <v>0</v>
      </c>
    </row>
    <row r="414" spans="1:21" ht="18.75" hidden="1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469">
        <f t="shared" ref="L414:N415" si="118">L417+L420</f>
        <v>0</v>
      </c>
      <c r="M414" s="83">
        <f t="shared" si="118"/>
        <v>0</v>
      </c>
      <c r="N414" s="83">
        <f t="shared" si="118"/>
        <v>0</v>
      </c>
      <c r="O414" s="83">
        <f t="shared" si="114"/>
        <v>0</v>
      </c>
      <c r="P414" s="83">
        <f t="shared" si="115"/>
        <v>0</v>
      </c>
      <c r="Q414" s="83">
        <f t="shared" ref="Q414:S415" si="119">Q417+Q420</f>
        <v>0</v>
      </c>
      <c r="R414" s="83">
        <f t="shared" si="119"/>
        <v>0</v>
      </c>
      <c r="S414" s="83">
        <f t="shared" si="119"/>
        <v>0</v>
      </c>
      <c r="T414" s="83">
        <f t="shared" si="116"/>
        <v>0</v>
      </c>
      <c r="U414" s="83">
        <f t="shared" si="117"/>
        <v>0</v>
      </c>
    </row>
    <row r="415" spans="1:21" ht="18.75" hidden="1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468">
        <f t="shared" si="118"/>
        <v>0</v>
      </c>
      <c r="M415" s="224">
        <f t="shared" si="118"/>
        <v>0</v>
      </c>
      <c r="N415" s="224">
        <f t="shared" si="118"/>
        <v>0</v>
      </c>
      <c r="O415" s="224">
        <f t="shared" si="114"/>
        <v>0</v>
      </c>
      <c r="P415" s="224">
        <f t="shared" si="115"/>
        <v>0</v>
      </c>
      <c r="Q415" s="224">
        <f t="shared" ca="1" si="119"/>
        <v>0</v>
      </c>
      <c r="R415" s="224">
        <f t="shared" ca="1" si="119"/>
        <v>0</v>
      </c>
      <c r="S415" s="224">
        <f t="shared" ca="1" si="119"/>
        <v>0</v>
      </c>
      <c r="T415" s="224">
        <f t="shared" ca="1" si="116"/>
        <v>0</v>
      </c>
      <c r="U415" s="224">
        <f t="shared" ca="1" si="117"/>
        <v>0</v>
      </c>
    </row>
    <row r="416" spans="1:21" ht="19.5" hidden="1" x14ac:dyDescent="0.3">
      <c r="A416" s="128"/>
      <c r="B416" s="158"/>
      <c r="C416" s="158"/>
      <c r="D416" s="54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468">
        <f>L417+L418</f>
        <v>0</v>
      </c>
      <c r="M416" s="224">
        <f>M417+M418</f>
        <v>0</v>
      </c>
      <c r="N416" s="224">
        <f>N417+N418</f>
        <v>0</v>
      </c>
      <c r="O416" s="224">
        <f t="shared" si="114"/>
        <v>0</v>
      </c>
      <c r="P416" s="224">
        <f t="shared" si="115"/>
        <v>0</v>
      </c>
      <c r="Q416" s="224">
        <f ca="1">Q417+Q418</f>
        <v>0</v>
      </c>
      <c r="R416" s="224">
        <f ca="1">R417+R418</f>
        <v>0</v>
      </c>
      <c r="S416" s="224">
        <f ca="1">S417+S418</f>
        <v>0</v>
      </c>
      <c r="T416" s="224">
        <f t="shared" ca="1" si="116"/>
        <v>0</v>
      </c>
      <c r="U416" s="224">
        <f t="shared" ca="1" si="117"/>
        <v>0</v>
      </c>
    </row>
    <row r="417" spans="1:21" ht="18.75" hidden="1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469">
        <v>0</v>
      </c>
      <c r="M417" s="83">
        <v>0</v>
      </c>
      <c r="N417" s="83">
        <v>0</v>
      </c>
      <c r="O417" s="83">
        <f t="shared" si="114"/>
        <v>0</v>
      </c>
      <c r="P417" s="83">
        <f t="shared" si="115"/>
        <v>0</v>
      </c>
      <c r="Q417" s="83">
        <v>0</v>
      </c>
      <c r="R417" s="83">
        <v>0</v>
      </c>
      <c r="S417" s="83">
        <v>0</v>
      </c>
      <c r="T417" s="83">
        <f t="shared" si="116"/>
        <v>0</v>
      </c>
      <c r="U417" s="83">
        <f t="shared" si="117"/>
        <v>0</v>
      </c>
    </row>
    <row r="418" spans="1:21" ht="18.75" hidden="1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468">
        <v>0</v>
      </c>
      <c r="M418" s="224">
        <v>0</v>
      </c>
      <c r="N418" s="224">
        <v>0</v>
      </c>
      <c r="O418" s="224">
        <f t="shared" si="114"/>
        <v>0</v>
      </c>
      <c r="P418" s="224">
        <f t="shared" si="115"/>
        <v>0</v>
      </c>
      <c r="Q418" s="224">
        <f ca="1">IFERROR(__xludf.DUMMYFUNCTION("IMPORTRANGE(""https://docs.google.com/spreadsheets/d/1ItG2mGa2ceCfYo0BwxsXqNm01IGEUdYcSSLTEv9YCik/edit?usp=sharing"",""เบิกจ่ายกองทุน!BH15"")"),0)</f>
        <v>0</v>
      </c>
      <c r="R418" s="224">
        <f ca="1">IFERROR(__xludf.DUMMYFUNCTION("IMPORTRANGE(""https://docs.google.com/spreadsheets/d/1ItG2mGa2ceCfYo0BwxsXqNm01IGEUdYcSSLTEv9YCik/edit?usp=sharing"",""เบิกจ่ายกองทุน!BI15"")"),0)</f>
        <v>0</v>
      </c>
      <c r="S418" s="224">
        <f ca="1">IFERROR(__xludf.DUMMYFUNCTION("IMPORTRANGE(""https://docs.google.com/spreadsheets/d/1ItG2mGa2ceCfYo0BwxsXqNm01IGEUdYcSSLTEv9YCik/edit?usp=sharing"",""เบิกจ่ายกองทุน!BJ15"")"),0)</f>
        <v>0</v>
      </c>
      <c r="T418" s="224">
        <f t="shared" ca="1" si="116"/>
        <v>0</v>
      </c>
      <c r="U418" s="224">
        <f t="shared" ca="1" si="117"/>
        <v>0</v>
      </c>
    </row>
    <row r="419" spans="1:21" ht="19.5" hidden="1" x14ac:dyDescent="0.3">
      <c r="A419" s="128"/>
      <c r="B419" s="158"/>
      <c r="C419" s="158"/>
      <c r="D419" s="54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468">
        <f>L420+L421</f>
        <v>0</v>
      </c>
      <c r="M419" s="224">
        <f>M420+M421</f>
        <v>0</v>
      </c>
      <c r="N419" s="224">
        <f>N420+N421</f>
        <v>0</v>
      </c>
      <c r="O419" s="224">
        <f t="shared" si="114"/>
        <v>0</v>
      </c>
      <c r="P419" s="224">
        <f t="shared" si="115"/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 t="shared" si="116"/>
        <v>0</v>
      </c>
      <c r="U419" s="224">
        <f t="shared" si="117"/>
        <v>0</v>
      </c>
    </row>
    <row r="420" spans="1:21" ht="18.75" hidden="1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469">
        <v>0</v>
      </c>
      <c r="M420" s="83">
        <v>0</v>
      </c>
      <c r="N420" s="83">
        <v>0</v>
      </c>
      <c r="O420" s="83">
        <f t="shared" si="114"/>
        <v>0</v>
      </c>
      <c r="P420" s="83">
        <f t="shared" si="115"/>
        <v>0</v>
      </c>
      <c r="Q420" s="83">
        <v>0</v>
      </c>
      <c r="R420" s="83">
        <v>0</v>
      </c>
      <c r="S420" s="83">
        <v>0</v>
      </c>
      <c r="T420" s="83">
        <f t="shared" si="116"/>
        <v>0</v>
      </c>
      <c r="U420" s="83">
        <f t="shared" si="117"/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468">
        <v>0</v>
      </c>
      <c r="M421" s="224">
        <v>0</v>
      </c>
      <c r="N421" s="224">
        <v>0</v>
      </c>
      <c r="O421" s="224">
        <f t="shared" si="114"/>
        <v>0</v>
      </c>
      <c r="P421" s="224">
        <f t="shared" si="115"/>
        <v>0</v>
      </c>
      <c r="Q421" s="224">
        <v>0</v>
      </c>
      <c r="R421" s="224">
        <v>0</v>
      </c>
      <c r="S421" s="224">
        <v>0</v>
      </c>
      <c r="T421" s="224">
        <f t="shared" si="116"/>
        <v>0</v>
      </c>
      <c r="U421" s="224">
        <f t="shared" si="117"/>
        <v>0</v>
      </c>
    </row>
    <row r="422" spans="1:21" ht="19.5" hidden="1" x14ac:dyDescent="0.3">
      <c r="A422" s="208"/>
      <c r="B422" s="158"/>
      <c r="C422" s="322" t="s">
        <v>18</v>
      </c>
      <c r="D422" s="543" t="s">
        <v>38</v>
      </c>
      <c r="E422" s="158"/>
      <c r="F422" s="158"/>
      <c r="G422" s="180"/>
      <c r="H422" s="180"/>
      <c r="I422" s="44"/>
      <c r="J422" s="44"/>
      <c r="K422" s="45"/>
      <c r="L422" s="465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ca="1">I440</f>
        <v>0</v>
      </c>
      <c r="J423" s="328">
        <f>J440</f>
        <v>0</v>
      </c>
      <c r="K423" s="470">
        <f ca="1">IF(I423&gt;0,J423*100/I423,0)</f>
        <v>0</v>
      </c>
      <c r="L423" s="465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IFERROR(__xludf.DUMMYFUNCTION("IMPORTRANGE(""https://docs.google.com/spreadsheets/d/1eHaY18a8A9IcSdp1K8H6x8fbOy06t2VsZHhMHf-1x7Y/edit?usp=sharing"",""แผน!HJ15"")"),0)</f>
        <v>0</v>
      </c>
      <c r="J424" s="328">
        <f>J426+J428+J430</f>
        <v>0</v>
      </c>
      <c r="K424" s="470">
        <f ca="1">IF(I424&gt;0,J424*100/I424,0)</f>
        <v>0</v>
      </c>
      <c r="L424" s="465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IFERROR(__xludf.DUMMYFUNCTION("IMPORTRANGE(""https://docs.google.com/spreadsheets/d/1eHaY18a8A9IcSdp1K8H6x8fbOy06t2VsZHhMHf-1x7Y/edit?usp=sharing"",""แผน!HK15"")"),0)</f>
        <v>0</v>
      </c>
      <c r="J425" s="328">
        <f>J427+J429+J431</f>
        <v>0</v>
      </c>
      <c r="K425" s="470">
        <f ca="1">IF(I425&gt;0,J425*100/I425,0)</f>
        <v>0</v>
      </c>
      <c r="L425" s="465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465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465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465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465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465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465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IFERROR(__xludf.DUMMYFUNCTION("IMPORTRANGE(""https://docs.google.com/spreadsheets/d/1eHaY18a8A9IcSdp1K8H6x8fbOy06t2VsZHhMHf-1x7Y/edit?usp=sharing"",""แผน!HJ15"")"),0)</f>
        <v>0</v>
      </c>
      <c r="J432" s="328">
        <f>J434+J436+J438</f>
        <v>0</v>
      </c>
      <c r="K432" s="470">
        <f ca="1">IF(I432&gt;0,J432*100/I432,0)</f>
        <v>0</v>
      </c>
      <c r="L432" s="465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IFERROR(__xludf.DUMMYFUNCTION("IMPORTRANGE(""https://docs.google.com/spreadsheets/d/1eHaY18a8A9IcSdp1K8H6x8fbOy06t2VsZHhMHf-1x7Y/edit?usp=sharing"",""แผน!HK15"")"),0)</f>
        <v>0</v>
      </c>
      <c r="J433" s="328">
        <f>J435+J437+J439</f>
        <v>0</v>
      </c>
      <c r="K433" s="470">
        <f ca="1">IF(I433&gt;0,J433*100/I433,0)</f>
        <v>0</v>
      </c>
      <c r="L433" s="465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465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465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465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465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465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465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IFERROR(__xludf.DUMMYFUNCTION("IMPORTRANGE(""https://docs.google.com/spreadsheets/d/1eHaY18a8A9IcSdp1K8H6x8fbOy06t2VsZHhMHf-1x7Y/edit?usp=sharing"",""แผน!HJ15"")"),0)</f>
        <v>0</v>
      </c>
      <c r="J440" s="328">
        <f>J442+J444+J446+J452+J454</f>
        <v>0</v>
      </c>
      <c r="K440" s="470">
        <f ca="1">IF(I440&gt;0,J440*100/I440,0)</f>
        <v>0</v>
      </c>
      <c r="L440" s="465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IFERROR(__xludf.DUMMYFUNCTION("IMPORTRANGE(""https://docs.google.com/spreadsheets/d/1eHaY18a8A9IcSdp1K8H6x8fbOy06t2VsZHhMHf-1x7Y/edit?usp=sharing"",""แผน!HK15"")"),0)</f>
        <v>0</v>
      </c>
      <c r="J441" s="328">
        <f>J443+J445+J447+J453+J455</f>
        <v>0</v>
      </c>
      <c r="K441" s="470">
        <f ca="1">IF(I441&gt;0,J441*100/I441,0)</f>
        <v>0</v>
      </c>
      <c r="L441" s="465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465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465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465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465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>J448+J450</f>
        <v>0</v>
      </c>
      <c r="K446" s="45"/>
      <c r="L446" s="465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>J449+J451</f>
        <v>0</v>
      </c>
      <c r="K447" s="45"/>
      <c r="L447" s="465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465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465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465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465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465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465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542"/>
      <c r="K454" s="45"/>
      <c r="L454" s="465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465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hidden="1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ca="1">I457</f>
        <v>0</v>
      </c>
      <c r="J456" s="328">
        <f>J457</f>
        <v>0</v>
      </c>
      <c r="K456" s="470">
        <f ca="1">IF(I456&gt;0,J456*100/I456,0)</f>
        <v>0</v>
      </c>
      <c r="L456" s="465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IFERROR(__xludf.DUMMYFUNCTION("IMPORTRANGE(""https://docs.google.com/spreadsheets/d/1eHaY18a8A9IcSdp1K8H6x8fbOy06t2VsZHhMHf-1x7Y/edit?usp=sharing"",""แผน!HL15"")"),0)</f>
        <v>0</v>
      </c>
      <c r="J457" s="328">
        <f>J459+J467+J473</f>
        <v>0</v>
      </c>
      <c r="K457" s="470">
        <f ca="1">IF(I457&gt;0,J457*100/I457,0)</f>
        <v>0</v>
      </c>
      <c r="L457" s="465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IFERROR(__xludf.DUMMYFUNCTION("IMPORTRANGE(""https://docs.google.com/spreadsheets/d/1eHaY18a8A9IcSdp1K8H6x8fbOy06t2VsZHhMHf-1x7Y/edit?usp=sharing"",""แผน!HM15"")"),0)</f>
        <v>0</v>
      </c>
      <c r="J458" s="328">
        <f>J460+J468+J474</f>
        <v>0</v>
      </c>
      <c r="K458" s="470">
        <f ca="1">IF(I458&gt;0,J458*100/I458,0)</f>
        <v>0</v>
      </c>
      <c r="L458" s="465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hidden="1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>J461+J463</f>
        <v>0</v>
      </c>
      <c r="K459" s="45"/>
      <c r="L459" s="465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>J462+J464</f>
        <v>0</v>
      </c>
      <c r="K460" s="45"/>
      <c r="L460" s="465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465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465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465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465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465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465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>J469+J471</f>
        <v>0</v>
      </c>
      <c r="K467" s="45"/>
      <c r="L467" s="465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>J470+J472</f>
        <v>0</v>
      </c>
      <c r="K468" s="45"/>
      <c r="L468" s="465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465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465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465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465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465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465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470">
        <f>IF(I475&gt;0,J475*100/I475,0)</f>
        <v>0</v>
      </c>
      <c r="L475" s="465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>J478+J480</f>
        <v>0</v>
      </c>
      <c r="K476" s="470">
        <f>IF(I476&gt;0,J476*100/I476,0)</f>
        <v>0</v>
      </c>
      <c r="L476" s="465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>J479+J481</f>
        <v>0</v>
      </c>
      <c r="K477" s="470">
        <f>IF(I477&gt;0,J477*100/I477,0)</f>
        <v>0</v>
      </c>
      <c r="L477" s="465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hidden="1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465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465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465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465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IFERROR(__xludf.DUMMYFUNCTION("IMPORTRANGE(""https://docs.google.com/spreadsheets/d/1eHaY18a8A9IcSdp1K8H6x8fbOy06t2VsZHhMHf-1x7Y/edit?usp=sharing"",""แผน!HN15"")"),0)</f>
        <v>0</v>
      </c>
      <c r="K482" s="45"/>
      <c r="L482" s="465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IFERROR(__xludf.DUMMYFUNCTION("IMPORTRANGE(""https://docs.google.com/spreadsheets/d/1eHaY18a8A9IcSdp1K8H6x8fbOy06t2VsZHhMHf-1x7Y/edit?usp=sharing"",""แผน!HO15"")"),0)</f>
        <v>0</v>
      </c>
      <c r="K483" s="45"/>
      <c r="L483" s="465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>J480</f>
        <v>0</v>
      </c>
      <c r="J484" s="328">
        <f>J486+J488+J490</f>
        <v>0</v>
      </c>
      <c r="K484" s="470">
        <f>IF(I484&gt;0,J484*100/I484,0)</f>
        <v>0</v>
      </c>
      <c r="L484" s="465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>J481</f>
        <v>0</v>
      </c>
      <c r="J485" s="328">
        <f>J487+J489+J491</f>
        <v>0</v>
      </c>
      <c r="K485" s="470">
        <f>IF(I485&gt;0,J485*100/I485,0)</f>
        <v>0</v>
      </c>
      <c r="L485" s="465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hidden="1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465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465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465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465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465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46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541">
        <f ca="1">I503</f>
        <v>0</v>
      </c>
      <c r="J492" s="541">
        <f ca="1">J503</f>
        <v>0</v>
      </c>
      <c r="K492" s="540">
        <f ca="1">IF(I492&gt;0,J492*100/I492,0)</f>
        <v>0</v>
      </c>
      <c r="L492" s="539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hidden="1" x14ac:dyDescent="0.3">
      <c r="A493" s="128"/>
      <c r="B493" s="158"/>
      <c r="C493" s="177" t="s">
        <v>18</v>
      </c>
      <c r="D493" s="819" t="s">
        <v>19</v>
      </c>
      <c r="E493" s="800"/>
      <c r="F493" s="800"/>
      <c r="G493" s="42"/>
      <c r="H493" s="221" t="s">
        <v>14</v>
      </c>
      <c r="I493" s="44"/>
      <c r="J493" s="44"/>
      <c r="K493" s="45"/>
      <c r="L493" s="471">
        <f>L494+L495</f>
        <v>0</v>
      </c>
      <c r="M493" s="470">
        <f>M494+M495</f>
        <v>0</v>
      </c>
      <c r="N493" s="470">
        <f>N494+N495</f>
        <v>0</v>
      </c>
      <c r="O493" s="470">
        <f t="shared" ref="O493:O501" si="120">IF(L493&gt;0,N493*100/L493,0)</f>
        <v>0</v>
      </c>
      <c r="P493" s="470">
        <f t="shared" ref="P493:P501" si="121">IF(M493&gt;0,N493*100/M493,0)</f>
        <v>0</v>
      </c>
      <c r="Q493" s="470">
        <f ca="1">Q494+Q495</f>
        <v>0</v>
      </c>
      <c r="R493" s="470">
        <f ca="1">R494+R495</f>
        <v>0</v>
      </c>
      <c r="S493" s="470">
        <f ca="1">S494+S495</f>
        <v>0</v>
      </c>
      <c r="T493" s="470">
        <f t="shared" ref="T493:T501" ca="1" si="122">IF(Q493&gt;0,S493*100/Q493,0)</f>
        <v>0</v>
      </c>
      <c r="U493" s="470">
        <f t="shared" ref="U493:U501" ca="1" si="123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469">
        <f t="shared" ref="L494:N495" si="124">L497+L500</f>
        <v>0</v>
      </c>
      <c r="M494" s="83">
        <f t="shared" si="124"/>
        <v>0</v>
      </c>
      <c r="N494" s="83">
        <f t="shared" si="124"/>
        <v>0</v>
      </c>
      <c r="O494" s="83">
        <f t="shared" si="120"/>
        <v>0</v>
      </c>
      <c r="P494" s="83">
        <f t="shared" si="121"/>
        <v>0</v>
      </c>
      <c r="Q494" s="83">
        <f t="shared" ref="Q494:S495" si="125">Q497+Q500</f>
        <v>0</v>
      </c>
      <c r="R494" s="83">
        <f t="shared" si="125"/>
        <v>0</v>
      </c>
      <c r="S494" s="83">
        <f t="shared" si="125"/>
        <v>0</v>
      </c>
      <c r="T494" s="83">
        <f t="shared" si="122"/>
        <v>0</v>
      </c>
      <c r="U494" s="83">
        <f t="shared" si="123"/>
        <v>0</v>
      </c>
    </row>
    <row r="495" spans="1:21" ht="18.75" hidden="1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468">
        <f t="shared" si="124"/>
        <v>0</v>
      </c>
      <c r="M495" s="224">
        <f t="shared" si="124"/>
        <v>0</v>
      </c>
      <c r="N495" s="224">
        <f t="shared" si="124"/>
        <v>0</v>
      </c>
      <c r="O495" s="224">
        <f t="shared" si="120"/>
        <v>0</v>
      </c>
      <c r="P495" s="224">
        <f t="shared" si="121"/>
        <v>0</v>
      </c>
      <c r="Q495" s="224">
        <f t="shared" ca="1" si="125"/>
        <v>0</v>
      </c>
      <c r="R495" s="224">
        <f t="shared" ca="1" si="125"/>
        <v>0</v>
      </c>
      <c r="S495" s="224">
        <f t="shared" ca="1" si="125"/>
        <v>0</v>
      </c>
      <c r="T495" s="224">
        <f t="shared" ca="1" si="122"/>
        <v>0</v>
      </c>
      <c r="U495" s="224">
        <f t="shared" ca="1" si="123"/>
        <v>0</v>
      </c>
    </row>
    <row r="496" spans="1:21" ht="18.75" hidden="1" x14ac:dyDescent="0.25">
      <c r="A496" s="128"/>
      <c r="B496" s="158"/>
      <c r="C496" s="158"/>
      <c r="D496" s="53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468">
        <f>L497+L498</f>
        <v>0</v>
      </c>
      <c r="M496" s="224">
        <f>M497+M498</f>
        <v>0</v>
      </c>
      <c r="N496" s="224">
        <f>N497+N498</f>
        <v>0</v>
      </c>
      <c r="O496" s="224">
        <f t="shared" si="120"/>
        <v>0</v>
      </c>
      <c r="P496" s="224">
        <f t="shared" si="121"/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t="shared" ca="1" si="122"/>
        <v>0</v>
      </c>
      <c r="U496" s="224">
        <f t="shared" ca="1" si="123"/>
        <v>0</v>
      </c>
    </row>
    <row r="497" spans="1:21" ht="18.75" hidden="1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469">
        <v>0</v>
      </c>
      <c r="M497" s="83">
        <v>0</v>
      </c>
      <c r="N497" s="83">
        <v>0</v>
      </c>
      <c r="O497" s="83">
        <f t="shared" si="120"/>
        <v>0</v>
      </c>
      <c r="P497" s="83">
        <f t="shared" si="121"/>
        <v>0</v>
      </c>
      <c r="Q497" s="83">
        <v>0</v>
      </c>
      <c r="R497" s="83">
        <v>0</v>
      </c>
      <c r="S497" s="83">
        <v>0</v>
      </c>
      <c r="T497" s="83">
        <f t="shared" si="122"/>
        <v>0</v>
      </c>
      <c r="U497" s="83">
        <f t="shared" si="123"/>
        <v>0</v>
      </c>
    </row>
    <row r="498" spans="1:21" ht="18.75" hidden="1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468">
        <v>0</v>
      </c>
      <c r="M498" s="224">
        <v>0</v>
      </c>
      <c r="N498" s="224">
        <v>0</v>
      </c>
      <c r="O498" s="224">
        <f t="shared" si="120"/>
        <v>0</v>
      </c>
      <c r="P498" s="224">
        <f t="shared" si="121"/>
        <v>0</v>
      </c>
      <c r="Q498" s="224">
        <f ca="1">IFERROR(__xludf.DUMMYFUNCTION("IMPORTRANGE(""https://docs.google.com/spreadsheets/d/1ItG2mGa2ceCfYo0BwxsXqNm01IGEUdYcSSLTEv9YCik/edit?usp=sharing"",""เบิกจ่ายกองทุน!X15"")"),0)</f>
        <v>0</v>
      </c>
      <c r="R498" s="224">
        <f ca="1">IFERROR(__xludf.DUMMYFUNCTION("IMPORTRANGE(""https://docs.google.com/spreadsheets/d/1ItG2mGa2ceCfYo0BwxsXqNm01IGEUdYcSSLTEv9YCik/edit?usp=sharing"",""เบิกจ่ายกองทุน!Y15"")"),0)</f>
        <v>0</v>
      </c>
      <c r="S498" s="224">
        <f ca="1">IFERROR(__xludf.DUMMYFUNCTION("IMPORTRANGE(""https://docs.google.com/spreadsheets/d/1ItG2mGa2ceCfYo0BwxsXqNm01IGEUdYcSSLTEv9YCik/edit?usp=sharing"",""เบิกจ่ายกองทุน!Z15"")"),0)</f>
        <v>0</v>
      </c>
      <c r="T498" s="224">
        <f t="shared" ca="1" si="122"/>
        <v>0</v>
      </c>
      <c r="U498" s="224">
        <f t="shared" ca="1" si="123"/>
        <v>0</v>
      </c>
    </row>
    <row r="499" spans="1:21" ht="18.75" hidden="1" x14ac:dyDescent="0.25">
      <c r="A499" s="128"/>
      <c r="B499" s="158"/>
      <c r="C499" s="158"/>
      <c r="D499" s="53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468">
        <f>L500+L501</f>
        <v>0</v>
      </c>
      <c r="M499" s="224">
        <f>M500+M501</f>
        <v>0</v>
      </c>
      <c r="N499" s="224">
        <f>N500+N501</f>
        <v>0</v>
      </c>
      <c r="O499" s="224">
        <f t="shared" si="120"/>
        <v>0</v>
      </c>
      <c r="P499" s="224">
        <f t="shared" si="121"/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 t="shared" si="122"/>
        <v>0</v>
      </c>
      <c r="U499" s="224">
        <f t="shared" si="123"/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469">
        <v>0</v>
      </c>
      <c r="M500" s="83">
        <v>0</v>
      </c>
      <c r="N500" s="83">
        <v>0</v>
      </c>
      <c r="O500" s="83">
        <f t="shared" si="120"/>
        <v>0</v>
      </c>
      <c r="P500" s="83">
        <f t="shared" si="121"/>
        <v>0</v>
      </c>
      <c r="Q500" s="83">
        <v>0</v>
      </c>
      <c r="R500" s="83">
        <v>0</v>
      </c>
      <c r="S500" s="83">
        <v>0</v>
      </c>
      <c r="T500" s="83">
        <f t="shared" si="122"/>
        <v>0</v>
      </c>
      <c r="U500" s="83">
        <f t="shared" si="123"/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468">
        <v>0</v>
      </c>
      <c r="M501" s="224">
        <v>0</v>
      </c>
      <c r="N501" s="224">
        <v>0</v>
      </c>
      <c r="O501" s="224">
        <f t="shared" si="120"/>
        <v>0</v>
      </c>
      <c r="P501" s="224">
        <f t="shared" si="121"/>
        <v>0</v>
      </c>
      <c r="Q501" s="224">
        <v>0</v>
      </c>
      <c r="R501" s="224">
        <v>0</v>
      </c>
      <c r="S501" s="224">
        <v>0</v>
      </c>
      <c r="T501" s="224">
        <f t="shared" si="122"/>
        <v>0</v>
      </c>
      <c r="U501" s="224">
        <f t="shared" si="123"/>
        <v>0</v>
      </c>
    </row>
    <row r="502" spans="1:21" ht="19.5" hidden="1" x14ac:dyDescent="0.3">
      <c r="A502" s="138"/>
      <c r="B502" s="139"/>
      <c r="C502" s="177" t="s">
        <v>18</v>
      </c>
      <c r="D502" s="491" t="s">
        <v>38</v>
      </c>
      <c r="E502" s="141"/>
      <c r="F502" s="141"/>
      <c r="G502" s="142"/>
      <c r="H502" s="178"/>
      <c r="I502" s="135"/>
      <c r="J502" s="135"/>
      <c r="K502" s="136"/>
      <c r="L502" s="4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IFERROR(__xludf.DUMMYFUNCTION("IMPORTRANGE(""https://docs.google.com/spreadsheets/d/1eHaY18a8A9IcSdp1K8H6x8fbOy06t2VsZHhMHf-1x7Y/edit?usp=sharing"",""แผน!GX15"")"),0)</f>
        <v>0</v>
      </c>
      <c r="J503" s="328">
        <f ca="1">IF(AND(J504=I504,J505=I505,J506=I506,J507=I507),I503,0)</f>
        <v>0</v>
      </c>
      <c r="K503" s="470">
        <f t="shared" ref="K503:K509" ca="1" si="126">IF(I503&gt;0,J503*100/I503,0)</f>
        <v>0</v>
      </c>
      <c r="L503" s="465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IFERROR(__xludf.DUMMYFUNCTION("IMPORTRANGE(""https://docs.google.com/spreadsheets/d/1eHaY18a8A9IcSdp1K8H6x8fbOy06t2VsZHhMHf-1x7Y/edit?usp=sharing"",""แผน!GY15"")"),0)</f>
        <v>0</v>
      </c>
      <c r="J504" s="466">
        <v>0</v>
      </c>
      <c r="K504" s="224">
        <f t="shared" ca="1" si="126"/>
        <v>0</v>
      </c>
      <c r="L504" s="465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IFERROR(__xludf.DUMMYFUNCTION("IMPORTRANGE(""https://docs.google.com/spreadsheets/d/1eHaY18a8A9IcSdp1K8H6x8fbOy06t2VsZHhMHf-1x7Y/edit?usp=sharing"",""แผน!GZ15"")"),0)</f>
        <v>0</v>
      </c>
      <c r="J505" s="466">
        <v>0</v>
      </c>
      <c r="K505" s="224">
        <f t="shared" ca="1" si="126"/>
        <v>0</v>
      </c>
      <c r="L505" s="465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IFERROR(__xludf.DUMMYFUNCTION("IMPORTRANGE(""https://docs.google.com/spreadsheets/d/1eHaY18a8A9IcSdp1K8H6x8fbOy06t2VsZHhMHf-1x7Y/edit?usp=sharing"",""แผน!HA15"")"),0)</f>
        <v>0</v>
      </c>
      <c r="J506" s="466">
        <v>0</v>
      </c>
      <c r="K506" s="224">
        <f t="shared" ca="1" si="126"/>
        <v>0</v>
      </c>
      <c r="L506" s="465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IFERROR(__xludf.DUMMYFUNCTION("IMPORTRANGE(""https://docs.google.com/spreadsheets/d/1eHaY18a8A9IcSdp1K8H6x8fbOy06t2VsZHhMHf-1x7Y/edit?usp=sharing"",""แผน!HB15"")"),0)</f>
        <v>0</v>
      </c>
      <c r="J507" s="466">
        <v>0</v>
      </c>
      <c r="K507" s="224">
        <f t="shared" ca="1" si="126"/>
        <v>0</v>
      </c>
      <c r="L507" s="465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 t="shared" si="126"/>
        <v>0</v>
      </c>
      <c r="L508" s="465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IFERROR(__xludf.DUMMYFUNCTION("IMPORTRANGE(""https://docs.google.com/spreadsheets/d/1eHaY18a8A9IcSdp1K8H6x8fbOy06t2VsZHhMHf-1x7Y/edit?usp=sharing"",""แผน!HC15"")"),0)</f>
        <v>0</v>
      </c>
      <c r="J509" s="464">
        <v>0</v>
      </c>
      <c r="K509" s="455">
        <f t="shared" ca="1" si="126"/>
        <v>0</v>
      </c>
      <c r="L509" s="46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537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536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hidden="1" x14ac:dyDescent="0.3">
      <c r="A511" s="535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534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hidden="1" x14ac:dyDescent="0.3">
      <c r="A512" s="349"/>
      <c r="B512" s="533" t="s">
        <v>207</v>
      </c>
      <c r="C512" s="351"/>
      <c r="D512" s="352"/>
      <c r="E512" s="352"/>
      <c r="F512" s="352"/>
      <c r="G512" s="353"/>
      <c r="H512" s="532" t="s">
        <v>61</v>
      </c>
      <c r="I512" s="531">
        <f>I524</f>
        <v>0</v>
      </c>
      <c r="J512" s="531">
        <f>J524</f>
        <v>0</v>
      </c>
      <c r="K512" s="530">
        <f>IF(I512&gt;0,J512*100/I512,0)</f>
        <v>0</v>
      </c>
      <c r="L512" s="512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hidden="1" x14ac:dyDescent="0.3">
      <c r="A513" s="128"/>
      <c r="B513" s="40"/>
      <c r="C513" s="527" t="s">
        <v>18</v>
      </c>
      <c r="D513" s="494" t="s">
        <v>19</v>
      </c>
      <c r="E513" s="40"/>
      <c r="F513" s="40"/>
      <c r="G513" s="42"/>
      <c r="H513" s="529" t="s">
        <v>14</v>
      </c>
      <c r="I513" s="44"/>
      <c r="J513" s="44"/>
      <c r="K513" s="45"/>
      <c r="L513" s="471">
        <f ca="1">L514+L515</f>
        <v>0</v>
      </c>
      <c r="M513" s="470">
        <f ca="1">M514+M515</f>
        <v>0</v>
      </c>
      <c r="N513" s="470">
        <f ca="1">N514+N515</f>
        <v>0</v>
      </c>
      <c r="O513" s="470">
        <f t="shared" ref="O513:O521" ca="1" si="127">IF(L513&gt;0,N513*100/L513,0)</f>
        <v>0</v>
      </c>
      <c r="P513" s="470">
        <f t="shared" ref="P513:P521" ca="1" si="128">IF(M513&gt;0,N513*100/M513,0)</f>
        <v>0</v>
      </c>
      <c r="Q513" s="470">
        <f>Q514+Q515</f>
        <v>0</v>
      </c>
      <c r="R513" s="470">
        <f>R514+R515</f>
        <v>0</v>
      </c>
      <c r="S513" s="470">
        <f>S514+S515</f>
        <v>0</v>
      </c>
      <c r="T513" s="470">
        <f t="shared" ref="T513:T521" si="129">IF(Q513&gt;0,S513*100/Q513,0)</f>
        <v>0</v>
      </c>
      <c r="U513" s="470">
        <f t="shared" ref="U513:U521" si="130"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469">
        <f t="shared" ref="L514:N515" si="131">L517+L520</f>
        <v>0</v>
      </c>
      <c r="M514" s="83">
        <f t="shared" si="131"/>
        <v>0</v>
      </c>
      <c r="N514" s="83">
        <f t="shared" si="131"/>
        <v>0</v>
      </c>
      <c r="O514" s="83">
        <f t="shared" si="127"/>
        <v>0</v>
      </c>
      <c r="P514" s="83">
        <f t="shared" si="128"/>
        <v>0</v>
      </c>
      <c r="Q514" s="83">
        <f t="shared" ref="Q514:S515" si="132">Q517+Q520</f>
        <v>0</v>
      </c>
      <c r="R514" s="83">
        <f t="shared" si="132"/>
        <v>0</v>
      </c>
      <c r="S514" s="83">
        <f t="shared" si="132"/>
        <v>0</v>
      </c>
      <c r="T514" s="83">
        <f t="shared" si="129"/>
        <v>0</v>
      </c>
      <c r="U514" s="83">
        <f t="shared" si="130"/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468">
        <f t="shared" ca="1" si="131"/>
        <v>0</v>
      </c>
      <c r="M515" s="224">
        <f t="shared" ca="1" si="131"/>
        <v>0</v>
      </c>
      <c r="N515" s="224">
        <f t="shared" ca="1" si="131"/>
        <v>0</v>
      </c>
      <c r="O515" s="224">
        <f t="shared" ca="1" si="127"/>
        <v>0</v>
      </c>
      <c r="P515" s="224">
        <f t="shared" ca="1" si="128"/>
        <v>0</v>
      </c>
      <c r="Q515" s="224">
        <f t="shared" si="132"/>
        <v>0</v>
      </c>
      <c r="R515" s="224">
        <f t="shared" si="132"/>
        <v>0</v>
      </c>
      <c r="S515" s="224">
        <f t="shared" si="132"/>
        <v>0</v>
      </c>
      <c r="T515" s="224">
        <f t="shared" si="129"/>
        <v>0</v>
      </c>
      <c r="U515" s="224">
        <f t="shared" si="130"/>
        <v>0</v>
      </c>
    </row>
    <row r="516" spans="1:21" ht="18.75" hidden="1" x14ac:dyDescent="0.25">
      <c r="A516" s="128"/>
      <c r="B516" s="40"/>
      <c r="C516" s="40"/>
      <c r="D516" s="52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468">
        <f ca="1">L517+L518</f>
        <v>0</v>
      </c>
      <c r="M516" s="224">
        <f ca="1">M517+M518</f>
        <v>0</v>
      </c>
      <c r="N516" s="224">
        <f ca="1">N517+N518</f>
        <v>0</v>
      </c>
      <c r="O516" s="224">
        <f t="shared" ca="1" si="127"/>
        <v>0</v>
      </c>
      <c r="P516" s="224">
        <f t="shared" ca="1" si="128"/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 t="shared" si="129"/>
        <v>0</v>
      </c>
      <c r="U516" s="224">
        <f t="shared" si="130"/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469">
        <v>0</v>
      </c>
      <c r="M517" s="83">
        <v>0</v>
      </c>
      <c r="N517" s="83">
        <v>0</v>
      </c>
      <c r="O517" s="83">
        <f t="shared" si="127"/>
        <v>0</v>
      </c>
      <c r="P517" s="83">
        <f t="shared" si="128"/>
        <v>0</v>
      </c>
      <c r="Q517" s="83">
        <v>0</v>
      </c>
      <c r="R517" s="83">
        <v>0</v>
      </c>
      <c r="S517" s="83">
        <v>0</v>
      </c>
      <c r="T517" s="83">
        <f t="shared" si="129"/>
        <v>0</v>
      </c>
      <c r="U517" s="83">
        <f t="shared" si="130"/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468">
        <f ca="1">IFERROR(__xludf.DUMMYFUNCTION("IMPORTRANGE(""https://docs.google.com/spreadsheets/d/1-uDff_7J0KD5mKrp0Vvzr7lt3OU09vwQwhkpOPPYv2Y/edit?usp=sharing"",""งบพรบ!FM15"")"),0)</f>
        <v>0</v>
      </c>
      <c r="M518" s="224">
        <f ca="1">IFERROR(__xludf.DUMMYFUNCTION("IMPORTRANGE(""https://docs.google.com/spreadsheets/d/1-uDff_7J0KD5mKrp0Vvzr7lt3OU09vwQwhkpOPPYv2Y/edit?usp=sharing"",""งบพรบ!FR15"")"),0)</f>
        <v>0</v>
      </c>
      <c r="N518" s="224">
        <f ca="1">IFERROR(__xludf.DUMMYFUNCTION("IMPORTRANGE(""https://docs.google.com/spreadsheets/d/1-uDff_7J0KD5mKrp0Vvzr7lt3OU09vwQwhkpOPPYv2Y/edit?usp=sharing"",""งบพรบ!FT15"")"),0)</f>
        <v>0</v>
      </c>
      <c r="O518" s="224">
        <f t="shared" ca="1" si="127"/>
        <v>0</v>
      </c>
      <c r="P518" s="224">
        <f t="shared" ca="1" si="128"/>
        <v>0</v>
      </c>
      <c r="Q518" s="224">
        <v>0</v>
      </c>
      <c r="R518" s="224">
        <v>0</v>
      </c>
      <c r="S518" s="224">
        <v>0</v>
      </c>
      <c r="T518" s="224">
        <f t="shared" si="129"/>
        <v>0</v>
      </c>
      <c r="U518" s="224">
        <f t="shared" si="130"/>
        <v>0</v>
      </c>
    </row>
    <row r="519" spans="1:21" ht="18.75" hidden="1" x14ac:dyDescent="0.25">
      <c r="A519" s="128"/>
      <c r="B519" s="40"/>
      <c r="C519" s="40"/>
      <c r="D519" s="528" t="s">
        <v>23</v>
      </c>
      <c r="E519" s="40"/>
      <c r="F519" s="40"/>
      <c r="G519" s="42"/>
      <c r="H519" s="375" t="s">
        <v>14</v>
      </c>
      <c r="I519" s="135"/>
      <c r="J519" s="135"/>
      <c r="K519" s="136"/>
      <c r="L519" s="468">
        <f ca="1">L520+L521</f>
        <v>0</v>
      </c>
      <c r="M519" s="224">
        <f ca="1">M520+M521</f>
        <v>0</v>
      </c>
      <c r="N519" s="224">
        <f ca="1">N520+N521</f>
        <v>0</v>
      </c>
      <c r="O519" s="224">
        <f t="shared" ca="1" si="127"/>
        <v>0</v>
      </c>
      <c r="P519" s="224">
        <f t="shared" ca="1" si="128"/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 t="shared" si="129"/>
        <v>0</v>
      </c>
      <c r="U519" s="224">
        <f t="shared" si="130"/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469">
        <v>0</v>
      </c>
      <c r="M520" s="83">
        <v>0</v>
      </c>
      <c r="N520" s="83">
        <v>0</v>
      </c>
      <c r="O520" s="83">
        <f t="shared" si="127"/>
        <v>0</v>
      </c>
      <c r="P520" s="83">
        <f t="shared" si="128"/>
        <v>0</v>
      </c>
      <c r="Q520" s="83">
        <v>0</v>
      </c>
      <c r="R520" s="83">
        <v>0</v>
      </c>
      <c r="S520" s="83">
        <v>0</v>
      </c>
      <c r="T520" s="83">
        <f t="shared" si="129"/>
        <v>0</v>
      </c>
      <c r="U520" s="83">
        <f t="shared" si="130"/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375" t="s">
        <v>14</v>
      </c>
      <c r="I521" s="135"/>
      <c r="J521" s="135"/>
      <c r="K521" s="136"/>
      <c r="L521" s="468">
        <f ca="1">IFERROR(__xludf.DUMMYFUNCTION("IMPORTRANGE(""https://docs.google.com/spreadsheets/d/1-uDff_7J0KD5mKrp0Vvzr7lt3OU09vwQwhkpOPPYv2Y/edit?usp=sharing"",""งบพรบ!FP15"")"),0)</f>
        <v>0</v>
      </c>
      <c r="M521" s="224">
        <f ca="1">IFERROR(__xludf.DUMMYFUNCTION("IMPORTRANGE(""https://docs.google.com/spreadsheets/d/1-uDff_7J0KD5mKrp0Vvzr7lt3OU09vwQwhkpOPPYv2Y/edit?usp=sharing"",""งบพรบ!FS15"")"),0)</f>
        <v>0</v>
      </c>
      <c r="N521" s="224">
        <f ca="1">IFERROR(__xludf.DUMMYFUNCTION("IMPORTRANGE(""https://docs.google.com/spreadsheets/d/1-uDff_7J0KD5mKrp0Vvzr7lt3OU09vwQwhkpOPPYv2Y/edit?usp=sharing"",""งบพรบ!FU15"")"),0)</f>
        <v>0</v>
      </c>
      <c r="O521" s="224">
        <f t="shared" ca="1" si="127"/>
        <v>0</v>
      </c>
      <c r="P521" s="224">
        <f t="shared" ca="1" si="128"/>
        <v>0</v>
      </c>
      <c r="Q521" s="224">
        <v>0</v>
      </c>
      <c r="R521" s="224">
        <v>0</v>
      </c>
      <c r="S521" s="224">
        <v>0</v>
      </c>
      <c r="T521" s="224">
        <f t="shared" si="129"/>
        <v>0</v>
      </c>
      <c r="U521" s="224">
        <f t="shared" si="130"/>
        <v>0</v>
      </c>
    </row>
    <row r="522" spans="1:21" ht="19.5" hidden="1" x14ac:dyDescent="0.3">
      <c r="A522" s="138"/>
      <c r="B522" s="139"/>
      <c r="C522" s="527" t="s">
        <v>18</v>
      </c>
      <c r="D522" s="509" t="s">
        <v>38</v>
      </c>
      <c r="E522" s="141"/>
      <c r="F522" s="141"/>
      <c r="G522" s="142"/>
      <c r="H522" s="143"/>
      <c r="I522" s="135"/>
      <c r="J522" s="44"/>
      <c r="K522" s="45"/>
      <c r="L522" s="465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208</v>
      </c>
      <c r="E523" s="139"/>
      <c r="F523" s="40"/>
      <c r="G523" s="42"/>
      <c r="H523" s="526" t="s">
        <v>11</v>
      </c>
      <c r="I523" s="430">
        <v>0</v>
      </c>
      <c r="J523" s="525">
        <v>0</v>
      </c>
      <c r="K523" s="83">
        <f>IF(I523&gt;0,J523*100/I523,0)</f>
        <v>0</v>
      </c>
      <c r="L523" s="465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29"/>
      <c r="B524" s="1"/>
      <c r="C524" s="2"/>
      <c r="D524" s="524" t="s">
        <v>209</v>
      </c>
      <c r="E524" s="250"/>
      <c r="F524" s="1"/>
      <c r="G524" s="52"/>
      <c r="H524" s="523" t="s">
        <v>61</v>
      </c>
      <c r="I524" s="433">
        <v>0</v>
      </c>
      <c r="J524" s="522">
        <v>0</v>
      </c>
      <c r="K524" s="521">
        <f>IF(I524&gt;0,J524*100/I524,0)</f>
        <v>0</v>
      </c>
      <c r="L524" s="465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520"/>
      <c r="B525" s="519"/>
      <c r="C525" s="519"/>
      <c r="D525" s="518"/>
      <c r="E525" s="518"/>
      <c r="F525" s="518"/>
      <c r="G525" s="517"/>
      <c r="H525" s="516"/>
      <c r="I525" s="515"/>
      <c r="J525" s="515"/>
      <c r="K525" s="514"/>
      <c r="L525" s="511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11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11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11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11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11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11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496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hidden="1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64">
        <f>I545</f>
        <v>0</v>
      </c>
      <c r="J533" s="364">
        <f>J545</f>
        <v>0</v>
      </c>
      <c r="K533" s="513">
        <f>IF(I533&gt;0,J533*100/I533,0)</f>
        <v>0</v>
      </c>
      <c r="L533" s="512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hidden="1" x14ac:dyDescent="0.3">
      <c r="A534" s="128"/>
      <c r="B534" s="40"/>
      <c r="C534" s="129" t="s">
        <v>18</v>
      </c>
      <c r="D534" s="472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471">
        <f>L535+L536</f>
        <v>0</v>
      </c>
      <c r="M534" s="470">
        <f>M535+M536</f>
        <v>0</v>
      </c>
      <c r="N534" s="470">
        <f>N535+N536</f>
        <v>0</v>
      </c>
      <c r="O534" s="470">
        <f t="shared" ref="O534:O542" si="133">IF(L534&gt;0,N534*100/L534,0)</f>
        <v>0</v>
      </c>
      <c r="P534" s="470">
        <f t="shared" ref="P534:P542" si="134">IF(M534&gt;0,N534*100/M534,0)</f>
        <v>0</v>
      </c>
      <c r="Q534" s="470">
        <f>Q535+Q536</f>
        <v>0</v>
      </c>
      <c r="R534" s="470">
        <f>R535+R536</f>
        <v>0</v>
      </c>
      <c r="S534" s="470">
        <f>S535+S536</f>
        <v>0</v>
      </c>
      <c r="T534" s="470">
        <f t="shared" ref="T534:T542" si="135">IF(Q534&gt;0,S534*100/Q534,0)</f>
        <v>0</v>
      </c>
      <c r="U534" s="470">
        <f t="shared" ref="U534:U542" si="136"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469">
        <f t="shared" ref="L535:N536" si="137">L538+L541</f>
        <v>0</v>
      </c>
      <c r="M535" s="83">
        <f t="shared" si="137"/>
        <v>0</v>
      </c>
      <c r="N535" s="83">
        <f t="shared" si="137"/>
        <v>0</v>
      </c>
      <c r="O535" s="83">
        <f t="shared" si="133"/>
        <v>0</v>
      </c>
      <c r="P535" s="83">
        <f t="shared" si="134"/>
        <v>0</v>
      </c>
      <c r="Q535" s="83">
        <f t="shared" ref="Q535:S536" si="138">Q538+Q541</f>
        <v>0</v>
      </c>
      <c r="R535" s="83">
        <f t="shared" si="138"/>
        <v>0</v>
      </c>
      <c r="S535" s="83">
        <f t="shared" si="138"/>
        <v>0</v>
      </c>
      <c r="T535" s="83">
        <f t="shared" si="135"/>
        <v>0</v>
      </c>
      <c r="U535" s="83">
        <f t="shared" si="136"/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468">
        <f t="shared" si="137"/>
        <v>0</v>
      </c>
      <c r="M536" s="224">
        <f t="shared" si="137"/>
        <v>0</v>
      </c>
      <c r="N536" s="224">
        <f t="shared" si="137"/>
        <v>0</v>
      </c>
      <c r="O536" s="224">
        <f t="shared" si="133"/>
        <v>0</v>
      </c>
      <c r="P536" s="224">
        <f t="shared" si="134"/>
        <v>0</v>
      </c>
      <c r="Q536" s="224">
        <f t="shared" si="138"/>
        <v>0</v>
      </c>
      <c r="R536" s="224">
        <f t="shared" si="138"/>
        <v>0</v>
      </c>
      <c r="S536" s="224">
        <f t="shared" si="138"/>
        <v>0</v>
      </c>
      <c r="T536" s="224">
        <f t="shared" si="135"/>
        <v>0</v>
      </c>
      <c r="U536" s="224">
        <f t="shared" si="136"/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468">
        <f>L538+L539</f>
        <v>0</v>
      </c>
      <c r="M537" s="224">
        <f>M538+M539</f>
        <v>0</v>
      </c>
      <c r="N537" s="224">
        <f>N538+N539</f>
        <v>0</v>
      </c>
      <c r="O537" s="224">
        <f t="shared" si="133"/>
        <v>0</v>
      </c>
      <c r="P537" s="224">
        <f t="shared" si="134"/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 t="shared" si="135"/>
        <v>0</v>
      </c>
      <c r="U537" s="224">
        <f t="shared" si="136"/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469">
        <v>0</v>
      </c>
      <c r="M538" s="83">
        <v>0</v>
      </c>
      <c r="N538" s="83">
        <v>0</v>
      </c>
      <c r="O538" s="83">
        <f t="shared" si="133"/>
        <v>0</v>
      </c>
      <c r="P538" s="83">
        <f t="shared" si="134"/>
        <v>0</v>
      </c>
      <c r="Q538" s="83">
        <v>0</v>
      </c>
      <c r="R538" s="83">
        <v>0</v>
      </c>
      <c r="S538" s="83">
        <v>0</v>
      </c>
      <c r="T538" s="83">
        <f t="shared" si="135"/>
        <v>0</v>
      </c>
      <c r="U538" s="83">
        <f t="shared" si="136"/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468">
        <v>0</v>
      </c>
      <c r="M539" s="224">
        <v>0</v>
      </c>
      <c r="N539" s="224">
        <v>0</v>
      </c>
      <c r="O539" s="224">
        <f t="shared" si="133"/>
        <v>0</v>
      </c>
      <c r="P539" s="224">
        <f t="shared" si="134"/>
        <v>0</v>
      </c>
      <c r="Q539" s="224">
        <v>0</v>
      </c>
      <c r="R539" s="224">
        <v>0</v>
      </c>
      <c r="S539" s="224">
        <v>0</v>
      </c>
      <c r="T539" s="224">
        <f t="shared" si="135"/>
        <v>0</v>
      </c>
      <c r="U539" s="224">
        <f t="shared" si="136"/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468">
        <f>L541+L542</f>
        <v>0</v>
      </c>
      <c r="M540" s="224">
        <f>M541+M542</f>
        <v>0</v>
      </c>
      <c r="N540" s="224">
        <f>N541+N542</f>
        <v>0</v>
      </c>
      <c r="O540" s="224">
        <f t="shared" si="133"/>
        <v>0</v>
      </c>
      <c r="P540" s="224">
        <f t="shared" si="134"/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 t="shared" si="135"/>
        <v>0</v>
      </c>
      <c r="U540" s="224">
        <f t="shared" si="136"/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469">
        <v>0</v>
      </c>
      <c r="M541" s="83">
        <v>0</v>
      </c>
      <c r="N541" s="83">
        <v>0</v>
      </c>
      <c r="O541" s="83">
        <f t="shared" si="133"/>
        <v>0</v>
      </c>
      <c r="P541" s="83">
        <f t="shared" si="134"/>
        <v>0</v>
      </c>
      <c r="Q541" s="83">
        <v>0</v>
      </c>
      <c r="R541" s="83">
        <v>0</v>
      </c>
      <c r="S541" s="83">
        <v>0</v>
      </c>
      <c r="T541" s="83">
        <f t="shared" si="135"/>
        <v>0</v>
      </c>
      <c r="U541" s="83">
        <f t="shared" si="136"/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468">
        <v>0</v>
      </c>
      <c r="M542" s="224">
        <v>0</v>
      </c>
      <c r="N542" s="224">
        <v>0</v>
      </c>
      <c r="O542" s="224">
        <f t="shared" si="133"/>
        <v>0</v>
      </c>
      <c r="P542" s="224">
        <f t="shared" si="134"/>
        <v>0</v>
      </c>
      <c r="Q542" s="224">
        <v>0</v>
      </c>
      <c r="R542" s="224">
        <v>0</v>
      </c>
      <c r="S542" s="224">
        <v>0</v>
      </c>
      <c r="T542" s="224">
        <f t="shared" si="135"/>
        <v>0</v>
      </c>
      <c r="U542" s="224">
        <f t="shared" si="136"/>
        <v>0</v>
      </c>
    </row>
    <row r="543" spans="1:21" ht="19.5" hidden="1" x14ac:dyDescent="0.3">
      <c r="A543" s="138"/>
      <c r="B543" s="139"/>
      <c r="C543" s="365" t="s">
        <v>18</v>
      </c>
      <c r="D543" s="498" t="s">
        <v>38</v>
      </c>
      <c r="E543" s="141"/>
      <c r="F543" s="141"/>
      <c r="G543" s="142"/>
      <c r="H543" s="143"/>
      <c r="I543" s="135"/>
      <c r="J543" s="44"/>
      <c r="K543" s="45"/>
      <c r="L543" s="465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11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11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11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11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11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11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11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11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11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496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hidden="1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64">
        <f>I566</f>
        <v>0</v>
      </c>
      <c r="J554" s="364">
        <f>J566</f>
        <v>0</v>
      </c>
      <c r="K554" s="513">
        <f>IF(I554&gt;0,J554*100/I554,0)</f>
        <v>0</v>
      </c>
      <c r="L554" s="512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hidden="1" x14ac:dyDescent="0.3">
      <c r="A555" s="128"/>
      <c r="B555" s="40"/>
      <c r="C555" s="129" t="s">
        <v>18</v>
      </c>
      <c r="D555" s="472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471">
        <f>L556+L557</f>
        <v>0</v>
      </c>
      <c r="M555" s="470">
        <f>M556+M557</f>
        <v>0</v>
      </c>
      <c r="N555" s="470">
        <f>N556+N557</f>
        <v>0</v>
      </c>
      <c r="O555" s="470">
        <f t="shared" ref="O555:O563" si="139">IF(L555&gt;0,N555*100/L555,0)</f>
        <v>0</v>
      </c>
      <c r="P555" s="470">
        <f t="shared" ref="P555:P563" si="140">IF(M555&gt;0,N555*100/M555,0)</f>
        <v>0</v>
      </c>
      <c r="Q555" s="470">
        <f>Q556+Q557</f>
        <v>0</v>
      </c>
      <c r="R555" s="470">
        <f>R556+R557</f>
        <v>0</v>
      </c>
      <c r="S555" s="470">
        <f>S556+S557</f>
        <v>0</v>
      </c>
      <c r="T555" s="470">
        <f t="shared" ref="T555:T563" si="141">IF(Q555&gt;0,S555*100/Q555,0)</f>
        <v>0</v>
      </c>
      <c r="U555" s="470">
        <f t="shared" ref="U555:U563" si="142"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469">
        <f t="shared" ref="L556:N557" si="143">L559+L562</f>
        <v>0</v>
      </c>
      <c r="M556" s="83">
        <f t="shared" si="143"/>
        <v>0</v>
      </c>
      <c r="N556" s="83">
        <f t="shared" si="143"/>
        <v>0</v>
      </c>
      <c r="O556" s="83">
        <f t="shared" si="139"/>
        <v>0</v>
      </c>
      <c r="P556" s="83">
        <f t="shared" si="140"/>
        <v>0</v>
      </c>
      <c r="Q556" s="83">
        <f t="shared" ref="Q556:S557" si="144">Q559+Q562</f>
        <v>0</v>
      </c>
      <c r="R556" s="83">
        <f t="shared" si="144"/>
        <v>0</v>
      </c>
      <c r="S556" s="83">
        <f t="shared" si="144"/>
        <v>0</v>
      </c>
      <c r="T556" s="83">
        <f t="shared" si="141"/>
        <v>0</v>
      </c>
      <c r="U556" s="83">
        <f t="shared" si="142"/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468">
        <f t="shared" si="143"/>
        <v>0</v>
      </c>
      <c r="M557" s="224">
        <f t="shared" si="143"/>
        <v>0</v>
      </c>
      <c r="N557" s="224">
        <f t="shared" si="143"/>
        <v>0</v>
      </c>
      <c r="O557" s="224">
        <f t="shared" si="139"/>
        <v>0</v>
      </c>
      <c r="P557" s="224">
        <f t="shared" si="140"/>
        <v>0</v>
      </c>
      <c r="Q557" s="224">
        <f t="shared" si="144"/>
        <v>0</v>
      </c>
      <c r="R557" s="224">
        <f t="shared" si="144"/>
        <v>0</v>
      </c>
      <c r="S557" s="224">
        <f t="shared" si="144"/>
        <v>0</v>
      </c>
      <c r="T557" s="224">
        <f t="shared" si="141"/>
        <v>0</v>
      </c>
      <c r="U557" s="224">
        <f t="shared" si="142"/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468">
        <f>L559+L560</f>
        <v>0</v>
      </c>
      <c r="M558" s="224">
        <f>M559+M560</f>
        <v>0</v>
      </c>
      <c r="N558" s="224">
        <f>N559+N560</f>
        <v>0</v>
      </c>
      <c r="O558" s="224">
        <f t="shared" si="139"/>
        <v>0</v>
      </c>
      <c r="P558" s="224">
        <f t="shared" si="140"/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 t="shared" si="141"/>
        <v>0</v>
      </c>
      <c r="U558" s="224">
        <f t="shared" si="142"/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469">
        <v>0</v>
      </c>
      <c r="M559" s="83">
        <v>0</v>
      </c>
      <c r="N559" s="83">
        <v>0</v>
      </c>
      <c r="O559" s="83">
        <f t="shared" si="139"/>
        <v>0</v>
      </c>
      <c r="P559" s="83">
        <f t="shared" si="140"/>
        <v>0</v>
      </c>
      <c r="Q559" s="83">
        <v>0</v>
      </c>
      <c r="R559" s="83">
        <v>0</v>
      </c>
      <c r="S559" s="83">
        <v>0</v>
      </c>
      <c r="T559" s="83">
        <f t="shared" si="141"/>
        <v>0</v>
      </c>
      <c r="U559" s="83">
        <f t="shared" si="142"/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468">
        <v>0</v>
      </c>
      <c r="M560" s="224">
        <v>0</v>
      </c>
      <c r="N560" s="224">
        <v>0</v>
      </c>
      <c r="O560" s="224">
        <f t="shared" si="139"/>
        <v>0</v>
      </c>
      <c r="P560" s="224">
        <f t="shared" si="140"/>
        <v>0</v>
      </c>
      <c r="Q560" s="224">
        <v>0</v>
      </c>
      <c r="R560" s="224">
        <v>0</v>
      </c>
      <c r="S560" s="224">
        <v>0</v>
      </c>
      <c r="T560" s="224">
        <f t="shared" si="141"/>
        <v>0</v>
      </c>
      <c r="U560" s="224">
        <f t="shared" si="142"/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468">
        <f>L562+L563</f>
        <v>0</v>
      </c>
      <c r="M561" s="224">
        <f>M562+M563</f>
        <v>0</v>
      </c>
      <c r="N561" s="224">
        <f>N562+N563</f>
        <v>0</v>
      </c>
      <c r="O561" s="224">
        <f t="shared" si="139"/>
        <v>0</v>
      </c>
      <c r="P561" s="224">
        <f t="shared" si="140"/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 t="shared" si="141"/>
        <v>0</v>
      </c>
      <c r="U561" s="224">
        <f t="shared" si="142"/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469">
        <v>0</v>
      </c>
      <c r="M562" s="83">
        <v>0</v>
      </c>
      <c r="N562" s="83">
        <v>0</v>
      </c>
      <c r="O562" s="83">
        <f t="shared" si="139"/>
        <v>0</v>
      </c>
      <c r="P562" s="83">
        <f t="shared" si="140"/>
        <v>0</v>
      </c>
      <c r="Q562" s="83">
        <v>0</v>
      </c>
      <c r="R562" s="83">
        <v>0</v>
      </c>
      <c r="S562" s="83">
        <v>0</v>
      </c>
      <c r="T562" s="83">
        <f t="shared" si="141"/>
        <v>0</v>
      </c>
      <c r="U562" s="83">
        <f t="shared" si="142"/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468">
        <v>0</v>
      </c>
      <c r="M563" s="224">
        <v>0</v>
      </c>
      <c r="N563" s="224">
        <v>0</v>
      </c>
      <c r="O563" s="224">
        <f t="shared" si="139"/>
        <v>0</v>
      </c>
      <c r="P563" s="224">
        <f t="shared" si="140"/>
        <v>0</v>
      </c>
      <c r="Q563" s="224">
        <v>0</v>
      </c>
      <c r="R563" s="224">
        <v>0</v>
      </c>
      <c r="S563" s="224">
        <v>0</v>
      </c>
      <c r="T563" s="224">
        <f t="shared" si="141"/>
        <v>0</v>
      </c>
      <c r="U563" s="224">
        <f t="shared" si="142"/>
        <v>0</v>
      </c>
    </row>
    <row r="564" spans="1:21" ht="19.5" hidden="1" x14ac:dyDescent="0.3">
      <c r="A564" s="138"/>
      <c r="B564" s="139"/>
      <c r="C564" s="365" t="s">
        <v>18</v>
      </c>
      <c r="D564" s="498" t="s">
        <v>38</v>
      </c>
      <c r="E564" s="141"/>
      <c r="F564" s="141"/>
      <c r="G564" s="142"/>
      <c r="H564" s="143"/>
      <c r="I564" s="135"/>
      <c r="J564" s="44"/>
      <c r="K564" s="45"/>
      <c r="L564" s="465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11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11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11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11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11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11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11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11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11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496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hidden="1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64">
        <f>I587</f>
        <v>0</v>
      </c>
      <c r="J575" s="364">
        <f>J587</f>
        <v>0</v>
      </c>
      <c r="K575" s="513">
        <f>IF(I575&gt;0,J575*100/I575,0)</f>
        <v>0</v>
      </c>
      <c r="L575" s="512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hidden="1" x14ac:dyDescent="0.3">
      <c r="A576" s="128"/>
      <c r="B576" s="40"/>
      <c r="C576" s="129" t="s">
        <v>18</v>
      </c>
      <c r="D576" s="472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471">
        <f>L577+L578</f>
        <v>0</v>
      </c>
      <c r="M576" s="470">
        <f>M577+M578</f>
        <v>0</v>
      </c>
      <c r="N576" s="470">
        <f>N577+N578</f>
        <v>0</v>
      </c>
      <c r="O576" s="470">
        <f t="shared" ref="O576:O584" si="145">IF(L576&gt;0,N576*100/L576,0)</f>
        <v>0</v>
      </c>
      <c r="P576" s="470">
        <f t="shared" ref="P576:P584" si="146">IF(M576&gt;0,N576*100/M576,0)</f>
        <v>0</v>
      </c>
      <c r="Q576" s="470">
        <f>Q577+Q578</f>
        <v>0</v>
      </c>
      <c r="R576" s="470">
        <f>R577+R578</f>
        <v>0</v>
      </c>
      <c r="S576" s="470">
        <f>S577+S578</f>
        <v>0</v>
      </c>
      <c r="T576" s="470">
        <f t="shared" ref="T576:T584" si="147">IF(Q576&gt;0,S576*100/Q576,0)</f>
        <v>0</v>
      </c>
      <c r="U576" s="470">
        <f t="shared" ref="U576:U584" si="148"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469">
        <f t="shared" ref="L577:N578" si="149">L580+L583</f>
        <v>0</v>
      </c>
      <c r="M577" s="83">
        <f t="shared" si="149"/>
        <v>0</v>
      </c>
      <c r="N577" s="83">
        <f t="shared" si="149"/>
        <v>0</v>
      </c>
      <c r="O577" s="83">
        <f t="shared" si="145"/>
        <v>0</v>
      </c>
      <c r="P577" s="83">
        <f t="shared" si="146"/>
        <v>0</v>
      </c>
      <c r="Q577" s="83">
        <f t="shared" ref="Q577:S578" si="150">Q580+Q583</f>
        <v>0</v>
      </c>
      <c r="R577" s="83">
        <f t="shared" si="150"/>
        <v>0</v>
      </c>
      <c r="S577" s="83">
        <f t="shared" si="150"/>
        <v>0</v>
      </c>
      <c r="T577" s="83">
        <f t="shared" si="147"/>
        <v>0</v>
      </c>
      <c r="U577" s="83">
        <f t="shared" si="148"/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468">
        <f t="shared" si="149"/>
        <v>0</v>
      </c>
      <c r="M578" s="224">
        <f t="shared" si="149"/>
        <v>0</v>
      </c>
      <c r="N578" s="224">
        <f t="shared" si="149"/>
        <v>0</v>
      </c>
      <c r="O578" s="224">
        <f t="shared" si="145"/>
        <v>0</v>
      </c>
      <c r="P578" s="224">
        <f t="shared" si="146"/>
        <v>0</v>
      </c>
      <c r="Q578" s="224">
        <f t="shared" si="150"/>
        <v>0</v>
      </c>
      <c r="R578" s="224">
        <f t="shared" si="150"/>
        <v>0</v>
      </c>
      <c r="S578" s="224">
        <f t="shared" si="150"/>
        <v>0</v>
      </c>
      <c r="T578" s="224">
        <f t="shared" si="147"/>
        <v>0</v>
      </c>
      <c r="U578" s="224">
        <f t="shared" si="148"/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468">
        <f>L580+L581</f>
        <v>0</v>
      </c>
      <c r="M579" s="224">
        <f>M580+M581</f>
        <v>0</v>
      </c>
      <c r="N579" s="224">
        <f>N580+N581</f>
        <v>0</v>
      </c>
      <c r="O579" s="224">
        <f t="shared" si="145"/>
        <v>0</v>
      </c>
      <c r="P579" s="224">
        <f t="shared" si="146"/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 t="shared" si="147"/>
        <v>0</v>
      </c>
      <c r="U579" s="224">
        <f t="shared" si="148"/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469">
        <v>0</v>
      </c>
      <c r="M580" s="83">
        <v>0</v>
      </c>
      <c r="N580" s="83">
        <v>0</v>
      </c>
      <c r="O580" s="83">
        <f t="shared" si="145"/>
        <v>0</v>
      </c>
      <c r="P580" s="83">
        <f t="shared" si="146"/>
        <v>0</v>
      </c>
      <c r="Q580" s="83">
        <v>0</v>
      </c>
      <c r="R580" s="83">
        <v>0</v>
      </c>
      <c r="S580" s="83">
        <v>0</v>
      </c>
      <c r="T580" s="83">
        <f t="shared" si="147"/>
        <v>0</v>
      </c>
      <c r="U580" s="83">
        <f t="shared" si="148"/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468">
        <v>0</v>
      </c>
      <c r="M581" s="224">
        <v>0</v>
      </c>
      <c r="N581" s="224">
        <v>0</v>
      </c>
      <c r="O581" s="224">
        <f t="shared" si="145"/>
        <v>0</v>
      </c>
      <c r="P581" s="224">
        <f t="shared" si="146"/>
        <v>0</v>
      </c>
      <c r="Q581" s="224">
        <v>0</v>
      </c>
      <c r="R581" s="224">
        <v>0</v>
      </c>
      <c r="S581" s="224">
        <v>0</v>
      </c>
      <c r="T581" s="224">
        <f t="shared" si="147"/>
        <v>0</v>
      </c>
      <c r="U581" s="224">
        <f t="shared" si="148"/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468">
        <f>L583+L584</f>
        <v>0</v>
      </c>
      <c r="M582" s="224">
        <f>M583+M584</f>
        <v>0</v>
      </c>
      <c r="N582" s="224">
        <f>N583+N584</f>
        <v>0</v>
      </c>
      <c r="O582" s="224">
        <f t="shared" si="145"/>
        <v>0</v>
      </c>
      <c r="P582" s="224">
        <f t="shared" si="146"/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 t="shared" si="147"/>
        <v>0</v>
      </c>
      <c r="U582" s="224">
        <f t="shared" si="148"/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469">
        <v>0</v>
      </c>
      <c r="M583" s="83">
        <v>0</v>
      </c>
      <c r="N583" s="83">
        <v>0</v>
      </c>
      <c r="O583" s="83">
        <f t="shared" si="145"/>
        <v>0</v>
      </c>
      <c r="P583" s="83">
        <f t="shared" si="146"/>
        <v>0</v>
      </c>
      <c r="Q583" s="83">
        <v>0</v>
      </c>
      <c r="R583" s="83">
        <v>0</v>
      </c>
      <c r="S583" s="83">
        <v>0</v>
      </c>
      <c r="T583" s="83">
        <f t="shared" si="147"/>
        <v>0</v>
      </c>
      <c r="U583" s="83">
        <f t="shared" si="148"/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468">
        <v>0</v>
      </c>
      <c r="M584" s="224">
        <v>0</v>
      </c>
      <c r="N584" s="224">
        <v>0</v>
      </c>
      <c r="O584" s="224">
        <f t="shared" si="145"/>
        <v>0</v>
      </c>
      <c r="P584" s="224">
        <f t="shared" si="146"/>
        <v>0</v>
      </c>
      <c r="Q584" s="224">
        <v>0</v>
      </c>
      <c r="R584" s="224">
        <v>0</v>
      </c>
      <c r="S584" s="224">
        <v>0</v>
      </c>
      <c r="T584" s="224">
        <f t="shared" si="147"/>
        <v>0</v>
      </c>
      <c r="U584" s="224">
        <f t="shared" si="148"/>
        <v>0</v>
      </c>
    </row>
    <row r="585" spans="1:21" ht="19.5" hidden="1" x14ac:dyDescent="0.3">
      <c r="A585" s="138"/>
      <c r="B585" s="139"/>
      <c r="C585" s="365" t="s">
        <v>18</v>
      </c>
      <c r="D585" s="498" t="s">
        <v>38</v>
      </c>
      <c r="E585" s="141"/>
      <c r="F585" s="141"/>
      <c r="G585" s="142"/>
      <c r="H585" s="143"/>
      <c r="I585" s="135"/>
      <c r="J585" s="44"/>
      <c r="K585" s="45"/>
      <c r="L585" s="465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11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11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11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11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11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11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11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11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11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496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hidden="1" x14ac:dyDescent="0.3">
      <c r="A596" s="366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67" t="s">
        <v>214</v>
      </c>
      <c r="C597" s="172"/>
      <c r="D597" s="125"/>
      <c r="E597" s="27"/>
      <c r="F597" s="27"/>
      <c r="G597" s="27"/>
      <c r="H597" s="368" t="s">
        <v>99</v>
      </c>
      <c r="I597" s="182"/>
      <c r="J597" s="32"/>
      <c r="K597" s="33"/>
      <c r="L597" s="510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369"/>
      <c r="B598" s="370" t="s">
        <v>215</v>
      </c>
      <c r="C598" s="125"/>
      <c r="D598" s="27"/>
      <c r="E598" s="27"/>
      <c r="F598" s="27"/>
      <c r="G598" s="30"/>
      <c r="H598" s="371" t="s">
        <v>35</v>
      </c>
      <c r="I598" s="32"/>
      <c r="J598" s="32"/>
      <c r="K598" s="33"/>
      <c r="L598" s="510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820" t="s">
        <v>19</v>
      </c>
      <c r="E599" s="793"/>
      <c r="F599" s="793"/>
      <c r="G599" s="794"/>
      <c r="H599" s="372" t="s">
        <v>14</v>
      </c>
      <c r="I599" s="44"/>
      <c r="J599" s="44"/>
      <c r="K599" s="45"/>
      <c r="L599" s="471">
        <f>L600+L601</f>
        <v>0</v>
      </c>
      <c r="M599" s="470">
        <f>M600+M601</f>
        <v>0</v>
      </c>
      <c r="N599" s="470">
        <f>N600+N601</f>
        <v>0</v>
      </c>
      <c r="O599" s="470">
        <f t="shared" ref="O599:O607" si="151">IF(L599&gt;0,N599*100/L599,0)</f>
        <v>0</v>
      </c>
      <c r="P599" s="470">
        <f t="shared" ref="P599:P607" si="152">IF(M599&gt;0,N599*100/M599,0)</f>
        <v>0</v>
      </c>
      <c r="Q599" s="470">
        <f>Q600+Q601</f>
        <v>0</v>
      </c>
      <c r="R599" s="470">
        <f>R600+R601</f>
        <v>0</v>
      </c>
      <c r="S599" s="470">
        <f>S600+S601</f>
        <v>0</v>
      </c>
      <c r="T599" s="470">
        <f t="shared" ref="T599:T607" si="153">IF(Q599&gt;0,S599*100/Q599,0)</f>
        <v>0</v>
      </c>
      <c r="U599" s="470">
        <f t="shared" ref="U599:U607" si="154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469">
        <f t="shared" ref="L600:N601" si="155">L603+L606</f>
        <v>0</v>
      </c>
      <c r="M600" s="83">
        <f t="shared" si="155"/>
        <v>0</v>
      </c>
      <c r="N600" s="83">
        <f t="shared" si="155"/>
        <v>0</v>
      </c>
      <c r="O600" s="83">
        <f t="shared" si="151"/>
        <v>0</v>
      </c>
      <c r="P600" s="83">
        <f t="shared" si="152"/>
        <v>0</v>
      </c>
      <c r="Q600" s="83">
        <f t="shared" ref="Q600:S601" si="156">Q603+Q606</f>
        <v>0</v>
      </c>
      <c r="R600" s="83">
        <f t="shared" si="156"/>
        <v>0</v>
      </c>
      <c r="S600" s="83">
        <f t="shared" si="156"/>
        <v>0</v>
      </c>
      <c r="T600" s="83">
        <f t="shared" si="153"/>
        <v>0</v>
      </c>
      <c r="U600" s="83">
        <f t="shared" si="154"/>
        <v>0</v>
      </c>
    </row>
    <row r="601" spans="1:21" ht="18.75" hidden="1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468">
        <f t="shared" si="155"/>
        <v>0</v>
      </c>
      <c r="M601" s="224">
        <f t="shared" si="155"/>
        <v>0</v>
      </c>
      <c r="N601" s="224">
        <f t="shared" si="155"/>
        <v>0</v>
      </c>
      <c r="O601" s="224">
        <f t="shared" si="151"/>
        <v>0</v>
      </c>
      <c r="P601" s="224">
        <f t="shared" si="152"/>
        <v>0</v>
      </c>
      <c r="Q601" s="224">
        <f t="shared" si="156"/>
        <v>0</v>
      </c>
      <c r="R601" s="224">
        <f t="shared" si="156"/>
        <v>0</v>
      </c>
      <c r="S601" s="224">
        <f t="shared" si="156"/>
        <v>0</v>
      </c>
      <c r="T601" s="224">
        <f t="shared" si="153"/>
        <v>0</v>
      </c>
      <c r="U601" s="224">
        <f t="shared" si="154"/>
        <v>0</v>
      </c>
    </row>
    <row r="602" spans="1:21" ht="19.5" hidden="1" x14ac:dyDescent="0.3">
      <c r="A602" s="128"/>
      <c r="B602" s="158"/>
      <c r="C602" s="158"/>
      <c r="D602" s="494" t="s">
        <v>22</v>
      </c>
      <c r="E602" s="40"/>
      <c r="F602" s="40"/>
      <c r="G602" s="42"/>
      <c r="H602" s="372" t="s">
        <v>14</v>
      </c>
      <c r="I602" s="135"/>
      <c r="J602" s="135"/>
      <c r="K602" s="136"/>
      <c r="L602" s="468">
        <f>L603+L604</f>
        <v>0</v>
      </c>
      <c r="M602" s="224">
        <f>M603+M604</f>
        <v>0</v>
      </c>
      <c r="N602" s="224">
        <f>N603+N604</f>
        <v>0</v>
      </c>
      <c r="O602" s="224">
        <f t="shared" si="151"/>
        <v>0</v>
      </c>
      <c r="P602" s="224">
        <f t="shared" si="152"/>
        <v>0</v>
      </c>
      <c r="Q602" s="224">
        <f>Q603+Q604</f>
        <v>0</v>
      </c>
      <c r="R602" s="224">
        <f>R603+R604</f>
        <v>0</v>
      </c>
      <c r="S602" s="224">
        <f>S603+S604</f>
        <v>0</v>
      </c>
      <c r="T602" s="224">
        <f t="shared" si="153"/>
        <v>0</v>
      </c>
      <c r="U602" s="224">
        <f t="shared" si="154"/>
        <v>0</v>
      </c>
    </row>
    <row r="603" spans="1:21" ht="18.75" hidden="1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469">
        <v>0</v>
      </c>
      <c r="M603" s="83">
        <v>0</v>
      </c>
      <c r="N603" s="83">
        <v>0</v>
      </c>
      <c r="O603" s="83">
        <f t="shared" si="151"/>
        <v>0</v>
      </c>
      <c r="P603" s="83">
        <f t="shared" si="152"/>
        <v>0</v>
      </c>
      <c r="Q603" s="83">
        <v>0</v>
      </c>
      <c r="R603" s="83">
        <v>0</v>
      </c>
      <c r="S603" s="83">
        <v>0</v>
      </c>
      <c r="T603" s="83">
        <f t="shared" si="153"/>
        <v>0</v>
      </c>
      <c r="U603" s="83">
        <f t="shared" si="154"/>
        <v>0</v>
      </c>
    </row>
    <row r="604" spans="1:21" ht="18.75" hidden="1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468">
        <v>0</v>
      </c>
      <c r="M604" s="224">
        <v>0</v>
      </c>
      <c r="N604" s="224">
        <v>0</v>
      </c>
      <c r="O604" s="224">
        <f t="shared" si="151"/>
        <v>0</v>
      </c>
      <c r="P604" s="224">
        <f t="shared" si="152"/>
        <v>0</v>
      </c>
      <c r="Q604" s="224">
        <v>0</v>
      </c>
      <c r="R604" s="224">
        <v>0</v>
      </c>
      <c r="S604" s="224">
        <v>0</v>
      </c>
      <c r="T604" s="224">
        <f t="shared" si="153"/>
        <v>0</v>
      </c>
      <c r="U604" s="224">
        <f t="shared" si="154"/>
        <v>0</v>
      </c>
    </row>
    <row r="605" spans="1:21" ht="19.5" hidden="1" x14ac:dyDescent="0.3">
      <c r="A605" s="128"/>
      <c r="B605" s="158"/>
      <c r="C605" s="158"/>
      <c r="D605" s="494" t="s">
        <v>23</v>
      </c>
      <c r="E605" s="158"/>
      <c r="F605" s="40"/>
      <c r="G605" s="42"/>
      <c r="H605" s="374" t="s">
        <v>14</v>
      </c>
      <c r="I605" s="135"/>
      <c r="J605" s="135"/>
      <c r="K605" s="136"/>
      <c r="L605" s="468">
        <f>L606+L607</f>
        <v>0</v>
      </c>
      <c r="M605" s="224">
        <f>M606+M607</f>
        <v>0</v>
      </c>
      <c r="N605" s="224">
        <f>N606+N607</f>
        <v>0</v>
      </c>
      <c r="O605" s="224">
        <f t="shared" si="151"/>
        <v>0</v>
      </c>
      <c r="P605" s="224">
        <f t="shared" si="152"/>
        <v>0</v>
      </c>
      <c r="Q605" s="224">
        <f>Q606+Q607</f>
        <v>0</v>
      </c>
      <c r="R605" s="224">
        <f>R606+R607</f>
        <v>0</v>
      </c>
      <c r="S605" s="224">
        <f>S606+S607</f>
        <v>0</v>
      </c>
      <c r="T605" s="224">
        <f t="shared" si="153"/>
        <v>0</v>
      </c>
      <c r="U605" s="224">
        <f t="shared" si="154"/>
        <v>0</v>
      </c>
    </row>
    <row r="606" spans="1:21" ht="18.75" hidden="1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469">
        <v>0</v>
      </c>
      <c r="M606" s="83">
        <v>0</v>
      </c>
      <c r="N606" s="83">
        <v>0</v>
      </c>
      <c r="O606" s="83">
        <f t="shared" si="151"/>
        <v>0</v>
      </c>
      <c r="P606" s="83">
        <f t="shared" si="152"/>
        <v>0</v>
      </c>
      <c r="Q606" s="83">
        <v>0</v>
      </c>
      <c r="R606" s="83">
        <v>0</v>
      </c>
      <c r="S606" s="83">
        <v>0</v>
      </c>
      <c r="T606" s="83">
        <f t="shared" si="153"/>
        <v>0</v>
      </c>
      <c r="U606" s="83">
        <f t="shared" si="154"/>
        <v>0</v>
      </c>
    </row>
    <row r="607" spans="1:21" ht="18.75" hidden="1" x14ac:dyDescent="0.25">
      <c r="A607" s="128"/>
      <c r="B607" s="158"/>
      <c r="C607" s="158"/>
      <c r="D607" s="40"/>
      <c r="E607" s="314" t="s">
        <v>21</v>
      </c>
      <c r="F607" s="40"/>
      <c r="G607" s="42"/>
      <c r="H607" s="375" t="s">
        <v>14</v>
      </c>
      <c r="I607" s="135"/>
      <c r="J607" s="135"/>
      <c r="K607" s="136"/>
      <c r="L607" s="468">
        <v>0</v>
      </c>
      <c r="M607" s="224">
        <v>0</v>
      </c>
      <c r="N607" s="224">
        <v>0</v>
      </c>
      <c r="O607" s="224">
        <f t="shared" si="151"/>
        <v>0</v>
      </c>
      <c r="P607" s="224">
        <f t="shared" si="152"/>
        <v>0</v>
      </c>
      <c r="Q607" s="224">
        <v>0</v>
      </c>
      <c r="R607" s="224">
        <v>0</v>
      </c>
      <c r="S607" s="224">
        <v>0</v>
      </c>
      <c r="T607" s="224">
        <f t="shared" si="153"/>
        <v>0</v>
      </c>
      <c r="U607" s="224">
        <f t="shared" si="154"/>
        <v>0</v>
      </c>
    </row>
    <row r="608" spans="1:21" ht="19.5" hidden="1" x14ac:dyDescent="0.3">
      <c r="A608" s="138"/>
      <c r="B608" s="139"/>
      <c r="C608" s="177" t="s">
        <v>18</v>
      </c>
      <c r="D608" s="509" t="s">
        <v>38</v>
      </c>
      <c r="E608" s="141"/>
      <c r="F608" s="141"/>
      <c r="G608" s="142"/>
      <c r="H608" s="178"/>
      <c r="I608" s="135"/>
      <c r="J608" s="135"/>
      <c r="K608" s="136"/>
      <c r="L608" s="465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377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465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377" t="s">
        <v>217</v>
      </c>
      <c r="E610" s="145"/>
      <c r="F610" s="145"/>
      <c r="G610" s="143"/>
      <c r="H610" s="372" t="s">
        <v>35</v>
      </c>
      <c r="I610" s="44"/>
      <c r="J610" s="44"/>
      <c r="K610" s="136"/>
      <c r="L610" s="465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377" t="s">
        <v>218</v>
      </c>
      <c r="F611" s="145"/>
      <c r="G611" s="143"/>
      <c r="H611" s="375" t="s">
        <v>35</v>
      </c>
      <c r="I611" s="44"/>
      <c r="J611" s="44"/>
      <c r="K611" s="136"/>
      <c r="L611" s="465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378"/>
      <c r="B612" s="379"/>
      <c r="C612" s="379"/>
      <c r="D612" s="379"/>
      <c r="E612" s="380" t="s">
        <v>219</v>
      </c>
      <c r="F612" s="381"/>
      <c r="G612" s="382"/>
      <c r="H612" s="383" t="s">
        <v>35</v>
      </c>
      <c r="I612" s="384"/>
      <c r="J612" s="384"/>
      <c r="K612" s="385"/>
      <c r="L612" s="508"/>
      <c r="M612" s="386"/>
      <c r="N612" s="386"/>
      <c r="O612" s="386"/>
      <c r="P612" s="386"/>
      <c r="Q612" s="386"/>
      <c r="R612" s="386"/>
      <c r="S612" s="386"/>
      <c r="T612" s="386"/>
      <c r="U612" s="386"/>
    </row>
    <row r="613" spans="1:21" ht="19.5" hidden="1" x14ac:dyDescent="0.3">
      <c r="A613" s="387" t="s">
        <v>220</v>
      </c>
      <c r="B613" s="388"/>
      <c r="C613" s="388"/>
      <c r="D613" s="389"/>
      <c r="E613" s="389"/>
      <c r="F613" s="389"/>
      <c r="G613" s="390"/>
      <c r="H613" s="391"/>
      <c r="I613" s="392"/>
      <c r="J613" s="392"/>
      <c r="K613" s="393"/>
      <c r="L613" s="507"/>
      <c r="M613" s="393"/>
      <c r="N613" s="393"/>
      <c r="O613" s="393"/>
      <c r="P613" s="393"/>
      <c r="Q613" s="393"/>
      <c r="R613" s="393"/>
      <c r="S613" s="393"/>
      <c r="T613" s="393"/>
      <c r="U613" s="393"/>
    </row>
    <row r="614" spans="1:21" ht="19.5" x14ac:dyDescent="0.3">
      <c r="A614" s="394"/>
      <c r="B614" s="395" t="s">
        <v>221</v>
      </c>
      <c r="C614" s="394"/>
      <c r="D614" s="396"/>
      <c r="E614" s="396"/>
      <c r="F614" s="396"/>
      <c r="G614" s="397"/>
      <c r="H614" s="398"/>
      <c r="I614" s="399"/>
      <c r="J614" s="399"/>
      <c r="K614" s="400"/>
      <c r="L614" s="473"/>
      <c r="M614" s="400"/>
      <c r="N614" s="400"/>
      <c r="O614" s="400"/>
      <c r="P614" s="400"/>
      <c r="Q614" s="400"/>
      <c r="R614" s="400"/>
      <c r="S614" s="400"/>
      <c r="T614" s="400"/>
      <c r="U614" s="400"/>
    </row>
    <row r="615" spans="1:21" ht="19.5" x14ac:dyDescent="0.3">
      <c r="A615" s="401"/>
      <c r="B615" s="402" t="s">
        <v>222</v>
      </c>
      <c r="C615" s="401"/>
      <c r="D615" s="403"/>
      <c r="E615" s="403"/>
      <c r="F615" s="403"/>
      <c r="G615" s="404"/>
      <c r="H615" s="405" t="s">
        <v>46</v>
      </c>
      <c r="I615" s="506">
        <f ca="1">I626</f>
        <v>200</v>
      </c>
      <c r="J615" s="506">
        <f>J626</f>
        <v>0</v>
      </c>
      <c r="K615" s="505">
        <f ca="1">IF(I615&gt;0,J615*100/I615,0)</f>
        <v>0</v>
      </c>
      <c r="L615" s="504"/>
      <c r="M615" s="408"/>
      <c r="N615" s="408"/>
      <c r="O615" s="408"/>
      <c r="P615" s="408"/>
      <c r="Q615" s="408"/>
      <c r="R615" s="408"/>
      <c r="S615" s="408"/>
      <c r="T615" s="408"/>
      <c r="U615" s="408"/>
    </row>
    <row r="616" spans="1:21" ht="19.5" x14ac:dyDescent="0.3">
      <c r="A616" s="128"/>
      <c r="B616" s="158"/>
      <c r="C616" s="177" t="s">
        <v>18</v>
      </c>
      <c r="D616" s="821" t="s">
        <v>19</v>
      </c>
      <c r="E616" s="793"/>
      <c r="F616" s="793"/>
      <c r="G616" s="794"/>
      <c r="H616" s="221" t="s">
        <v>14</v>
      </c>
      <c r="I616" s="44"/>
      <c r="J616" s="44"/>
      <c r="K616" s="45"/>
      <c r="L616" s="471">
        <f>L617+L618</f>
        <v>0</v>
      </c>
      <c r="M616" s="470">
        <f>M617+M618</f>
        <v>0</v>
      </c>
      <c r="N616" s="470">
        <f>N617+N618</f>
        <v>0</v>
      </c>
      <c r="O616" s="470">
        <f t="shared" ref="O616:O624" si="157">IF(L616&gt;0,N616*100/L616,0)</f>
        <v>0</v>
      </c>
      <c r="P616" s="470">
        <f t="shared" ref="P616:P624" si="158">IF(M616&gt;0,N616*100/M616,0)</f>
        <v>0</v>
      </c>
      <c r="Q616" s="470">
        <f ca="1">Q617+Q618</f>
        <v>21950</v>
      </c>
      <c r="R616" s="470">
        <f ca="1">R617+R618</f>
        <v>21950</v>
      </c>
      <c r="S616" s="470">
        <f ca="1">S617+S618</f>
        <v>0</v>
      </c>
      <c r="T616" s="470">
        <f t="shared" ref="T616:T624" ca="1" si="159">IF(Q616&gt;0,S616*100/Q616,0)</f>
        <v>0</v>
      </c>
      <c r="U616" s="470">
        <f t="shared" ref="U616:U624" ca="1" si="160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469">
        <f t="shared" ref="L617:N618" si="161">L620+L623</f>
        <v>0</v>
      </c>
      <c r="M617" s="83">
        <f t="shared" si="161"/>
        <v>0</v>
      </c>
      <c r="N617" s="83">
        <f t="shared" si="161"/>
        <v>0</v>
      </c>
      <c r="O617" s="83">
        <f t="shared" si="157"/>
        <v>0</v>
      </c>
      <c r="P617" s="83">
        <f t="shared" si="158"/>
        <v>0</v>
      </c>
      <c r="Q617" s="83">
        <f t="shared" ref="Q617:S618" si="162">Q620+Q623</f>
        <v>0</v>
      </c>
      <c r="R617" s="83">
        <f t="shared" si="162"/>
        <v>0</v>
      </c>
      <c r="S617" s="83">
        <f t="shared" si="162"/>
        <v>0</v>
      </c>
      <c r="T617" s="83">
        <f t="shared" si="159"/>
        <v>0</v>
      </c>
      <c r="U617" s="83">
        <f t="shared" si="160"/>
        <v>0</v>
      </c>
    </row>
    <row r="618" spans="1:21" ht="18.75" hidden="1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468">
        <f t="shared" si="161"/>
        <v>0</v>
      </c>
      <c r="M618" s="224">
        <f t="shared" si="161"/>
        <v>0</v>
      </c>
      <c r="N618" s="224">
        <f t="shared" si="161"/>
        <v>0</v>
      </c>
      <c r="O618" s="224">
        <f t="shared" si="157"/>
        <v>0</v>
      </c>
      <c r="P618" s="224">
        <f t="shared" si="158"/>
        <v>0</v>
      </c>
      <c r="Q618" s="224">
        <f t="shared" ca="1" si="162"/>
        <v>21950</v>
      </c>
      <c r="R618" s="224">
        <f t="shared" ca="1" si="162"/>
        <v>21950</v>
      </c>
      <c r="S618" s="224">
        <f t="shared" ca="1" si="162"/>
        <v>0</v>
      </c>
      <c r="T618" s="224">
        <f t="shared" ca="1" si="159"/>
        <v>0</v>
      </c>
      <c r="U618" s="224">
        <f t="shared" ca="1" si="160"/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468">
        <f>L620+L621</f>
        <v>0</v>
      </c>
      <c r="M619" s="224">
        <f>M620+M621</f>
        <v>0</v>
      </c>
      <c r="N619" s="224">
        <f>N620+N621</f>
        <v>0</v>
      </c>
      <c r="O619" s="224">
        <f t="shared" si="157"/>
        <v>0</v>
      </c>
      <c r="P619" s="224">
        <f t="shared" si="158"/>
        <v>0</v>
      </c>
      <c r="Q619" s="224">
        <f ca="1">Q620+Q621</f>
        <v>21950</v>
      </c>
      <c r="R619" s="224">
        <f ca="1">R620+R621</f>
        <v>21950</v>
      </c>
      <c r="S619" s="224">
        <f ca="1">S620+S621</f>
        <v>0</v>
      </c>
      <c r="T619" s="224">
        <f t="shared" ca="1" si="159"/>
        <v>0</v>
      </c>
      <c r="U619" s="224">
        <f t="shared" ca="1" si="160"/>
        <v>0</v>
      </c>
    </row>
    <row r="620" spans="1:21" ht="18.75" hidden="1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469">
        <v>0</v>
      </c>
      <c r="M620" s="83">
        <v>0</v>
      </c>
      <c r="N620" s="83">
        <v>0</v>
      </c>
      <c r="O620" s="83">
        <f t="shared" si="157"/>
        <v>0</v>
      </c>
      <c r="P620" s="83">
        <f t="shared" si="158"/>
        <v>0</v>
      </c>
      <c r="Q620" s="83">
        <v>0</v>
      </c>
      <c r="R620" s="83">
        <v>0</v>
      </c>
      <c r="S620" s="83">
        <v>0</v>
      </c>
      <c r="T620" s="83">
        <f t="shared" si="159"/>
        <v>0</v>
      </c>
      <c r="U620" s="83">
        <f t="shared" si="160"/>
        <v>0</v>
      </c>
    </row>
    <row r="621" spans="1:21" ht="18.75" hidden="1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468">
        <v>0</v>
      </c>
      <c r="M621" s="224">
        <v>0</v>
      </c>
      <c r="N621" s="224">
        <v>0</v>
      </c>
      <c r="O621" s="224">
        <f t="shared" si="157"/>
        <v>0</v>
      </c>
      <c r="P621" s="224">
        <f t="shared" si="158"/>
        <v>0</v>
      </c>
      <c r="Q621" s="224">
        <f ca="1">IFERROR(__xludf.DUMMYFUNCTION("IMPORTRANGE(""https://docs.google.com/spreadsheets/d/1ItG2mGa2ceCfYo0BwxsXqNm01IGEUdYcSSLTEv9YCik/edit?usp=sharing"",""เบิกจ่ายกองทุน!F15"")"),21950)</f>
        <v>21950</v>
      </c>
      <c r="R621" s="224">
        <f ca="1">IFERROR(__xludf.DUMMYFUNCTION("IMPORTRANGE(""https://docs.google.com/spreadsheets/d/1ItG2mGa2ceCfYo0BwxsXqNm01IGEUdYcSSLTEv9YCik/edit?usp=sharing"",""เบิกจ่ายกองทุน!G15"")"),21950)</f>
        <v>21950</v>
      </c>
      <c r="S621" s="224">
        <f ca="1">IFERROR(__xludf.DUMMYFUNCTION("IMPORTRANGE(""https://docs.google.com/spreadsheets/d/1ItG2mGa2ceCfYo0BwxsXqNm01IGEUdYcSSLTEv9YCik/edit?usp=sharing"",""เบิกจ่ายกองทุน!H15"")"),0)</f>
        <v>0</v>
      </c>
      <c r="T621" s="224">
        <f t="shared" ca="1" si="159"/>
        <v>0</v>
      </c>
      <c r="U621" s="224">
        <f t="shared" ca="1" si="160"/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468">
        <f>L623+L624</f>
        <v>0</v>
      </c>
      <c r="M622" s="224">
        <f>M623+M624</f>
        <v>0</v>
      </c>
      <c r="N622" s="224">
        <f>N623+N624</f>
        <v>0</v>
      </c>
      <c r="O622" s="224">
        <f t="shared" si="157"/>
        <v>0</v>
      </c>
      <c r="P622" s="224">
        <f t="shared" si="158"/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 t="shared" si="159"/>
        <v>0</v>
      </c>
      <c r="U622" s="224">
        <f t="shared" si="160"/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469">
        <v>0</v>
      </c>
      <c r="M623" s="83">
        <v>0</v>
      </c>
      <c r="N623" s="83">
        <v>0</v>
      </c>
      <c r="O623" s="83">
        <f t="shared" si="157"/>
        <v>0</v>
      </c>
      <c r="P623" s="83">
        <f t="shared" si="158"/>
        <v>0</v>
      </c>
      <c r="Q623" s="83">
        <v>0</v>
      </c>
      <c r="R623" s="83">
        <v>0</v>
      </c>
      <c r="S623" s="83">
        <v>0</v>
      </c>
      <c r="T623" s="83">
        <f t="shared" si="159"/>
        <v>0</v>
      </c>
      <c r="U623" s="83">
        <f t="shared" si="160"/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468">
        <v>0</v>
      </c>
      <c r="M624" s="224">
        <v>0</v>
      </c>
      <c r="N624" s="224">
        <v>0</v>
      </c>
      <c r="O624" s="224">
        <f t="shared" si="157"/>
        <v>0</v>
      </c>
      <c r="P624" s="224">
        <f t="shared" si="158"/>
        <v>0</v>
      </c>
      <c r="Q624" s="224">
        <v>0</v>
      </c>
      <c r="R624" s="224">
        <v>0</v>
      </c>
      <c r="S624" s="224">
        <v>0</v>
      </c>
      <c r="T624" s="224">
        <f t="shared" si="159"/>
        <v>0</v>
      </c>
      <c r="U624" s="224">
        <f t="shared" si="160"/>
        <v>0</v>
      </c>
    </row>
    <row r="625" spans="1:21" ht="19.5" x14ac:dyDescent="0.3">
      <c r="A625" s="138"/>
      <c r="B625" s="139"/>
      <c r="C625" s="177" t="s">
        <v>18</v>
      </c>
      <c r="D625" s="467" t="s">
        <v>38</v>
      </c>
      <c r="E625" s="141"/>
      <c r="F625" s="141"/>
      <c r="G625" s="142"/>
      <c r="H625" s="178"/>
      <c r="I625" s="135"/>
      <c r="J625" s="135"/>
      <c r="K625" s="136"/>
      <c r="L625" s="4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10" t="s">
        <v>223</v>
      </c>
      <c r="E626" s="145"/>
      <c r="F626" s="145"/>
      <c r="G626" s="143"/>
      <c r="H626" s="411" t="s">
        <v>46</v>
      </c>
      <c r="I626" s="328">
        <f ca="1">IFERROR(__xludf.DUMMYFUNCTION("IMPORTRANGE(""https://docs.google.com/spreadsheets/d/1eHaY18a8A9IcSdp1K8H6x8fbOy06t2VsZHhMHf-1x7Y/edit?usp=sharing"",""แผน!ID15"")"),200)</f>
        <v>200</v>
      </c>
      <c r="J626" s="328">
        <f>J632</f>
        <v>0</v>
      </c>
      <c r="K626" s="470">
        <f ca="1">IF(I626&gt;0,J626*100/I626,0)</f>
        <v>0</v>
      </c>
      <c r="L626" s="4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IFERROR(__xludf.DUMMYFUNCTION("IMPORTRANGE(""https://docs.google.com/spreadsheets/d/1eHaY18a8A9IcSdp1K8H6x8fbOy06t2VsZHhMHf-1x7Y/edit?usp=sharing"",""แผน!IC15"")"),0)</f>
        <v>0</v>
      </c>
      <c r="J627" s="466">
        <v>0</v>
      </c>
      <c r="K627" s="224">
        <f ca="1">IF(I627&gt;0,(J627*100)/I627,0)</f>
        <v>0</v>
      </c>
      <c r="L627" s="4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IFERROR(__xludf.DUMMYFUNCTION("IMPORTRANGE(""https://docs.google.com/spreadsheets/d/1eHaY18a8A9IcSdp1K8H6x8fbOy06t2VsZHhMHf-1x7Y/edit?usp=sharing"",""แผน!IC15"")"),0)</f>
        <v>0</v>
      </c>
      <c r="J628" s="466">
        <v>0</v>
      </c>
      <c r="K628" s="224">
        <f ca="1">IF(I628&gt;0,(J628*100)/I628,0)</f>
        <v>0</v>
      </c>
      <c r="L628" s="4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466">
        <v>0</v>
      </c>
      <c r="K629" s="224">
        <f ca="1">IF(I$626&gt;0,J629*100/I$626,0)</f>
        <v>0</v>
      </c>
      <c r="L629" s="4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466">
        <v>0</v>
      </c>
      <c r="K630" s="224">
        <f ca="1">IF(I$626&gt;0,J630*100/I$626,0)</f>
        <v>0</v>
      </c>
      <c r="L630" s="4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466">
        <v>0</v>
      </c>
      <c r="K631" s="224">
        <f ca="1">IF(I$626&gt;0,J631*100/I$626,0)</f>
        <v>0</v>
      </c>
      <c r="L631" s="4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470">
        <f ca="1">IF(I626&gt;0,J632*100/I626,0)</f>
        <v>0</v>
      </c>
      <c r="L632" s="4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466">
        <v>0</v>
      </c>
      <c r="K633" s="45"/>
      <c r="L633" s="4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466">
        <v>0</v>
      </c>
      <c r="K634" s="45"/>
      <c r="L634" s="4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10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IFERROR(__xludf.DUMMYFUNCTION("IMPORTRANGE(""https://docs.google.com/spreadsheets/d/1eHaY18a8A9IcSdp1K8H6x8fbOy06t2VsZHhMHf-1x7Y/edit?usp=sharing"",""แผน!IE15"")"),0)</f>
        <v>0</v>
      </c>
      <c r="J635" s="328">
        <f>J636</f>
        <v>0</v>
      </c>
      <c r="K635" s="470">
        <f ca="1">IF(I635&gt;0,J635*100/I635,0)</f>
        <v>0</v>
      </c>
      <c r="L635" s="4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4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466">
        <v>0</v>
      </c>
      <c r="K637" s="45"/>
      <c r="L637" s="4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466">
        <v>0</v>
      </c>
      <c r="K638" s="45"/>
      <c r="L638" s="4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466">
        <v>0</v>
      </c>
      <c r="K639" s="45"/>
      <c r="L639" s="4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466">
        <v>0</v>
      </c>
      <c r="K640" s="45"/>
      <c r="L640" s="4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01"/>
      <c r="B641" s="402" t="s">
        <v>236</v>
      </c>
      <c r="C641" s="401"/>
      <c r="D641" s="403"/>
      <c r="E641" s="403"/>
      <c r="F641" s="403"/>
      <c r="G641" s="404"/>
      <c r="H641" s="412"/>
      <c r="I641" s="413"/>
      <c r="J641" s="413"/>
      <c r="K641" s="408"/>
      <c r="L641" s="504"/>
      <c r="M641" s="408"/>
      <c r="N641" s="408"/>
      <c r="O641" s="408"/>
      <c r="P641" s="408"/>
      <c r="Q641" s="408"/>
      <c r="R641" s="408"/>
      <c r="S641" s="408"/>
      <c r="T641" s="408"/>
      <c r="U641" s="408"/>
    </row>
    <row r="642" spans="1:21" ht="19.5" hidden="1" x14ac:dyDescent="0.3">
      <c r="A642" s="128"/>
      <c r="B642" s="158"/>
      <c r="C642" s="209" t="s">
        <v>18</v>
      </c>
      <c r="D642" s="821" t="s">
        <v>19</v>
      </c>
      <c r="E642" s="793"/>
      <c r="F642" s="793"/>
      <c r="G642" s="794"/>
      <c r="H642" s="221" t="s">
        <v>14</v>
      </c>
      <c r="I642" s="44"/>
      <c r="J642" s="44"/>
      <c r="K642" s="45"/>
      <c r="L642" s="471">
        <f>L643+L644</f>
        <v>0</v>
      </c>
      <c r="M642" s="470">
        <f>M643+M644</f>
        <v>0</v>
      </c>
      <c r="N642" s="470">
        <f>N643+N644</f>
        <v>0</v>
      </c>
      <c r="O642" s="470">
        <f t="shared" ref="O642:O650" si="163">IF(L642&gt;0,N642*100/L642,0)</f>
        <v>0</v>
      </c>
      <c r="P642" s="470">
        <f t="shared" ref="P642:P650" si="164">IF(M642&gt;0,N642*100/M642,0)</f>
        <v>0</v>
      </c>
      <c r="Q642" s="470">
        <f ca="1">Q643+Q644</f>
        <v>0</v>
      </c>
      <c r="R642" s="470">
        <f ca="1">R643+R644</f>
        <v>0</v>
      </c>
      <c r="S642" s="470">
        <f ca="1">S643+S644</f>
        <v>0</v>
      </c>
      <c r="T642" s="470">
        <f t="shared" ref="T642:T650" ca="1" si="165">IF(Q642&gt;0,S642*100/Q642,0)</f>
        <v>0</v>
      </c>
      <c r="U642" s="470">
        <f t="shared" ref="U642:U650" ca="1" si="166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469">
        <f t="shared" ref="L643:N644" si="167">L646+L649</f>
        <v>0</v>
      </c>
      <c r="M643" s="83">
        <f t="shared" si="167"/>
        <v>0</v>
      </c>
      <c r="N643" s="83">
        <f t="shared" si="167"/>
        <v>0</v>
      </c>
      <c r="O643" s="83">
        <f t="shared" si="163"/>
        <v>0</v>
      </c>
      <c r="P643" s="83">
        <f t="shared" si="164"/>
        <v>0</v>
      </c>
      <c r="Q643" s="83">
        <f t="shared" ref="Q643:S644" si="168">Q646+Q649</f>
        <v>0</v>
      </c>
      <c r="R643" s="83">
        <f t="shared" si="168"/>
        <v>0</v>
      </c>
      <c r="S643" s="83">
        <f t="shared" si="168"/>
        <v>0</v>
      </c>
      <c r="T643" s="83">
        <f t="shared" si="165"/>
        <v>0</v>
      </c>
      <c r="U643" s="83">
        <f t="shared" si="166"/>
        <v>0</v>
      </c>
    </row>
    <row r="644" spans="1:21" ht="18.75" hidden="1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468">
        <f t="shared" si="167"/>
        <v>0</v>
      </c>
      <c r="M644" s="224">
        <f t="shared" si="167"/>
        <v>0</v>
      </c>
      <c r="N644" s="224">
        <f t="shared" si="167"/>
        <v>0</v>
      </c>
      <c r="O644" s="224">
        <f t="shared" si="163"/>
        <v>0</v>
      </c>
      <c r="P644" s="224">
        <f t="shared" si="164"/>
        <v>0</v>
      </c>
      <c r="Q644" s="224">
        <f t="shared" ca="1" si="168"/>
        <v>0</v>
      </c>
      <c r="R644" s="224">
        <f t="shared" ca="1" si="168"/>
        <v>0</v>
      </c>
      <c r="S644" s="224">
        <f t="shared" ca="1" si="168"/>
        <v>0</v>
      </c>
      <c r="T644" s="224">
        <f t="shared" ca="1" si="165"/>
        <v>0</v>
      </c>
      <c r="U644" s="224">
        <f t="shared" ca="1" si="166"/>
        <v>0</v>
      </c>
    </row>
    <row r="645" spans="1:21" ht="18.75" hidden="1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468">
        <f>L646+L647</f>
        <v>0</v>
      </c>
      <c r="M645" s="224">
        <f>M646+M647</f>
        <v>0</v>
      </c>
      <c r="N645" s="224">
        <f>N646+N647</f>
        <v>0</v>
      </c>
      <c r="O645" s="224">
        <f t="shared" si="163"/>
        <v>0</v>
      </c>
      <c r="P645" s="224">
        <f t="shared" si="164"/>
        <v>0</v>
      </c>
      <c r="Q645" s="224">
        <f ca="1">Q646+Q647</f>
        <v>0</v>
      </c>
      <c r="R645" s="224">
        <f ca="1">R646+R647</f>
        <v>0</v>
      </c>
      <c r="S645" s="224">
        <f ca="1">S646+S647</f>
        <v>0</v>
      </c>
      <c r="T645" s="224">
        <f t="shared" ca="1" si="165"/>
        <v>0</v>
      </c>
      <c r="U645" s="224">
        <f t="shared" ca="1" si="166"/>
        <v>0</v>
      </c>
    </row>
    <row r="646" spans="1:21" ht="18.75" hidden="1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469">
        <v>0</v>
      </c>
      <c r="M646" s="83">
        <v>0</v>
      </c>
      <c r="N646" s="83">
        <v>0</v>
      </c>
      <c r="O646" s="83">
        <f t="shared" si="163"/>
        <v>0</v>
      </c>
      <c r="P646" s="83">
        <f t="shared" si="164"/>
        <v>0</v>
      </c>
      <c r="Q646" s="83">
        <v>0</v>
      </c>
      <c r="R646" s="83">
        <v>0</v>
      </c>
      <c r="S646" s="83">
        <v>0</v>
      </c>
      <c r="T646" s="83">
        <f t="shared" si="165"/>
        <v>0</v>
      </c>
      <c r="U646" s="83">
        <f t="shared" si="166"/>
        <v>0</v>
      </c>
    </row>
    <row r="647" spans="1:21" ht="18.75" hidden="1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468">
        <v>0</v>
      </c>
      <c r="M647" s="224">
        <v>0</v>
      </c>
      <c r="N647" s="224">
        <v>0</v>
      </c>
      <c r="O647" s="224">
        <f t="shared" si="163"/>
        <v>0</v>
      </c>
      <c r="P647" s="224">
        <f t="shared" si="164"/>
        <v>0</v>
      </c>
      <c r="Q647" s="224">
        <f ca="1">IFERROR(__xludf.DUMMYFUNCTION("IMPORTRANGE(""https://docs.google.com/spreadsheets/d/1ItG2mGa2ceCfYo0BwxsXqNm01IGEUdYcSSLTEv9YCik/edit?usp=sharing"",""เบิกจ่ายกองทุน!I15"")"),0)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IFERROR(__xludf.DUMMYFUNCTION("IMPORTRANGE(""https://docs.google.com/spreadsheets/d/1ItG2mGa2ceCfYo0BwxsXqNm01IGEUdYcSSLTEv9YCik/edit?usp=sharing"",""เบิกจ่ายกองทุน!J15"")"),0)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IFERROR(__xludf.DUMMYFUNCTION("IMPORTRANGE(""https://docs.google.com/spreadsheets/d/1ItG2mGa2ceCfYo0BwxsXqNm01IGEUdYcSSLTEv9YCik/edit?usp=sharing"",""เบิกจ่ายกองทุน!K15"")"),0)</f>
        <v>0</v>
      </c>
      <c r="T647" s="224">
        <f t="shared" ca="1" si="165"/>
        <v>0</v>
      </c>
      <c r="U647" s="224">
        <f t="shared" ca="1" si="166"/>
        <v>0</v>
      </c>
    </row>
    <row r="648" spans="1:21" ht="18.75" hidden="1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468">
        <f>L649+L650</f>
        <v>0</v>
      </c>
      <c r="M648" s="224">
        <f>M649+M650</f>
        <v>0</v>
      </c>
      <c r="N648" s="224">
        <f>N649+N650</f>
        <v>0</v>
      </c>
      <c r="O648" s="224">
        <f t="shared" si="163"/>
        <v>0</v>
      </c>
      <c r="P648" s="224">
        <f t="shared" si="164"/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 t="shared" si="165"/>
        <v>0</v>
      </c>
      <c r="U648" s="224">
        <f t="shared" si="166"/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469">
        <v>0</v>
      </c>
      <c r="M649" s="83">
        <v>0</v>
      </c>
      <c r="N649" s="83">
        <v>0</v>
      </c>
      <c r="O649" s="83">
        <f t="shared" si="163"/>
        <v>0</v>
      </c>
      <c r="P649" s="83">
        <f t="shared" si="164"/>
        <v>0</v>
      </c>
      <c r="Q649" s="83">
        <v>0</v>
      </c>
      <c r="R649" s="83">
        <v>0</v>
      </c>
      <c r="S649" s="83">
        <v>0</v>
      </c>
      <c r="T649" s="83">
        <f t="shared" si="165"/>
        <v>0</v>
      </c>
      <c r="U649" s="83">
        <f t="shared" si="166"/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468">
        <v>0</v>
      </c>
      <c r="M650" s="224">
        <v>0</v>
      </c>
      <c r="N650" s="224">
        <v>0</v>
      </c>
      <c r="O650" s="224">
        <f t="shared" si="163"/>
        <v>0</v>
      </c>
      <c r="P650" s="224">
        <f t="shared" si="164"/>
        <v>0</v>
      </c>
      <c r="Q650" s="224">
        <v>0</v>
      </c>
      <c r="R650" s="224">
        <v>0</v>
      </c>
      <c r="S650" s="224">
        <v>0</v>
      </c>
      <c r="T650" s="224">
        <f t="shared" si="165"/>
        <v>0</v>
      </c>
      <c r="U650" s="224">
        <f t="shared" si="166"/>
        <v>0</v>
      </c>
    </row>
    <row r="651" spans="1:21" ht="19.5" hidden="1" x14ac:dyDescent="0.3">
      <c r="A651" s="138"/>
      <c r="B651" s="139"/>
      <c r="C651" s="209" t="s">
        <v>18</v>
      </c>
      <c r="D651" s="503" t="s">
        <v>38</v>
      </c>
      <c r="E651" s="141"/>
      <c r="F651" s="141"/>
      <c r="G651" s="142"/>
      <c r="H651" s="178"/>
      <c r="I651" s="135"/>
      <c r="J651" s="135"/>
      <c r="K651" s="136"/>
      <c r="L651" s="4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502">
        <f ca="1">IFERROR(__xludf.DUMMYFUNCTION("IMPORTRANGE(""https://docs.google.com/spreadsheets/d/1eHaY18a8A9IcSdp1K8H6x8fbOy06t2VsZHhMHf-1x7Y/edit?usp=sharing"",""แผน!IF15"")"),0)</f>
        <v>0</v>
      </c>
      <c r="J652" s="184">
        <f ca="1">IFERROR(__xludf.DUMMYFUNCTION("IMPORTRANGE(""https://docs.google.com/spreadsheets/d/1tdoBKaGub7dwA3U6UFTqxio9LNnvDCQjHKmttSEBsFQ/edit?usp=sharing"",""จัดที่ดิน!AU15"")"),0)</f>
        <v>0</v>
      </c>
      <c r="K652" s="224">
        <f ca="1">IF(I652&gt;0,J652*100/I652,0)</f>
        <v>0</v>
      </c>
      <c r="L652" s="465"/>
      <c r="M652" s="45"/>
      <c r="N652" s="416"/>
      <c r="O652" s="45"/>
      <c r="P652" s="45"/>
      <c r="Q652" s="45"/>
      <c r="R652" s="45"/>
      <c r="S652" s="416"/>
      <c r="T652" s="45"/>
      <c r="U652" s="45"/>
    </row>
    <row r="653" spans="1:21" ht="18.75" hidden="1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502">
        <f ca="1">IFERROR(__xludf.DUMMYFUNCTION("IMPORTRANGE(""https://docs.google.com/spreadsheets/d/1eHaY18a8A9IcSdp1K8H6x8fbOy06t2VsZHhMHf-1x7Y/edit?usp=sharing"",""แผน!IG15"")"),0)</f>
        <v>0</v>
      </c>
      <c r="J653" s="184">
        <f ca="1">IFERROR(__xludf.DUMMYFUNCTION("IMPORTRANGE(""https://docs.google.com/spreadsheets/d/1tdoBKaGub7dwA3U6UFTqxio9LNnvDCQjHKmttSEBsFQ/edit?usp=sharing"",""จัดที่ดิน!AW15"")"),0)</f>
        <v>0</v>
      </c>
      <c r="K653" s="224">
        <f ca="1">IF(I653&gt;0,J653*100/I653,0)</f>
        <v>0</v>
      </c>
      <c r="L653" s="465"/>
      <c r="M653" s="45"/>
      <c r="N653" s="416"/>
      <c r="O653" s="45"/>
      <c r="P653" s="45"/>
      <c r="Q653" s="45"/>
      <c r="R653" s="45"/>
      <c r="S653" s="416"/>
      <c r="T653" s="45"/>
      <c r="U653" s="45"/>
    </row>
    <row r="654" spans="1:21" ht="19.5" hidden="1" x14ac:dyDescent="0.3">
      <c r="A654" s="208"/>
      <c r="B654" s="158"/>
      <c r="C654" s="158"/>
      <c r="D654" s="47" t="s">
        <v>239</v>
      </c>
      <c r="E654" s="40"/>
      <c r="F654" s="40"/>
      <c r="G654" s="42"/>
      <c r="H654" s="411" t="s">
        <v>46</v>
      </c>
      <c r="I654" s="501">
        <f ca="1">IFERROR(__xludf.DUMMYFUNCTION("IMPORTRANGE(""https://docs.google.com/spreadsheets/d/1eHaY18a8A9IcSdp1K8H6x8fbOy06t2VsZHhMHf-1x7Y/edit?usp=sharing"",""แผน!IH15"")"),0)</f>
        <v>0</v>
      </c>
      <c r="J654" s="328">
        <f>J657+J660</f>
        <v>0</v>
      </c>
      <c r="K654" s="470">
        <f ca="1">IF(I654&gt;0,J654*100/I654,0)</f>
        <v>0</v>
      </c>
      <c r="L654" s="465"/>
      <c r="M654" s="45"/>
      <c r="N654" s="416"/>
      <c r="O654" s="45"/>
      <c r="P654" s="45"/>
      <c r="Q654" s="45"/>
      <c r="R654" s="45"/>
      <c r="S654" s="416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466">
        <v>0</v>
      </c>
      <c r="K655" s="45"/>
      <c r="L655" s="465"/>
      <c r="M655" s="45"/>
      <c r="N655" s="416"/>
      <c r="O655" s="45"/>
      <c r="P655" s="45"/>
      <c r="Q655" s="45"/>
      <c r="R655" s="45"/>
      <c r="S655" s="416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466">
        <v>0</v>
      </c>
      <c r="K656" s="45"/>
      <c r="L656" s="465"/>
      <c r="M656" s="45"/>
      <c r="N656" s="416"/>
      <c r="O656" s="45"/>
      <c r="P656" s="45"/>
      <c r="Q656" s="45"/>
      <c r="R656" s="45"/>
      <c r="S656" s="416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02">
        <f ca="1">IFERROR(__xludf.DUMMYFUNCTION("IMPORTRANGE(""https://docs.google.com/spreadsheets/d/1eHaY18a8A9IcSdp1K8H6x8fbOy06t2VsZHhMHf-1x7Y/edit?usp=sharing"",""แผน!II15"")"),0)</f>
        <v>0</v>
      </c>
      <c r="J657" s="466">
        <v>0</v>
      </c>
      <c r="K657" s="45"/>
      <c r="L657" s="465"/>
      <c r="M657" s="45"/>
      <c r="N657" s="416"/>
      <c r="O657" s="45"/>
      <c r="P657" s="45"/>
      <c r="Q657" s="45"/>
      <c r="R657" s="45"/>
      <c r="S657" s="416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466">
        <v>0</v>
      </c>
      <c r="K658" s="45"/>
      <c r="L658" s="465"/>
      <c r="M658" s="45"/>
      <c r="N658" s="416"/>
      <c r="O658" s="45"/>
      <c r="P658" s="45"/>
      <c r="Q658" s="45"/>
      <c r="R658" s="45"/>
      <c r="S658" s="416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466">
        <v>0</v>
      </c>
      <c r="K659" s="45"/>
      <c r="L659" s="465"/>
      <c r="M659" s="45"/>
      <c r="N659" s="416"/>
      <c r="O659" s="45"/>
      <c r="P659" s="45"/>
      <c r="Q659" s="45"/>
      <c r="R659" s="45"/>
      <c r="S659" s="416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02">
        <f ca="1">IFERROR(__xludf.DUMMYFUNCTION("IMPORTRANGE(""https://docs.google.com/spreadsheets/d/1eHaY18a8A9IcSdp1K8H6x8fbOy06t2VsZHhMHf-1x7Y/edit?usp=sharing"",""แผน!IJ15"")"),0)</f>
        <v>0</v>
      </c>
      <c r="J660" s="466">
        <v>0</v>
      </c>
      <c r="K660" s="45"/>
      <c r="L660" s="465"/>
      <c r="M660" s="45"/>
      <c r="N660" s="416"/>
      <c r="O660" s="45"/>
      <c r="P660" s="45"/>
      <c r="Q660" s="45"/>
      <c r="R660" s="45"/>
      <c r="S660" s="416"/>
      <c r="T660" s="45"/>
      <c r="U660" s="45"/>
    </row>
    <row r="661" spans="1:21" ht="19.5" hidden="1" x14ac:dyDescent="0.3">
      <c r="A661" s="208"/>
      <c r="B661" s="158"/>
      <c r="C661" s="158"/>
      <c r="D661" s="332" t="s">
        <v>242</v>
      </c>
      <c r="E661" s="40"/>
      <c r="F661" s="40"/>
      <c r="G661" s="42"/>
      <c r="H661" s="411" t="s">
        <v>46</v>
      </c>
      <c r="I661" s="501">
        <f ca="1">IFERROR(__xludf.DUMMYFUNCTION("IMPORTRANGE(""https://docs.google.com/spreadsheets/d/1eHaY18a8A9IcSdp1K8H6x8fbOy06t2VsZHhMHf-1x7Y/edit?usp=sharing"",""แผน!IK15"")"),0)</f>
        <v>0</v>
      </c>
      <c r="J661" s="328">
        <f>J667+J670</f>
        <v>0</v>
      </c>
      <c r="K661" s="470">
        <f ca="1">IF(I661&gt;0,J661*100/I661,0)</f>
        <v>0</v>
      </c>
      <c r="L661" s="465"/>
      <c r="M661" s="45"/>
      <c r="N661" s="416"/>
      <c r="O661" s="45"/>
      <c r="P661" s="45"/>
      <c r="Q661" s="45"/>
      <c r="R661" s="45"/>
      <c r="S661" s="416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466">
        <v>0</v>
      </c>
      <c r="K662" s="45"/>
      <c r="L662" s="500"/>
      <c r="M662" s="45"/>
      <c r="N662" s="416"/>
      <c r="O662" s="45"/>
      <c r="P662" s="45"/>
      <c r="Q662" s="416"/>
      <c r="R662" s="45"/>
      <c r="S662" s="416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466">
        <v>0</v>
      </c>
      <c r="K663" s="45"/>
      <c r="L663" s="500"/>
      <c r="M663" s="45"/>
      <c r="N663" s="416"/>
      <c r="O663" s="45"/>
      <c r="P663" s="45"/>
      <c r="Q663" s="416"/>
      <c r="R663" s="45"/>
      <c r="S663" s="416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500"/>
      <c r="M664" s="45"/>
      <c r="N664" s="416"/>
      <c r="O664" s="45"/>
      <c r="P664" s="45"/>
      <c r="Q664" s="416"/>
      <c r="R664" s="45"/>
      <c r="S664" s="416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466">
        <v>0</v>
      </c>
      <c r="K665" s="45"/>
      <c r="L665" s="500"/>
      <c r="M665" s="45"/>
      <c r="N665" s="416"/>
      <c r="O665" s="45"/>
      <c r="P665" s="45"/>
      <c r="Q665" s="416"/>
      <c r="R665" s="45"/>
      <c r="S665" s="416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466">
        <v>0</v>
      </c>
      <c r="K666" s="45"/>
      <c r="L666" s="500"/>
      <c r="M666" s="45"/>
      <c r="N666" s="416"/>
      <c r="O666" s="45"/>
      <c r="P666" s="45"/>
      <c r="Q666" s="416"/>
      <c r="R666" s="45"/>
      <c r="S666" s="416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466">
        <v>0</v>
      </c>
      <c r="K667" s="45"/>
      <c r="L667" s="500"/>
      <c r="M667" s="45"/>
      <c r="N667" s="416"/>
      <c r="O667" s="45"/>
      <c r="P667" s="45"/>
      <c r="Q667" s="416"/>
      <c r="R667" s="45"/>
      <c r="S667" s="416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466">
        <v>0</v>
      </c>
      <c r="K668" s="45"/>
      <c r="L668" s="500"/>
      <c r="M668" s="45"/>
      <c r="N668" s="416"/>
      <c r="O668" s="45"/>
      <c r="P668" s="45"/>
      <c r="Q668" s="416"/>
      <c r="R668" s="45"/>
      <c r="S668" s="416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466">
        <v>0</v>
      </c>
      <c r="K669" s="45"/>
      <c r="L669" s="500"/>
      <c r="M669" s="45"/>
      <c r="N669" s="416"/>
      <c r="O669" s="45"/>
      <c r="P669" s="45"/>
      <c r="Q669" s="416"/>
      <c r="R669" s="45"/>
      <c r="S669" s="416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466">
        <v>0</v>
      </c>
      <c r="K670" s="45"/>
      <c r="L670" s="500"/>
      <c r="M670" s="45"/>
      <c r="N670" s="416"/>
      <c r="O670" s="45"/>
      <c r="P670" s="45"/>
      <c r="Q670" s="416"/>
      <c r="R670" s="45"/>
      <c r="S670" s="416"/>
      <c r="T670" s="45"/>
      <c r="U670" s="45"/>
    </row>
    <row r="671" spans="1:21" ht="18.75" hidden="1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IFERROR(__xludf.DUMMYFUNCTION("IMPORTRANGE(""https://docs.google.com/spreadsheets/d/1tdoBKaGub7dwA3U6UFTqxio9LNnvDCQjHKmttSEBsFQ/edit?usp=sharing"",""จัดที่ดิน!AY15"")"),0)</f>
        <v>0</v>
      </c>
      <c r="K671" s="45"/>
      <c r="L671" s="465"/>
      <c r="M671" s="45"/>
      <c r="N671" s="416"/>
      <c r="O671" s="45"/>
      <c r="P671" s="45"/>
      <c r="Q671" s="45"/>
      <c r="R671" s="45"/>
      <c r="S671" s="416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IFERROR(__xludf.DUMMYFUNCTION("IMPORTRANGE(""https://docs.google.com/spreadsheets/d/1tdoBKaGub7dwA3U6UFTqxio9LNnvDCQjHKmttSEBsFQ/edit?usp=sharing"",""จัดที่ดิน!AZ15"")"),0)</f>
        <v>0</v>
      </c>
      <c r="K672" s="45"/>
      <c r="L672" s="500"/>
      <c r="M672" s="45"/>
      <c r="N672" s="416"/>
      <c r="O672" s="45"/>
      <c r="P672" s="45"/>
      <c r="Q672" s="416"/>
      <c r="R672" s="45"/>
      <c r="S672" s="416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02">
        <f ca="1">IFERROR(__xludf.DUMMYFUNCTION("IMPORTRANGE(""https://docs.google.com/spreadsheets/d/1eHaY18a8A9IcSdp1K8H6x8fbOy06t2VsZHhMHf-1x7Y/edit?usp=sharing"",""แผน!IL15"")"),0)</f>
        <v>0</v>
      </c>
      <c r="J673" s="184">
        <f ca="1">IFERROR(__xludf.DUMMYFUNCTION("IMPORTRANGE(""https://docs.google.com/spreadsheets/d/1tdoBKaGub7dwA3U6UFTqxio9LNnvDCQjHKmttSEBsFQ/edit?usp=sharing"",""จัดที่ดิน!BA15"")"),0)</f>
        <v>0</v>
      </c>
      <c r="K673" s="224">
        <f ca="1">IF(I673&gt;0,J673*100/I673,0)</f>
        <v>0</v>
      </c>
      <c r="L673" s="500"/>
      <c r="M673" s="45"/>
      <c r="N673" s="416"/>
      <c r="O673" s="45"/>
      <c r="P673" s="45"/>
      <c r="Q673" s="416"/>
      <c r="R673" s="45"/>
      <c r="S673" s="416"/>
      <c r="T673" s="45"/>
      <c r="U673" s="45"/>
    </row>
    <row r="674" spans="1:21" ht="19.5" hidden="1" x14ac:dyDescent="0.3">
      <c r="A674" s="208"/>
      <c r="B674" s="158"/>
      <c r="C674" s="158"/>
      <c r="D674" s="47" t="s">
        <v>248</v>
      </c>
      <c r="E674" s="40"/>
      <c r="F674" s="40"/>
      <c r="G674" s="42"/>
      <c r="H674" s="411" t="s">
        <v>35</v>
      </c>
      <c r="I674" s="501">
        <f ca="1">IFERROR(__xludf.DUMMYFUNCTION("IMPORTRANGE(""https://docs.google.com/spreadsheets/d/1eHaY18a8A9IcSdp1K8H6x8fbOy06t2VsZHhMHf-1x7Y/edit?usp=sharing"",""แผน!IM15"")"),0)</f>
        <v>0</v>
      </c>
      <c r="J674" s="328">
        <f ca="1">J676+J679</f>
        <v>0</v>
      </c>
      <c r="K674" s="470">
        <f ca="1">IF(I674&gt;0,J674*100/I674,0)</f>
        <v>0</v>
      </c>
      <c r="L674" s="500"/>
      <c r="M674" s="45"/>
      <c r="N674" s="416"/>
      <c r="O674" s="45"/>
      <c r="P674" s="45"/>
      <c r="Q674" s="416"/>
      <c r="R674" s="45"/>
      <c r="S674" s="416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11" t="s">
        <v>46</v>
      </c>
      <c r="I675" s="501">
        <f ca="1">IFERROR(__xludf.DUMMYFUNCTION("IMPORTRANGE(""https://docs.google.com/spreadsheets/d/1eHaY18a8A9IcSdp1K8H6x8fbOy06t2VsZHhMHf-1x7Y/edit?usp=sharing"",""แผน!IN15"")"),0)</f>
        <v>0</v>
      </c>
      <c r="J675" s="328">
        <f ca="1">J678+J681</f>
        <v>0</v>
      </c>
      <c r="K675" s="470">
        <f ca="1">IF(I675&gt;0,J675*100/I675,0)</f>
        <v>0</v>
      </c>
      <c r="L675" s="465"/>
      <c r="M675" s="45"/>
      <c r="N675" s="416"/>
      <c r="O675" s="45"/>
      <c r="P675" s="45"/>
      <c r="Q675" s="45"/>
      <c r="R675" s="45"/>
      <c r="S675" s="416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502">
        <f ca="1">IFERROR(__xludf.DUMMYFUNCTION("IMPORTRANGE(""https://docs.google.com/spreadsheets/d/1eHaY18a8A9IcSdp1K8H6x8fbOy06t2VsZHhMHf-1x7Y/edit?usp=sharing"",""แผน!IO15"")"),0)</f>
        <v>0</v>
      </c>
      <c r="J676" s="184">
        <f ca="1">IFERROR(__xludf.DUMMYFUNCTION("IMPORTRANGE(""https://docs.google.com/spreadsheets/d/1tdoBKaGub7dwA3U6UFTqxio9LNnvDCQjHKmttSEBsFQ/edit?usp=sharing"",""จัดที่ดิน!BF15"")"),0)</f>
        <v>0</v>
      </c>
      <c r="K676" s="224">
        <f ca="1">IF(I676&gt;0,J676*100/I676,0)</f>
        <v>0</v>
      </c>
      <c r="L676" s="465"/>
      <c r="M676" s="45"/>
      <c r="N676" s="416"/>
      <c r="O676" s="45"/>
      <c r="P676" s="45"/>
      <c r="Q676" s="45"/>
      <c r="R676" s="45"/>
      <c r="S676" s="416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IFERROR(__xludf.DUMMYFUNCTION("IMPORTRANGE(""https://docs.google.com/spreadsheets/d/1tdoBKaGub7dwA3U6UFTqxio9LNnvDCQjHKmttSEBsFQ/edit?usp=sharing"",""จัดที่ดิน!BG15"")"),0)</f>
        <v>0</v>
      </c>
      <c r="K677" s="45"/>
      <c r="L677" s="500"/>
      <c r="M677" s="45"/>
      <c r="N677" s="416"/>
      <c r="O677" s="45"/>
      <c r="P677" s="45"/>
      <c r="Q677" s="416"/>
      <c r="R677" s="45"/>
      <c r="S677" s="416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02">
        <f ca="1">IFERROR(__xludf.DUMMYFUNCTION("IMPORTRANGE(""https://docs.google.com/spreadsheets/d/1eHaY18a8A9IcSdp1K8H6x8fbOy06t2VsZHhMHf-1x7Y/edit?usp=sharing"",""แผน!IP15"")"),0)</f>
        <v>0</v>
      </c>
      <c r="J678" s="184">
        <f ca="1">IFERROR(__xludf.DUMMYFUNCTION("IMPORTRANGE(""https://docs.google.com/spreadsheets/d/1tdoBKaGub7dwA3U6UFTqxio9LNnvDCQjHKmttSEBsFQ/edit?usp=sharing"",""จัดที่ดิน!BH15"")"),0)</f>
        <v>0</v>
      </c>
      <c r="K678" s="224">
        <f ca="1">IF(I678&gt;0,J678*100/I678,0)</f>
        <v>0</v>
      </c>
      <c r="L678" s="500"/>
      <c r="M678" s="45"/>
      <c r="N678" s="416"/>
      <c r="O678" s="45"/>
      <c r="P678" s="45"/>
      <c r="Q678" s="416"/>
      <c r="R678" s="45"/>
      <c r="S678" s="416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502">
        <f ca="1">IFERROR(__xludf.DUMMYFUNCTION("IMPORTRANGE(""https://docs.google.com/spreadsheets/d/1eHaY18a8A9IcSdp1K8H6x8fbOy06t2VsZHhMHf-1x7Y/edit?usp=sharing"",""แผน!IQ15"")"),0)</f>
        <v>0</v>
      </c>
      <c r="J679" s="184">
        <f ca="1">IFERROR(__xludf.DUMMYFUNCTION("IMPORTRANGE(""https://docs.google.com/spreadsheets/d/1tdoBKaGub7dwA3U6UFTqxio9LNnvDCQjHKmttSEBsFQ/edit?usp=sharing"",""จัดที่ดิน!BK15"")"),0)</f>
        <v>0</v>
      </c>
      <c r="K679" s="224">
        <f ca="1">IF(I679&gt;0,J679*100/I679,0)</f>
        <v>0</v>
      </c>
      <c r="L679" s="465"/>
      <c r="M679" s="45"/>
      <c r="N679" s="416"/>
      <c r="O679" s="45"/>
      <c r="P679" s="45"/>
      <c r="Q679" s="45"/>
      <c r="R679" s="45"/>
      <c r="S679" s="416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IFERROR(__xludf.DUMMYFUNCTION("IMPORTRANGE(""https://docs.google.com/spreadsheets/d/1tdoBKaGub7dwA3U6UFTqxio9LNnvDCQjHKmttSEBsFQ/edit?usp=sharing"",""จัดที่ดิน!BL15"")"),0)</f>
        <v>0</v>
      </c>
      <c r="K680" s="45"/>
      <c r="L680" s="500"/>
      <c r="M680" s="45"/>
      <c r="N680" s="416"/>
      <c r="O680" s="45"/>
      <c r="P680" s="45"/>
      <c r="Q680" s="416"/>
      <c r="R680" s="45"/>
      <c r="S680" s="416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02">
        <f ca="1">IFERROR(__xludf.DUMMYFUNCTION("IMPORTRANGE(""https://docs.google.com/spreadsheets/d/1eHaY18a8A9IcSdp1K8H6x8fbOy06t2VsZHhMHf-1x7Y/edit?usp=sharing"",""แผน!IR15"")"),0)</f>
        <v>0</v>
      </c>
      <c r="J681" s="184">
        <f ca="1">IFERROR(__xludf.DUMMYFUNCTION("IMPORTRANGE(""https://docs.google.com/spreadsheets/d/1tdoBKaGub7dwA3U6UFTqxio9LNnvDCQjHKmttSEBsFQ/edit?usp=sharing"",""จัดที่ดิน!BM15"")"),0)</f>
        <v>0</v>
      </c>
      <c r="K681" s="224">
        <f ca="1">IF(I681&gt;0,J681*100/I681,0)</f>
        <v>0</v>
      </c>
      <c r="L681" s="500"/>
      <c r="M681" s="45"/>
      <c r="N681" s="416"/>
      <c r="O681" s="45"/>
      <c r="P681" s="45"/>
      <c r="Q681" s="416"/>
      <c r="R681" s="45"/>
      <c r="S681" s="416"/>
      <c r="T681" s="45"/>
      <c r="U681" s="45"/>
    </row>
    <row r="682" spans="1:21" ht="19.5" hidden="1" x14ac:dyDescent="0.3">
      <c r="A682" s="208"/>
      <c r="B682" s="158"/>
      <c r="C682" s="158"/>
      <c r="D682" s="47" t="s">
        <v>251</v>
      </c>
      <c r="E682" s="40"/>
      <c r="F682" s="40"/>
      <c r="G682" s="42"/>
      <c r="H682" s="411" t="s">
        <v>46</v>
      </c>
      <c r="I682" s="501">
        <f ca="1">IFERROR(__xludf.DUMMYFUNCTION("IMPORTRANGE(""https://docs.google.com/spreadsheets/d/1eHaY18a8A9IcSdp1K8H6x8fbOy06t2VsZHhMHf-1x7Y/edit?usp=sharing"",""แผน!IS15"")"),0)</f>
        <v>0</v>
      </c>
      <c r="J682" s="328">
        <f>J685+J688</f>
        <v>0</v>
      </c>
      <c r="K682" s="470">
        <f ca="1">IF(I682&gt;0,J682*100/I682,0)</f>
        <v>0</v>
      </c>
      <c r="L682" s="465"/>
      <c r="M682" s="45"/>
      <c r="N682" s="416"/>
      <c r="O682" s="45"/>
      <c r="P682" s="45"/>
      <c r="Q682" s="45"/>
      <c r="R682" s="45"/>
      <c r="S682" s="416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466">
        <v>0</v>
      </c>
      <c r="K683" s="45"/>
      <c r="L683" s="500"/>
      <c r="M683" s="45"/>
      <c r="N683" s="416"/>
      <c r="O683" s="45"/>
      <c r="P683" s="45"/>
      <c r="Q683" s="416"/>
      <c r="R683" s="45"/>
      <c r="S683" s="416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466">
        <v>0</v>
      </c>
      <c r="K684" s="45"/>
      <c r="L684" s="500"/>
      <c r="M684" s="45"/>
      <c r="N684" s="416"/>
      <c r="O684" s="45"/>
      <c r="P684" s="45"/>
      <c r="Q684" s="416"/>
      <c r="R684" s="45"/>
      <c r="S684" s="416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466">
        <v>0</v>
      </c>
      <c r="K685" s="45"/>
      <c r="L685" s="500"/>
      <c r="M685" s="45"/>
      <c r="N685" s="416"/>
      <c r="O685" s="45"/>
      <c r="P685" s="45"/>
      <c r="Q685" s="416"/>
      <c r="R685" s="45"/>
      <c r="S685" s="416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466">
        <v>0</v>
      </c>
      <c r="K686" s="45"/>
      <c r="L686" s="500"/>
      <c r="M686" s="45"/>
      <c r="N686" s="416"/>
      <c r="O686" s="45"/>
      <c r="P686" s="45"/>
      <c r="Q686" s="416"/>
      <c r="R686" s="45"/>
      <c r="S686" s="416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466">
        <v>0</v>
      </c>
      <c r="K687" s="45"/>
      <c r="L687" s="500"/>
      <c r="M687" s="45"/>
      <c r="N687" s="416"/>
      <c r="O687" s="45"/>
      <c r="P687" s="45"/>
      <c r="Q687" s="416"/>
      <c r="R687" s="45"/>
      <c r="S687" s="416"/>
      <c r="T687" s="45"/>
      <c r="U687" s="45"/>
    </row>
    <row r="688" spans="1:21" ht="19.5" hidden="1" x14ac:dyDescent="0.3">
      <c r="A688" s="249"/>
      <c r="B688" s="419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464">
        <v>0</v>
      </c>
      <c r="K688" s="3"/>
      <c r="L688" s="499"/>
      <c r="M688" s="3"/>
      <c r="N688" s="420"/>
      <c r="O688" s="3"/>
      <c r="P688" s="3"/>
      <c r="Q688" s="420"/>
      <c r="R688" s="3"/>
      <c r="S688" s="420"/>
      <c r="T688" s="3"/>
      <c r="U688" s="3"/>
    </row>
    <row r="689" spans="1:21" ht="19.5" x14ac:dyDescent="0.3">
      <c r="A689" s="394"/>
      <c r="B689" s="395" t="s">
        <v>255</v>
      </c>
      <c r="C689" s="394"/>
      <c r="D689" s="396"/>
      <c r="E689" s="396"/>
      <c r="F689" s="396"/>
      <c r="G689" s="397"/>
      <c r="H689" s="434" t="s">
        <v>35</v>
      </c>
      <c r="I689" s="475">
        <f ca="1">I707</f>
        <v>100</v>
      </c>
      <c r="J689" s="475">
        <f ca="1">J707</f>
        <v>30</v>
      </c>
      <c r="K689" s="474">
        <f ca="1">IF(I689&gt;0,J689*100/I689,0)</f>
        <v>30</v>
      </c>
      <c r="L689" s="473"/>
      <c r="M689" s="400"/>
      <c r="N689" s="400"/>
      <c r="O689" s="400"/>
      <c r="P689" s="400"/>
      <c r="Q689" s="400"/>
      <c r="R689" s="400"/>
      <c r="S689" s="400"/>
      <c r="T689" s="400"/>
      <c r="U689" s="400"/>
    </row>
    <row r="690" spans="1:21" ht="19.5" x14ac:dyDescent="0.3">
      <c r="A690" s="128"/>
      <c r="B690" s="158"/>
      <c r="C690" s="177" t="s">
        <v>18</v>
      </c>
      <c r="D690" s="821" t="s">
        <v>19</v>
      </c>
      <c r="E690" s="793"/>
      <c r="F690" s="793"/>
      <c r="G690" s="794"/>
      <c r="H690" s="221" t="s">
        <v>14</v>
      </c>
      <c r="I690" s="44"/>
      <c r="J690" s="44"/>
      <c r="K690" s="45"/>
      <c r="L690" s="471">
        <f>L691+L692</f>
        <v>0</v>
      </c>
      <c r="M690" s="470">
        <f>M691+M692</f>
        <v>0</v>
      </c>
      <c r="N690" s="470">
        <f>N691+N692</f>
        <v>0</v>
      </c>
      <c r="O690" s="470">
        <f t="shared" ref="O690:O698" si="169">IF(L690&gt;0,N690*100/L690,0)</f>
        <v>0</v>
      </c>
      <c r="P690" s="470">
        <f t="shared" ref="P690:P698" si="170">IF(M690&gt;0,N690*100/M690,0)</f>
        <v>0</v>
      </c>
      <c r="Q690" s="470">
        <f ca="1">Q691+Q692</f>
        <v>169140</v>
      </c>
      <c r="R690" s="470">
        <f ca="1">R691+R692</f>
        <v>169140</v>
      </c>
      <c r="S690" s="470">
        <f ca="1">S691+S692</f>
        <v>0</v>
      </c>
      <c r="T690" s="470">
        <f t="shared" ref="T690:T698" ca="1" si="171">IF(Q690&gt;0,S690*100/Q690,0)</f>
        <v>0</v>
      </c>
      <c r="U690" s="470">
        <f t="shared" ref="U690:U698" ca="1" si="172">IF(R690&gt;0,S690*100/R690,0)</f>
        <v>0</v>
      </c>
    </row>
    <row r="691" spans="1:21" ht="18.75" hidden="1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469">
        <f t="shared" ref="L691:N692" si="173">L694+L697</f>
        <v>0</v>
      </c>
      <c r="M691" s="83">
        <f t="shared" si="173"/>
        <v>0</v>
      </c>
      <c r="N691" s="83">
        <f t="shared" si="173"/>
        <v>0</v>
      </c>
      <c r="O691" s="83">
        <f t="shared" si="169"/>
        <v>0</v>
      </c>
      <c r="P691" s="83">
        <f t="shared" si="170"/>
        <v>0</v>
      </c>
      <c r="Q691" s="83">
        <f t="shared" ref="Q691:S692" si="174">Q694+Q697</f>
        <v>0</v>
      </c>
      <c r="R691" s="83">
        <f t="shared" si="174"/>
        <v>0</v>
      </c>
      <c r="S691" s="83">
        <f t="shared" si="174"/>
        <v>0</v>
      </c>
      <c r="T691" s="83">
        <f t="shared" si="171"/>
        <v>0</v>
      </c>
      <c r="U691" s="83">
        <f t="shared" si="172"/>
        <v>0</v>
      </c>
    </row>
    <row r="692" spans="1:21" ht="18.75" hidden="1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468">
        <f t="shared" si="173"/>
        <v>0</v>
      </c>
      <c r="M692" s="224">
        <f t="shared" si="173"/>
        <v>0</v>
      </c>
      <c r="N692" s="224">
        <f t="shared" si="173"/>
        <v>0</v>
      </c>
      <c r="O692" s="224">
        <f t="shared" si="169"/>
        <v>0</v>
      </c>
      <c r="P692" s="224">
        <f t="shared" si="170"/>
        <v>0</v>
      </c>
      <c r="Q692" s="224">
        <f t="shared" ca="1" si="174"/>
        <v>169140</v>
      </c>
      <c r="R692" s="224">
        <f t="shared" ca="1" si="174"/>
        <v>169140</v>
      </c>
      <c r="S692" s="224">
        <f t="shared" ca="1" si="174"/>
        <v>0</v>
      </c>
      <c r="T692" s="224">
        <f t="shared" ca="1" si="171"/>
        <v>0</v>
      </c>
      <c r="U692" s="224">
        <f t="shared" ca="1" si="172"/>
        <v>0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468">
        <f>L694+L695</f>
        <v>0</v>
      </c>
      <c r="M693" s="224">
        <f>M694+M695</f>
        <v>0</v>
      </c>
      <c r="N693" s="224">
        <f>N694+N695</f>
        <v>0</v>
      </c>
      <c r="O693" s="224">
        <f t="shared" si="169"/>
        <v>0</v>
      </c>
      <c r="P693" s="224">
        <f t="shared" si="170"/>
        <v>0</v>
      </c>
      <c r="Q693" s="224">
        <f ca="1">Q694+Q695</f>
        <v>169140</v>
      </c>
      <c r="R693" s="224">
        <f ca="1">R694+R695</f>
        <v>169140</v>
      </c>
      <c r="S693" s="224">
        <f ca="1">S694+S695</f>
        <v>0</v>
      </c>
      <c r="T693" s="224">
        <f t="shared" ca="1" si="171"/>
        <v>0</v>
      </c>
      <c r="U693" s="224">
        <f t="shared" ca="1" si="172"/>
        <v>0</v>
      </c>
    </row>
    <row r="694" spans="1:21" ht="18.75" hidden="1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469">
        <v>0</v>
      </c>
      <c r="M694" s="83">
        <v>0</v>
      </c>
      <c r="N694" s="83">
        <v>0</v>
      </c>
      <c r="O694" s="83">
        <f t="shared" si="169"/>
        <v>0</v>
      </c>
      <c r="P694" s="83">
        <f t="shared" si="170"/>
        <v>0</v>
      </c>
      <c r="Q694" s="83">
        <v>0</v>
      </c>
      <c r="R694" s="83">
        <v>0</v>
      </c>
      <c r="S694" s="83">
        <v>0</v>
      </c>
      <c r="T694" s="83">
        <f t="shared" si="171"/>
        <v>0</v>
      </c>
      <c r="U694" s="83">
        <f t="shared" si="172"/>
        <v>0</v>
      </c>
    </row>
    <row r="695" spans="1:21" ht="18.75" hidden="1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468">
        <v>0</v>
      </c>
      <c r="M695" s="224">
        <v>0</v>
      </c>
      <c r="N695" s="224">
        <v>0</v>
      </c>
      <c r="O695" s="224">
        <f t="shared" si="169"/>
        <v>0</v>
      </c>
      <c r="P695" s="224">
        <f t="shared" si="170"/>
        <v>0</v>
      </c>
      <c r="Q695" s="224">
        <f ca="1">IFERROR(__xludf.DUMMYFUNCTION("IMPORTRANGE(""https://docs.google.com/spreadsheets/d/1ItG2mGa2ceCfYo0BwxsXqNm01IGEUdYcSSLTEv9YCik/edit?usp=sharing"",""เบิกจ่ายกองทุน!L15"")"),169140)</f>
        <v>169140</v>
      </c>
      <c r="R695" s="224">
        <f ca="1">IFERROR(__xludf.DUMMYFUNCTION("IMPORTRANGE(""https://docs.google.com/spreadsheets/d/1ItG2mGa2ceCfYo0BwxsXqNm01IGEUdYcSSLTEv9YCik/edit?usp=sharing"",""เบิกจ่ายกองทุน!M15"")"),169140)</f>
        <v>169140</v>
      </c>
      <c r="S695" s="224">
        <f ca="1">IFERROR(__xludf.DUMMYFUNCTION("IMPORTRANGE(""https://docs.google.com/spreadsheets/d/1ItG2mGa2ceCfYo0BwxsXqNm01IGEUdYcSSLTEv9YCik/edit?usp=sharing"",""เบิกจ่ายกองทุน!N15"")"),0)</f>
        <v>0</v>
      </c>
      <c r="T695" s="224">
        <f t="shared" ca="1" si="171"/>
        <v>0</v>
      </c>
      <c r="U695" s="224">
        <f t="shared" ca="1" si="172"/>
        <v>0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468">
        <f>L697+L698</f>
        <v>0</v>
      </c>
      <c r="M696" s="224">
        <f>M697+M698</f>
        <v>0</v>
      </c>
      <c r="N696" s="224">
        <f>N697+N698</f>
        <v>0</v>
      </c>
      <c r="O696" s="224">
        <f t="shared" si="169"/>
        <v>0</v>
      </c>
      <c r="P696" s="224">
        <f t="shared" si="170"/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 t="shared" si="171"/>
        <v>0</v>
      </c>
      <c r="U696" s="224">
        <f t="shared" si="172"/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469">
        <v>0</v>
      </c>
      <c r="M697" s="83">
        <v>0</v>
      </c>
      <c r="N697" s="83">
        <v>0</v>
      </c>
      <c r="O697" s="83">
        <f t="shared" si="169"/>
        <v>0</v>
      </c>
      <c r="P697" s="83">
        <f t="shared" si="170"/>
        <v>0</v>
      </c>
      <c r="Q697" s="83">
        <v>0</v>
      </c>
      <c r="R697" s="83">
        <v>0</v>
      </c>
      <c r="S697" s="83">
        <v>0</v>
      </c>
      <c r="T697" s="83">
        <f t="shared" si="171"/>
        <v>0</v>
      </c>
      <c r="U697" s="83">
        <f t="shared" si="172"/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468">
        <v>0</v>
      </c>
      <c r="M698" s="224">
        <v>0</v>
      </c>
      <c r="N698" s="224">
        <v>0</v>
      </c>
      <c r="O698" s="224">
        <f t="shared" si="169"/>
        <v>0</v>
      </c>
      <c r="P698" s="224">
        <f t="shared" si="170"/>
        <v>0</v>
      </c>
      <c r="Q698" s="224">
        <v>0</v>
      </c>
      <c r="R698" s="224">
        <v>0</v>
      </c>
      <c r="S698" s="224">
        <v>0</v>
      </c>
      <c r="T698" s="224">
        <f t="shared" si="171"/>
        <v>0</v>
      </c>
      <c r="U698" s="224">
        <f t="shared" si="172"/>
        <v>0</v>
      </c>
    </row>
    <row r="699" spans="1:21" ht="19.5" x14ac:dyDescent="0.3">
      <c r="A699" s="138"/>
      <c r="B699" s="139"/>
      <c r="C699" s="177" t="s">
        <v>18</v>
      </c>
      <c r="D699" s="498" t="s">
        <v>38</v>
      </c>
      <c r="E699" s="141"/>
      <c r="F699" s="141"/>
      <c r="G699" s="141"/>
      <c r="H699" s="178"/>
      <c r="I699" s="135"/>
      <c r="J699" s="135"/>
      <c r="K699" s="136"/>
      <c r="L699" s="465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IFERROR(__xludf.DUMMYFUNCTION("IMPORTRANGE(""https://docs.google.com/spreadsheets/d/1eHaY18a8A9IcSdp1K8H6x8fbOy06t2VsZHhMHf-1x7Y/edit?usp=sharing"",""แผน!LC15"")"),0)</f>
        <v>0</v>
      </c>
      <c r="J700" s="466">
        <v>0</v>
      </c>
      <c r="K700" s="497">
        <f t="shared" ref="K700:K710" ca="1" si="175">IF(I700&gt;0,J700*100/I700,0)</f>
        <v>0</v>
      </c>
      <c r="L700" s="4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24" t="s">
        <v>258</v>
      </c>
      <c r="F701" s="145"/>
      <c r="G701" s="143"/>
      <c r="H701" s="131" t="s">
        <v>35</v>
      </c>
      <c r="I701" s="328">
        <f ca="1">I703+I705</f>
        <v>100</v>
      </c>
      <c r="J701" s="328">
        <f ca="1">J703+J705</f>
        <v>90</v>
      </c>
      <c r="K701" s="470">
        <f t="shared" ca="1" si="175"/>
        <v>90</v>
      </c>
      <c r="L701" s="4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61.83</v>
      </c>
      <c r="K702" s="470">
        <f t="shared" si="175"/>
        <v>0</v>
      </c>
      <c r="L702" s="4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IFERROR(__xludf.DUMMYFUNCTION("IMPORTRANGE(""https://docs.google.com/spreadsheets/d/1eHaY18a8A9IcSdp1K8H6x8fbOy06t2VsZHhMHf-1x7Y/edit?usp=sharing"",""แผน!LJ15"")"),100)</f>
        <v>100</v>
      </c>
      <c r="J703" s="184">
        <f ca="1">IFERROR(__xludf.DUMMYFUNCTION("IMPORTRANGE(""https://docs.google.com/spreadsheets/d/1tdoBKaGub7dwA3U6UFTqxio9LNnvDCQjHKmttSEBsFQ/edit?usp=sharing"",""จัดที่ดิน!AP15"")"),90)</f>
        <v>90</v>
      </c>
      <c r="K703" s="224">
        <f t="shared" ca="1" si="175"/>
        <v>90</v>
      </c>
      <c r="L703" s="4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IFERROR(__xludf.DUMMYFUNCTION("IMPORTRANGE(""https://docs.google.com/spreadsheets/d/1tdoBKaGub7dwA3U6UFTqxio9LNnvDCQjHKmttSEBsFQ/edit?usp=sharing"",""จัดที่ดิน!AQ15"")"),61.83)</f>
        <v>61.83</v>
      </c>
      <c r="K704" s="224">
        <f t="shared" si="175"/>
        <v>0</v>
      </c>
      <c r="L704" s="4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IFERROR(__xludf.DUMMYFUNCTION("IMPORTRANGE(""https://docs.google.com/spreadsheets/d/1eHaY18a8A9IcSdp1K8H6x8fbOy06t2VsZHhMHf-1x7Y/edit?usp=sharing"",""แผน!LK15"")"),0)</f>
        <v>0</v>
      </c>
      <c r="J705" s="184">
        <f ca="1">IFERROR(__xludf.DUMMYFUNCTION("IMPORTRANGE(""https://docs.google.com/spreadsheets/d/1tdoBKaGub7dwA3U6UFTqxio9LNnvDCQjHKmttSEBsFQ/edit?usp=sharing"",""จัดที่ดิน!AR15"")"),0)</f>
        <v>0</v>
      </c>
      <c r="K705" s="497">
        <f t="shared" ca="1" si="175"/>
        <v>0</v>
      </c>
      <c r="L705" s="4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IFERROR(__xludf.DUMMYFUNCTION("IMPORTRANGE(""https://docs.google.com/spreadsheets/d/1tdoBKaGub7dwA3U6UFTqxio9LNnvDCQjHKmttSEBsFQ/edit?usp=sharing"",""จัดที่ดิน!AS15"")"),0)</f>
        <v>0</v>
      </c>
      <c r="K706" s="224">
        <f t="shared" si="175"/>
        <v>0</v>
      </c>
      <c r="L706" s="4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IFERROR(__xludf.DUMMYFUNCTION("IMPORTRANGE(""https://docs.google.com/spreadsheets/d/1eHaY18a8A9IcSdp1K8H6x8fbOy06t2VsZHhMHf-1x7Y/edit?usp=sharing"",""แผน!LJ15"")"),100)</f>
        <v>100</v>
      </c>
      <c r="J707" s="184">
        <f ca="1">IFERROR(__xludf.DUMMYFUNCTION("IMPORTRANGE(""https://docs.google.com/spreadsheets/d/1tdoBKaGub7dwA3U6UFTqxio9LNnvDCQjHKmttSEBsFQ/edit?usp=sharing"",""จัดที่ดิน!BN15"")"),30)</f>
        <v>30</v>
      </c>
      <c r="K707" s="224">
        <f t="shared" ca="1" si="175"/>
        <v>30</v>
      </c>
      <c r="L707" s="4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25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IFERROR(__xludf.DUMMYFUNCTION("IMPORTRANGE(""https://docs.google.com/spreadsheets/d/1tdoBKaGub7dwA3U6UFTqxio9LNnvDCQjHKmttSEBsFQ/edit?usp=sharing"",""จัดที่ดิน!BO15"")"),19)</f>
        <v>19</v>
      </c>
      <c r="K708" s="224">
        <f t="shared" si="175"/>
        <v>0</v>
      </c>
      <c r="L708" s="4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IFERROR(__xludf.DUMMYFUNCTION("IMPORTRANGE(""https://docs.google.com/spreadsheets/d/1eHaY18a8A9IcSdp1K8H6x8fbOy06t2VsZHhMHf-1x7Y/edit?usp=sharing"",""แผน!LK15"")"),0)</f>
        <v>0</v>
      </c>
      <c r="J709" s="184">
        <f ca="1">IFERROR(__xludf.DUMMYFUNCTION("IMPORTRANGE(""https://docs.google.com/spreadsheets/d/1tdoBKaGub7dwA3U6UFTqxio9LNnvDCQjHKmttSEBsFQ/edit?usp=sharing"",""จัดที่ดิน!BP15"")"),0)</f>
        <v>0</v>
      </c>
      <c r="K709" s="224">
        <f t="shared" ca="1" si="175"/>
        <v>0</v>
      </c>
      <c r="L709" s="465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25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IFERROR(__xludf.DUMMYFUNCTION("IMPORTRANGE(""https://docs.google.com/spreadsheets/d/1tdoBKaGub7dwA3U6UFTqxio9LNnvDCQjHKmttSEBsFQ/edit?usp=sharing"",""จัดที่ดิน!BQ15"")"),0)</f>
        <v>0</v>
      </c>
      <c r="K710" s="224">
        <f t="shared" si="175"/>
        <v>0</v>
      </c>
      <c r="L710" s="465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496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hidden="1" x14ac:dyDescent="0.3">
      <c r="A712" s="394"/>
      <c r="B712" s="426" t="s">
        <v>265</v>
      </c>
      <c r="C712" s="394"/>
      <c r="D712" s="396"/>
      <c r="E712" s="396"/>
      <c r="F712" s="396"/>
      <c r="G712" s="397"/>
      <c r="H712" s="427" t="s">
        <v>46</v>
      </c>
      <c r="I712" s="399"/>
      <c r="J712" s="399">
        <f>J724</f>
        <v>0</v>
      </c>
      <c r="K712" s="495">
        <f>IF(I712&gt;0,J712*100/I712,0)</f>
        <v>0</v>
      </c>
      <c r="L712" s="473"/>
      <c r="M712" s="400"/>
      <c r="N712" s="400"/>
      <c r="O712" s="400"/>
      <c r="P712" s="400"/>
      <c r="Q712" s="400"/>
      <c r="R712" s="400"/>
      <c r="S712" s="400"/>
      <c r="T712" s="400"/>
      <c r="U712" s="400"/>
    </row>
    <row r="713" spans="1:21" ht="19.5" hidden="1" x14ac:dyDescent="0.3">
      <c r="A713" s="394"/>
      <c r="B713" s="426" t="s">
        <v>266</v>
      </c>
      <c r="C713" s="394"/>
      <c r="D713" s="396"/>
      <c r="E713" s="396"/>
      <c r="F713" s="396"/>
      <c r="G713" s="397"/>
      <c r="H713" s="398"/>
      <c r="I713" s="399"/>
      <c r="J713" s="399"/>
      <c r="K713" s="400"/>
      <c r="L713" s="47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128"/>
      <c r="B714" s="158"/>
      <c r="C714" s="314" t="s">
        <v>18</v>
      </c>
      <c r="D714" s="820" t="s">
        <v>19</v>
      </c>
      <c r="E714" s="793"/>
      <c r="F714" s="793"/>
      <c r="G714" s="794"/>
      <c r="H714" s="372" t="s">
        <v>14</v>
      </c>
      <c r="I714" s="44"/>
      <c r="J714" s="44"/>
      <c r="K714" s="45"/>
      <c r="L714" s="471">
        <f>L715+L716</f>
        <v>0</v>
      </c>
      <c r="M714" s="470">
        <f>M715+M716</f>
        <v>0</v>
      </c>
      <c r="N714" s="470">
        <f>N715+N716</f>
        <v>0</v>
      </c>
      <c r="O714" s="470">
        <f t="shared" ref="O714:O722" si="176">IF(L714&gt;0,N714*100/L714,0)</f>
        <v>0</v>
      </c>
      <c r="P714" s="470">
        <f t="shared" ref="P714:P722" si="177">IF(M714&gt;0,N714*100/M714,0)</f>
        <v>0</v>
      </c>
      <c r="Q714" s="470">
        <f>Q715+Q716</f>
        <v>0</v>
      </c>
      <c r="R714" s="470">
        <f>R715+R716</f>
        <v>0</v>
      </c>
      <c r="S714" s="470">
        <f>S715+S716</f>
        <v>0</v>
      </c>
      <c r="T714" s="470">
        <f t="shared" ref="T714:T722" si="178">IF(Q714&gt;0,S714*100/Q714,0)</f>
        <v>0</v>
      </c>
      <c r="U714" s="470">
        <f t="shared" ref="U714:U722" si="179"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469">
        <f t="shared" ref="L715:N716" si="180">L718+L721</f>
        <v>0</v>
      </c>
      <c r="M715" s="83">
        <f t="shared" si="180"/>
        <v>0</v>
      </c>
      <c r="N715" s="83">
        <f t="shared" si="180"/>
        <v>0</v>
      </c>
      <c r="O715" s="83">
        <f t="shared" si="176"/>
        <v>0</v>
      </c>
      <c r="P715" s="83">
        <f t="shared" si="177"/>
        <v>0</v>
      </c>
      <c r="Q715" s="83">
        <f t="shared" ref="Q715:S716" si="181">Q718+Q721</f>
        <v>0</v>
      </c>
      <c r="R715" s="83">
        <f t="shared" si="181"/>
        <v>0</v>
      </c>
      <c r="S715" s="83">
        <f t="shared" si="181"/>
        <v>0</v>
      </c>
      <c r="T715" s="83">
        <f t="shared" si="178"/>
        <v>0</v>
      </c>
      <c r="U715" s="83">
        <f t="shared" si="179"/>
        <v>0</v>
      </c>
    </row>
    <row r="716" spans="1:21" ht="18.75" hidden="1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468">
        <f t="shared" si="180"/>
        <v>0</v>
      </c>
      <c r="M716" s="224">
        <f t="shared" si="180"/>
        <v>0</v>
      </c>
      <c r="N716" s="224">
        <f t="shared" si="180"/>
        <v>0</v>
      </c>
      <c r="O716" s="224">
        <f t="shared" si="176"/>
        <v>0</v>
      </c>
      <c r="P716" s="224">
        <f t="shared" si="177"/>
        <v>0</v>
      </c>
      <c r="Q716" s="224">
        <f t="shared" si="181"/>
        <v>0</v>
      </c>
      <c r="R716" s="224">
        <f t="shared" si="181"/>
        <v>0</v>
      </c>
      <c r="S716" s="224">
        <f t="shared" si="181"/>
        <v>0</v>
      </c>
      <c r="T716" s="224">
        <f t="shared" si="178"/>
        <v>0</v>
      </c>
      <c r="U716" s="224">
        <f t="shared" si="179"/>
        <v>0</v>
      </c>
    </row>
    <row r="717" spans="1:21" ht="19.5" hidden="1" x14ac:dyDescent="0.3">
      <c r="A717" s="128"/>
      <c r="B717" s="158"/>
      <c r="C717" s="158"/>
      <c r="D717" s="494" t="s">
        <v>22</v>
      </c>
      <c r="E717" s="40"/>
      <c r="F717" s="40"/>
      <c r="G717" s="42"/>
      <c r="H717" s="372" t="s">
        <v>14</v>
      </c>
      <c r="I717" s="135"/>
      <c r="J717" s="135"/>
      <c r="K717" s="136"/>
      <c r="L717" s="468">
        <f>L718+L719</f>
        <v>0</v>
      </c>
      <c r="M717" s="224">
        <f>M718+M719</f>
        <v>0</v>
      </c>
      <c r="N717" s="224">
        <f>N718+N719</f>
        <v>0</v>
      </c>
      <c r="O717" s="224">
        <f t="shared" si="176"/>
        <v>0</v>
      </c>
      <c r="P717" s="224">
        <f t="shared" si="177"/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 t="shared" si="178"/>
        <v>0</v>
      </c>
      <c r="U717" s="224">
        <f t="shared" si="179"/>
        <v>0</v>
      </c>
    </row>
    <row r="718" spans="1:21" ht="18.75" hidden="1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469">
        <v>0</v>
      </c>
      <c r="M718" s="83">
        <v>0</v>
      </c>
      <c r="N718" s="83">
        <v>0</v>
      </c>
      <c r="O718" s="83">
        <f t="shared" si="176"/>
        <v>0</v>
      </c>
      <c r="P718" s="83">
        <f t="shared" si="177"/>
        <v>0</v>
      </c>
      <c r="Q718" s="83">
        <v>0</v>
      </c>
      <c r="R718" s="83">
        <v>0</v>
      </c>
      <c r="S718" s="83">
        <v>0</v>
      </c>
      <c r="T718" s="83">
        <f t="shared" si="178"/>
        <v>0</v>
      </c>
      <c r="U718" s="83">
        <f t="shared" si="179"/>
        <v>0</v>
      </c>
    </row>
    <row r="719" spans="1:21" ht="18.75" hidden="1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468">
        <v>0</v>
      </c>
      <c r="M719" s="224">
        <v>0</v>
      </c>
      <c r="N719" s="224">
        <v>0</v>
      </c>
      <c r="O719" s="224">
        <f t="shared" si="176"/>
        <v>0</v>
      </c>
      <c r="P719" s="224">
        <f t="shared" si="177"/>
        <v>0</v>
      </c>
      <c r="Q719" s="224">
        <v>0</v>
      </c>
      <c r="R719" s="224">
        <v>0</v>
      </c>
      <c r="S719" s="224">
        <v>0</v>
      </c>
      <c r="T719" s="224">
        <f t="shared" si="178"/>
        <v>0</v>
      </c>
      <c r="U719" s="224">
        <f t="shared" si="179"/>
        <v>0</v>
      </c>
    </row>
    <row r="720" spans="1:21" ht="19.5" hidden="1" x14ac:dyDescent="0.3">
      <c r="A720" s="128"/>
      <c r="B720" s="158"/>
      <c r="C720" s="158"/>
      <c r="D720" s="494" t="s">
        <v>23</v>
      </c>
      <c r="E720" s="40"/>
      <c r="F720" s="40"/>
      <c r="G720" s="42"/>
      <c r="H720" s="374" t="s">
        <v>14</v>
      </c>
      <c r="I720" s="135"/>
      <c r="J720" s="135"/>
      <c r="K720" s="136"/>
      <c r="L720" s="468">
        <f>L721+L722</f>
        <v>0</v>
      </c>
      <c r="M720" s="224">
        <f>M721+M722</f>
        <v>0</v>
      </c>
      <c r="N720" s="224">
        <f>N721+N722</f>
        <v>0</v>
      </c>
      <c r="O720" s="224">
        <f t="shared" si="176"/>
        <v>0</v>
      </c>
      <c r="P720" s="224">
        <f t="shared" si="177"/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 t="shared" si="178"/>
        <v>0</v>
      </c>
      <c r="U720" s="224">
        <f t="shared" si="179"/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469">
        <v>0</v>
      </c>
      <c r="M721" s="83">
        <v>0</v>
      </c>
      <c r="N721" s="83">
        <v>0</v>
      </c>
      <c r="O721" s="83">
        <f t="shared" si="176"/>
        <v>0</v>
      </c>
      <c r="P721" s="83">
        <f t="shared" si="177"/>
        <v>0</v>
      </c>
      <c r="Q721" s="83">
        <v>0</v>
      </c>
      <c r="R721" s="83">
        <v>0</v>
      </c>
      <c r="S721" s="83">
        <v>0</v>
      </c>
      <c r="T721" s="83">
        <f t="shared" si="178"/>
        <v>0</v>
      </c>
      <c r="U721" s="83">
        <f t="shared" si="179"/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375" t="s">
        <v>14</v>
      </c>
      <c r="I722" s="135"/>
      <c r="J722" s="135"/>
      <c r="K722" s="136"/>
      <c r="L722" s="468">
        <v>0</v>
      </c>
      <c r="M722" s="224">
        <v>0</v>
      </c>
      <c r="N722" s="224">
        <v>0</v>
      </c>
      <c r="O722" s="224">
        <f t="shared" si="176"/>
        <v>0</v>
      </c>
      <c r="P722" s="224">
        <f t="shared" si="177"/>
        <v>0</v>
      </c>
      <c r="Q722" s="224">
        <v>0</v>
      </c>
      <c r="R722" s="224">
        <v>0</v>
      </c>
      <c r="S722" s="224">
        <v>0</v>
      </c>
      <c r="T722" s="224">
        <f t="shared" si="178"/>
        <v>0</v>
      </c>
      <c r="U722" s="224">
        <f t="shared" si="179"/>
        <v>0</v>
      </c>
    </row>
    <row r="723" spans="1:21" ht="19.5" hidden="1" x14ac:dyDescent="0.3">
      <c r="A723" s="138"/>
      <c r="B723" s="139"/>
      <c r="C723" s="314" t="s">
        <v>18</v>
      </c>
      <c r="D723" s="493" t="s">
        <v>38</v>
      </c>
      <c r="E723" s="141"/>
      <c r="F723" s="141"/>
      <c r="G723" s="142"/>
      <c r="H723" s="178"/>
      <c r="I723" s="135"/>
      <c r="J723" s="135"/>
      <c r="K723" s="136"/>
      <c r="L723" s="4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30">
        <v>0</v>
      </c>
      <c r="J724" s="44"/>
      <c r="K724" s="45"/>
      <c r="L724" s="465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29"/>
      <c r="B725" s="2"/>
      <c r="C725" s="2"/>
      <c r="D725" s="1"/>
      <c r="E725" s="431" t="s">
        <v>268</v>
      </c>
      <c r="F725" s="1"/>
      <c r="G725" s="52"/>
      <c r="H725" s="432" t="s">
        <v>46</v>
      </c>
      <c r="I725" s="433">
        <v>0</v>
      </c>
      <c r="J725" s="54"/>
      <c r="K725" s="3"/>
      <c r="L725" s="46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94"/>
      <c r="B726" s="395" t="s">
        <v>269</v>
      </c>
      <c r="C726" s="394"/>
      <c r="D726" s="396"/>
      <c r="E726" s="396"/>
      <c r="F726" s="396"/>
      <c r="G726" s="397"/>
      <c r="H726" s="434" t="s">
        <v>35</v>
      </c>
      <c r="I726" s="475">
        <f ca="1">IFERROR(__xludf.DUMMYFUNCTION("IMPORTRANGE(""https://docs.google.com/spreadsheets/d/1eHaY18a8A9IcSdp1K8H6x8fbOy06t2VsZHhMHf-1x7Y/edit?usp=sharing"",""แผน!GA15"")"),128)</f>
        <v>128</v>
      </c>
      <c r="J726" s="475">
        <f>J742+J746+J749</f>
        <v>137</v>
      </c>
      <c r="K726" s="474">
        <f ca="1">IF(I726&gt;0,J726*100/I726,0)</f>
        <v>107.03125</v>
      </c>
      <c r="L726" s="473"/>
      <c r="M726" s="400"/>
      <c r="N726" s="400"/>
      <c r="O726" s="400"/>
      <c r="P726" s="400"/>
      <c r="Q726" s="400"/>
      <c r="R726" s="400"/>
      <c r="S726" s="400"/>
      <c r="T726" s="400"/>
      <c r="U726" s="400"/>
    </row>
    <row r="727" spans="1:21" ht="19.5" x14ac:dyDescent="0.3">
      <c r="A727" s="436"/>
      <c r="B727" s="394"/>
      <c r="C727" s="394"/>
      <c r="D727" s="396"/>
      <c r="E727" s="396"/>
      <c r="F727" s="396"/>
      <c r="G727" s="397"/>
      <c r="H727" s="434" t="s">
        <v>46</v>
      </c>
      <c r="I727" s="475">
        <f ca="1">IFERROR(__xludf.DUMMYFUNCTION("IMPORTRANGE(""https://docs.google.com/spreadsheets/d/1eHaY18a8A9IcSdp1K8H6x8fbOy06t2VsZHhMHf-1x7Y/edit?usp=sharing"",""แผน!FZ15"")"),1250)</f>
        <v>1250</v>
      </c>
      <c r="J727" s="475">
        <f>J752+J755</f>
        <v>0</v>
      </c>
      <c r="K727" s="474">
        <f ca="1">IF(I727&gt;0,J727*100/I727,0)</f>
        <v>0</v>
      </c>
      <c r="L727" s="47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128"/>
      <c r="B728" s="158"/>
      <c r="C728" s="177" t="s">
        <v>18</v>
      </c>
      <c r="D728" s="821" t="s">
        <v>19</v>
      </c>
      <c r="E728" s="793"/>
      <c r="F728" s="793"/>
      <c r="G728" s="794"/>
      <c r="H728" s="221" t="s">
        <v>14</v>
      </c>
      <c r="I728" s="44"/>
      <c r="J728" s="44"/>
      <c r="K728" s="45"/>
      <c r="L728" s="471">
        <f>L729+L730</f>
        <v>0</v>
      </c>
      <c r="M728" s="470">
        <f>M729+M730</f>
        <v>0</v>
      </c>
      <c r="N728" s="470">
        <f>N729+N730</f>
        <v>0</v>
      </c>
      <c r="O728" s="470">
        <f t="shared" ref="O728:O736" si="182">IF(L728&gt;0,N728*100/L728,0)</f>
        <v>0</v>
      </c>
      <c r="P728" s="470">
        <f t="shared" ref="P728:P736" si="183">IF(M728&gt;0,N728*100/M728,0)</f>
        <v>0</v>
      </c>
      <c r="Q728" s="470">
        <f ca="1">Q729+Q730</f>
        <v>1008470</v>
      </c>
      <c r="R728" s="470">
        <f ca="1">R729+R730</f>
        <v>1008470</v>
      </c>
      <c r="S728" s="470">
        <f ca="1">S729+S730</f>
        <v>41517.51</v>
      </c>
      <c r="T728" s="470">
        <f t="shared" ref="T728:T736" ca="1" si="184">IF(Q728&gt;0,S728*100/Q728,0)</f>
        <v>4.1168810177794084</v>
      </c>
      <c r="U728" s="470">
        <f t="shared" ref="U728:U736" ca="1" si="185">IF(R728&gt;0,S728*100/R728,0)</f>
        <v>4.1168810177794084</v>
      </c>
    </row>
    <row r="729" spans="1:21" ht="18.75" hidden="1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469">
        <f t="shared" ref="L729:N730" si="186">L732+L735</f>
        <v>0</v>
      </c>
      <c r="M729" s="83">
        <f t="shared" si="186"/>
        <v>0</v>
      </c>
      <c r="N729" s="83">
        <f t="shared" si="186"/>
        <v>0</v>
      </c>
      <c r="O729" s="83">
        <f t="shared" si="182"/>
        <v>0</v>
      </c>
      <c r="P729" s="83">
        <f t="shared" si="183"/>
        <v>0</v>
      </c>
      <c r="Q729" s="83">
        <f t="shared" ref="Q729:S730" si="187">Q732+Q735</f>
        <v>0</v>
      </c>
      <c r="R729" s="83">
        <f t="shared" si="187"/>
        <v>0</v>
      </c>
      <c r="S729" s="83">
        <f t="shared" si="187"/>
        <v>0</v>
      </c>
      <c r="T729" s="83">
        <f t="shared" si="184"/>
        <v>0</v>
      </c>
      <c r="U729" s="83">
        <f t="shared" si="185"/>
        <v>0</v>
      </c>
    </row>
    <row r="730" spans="1:21" ht="18.75" hidden="1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468">
        <f t="shared" si="186"/>
        <v>0</v>
      </c>
      <c r="M730" s="224">
        <f t="shared" si="186"/>
        <v>0</v>
      </c>
      <c r="N730" s="224">
        <f t="shared" si="186"/>
        <v>0</v>
      </c>
      <c r="O730" s="224">
        <f t="shared" si="182"/>
        <v>0</v>
      </c>
      <c r="P730" s="224">
        <f t="shared" si="183"/>
        <v>0</v>
      </c>
      <c r="Q730" s="224">
        <f t="shared" ca="1" si="187"/>
        <v>1008470</v>
      </c>
      <c r="R730" s="224">
        <f t="shared" ca="1" si="187"/>
        <v>1008470</v>
      </c>
      <c r="S730" s="224">
        <f t="shared" ca="1" si="187"/>
        <v>41517.51</v>
      </c>
      <c r="T730" s="224">
        <f t="shared" ca="1" si="184"/>
        <v>4.1168810177794084</v>
      </c>
      <c r="U730" s="224">
        <f t="shared" ca="1" si="185"/>
        <v>4.1168810177794084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468">
        <f>L732+L733</f>
        <v>0</v>
      </c>
      <c r="M731" s="224">
        <f>M732+M733</f>
        <v>0</v>
      </c>
      <c r="N731" s="224">
        <f>N732+N733</f>
        <v>0</v>
      </c>
      <c r="O731" s="224">
        <f t="shared" si="182"/>
        <v>0</v>
      </c>
      <c r="P731" s="224">
        <f t="shared" si="183"/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41517.51</v>
      </c>
      <c r="T731" s="224">
        <f t="shared" ca="1" si="184"/>
        <v>4.1168810177794084</v>
      </c>
      <c r="U731" s="224">
        <f t="shared" ca="1" si="185"/>
        <v>4.1168810177794084</v>
      </c>
    </row>
    <row r="732" spans="1:21" ht="18.75" hidden="1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469">
        <v>0</v>
      </c>
      <c r="M732" s="83">
        <v>0</v>
      </c>
      <c r="N732" s="83">
        <v>0</v>
      </c>
      <c r="O732" s="83">
        <f t="shared" si="182"/>
        <v>0</v>
      </c>
      <c r="P732" s="83">
        <f t="shared" si="183"/>
        <v>0</v>
      </c>
      <c r="Q732" s="83">
        <v>0</v>
      </c>
      <c r="R732" s="83">
        <v>0</v>
      </c>
      <c r="S732" s="83">
        <v>0</v>
      </c>
      <c r="T732" s="83">
        <f t="shared" si="184"/>
        <v>0</v>
      </c>
      <c r="U732" s="83">
        <f t="shared" si="185"/>
        <v>0</v>
      </c>
    </row>
    <row r="733" spans="1:21" ht="18.75" hidden="1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468">
        <v>0</v>
      </c>
      <c r="M733" s="224">
        <v>0</v>
      </c>
      <c r="N733" s="224">
        <v>0</v>
      </c>
      <c r="O733" s="224">
        <f t="shared" si="182"/>
        <v>0</v>
      </c>
      <c r="P733" s="224">
        <f t="shared" si="183"/>
        <v>0</v>
      </c>
      <c r="Q733" s="224">
        <f ca="1">IFERROR(__xludf.DUMMYFUNCTION("IMPORTRANGE(""https://docs.google.com/spreadsheets/d/1ItG2mGa2ceCfYo0BwxsXqNm01IGEUdYcSSLTEv9YCik/edit?usp=sharing"",""เบิกจ่ายกองทุน!O15"")"),1008470)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IFERROR(__xludf.DUMMYFUNCTION("IMPORTRANGE(""https://docs.google.com/spreadsheets/d/1ItG2mGa2ceCfYo0BwxsXqNm01IGEUdYcSSLTEv9YCik/edit?usp=sharing"",""เบิกจ่ายกองทุน!P15"")"),1008470)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IFERROR(__xludf.DUMMYFUNCTION("IMPORTRANGE(""https://docs.google.com/spreadsheets/d/1ItG2mGa2ceCfYo0BwxsXqNm01IGEUdYcSSLTEv9YCik/edit?usp=sharing"",""เบิกจ่ายกองทุน!Q15"")"),41517.51)</f>
        <v>41517.51</v>
      </c>
      <c r="T733" s="224">
        <f t="shared" ca="1" si="184"/>
        <v>4.1168810177794084</v>
      </c>
      <c r="U733" s="224">
        <f t="shared" ca="1" si="185"/>
        <v>4.1168810177794084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468">
        <f>L735+L736</f>
        <v>0</v>
      </c>
      <c r="M734" s="224">
        <f>M735+M736</f>
        <v>0</v>
      </c>
      <c r="N734" s="224">
        <f>N735+N736</f>
        <v>0</v>
      </c>
      <c r="O734" s="224">
        <f t="shared" si="182"/>
        <v>0</v>
      </c>
      <c r="P734" s="224">
        <f t="shared" si="183"/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 t="shared" si="184"/>
        <v>0</v>
      </c>
      <c r="U734" s="224">
        <f t="shared" si="185"/>
        <v>0</v>
      </c>
    </row>
    <row r="735" spans="1:21" ht="18.75" hidden="1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469">
        <v>0</v>
      </c>
      <c r="M735" s="83">
        <v>0</v>
      </c>
      <c r="N735" s="83">
        <v>0</v>
      </c>
      <c r="O735" s="83">
        <f t="shared" si="182"/>
        <v>0</v>
      </c>
      <c r="P735" s="83">
        <f t="shared" si="183"/>
        <v>0</v>
      </c>
      <c r="Q735" s="83">
        <v>0</v>
      </c>
      <c r="R735" s="83">
        <v>0</v>
      </c>
      <c r="S735" s="83">
        <v>0</v>
      </c>
      <c r="T735" s="83">
        <f t="shared" si="184"/>
        <v>0</v>
      </c>
      <c r="U735" s="83">
        <f t="shared" si="185"/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468">
        <v>0</v>
      </c>
      <c r="M736" s="224">
        <v>0</v>
      </c>
      <c r="N736" s="224">
        <v>0</v>
      </c>
      <c r="O736" s="224">
        <f t="shared" si="182"/>
        <v>0</v>
      </c>
      <c r="P736" s="224">
        <f t="shared" si="183"/>
        <v>0</v>
      </c>
      <c r="Q736" s="224">
        <v>0</v>
      </c>
      <c r="R736" s="224">
        <v>0</v>
      </c>
      <c r="S736" s="224">
        <v>0</v>
      </c>
      <c r="T736" s="224">
        <f t="shared" si="184"/>
        <v>0</v>
      </c>
      <c r="U736" s="224">
        <f t="shared" si="185"/>
        <v>0</v>
      </c>
    </row>
    <row r="737" spans="1:21" ht="19.5" x14ac:dyDescent="0.3">
      <c r="A737" s="138"/>
      <c r="B737" s="139"/>
      <c r="C737" s="177" t="s">
        <v>18</v>
      </c>
      <c r="D737" s="491" t="s">
        <v>38</v>
      </c>
      <c r="E737" s="203"/>
      <c r="F737" s="141"/>
      <c r="G737" s="142"/>
      <c r="H737" s="178"/>
      <c r="I737" s="44"/>
      <c r="J737" s="44"/>
      <c r="K737" s="45"/>
      <c r="L737" s="465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7" t="s">
        <v>121</v>
      </c>
      <c r="E738" s="139"/>
      <c r="F738" s="139"/>
      <c r="G738" s="143"/>
      <c r="H738" s="180"/>
      <c r="I738" s="44"/>
      <c r="J738" s="44"/>
      <c r="K738" s="45"/>
      <c r="L738" s="465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10" t="s">
        <v>270</v>
      </c>
      <c r="F739" s="139"/>
      <c r="G739" s="143"/>
      <c r="H739" s="180"/>
      <c r="I739" s="44"/>
      <c r="J739" s="44"/>
      <c r="K739" s="45"/>
      <c r="L739" s="465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485"/>
      <c r="B740" s="484"/>
      <c r="C740" s="484"/>
      <c r="D740" s="484"/>
      <c r="E740" s="484"/>
      <c r="F740" s="489" t="s">
        <v>271</v>
      </c>
      <c r="G740" s="481"/>
      <c r="H740" s="480" t="s">
        <v>46</v>
      </c>
      <c r="I740" s="487">
        <f ca="1">IFERROR(__xludf.DUMMYFUNCTION("IMPORTRANGE(""https://docs.google.com/spreadsheets/d/1eHaY18a8A9IcSdp1K8H6x8fbOy06t2VsZHhMHf-1x7Y/edit?usp=sharing"",""แผน!GB15"")"),1000)</f>
        <v>1000</v>
      </c>
      <c r="J740" s="478">
        <v>1000</v>
      </c>
      <c r="K740" s="486">
        <f ca="1">IF(I740&gt;0,J740*100/I740,0)</f>
        <v>100</v>
      </c>
      <c r="L740" s="477"/>
      <c r="M740" s="476"/>
      <c r="N740" s="476"/>
      <c r="O740" s="476"/>
      <c r="P740" s="476"/>
      <c r="Q740" s="476"/>
      <c r="R740" s="476"/>
      <c r="S740" s="476"/>
      <c r="T740" s="476"/>
      <c r="U740" s="476"/>
    </row>
    <row r="741" spans="1:21" ht="18.75" x14ac:dyDescent="0.25">
      <c r="A741" s="485"/>
      <c r="B741" s="484"/>
      <c r="C741" s="484"/>
      <c r="D741" s="484"/>
      <c r="E741" s="484"/>
      <c r="F741" s="489" t="s">
        <v>306</v>
      </c>
      <c r="G741" s="481"/>
      <c r="H741" s="480" t="s">
        <v>35</v>
      </c>
      <c r="I741" s="479"/>
      <c r="J741" s="478">
        <v>0</v>
      </c>
      <c r="K741" s="476"/>
      <c r="L741" s="477"/>
      <c r="M741" s="476"/>
      <c r="N741" s="476"/>
      <c r="O741" s="476"/>
      <c r="P741" s="476"/>
      <c r="Q741" s="476"/>
      <c r="R741" s="476"/>
      <c r="S741" s="476"/>
      <c r="T741" s="476"/>
      <c r="U741" s="476"/>
    </row>
    <row r="742" spans="1:21" ht="18.75" x14ac:dyDescent="0.25">
      <c r="A742" s="485"/>
      <c r="B742" s="484"/>
      <c r="C742" s="484"/>
      <c r="D742" s="484"/>
      <c r="E742" s="484"/>
      <c r="F742" s="489" t="s">
        <v>305</v>
      </c>
      <c r="G742" s="481"/>
      <c r="H742" s="480" t="s">
        <v>35</v>
      </c>
      <c r="I742" s="487">
        <f ca="1">IFERROR(__xludf.DUMMYFUNCTION("IMPORTRANGE(""https://docs.google.com/spreadsheets/d/1eHaY18a8A9IcSdp1K8H6x8fbOy06t2VsZHhMHf-1x7Y/edit?usp=sharing"",""แผน!GC15"")"),100)</f>
        <v>100</v>
      </c>
      <c r="J742" s="478">
        <v>137</v>
      </c>
      <c r="K742" s="486">
        <f ca="1">IF(I742&gt;0,J742*100/I742,0)</f>
        <v>137</v>
      </c>
      <c r="L742" s="477"/>
      <c r="M742" s="476"/>
      <c r="N742" s="476"/>
      <c r="O742" s="476"/>
      <c r="P742" s="476"/>
      <c r="Q742" s="476"/>
      <c r="R742" s="476"/>
      <c r="S742" s="476"/>
      <c r="T742" s="476"/>
      <c r="U742" s="476"/>
    </row>
    <row r="743" spans="1:21" ht="18.75" x14ac:dyDescent="0.25">
      <c r="A743" s="485"/>
      <c r="B743" s="484"/>
      <c r="C743" s="484"/>
      <c r="D743" s="484"/>
      <c r="E743" s="489" t="s">
        <v>274</v>
      </c>
      <c r="F743" s="484"/>
      <c r="G743" s="481"/>
      <c r="H743" s="488"/>
      <c r="I743" s="479"/>
      <c r="J743" s="479"/>
      <c r="K743" s="476"/>
      <c r="L743" s="477"/>
      <c r="M743" s="476"/>
      <c r="N743" s="476"/>
      <c r="O743" s="476"/>
      <c r="P743" s="476"/>
      <c r="Q743" s="476"/>
      <c r="R743" s="476"/>
      <c r="S743" s="476"/>
      <c r="T743" s="476"/>
      <c r="U743" s="476"/>
    </row>
    <row r="744" spans="1:21" ht="18.75" x14ac:dyDescent="0.25">
      <c r="A744" s="485"/>
      <c r="B744" s="484"/>
      <c r="C744" s="484"/>
      <c r="D744" s="484"/>
      <c r="E744" s="484"/>
      <c r="F744" s="489" t="s">
        <v>271</v>
      </c>
      <c r="G744" s="481"/>
      <c r="H744" s="480" t="s">
        <v>46</v>
      </c>
      <c r="I744" s="487">
        <f ca="1">IFERROR(__xludf.DUMMYFUNCTION("IMPORTRANGE(""https://docs.google.com/spreadsheets/d/1eHaY18a8A9IcSdp1K8H6x8fbOy06t2VsZHhMHf-1x7Y/edit?usp=sharing"",""แผน!GD15"")"),250)</f>
        <v>250</v>
      </c>
      <c r="J744" s="478">
        <v>0</v>
      </c>
      <c r="K744" s="486">
        <f ca="1">IF(I744&gt;0,J744*100/I744,0)</f>
        <v>0</v>
      </c>
      <c r="L744" s="477"/>
      <c r="M744" s="476"/>
      <c r="N744" s="476"/>
      <c r="O744" s="476"/>
      <c r="P744" s="476"/>
      <c r="Q744" s="476"/>
      <c r="R744" s="476"/>
      <c r="S744" s="476"/>
      <c r="T744" s="476"/>
      <c r="U744" s="476"/>
    </row>
    <row r="745" spans="1:21" ht="18.75" x14ac:dyDescent="0.25">
      <c r="A745" s="485"/>
      <c r="B745" s="484"/>
      <c r="C745" s="484"/>
      <c r="D745" s="484"/>
      <c r="E745" s="484"/>
      <c r="F745" s="489" t="s">
        <v>304</v>
      </c>
      <c r="G745" s="481"/>
      <c r="H745" s="480" t="s">
        <v>35</v>
      </c>
      <c r="I745" s="479"/>
      <c r="J745" s="478">
        <v>0</v>
      </c>
      <c r="K745" s="476"/>
      <c r="L745" s="477"/>
      <c r="M745" s="476"/>
      <c r="N745" s="476"/>
      <c r="O745" s="476"/>
      <c r="P745" s="476"/>
      <c r="Q745" s="476"/>
      <c r="R745" s="476"/>
      <c r="S745" s="476"/>
      <c r="T745" s="476"/>
      <c r="U745" s="476"/>
    </row>
    <row r="746" spans="1:21" ht="18.75" x14ac:dyDescent="0.25">
      <c r="A746" s="485"/>
      <c r="B746" s="484"/>
      <c r="C746" s="484"/>
      <c r="D746" s="484"/>
      <c r="E746" s="484"/>
      <c r="F746" s="489" t="s">
        <v>303</v>
      </c>
      <c r="G746" s="481"/>
      <c r="H746" s="480" t="s">
        <v>35</v>
      </c>
      <c r="I746" s="487">
        <f ca="1">IFERROR(__xludf.DUMMYFUNCTION("IMPORTRANGE(""https://docs.google.com/spreadsheets/d/1eHaY18a8A9IcSdp1K8H6x8fbOy06t2VsZHhMHf-1x7Y/edit?usp=sharing"",""แผน!GE15"")"),25)</f>
        <v>25</v>
      </c>
      <c r="J746" s="478">
        <v>0</v>
      </c>
      <c r="K746" s="486">
        <f ca="1">IF(I746&gt;0,J746*100/I746,0)</f>
        <v>0</v>
      </c>
      <c r="L746" s="477"/>
      <c r="M746" s="476"/>
      <c r="N746" s="476"/>
      <c r="O746" s="476"/>
      <c r="P746" s="476"/>
      <c r="Q746" s="476"/>
      <c r="R746" s="476"/>
      <c r="S746" s="476"/>
      <c r="T746" s="476"/>
      <c r="U746" s="476"/>
    </row>
    <row r="747" spans="1:21" ht="18.75" x14ac:dyDescent="0.25">
      <c r="A747" s="485"/>
      <c r="B747" s="484"/>
      <c r="C747" s="484"/>
      <c r="D747" s="484"/>
      <c r="E747" s="489" t="s">
        <v>277</v>
      </c>
      <c r="F747" s="483"/>
      <c r="G747" s="481"/>
      <c r="H747" s="488"/>
      <c r="I747" s="479"/>
      <c r="J747" s="479"/>
      <c r="K747" s="476"/>
      <c r="L747" s="477"/>
      <c r="M747" s="476"/>
      <c r="N747" s="476"/>
      <c r="O747" s="476"/>
      <c r="P747" s="476"/>
      <c r="Q747" s="476"/>
      <c r="R747" s="476"/>
      <c r="S747" s="476"/>
      <c r="T747" s="476"/>
      <c r="U747" s="476"/>
    </row>
    <row r="748" spans="1:21" ht="18.75" x14ac:dyDescent="0.25">
      <c r="A748" s="485"/>
      <c r="B748" s="484"/>
      <c r="C748" s="484"/>
      <c r="D748" s="484"/>
      <c r="E748" s="484"/>
      <c r="F748" s="489" t="s">
        <v>302</v>
      </c>
      <c r="G748" s="481"/>
      <c r="H748" s="480" t="s">
        <v>35</v>
      </c>
      <c r="I748" s="479"/>
      <c r="J748" s="478">
        <v>0</v>
      </c>
      <c r="K748" s="476"/>
      <c r="L748" s="477"/>
      <c r="M748" s="476"/>
      <c r="N748" s="476"/>
      <c r="O748" s="476"/>
      <c r="P748" s="476"/>
      <c r="Q748" s="476"/>
      <c r="R748" s="476"/>
      <c r="S748" s="476"/>
      <c r="T748" s="476"/>
      <c r="U748" s="476"/>
    </row>
    <row r="749" spans="1:21" ht="18.75" x14ac:dyDescent="0.25">
      <c r="A749" s="485"/>
      <c r="B749" s="484"/>
      <c r="C749" s="484"/>
      <c r="D749" s="484"/>
      <c r="E749" s="484"/>
      <c r="F749" s="489" t="s">
        <v>301</v>
      </c>
      <c r="G749" s="481"/>
      <c r="H749" s="480" t="s">
        <v>35</v>
      </c>
      <c r="I749" s="487">
        <f ca="1">IFERROR(__xludf.DUMMYFUNCTION("IMPORTRANGE(""https://docs.google.com/spreadsheets/d/1eHaY18a8A9IcSdp1K8H6x8fbOy06t2VsZHhMHf-1x7Y/edit?usp=sharing"",""แผน!GF15"")"),3)</f>
        <v>3</v>
      </c>
      <c r="J749" s="478">
        <v>0</v>
      </c>
      <c r="K749" s="486">
        <f ca="1">IF(I749&gt;0,J749*100/I749,0)</f>
        <v>0</v>
      </c>
      <c r="L749" s="477"/>
      <c r="M749" s="476"/>
      <c r="N749" s="476"/>
      <c r="O749" s="476"/>
      <c r="P749" s="476"/>
      <c r="Q749" s="476"/>
      <c r="R749" s="476"/>
      <c r="S749" s="476"/>
      <c r="T749" s="476"/>
      <c r="U749" s="476"/>
    </row>
    <row r="750" spans="1:21" ht="19.5" x14ac:dyDescent="0.3">
      <c r="A750" s="485"/>
      <c r="B750" s="484"/>
      <c r="C750" s="484"/>
      <c r="D750" s="490" t="s">
        <v>50</v>
      </c>
      <c r="E750" s="484"/>
      <c r="F750" s="483"/>
      <c r="G750" s="481"/>
      <c r="H750" s="488"/>
      <c r="I750" s="479"/>
      <c r="J750" s="479"/>
      <c r="K750" s="476"/>
      <c r="L750" s="477"/>
      <c r="M750" s="476"/>
      <c r="N750" s="476"/>
      <c r="O750" s="476"/>
      <c r="P750" s="476"/>
      <c r="Q750" s="476"/>
      <c r="R750" s="476"/>
      <c r="S750" s="476"/>
      <c r="T750" s="476"/>
      <c r="U750" s="476"/>
    </row>
    <row r="751" spans="1:21" ht="18.75" x14ac:dyDescent="0.25">
      <c r="A751" s="485"/>
      <c r="B751" s="484"/>
      <c r="C751" s="484"/>
      <c r="D751" s="484"/>
      <c r="E751" s="489" t="s">
        <v>270</v>
      </c>
      <c r="F751" s="483"/>
      <c r="G751" s="481"/>
      <c r="H751" s="488"/>
      <c r="I751" s="479"/>
      <c r="J751" s="479"/>
      <c r="K751" s="476"/>
      <c r="L751" s="477"/>
      <c r="M751" s="476"/>
      <c r="N751" s="476"/>
      <c r="O751" s="476"/>
      <c r="P751" s="476"/>
      <c r="Q751" s="476"/>
      <c r="R751" s="476"/>
      <c r="S751" s="476"/>
      <c r="T751" s="476"/>
      <c r="U751" s="476"/>
    </row>
    <row r="752" spans="1:21" ht="18.75" x14ac:dyDescent="0.25">
      <c r="A752" s="485"/>
      <c r="B752" s="484"/>
      <c r="C752" s="484"/>
      <c r="D752" s="484"/>
      <c r="E752" s="484"/>
      <c r="F752" s="482" t="s">
        <v>300</v>
      </c>
      <c r="G752" s="481"/>
      <c r="H752" s="480" t="s">
        <v>46</v>
      </c>
      <c r="I752" s="487">
        <f ca="1">IFERROR(__xludf.DUMMYFUNCTION("IMPORTRANGE(""https://docs.google.com/spreadsheets/d/1eHaY18a8A9IcSdp1K8H6x8fbOy06t2VsZHhMHf-1x7Y/edit?usp=sharing"",""แผน!GB15"")"),1000)</f>
        <v>1000</v>
      </c>
      <c r="J752" s="478">
        <v>0</v>
      </c>
      <c r="K752" s="486">
        <f ca="1">IF(I752&gt;0,J752*100/I752,0)</f>
        <v>0</v>
      </c>
      <c r="L752" s="477"/>
      <c r="M752" s="476"/>
      <c r="N752" s="476"/>
      <c r="O752" s="476"/>
      <c r="P752" s="476"/>
      <c r="Q752" s="476"/>
      <c r="R752" s="476"/>
      <c r="S752" s="476"/>
      <c r="T752" s="476"/>
      <c r="U752" s="476"/>
    </row>
    <row r="753" spans="1:21" ht="18.75" x14ac:dyDescent="0.25">
      <c r="A753" s="485"/>
      <c r="B753" s="484"/>
      <c r="C753" s="484"/>
      <c r="D753" s="484"/>
      <c r="E753" s="484"/>
      <c r="F753" s="482" t="s">
        <v>299</v>
      </c>
      <c r="G753" s="481"/>
      <c r="H753" s="480" t="s">
        <v>46</v>
      </c>
      <c r="I753" s="479"/>
      <c r="J753" s="478">
        <v>0</v>
      </c>
      <c r="K753" s="476"/>
      <c r="L753" s="477"/>
      <c r="M753" s="476"/>
      <c r="N753" s="476"/>
      <c r="O753" s="476"/>
      <c r="P753" s="476"/>
      <c r="Q753" s="476"/>
      <c r="R753" s="476"/>
      <c r="S753" s="476"/>
      <c r="T753" s="476"/>
      <c r="U753" s="476"/>
    </row>
    <row r="754" spans="1:21" ht="18.75" x14ac:dyDescent="0.25">
      <c r="A754" s="485"/>
      <c r="B754" s="484"/>
      <c r="C754" s="484"/>
      <c r="D754" s="484"/>
      <c r="E754" s="489" t="s">
        <v>274</v>
      </c>
      <c r="F754" s="483"/>
      <c r="G754" s="481"/>
      <c r="H754" s="488"/>
      <c r="I754" s="479"/>
      <c r="J754" s="479"/>
      <c r="K754" s="476"/>
      <c r="L754" s="477"/>
      <c r="M754" s="476"/>
      <c r="N754" s="476"/>
      <c r="O754" s="476"/>
      <c r="P754" s="476"/>
      <c r="Q754" s="476"/>
      <c r="R754" s="476"/>
      <c r="S754" s="476"/>
      <c r="T754" s="476"/>
      <c r="U754" s="476"/>
    </row>
    <row r="755" spans="1:21" ht="18.75" x14ac:dyDescent="0.25">
      <c r="A755" s="485"/>
      <c r="B755" s="484"/>
      <c r="C755" s="484"/>
      <c r="D755" s="484"/>
      <c r="E755" s="483"/>
      <c r="F755" s="482" t="s">
        <v>298</v>
      </c>
      <c r="G755" s="481"/>
      <c r="H755" s="480" t="s">
        <v>46</v>
      </c>
      <c r="I755" s="487">
        <f ca="1">IFERROR(__xludf.DUMMYFUNCTION("IMPORTRANGE(""https://docs.google.com/spreadsheets/d/1eHaY18a8A9IcSdp1K8H6x8fbOy06t2VsZHhMHf-1x7Y/edit?usp=sharing"",""แผน!GD15"")"),250)</f>
        <v>250</v>
      </c>
      <c r="J755" s="478">
        <v>0</v>
      </c>
      <c r="K755" s="486">
        <f ca="1">IF(I755&gt;0,J755*100/I755,0)</f>
        <v>0</v>
      </c>
      <c r="L755" s="477"/>
      <c r="M755" s="476"/>
      <c r="N755" s="476"/>
      <c r="O755" s="476"/>
      <c r="P755" s="476"/>
      <c r="Q755" s="476"/>
      <c r="R755" s="476"/>
      <c r="S755" s="476"/>
      <c r="T755" s="476"/>
      <c r="U755" s="476"/>
    </row>
    <row r="756" spans="1:21" ht="18.75" x14ac:dyDescent="0.25">
      <c r="A756" s="485"/>
      <c r="B756" s="484"/>
      <c r="C756" s="484"/>
      <c r="D756" s="484"/>
      <c r="E756" s="483"/>
      <c r="F756" s="482" t="s">
        <v>297</v>
      </c>
      <c r="G756" s="481"/>
      <c r="H756" s="480" t="s">
        <v>46</v>
      </c>
      <c r="I756" s="479"/>
      <c r="J756" s="478">
        <v>0</v>
      </c>
      <c r="K756" s="476"/>
      <c r="L756" s="477"/>
      <c r="M756" s="476"/>
      <c r="N756" s="476"/>
      <c r="O756" s="476"/>
      <c r="P756" s="476"/>
      <c r="Q756" s="476"/>
      <c r="R756" s="476"/>
      <c r="S756" s="476"/>
      <c r="T756" s="476"/>
      <c r="U756" s="476"/>
    </row>
    <row r="757" spans="1:21" ht="18.75" x14ac:dyDescent="0.25">
      <c r="A757" s="438"/>
      <c r="B757" s="438"/>
      <c r="C757" s="438"/>
      <c r="D757" s="438"/>
      <c r="E757" s="439" t="s">
        <v>284</v>
      </c>
      <c r="F757" s="440"/>
      <c r="G757" s="441"/>
      <c r="H757" s="442" t="s">
        <v>35</v>
      </c>
      <c r="I757" s="443"/>
      <c r="J757" s="444">
        <v>0</v>
      </c>
      <c r="K757" s="445"/>
      <c r="L757" s="445"/>
      <c r="M757" s="445"/>
      <c r="N757" s="445"/>
      <c r="O757" s="445"/>
      <c r="P757" s="445"/>
      <c r="Q757" s="445"/>
      <c r="R757" s="445"/>
      <c r="S757" s="445"/>
      <c r="T757" s="445"/>
      <c r="U757" s="445"/>
    </row>
    <row r="758" spans="1:21" ht="19.5" x14ac:dyDescent="0.3">
      <c r="A758" s="394"/>
      <c r="B758" s="395" t="s">
        <v>285</v>
      </c>
      <c r="C758" s="394"/>
      <c r="D758" s="396"/>
      <c r="E758" s="396"/>
      <c r="F758" s="396"/>
      <c r="G758" s="397"/>
      <c r="H758" s="434" t="s">
        <v>35</v>
      </c>
      <c r="I758" s="475">
        <f ca="1">I772</f>
        <v>150</v>
      </c>
      <c r="J758" s="475">
        <f>J772</f>
        <v>35</v>
      </c>
      <c r="K758" s="474">
        <f ca="1">IF(I758&gt;0,J758*100/I758,0)</f>
        <v>23.333333333333332</v>
      </c>
      <c r="L758" s="47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6"/>
      <c r="B759" s="394"/>
      <c r="C759" s="394"/>
      <c r="D759" s="396"/>
      <c r="E759" s="396"/>
      <c r="F759" s="396"/>
      <c r="G759" s="397"/>
      <c r="H759" s="434" t="s">
        <v>46</v>
      </c>
      <c r="I759" s="475">
        <f ca="1">I774</f>
        <v>300</v>
      </c>
      <c r="J759" s="475">
        <f>J774</f>
        <v>0</v>
      </c>
      <c r="K759" s="474">
        <f ca="1">IF(I759&gt;0,J759*100/I759,0)</f>
        <v>0</v>
      </c>
      <c r="L759" s="47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8"/>
      <c r="C760" s="177" t="s">
        <v>18</v>
      </c>
      <c r="D760" s="821" t="s">
        <v>19</v>
      </c>
      <c r="E760" s="793"/>
      <c r="F760" s="793"/>
      <c r="G760" s="794"/>
      <c r="H760" s="221" t="s">
        <v>14</v>
      </c>
      <c r="I760" s="44"/>
      <c r="J760" s="44"/>
      <c r="K760" s="45"/>
      <c r="L760" s="471">
        <f>L761+L762</f>
        <v>0</v>
      </c>
      <c r="M760" s="470">
        <f>M761+M762</f>
        <v>0</v>
      </c>
      <c r="N760" s="470">
        <f>N761+N762</f>
        <v>0</v>
      </c>
      <c r="O760" s="470">
        <f t="shared" ref="O760:O768" si="188">IF(L760&gt;0,N760*100/L760,0)</f>
        <v>0</v>
      </c>
      <c r="P760" s="470">
        <f t="shared" ref="P760:P768" si="189">IF(M760&gt;0,N760*100/M760,0)</f>
        <v>0</v>
      </c>
      <c r="Q760" s="470">
        <f ca="1">Q761+Q762</f>
        <v>806680</v>
      </c>
      <c r="R760" s="470">
        <f ca="1">R761+R762</f>
        <v>806680</v>
      </c>
      <c r="S760" s="470">
        <f ca="1">S761+S762</f>
        <v>116515</v>
      </c>
      <c r="T760" s="470">
        <f t="shared" ref="T760:T768" ca="1" si="190">IF(Q760&gt;0,S760*100/Q760,0)</f>
        <v>14.443769524470669</v>
      </c>
      <c r="U760" s="470">
        <f t="shared" ref="U760:U768" ca="1" si="191">IF(R760&gt;0,S760*100/R760,0)</f>
        <v>14.443769524470669</v>
      </c>
    </row>
    <row r="761" spans="1:21" ht="18.75" hidden="1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469">
        <f t="shared" ref="L761:N762" si="192">L764+L767</f>
        <v>0</v>
      </c>
      <c r="M761" s="83">
        <f t="shared" si="192"/>
        <v>0</v>
      </c>
      <c r="N761" s="83">
        <f t="shared" si="192"/>
        <v>0</v>
      </c>
      <c r="O761" s="83">
        <f t="shared" si="188"/>
        <v>0</v>
      </c>
      <c r="P761" s="83">
        <f t="shared" si="189"/>
        <v>0</v>
      </c>
      <c r="Q761" s="83">
        <f t="shared" ref="Q761:S762" si="193">Q764+Q767</f>
        <v>0</v>
      </c>
      <c r="R761" s="83">
        <f t="shared" si="193"/>
        <v>0</v>
      </c>
      <c r="S761" s="83">
        <f t="shared" si="193"/>
        <v>0</v>
      </c>
      <c r="T761" s="83">
        <f t="shared" si="190"/>
        <v>0</v>
      </c>
      <c r="U761" s="83">
        <f t="shared" si="191"/>
        <v>0</v>
      </c>
    </row>
    <row r="762" spans="1:21" ht="18.75" hidden="1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468">
        <f t="shared" si="192"/>
        <v>0</v>
      </c>
      <c r="M762" s="224">
        <f t="shared" si="192"/>
        <v>0</v>
      </c>
      <c r="N762" s="224">
        <f t="shared" si="192"/>
        <v>0</v>
      </c>
      <c r="O762" s="224">
        <f t="shared" si="188"/>
        <v>0</v>
      </c>
      <c r="P762" s="224">
        <f t="shared" si="189"/>
        <v>0</v>
      </c>
      <c r="Q762" s="224">
        <f t="shared" ca="1" si="193"/>
        <v>806680</v>
      </c>
      <c r="R762" s="224">
        <f t="shared" ca="1" si="193"/>
        <v>806680</v>
      </c>
      <c r="S762" s="224">
        <f t="shared" ca="1" si="193"/>
        <v>116515</v>
      </c>
      <c r="T762" s="224">
        <f t="shared" ca="1" si="190"/>
        <v>14.443769524470669</v>
      </c>
      <c r="U762" s="224">
        <f t="shared" ca="1" si="191"/>
        <v>14.443769524470669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468">
        <f>L764+L765</f>
        <v>0</v>
      </c>
      <c r="M763" s="224">
        <f>M764+M765</f>
        <v>0</v>
      </c>
      <c r="N763" s="224">
        <f>N764+N765</f>
        <v>0</v>
      </c>
      <c r="O763" s="224">
        <f t="shared" si="188"/>
        <v>0</v>
      </c>
      <c r="P763" s="224">
        <f t="shared" si="189"/>
        <v>0</v>
      </c>
      <c r="Q763" s="224">
        <f ca="1">Q764+Q765</f>
        <v>806680</v>
      </c>
      <c r="R763" s="224">
        <f ca="1">R764+R765</f>
        <v>806680</v>
      </c>
      <c r="S763" s="224">
        <f ca="1">S764+S765</f>
        <v>116515</v>
      </c>
      <c r="T763" s="224">
        <f t="shared" ca="1" si="190"/>
        <v>14.443769524470669</v>
      </c>
      <c r="U763" s="224">
        <f t="shared" ca="1" si="191"/>
        <v>14.443769524470669</v>
      </c>
    </row>
    <row r="764" spans="1:21" ht="18.75" hidden="1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469">
        <v>0</v>
      </c>
      <c r="M764" s="83">
        <v>0</v>
      </c>
      <c r="N764" s="83">
        <v>0</v>
      </c>
      <c r="O764" s="83">
        <f t="shared" si="188"/>
        <v>0</v>
      </c>
      <c r="P764" s="83">
        <f t="shared" si="189"/>
        <v>0</v>
      </c>
      <c r="Q764" s="83">
        <v>0</v>
      </c>
      <c r="R764" s="83">
        <v>0</v>
      </c>
      <c r="S764" s="83">
        <v>0</v>
      </c>
      <c r="T764" s="83">
        <f t="shared" si="190"/>
        <v>0</v>
      </c>
      <c r="U764" s="83">
        <f t="shared" si="191"/>
        <v>0</v>
      </c>
    </row>
    <row r="765" spans="1:21" ht="18.75" hidden="1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468">
        <v>0</v>
      </c>
      <c r="M765" s="224">
        <v>0</v>
      </c>
      <c r="N765" s="224">
        <v>0</v>
      </c>
      <c r="O765" s="224">
        <f t="shared" si="188"/>
        <v>0</v>
      </c>
      <c r="P765" s="224">
        <f t="shared" si="189"/>
        <v>0</v>
      </c>
      <c r="Q765" s="224">
        <f ca="1">IFERROR(__xludf.DUMMYFUNCTION("IMPORTRANGE(""https://docs.google.com/spreadsheets/d/1ItG2mGa2ceCfYo0BwxsXqNm01IGEUdYcSSLTEv9YCik/edit?usp=sharing"",""เบิกจ่ายกองทุน!U15"")"),806680)</f>
        <v>806680</v>
      </c>
      <c r="R765" s="224">
        <f ca="1">IFERROR(__xludf.DUMMYFUNCTION("IMPORTRANGE(""https://docs.google.com/spreadsheets/d/1ItG2mGa2ceCfYo0BwxsXqNm01IGEUdYcSSLTEv9YCik/edit?usp=sharing"",""เบิกจ่ายกองทุน!V15"")"),806680)</f>
        <v>806680</v>
      </c>
      <c r="S765" s="224">
        <f ca="1">IFERROR(__xludf.DUMMYFUNCTION("IMPORTRANGE(""https://docs.google.com/spreadsheets/d/1ItG2mGa2ceCfYo0BwxsXqNm01IGEUdYcSSLTEv9YCik/edit?usp=sharing"",""เบิกจ่ายกองทุน!W15"")"),116515)</f>
        <v>116515</v>
      </c>
      <c r="T765" s="224">
        <f t="shared" ca="1" si="190"/>
        <v>14.443769524470669</v>
      </c>
      <c r="U765" s="224">
        <f t="shared" ca="1" si="191"/>
        <v>14.443769524470669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468">
        <f>L767+L768</f>
        <v>0</v>
      </c>
      <c r="M766" s="224">
        <f>M767+M768</f>
        <v>0</v>
      </c>
      <c r="N766" s="224">
        <f>N767+N768</f>
        <v>0</v>
      </c>
      <c r="O766" s="224">
        <f t="shared" si="188"/>
        <v>0</v>
      </c>
      <c r="P766" s="224">
        <f t="shared" si="189"/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 t="shared" si="190"/>
        <v>0</v>
      </c>
      <c r="U766" s="224">
        <f t="shared" si="191"/>
        <v>0</v>
      </c>
    </row>
    <row r="767" spans="1:21" ht="18.75" hidden="1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469">
        <v>0</v>
      </c>
      <c r="M767" s="83">
        <v>0</v>
      </c>
      <c r="N767" s="83">
        <v>0</v>
      </c>
      <c r="O767" s="83">
        <f t="shared" si="188"/>
        <v>0</v>
      </c>
      <c r="P767" s="83">
        <f t="shared" si="189"/>
        <v>0</v>
      </c>
      <c r="Q767" s="83">
        <v>0</v>
      </c>
      <c r="R767" s="83">
        <v>0</v>
      </c>
      <c r="S767" s="83">
        <v>0</v>
      </c>
      <c r="T767" s="83">
        <f t="shared" si="190"/>
        <v>0</v>
      </c>
      <c r="U767" s="83">
        <f t="shared" si="191"/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468">
        <v>0</v>
      </c>
      <c r="M768" s="224">
        <v>0</v>
      </c>
      <c r="N768" s="224">
        <v>0</v>
      </c>
      <c r="O768" s="224">
        <f t="shared" si="188"/>
        <v>0</v>
      </c>
      <c r="P768" s="224">
        <f t="shared" si="189"/>
        <v>0</v>
      </c>
      <c r="Q768" s="224">
        <v>0</v>
      </c>
      <c r="R768" s="224">
        <v>0</v>
      </c>
      <c r="S768" s="224">
        <v>0</v>
      </c>
      <c r="T768" s="224">
        <f t="shared" si="190"/>
        <v>0</v>
      </c>
      <c r="U768" s="224">
        <f t="shared" si="191"/>
        <v>0</v>
      </c>
    </row>
    <row r="769" spans="1:21" ht="19.5" x14ac:dyDescent="0.3">
      <c r="A769" s="138"/>
      <c r="B769" s="139"/>
      <c r="C769" s="446" t="s">
        <v>18</v>
      </c>
      <c r="D769" s="467" t="s">
        <v>38</v>
      </c>
      <c r="E769" s="203"/>
      <c r="F769" s="141"/>
      <c r="G769" s="142"/>
      <c r="H769" s="178"/>
      <c r="I769" s="44"/>
      <c r="J769" s="44"/>
      <c r="K769" s="45"/>
      <c r="L769" s="465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377" t="s">
        <v>286</v>
      </c>
      <c r="E770" s="139"/>
      <c r="F770" s="145"/>
      <c r="G770" s="143"/>
      <c r="H770" s="375" t="s">
        <v>35</v>
      </c>
      <c r="I770" s="430">
        <f ca="1">IFERROR(__xludf.DUMMYFUNCTION("IMPORTRANGE(""https://docs.google.com/spreadsheets/d/1eHaY18a8A9IcSdp1K8H6x8fbOy06t2VsZHhMHf-1x7Y/edit?usp=sharing"",""แผน!FI15"")"),0)</f>
        <v>0</v>
      </c>
      <c r="J770" s="430">
        <v>0</v>
      </c>
      <c r="K770" s="83">
        <f ca="1">IF(I770&gt;0,J770*100/I770,0)</f>
        <v>0</v>
      </c>
      <c r="L770" s="465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377" t="s">
        <v>287</v>
      </c>
      <c r="E771" s="139"/>
      <c r="F771" s="145"/>
      <c r="G771" s="143"/>
      <c r="H771" s="178"/>
      <c r="I771" s="44"/>
      <c r="J771" s="44"/>
      <c r="K771" s="45"/>
      <c r="L771" s="465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10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IFERROR(__xludf.DUMMYFUNCTION("IMPORTRANGE(""https://docs.google.com/spreadsheets/d/1eHaY18a8A9IcSdp1K8H6x8fbOy06t2VsZHhMHf-1x7Y/edit?usp=sharing"",""แผน!FQ15"")"),150)</f>
        <v>150</v>
      </c>
      <c r="J772" s="466">
        <v>35</v>
      </c>
      <c r="K772" s="224">
        <f ca="1">IF(I772&gt;0,J772*100/I772,0)</f>
        <v>23.333333333333332</v>
      </c>
      <c r="L772" s="465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10" t="s">
        <v>289</v>
      </c>
      <c r="E773" s="139"/>
      <c r="F773" s="145"/>
      <c r="G773" s="143"/>
      <c r="H773" s="178"/>
      <c r="I773" s="44"/>
      <c r="J773" s="44"/>
      <c r="K773" s="45"/>
      <c r="L773" s="465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10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IFERROR(__xludf.DUMMYFUNCTION("IMPORTRANGE(""https://docs.google.com/spreadsheets/d/1eHaY18a8A9IcSdp1K8H6x8fbOy06t2VsZHhMHf-1x7Y/edit?usp=sharing"",""แผน!FR15"")"),300)</f>
        <v>300</v>
      </c>
      <c r="J774" s="466">
        <v>0</v>
      </c>
      <c r="K774" s="224">
        <f ca="1">IF(I774&gt;0,J774*100/I774,0)</f>
        <v>0</v>
      </c>
      <c r="L774" s="465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10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IFERROR(__xludf.DUMMYFUNCTION("IMPORTRANGE(""https://docs.google.com/spreadsheets/d/1eHaY18a8A9IcSdp1K8H6x8fbOy06t2VsZHhMHf-1x7Y/edit?usp=sharing"",""แผน!FS15"")"),300)</f>
        <v>300</v>
      </c>
      <c r="J775" s="466">
        <v>0</v>
      </c>
      <c r="K775" s="45"/>
      <c r="L775" s="465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IFERROR(__xludf.DUMMYFUNCTION("IMPORTRANGE(""https://docs.google.com/spreadsheets/d/1eHaY18a8A9IcSdp1K8H6x8fbOy06t2VsZHhMHf-1x7Y/edit?usp=sharing"",""แผน!FT15"")"),150)</f>
        <v>150</v>
      </c>
      <c r="J776" s="464">
        <v>0</v>
      </c>
      <c r="K776" s="3"/>
      <c r="L776" s="46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462" t="s">
        <v>291</v>
      </c>
      <c r="B777" s="449"/>
      <c r="C777" s="449"/>
      <c r="D777" s="448"/>
      <c r="E777" s="449"/>
      <c r="F777" s="449"/>
      <c r="G777" s="450"/>
      <c r="H777" s="461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2"/>
      <c r="J777" s="453"/>
      <c r="K777" s="454"/>
      <c r="L777" s="454"/>
      <c r="M777" s="454"/>
      <c r="N777" s="454"/>
      <c r="O777" s="454"/>
      <c r="P777" s="454"/>
      <c r="Q777" s="454"/>
      <c r="R777" s="454"/>
      <c r="S777" s="454"/>
      <c r="T777" s="454"/>
      <c r="U777" s="454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IFERROR(__xludf.DUMMYFUNCTION("IMPORTRANGE(""https://docs.google.com/spreadsheets/d/10OvvATaaLtwErnr3qtWFcTmtbfpFEt5Bsqel9sXx0uE/edit?usp=sharing"",""งานกองทุน!D15"")"),7398675.45)</f>
        <v>7398675.4500000002</v>
      </c>
      <c r="J778" s="184">
        <f ca="1">IFERROR(__xludf.DUMMYFUNCTION("IMPORTRANGE(""https://docs.google.com/spreadsheets/d/10OvvATaaLtwErnr3qtWFcTmtbfpFEt5Bsqel9sXx0uE/edit?usp=sharing"",""งานกองทุน!F15"")"),1401381.92)</f>
        <v>1401381.92</v>
      </c>
      <c r="K778" s="224">
        <f t="shared" ref="K778:K785" ca="1" si="194">IF(I778&gt;0,J778*100/I778,0)</f>
        <v>18.940983821637968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IFERROR(__xludf.DUMMYFUNCTION("IMPORTRANGE(""https://docs.google.com/spreadsheets/d/10OvvATaaLtwErnr3qtWFcTmtbfpFEt5Bsqel9sXx0uE/edit?usp=sharing"",""งานกองทุน!C15"")"),237)</f>
        <v>237</v>
      </c>
      <c r="J779" s="184">
        <f ca="1">IFERROR(__xludf.DUMMYFUNCTION("IMPORTRANGE(""https://docs.google.com/spreadsheets/d/10OvvATaaLtwErnr3qtWFcTmtbfpFEt5Bsqel9sXx0uE/edit?usp=sharing"",""งานกองทุน!E15"")"),58)</f>
        <v>58</v>
      </c>
      <c r="K779" s="224">
        <f t="shared" ca="1" si="194"/>
        <v>24.472573839662449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IFERROR(__xludf.DUMMYFUNCTION("IMPORTRANGE(""https://docs.google.com/spreadsheets/d/10OvvATaaLtwErnr3qtWFcTmtbfpFEt5Bsqel9sXx0uE/edit?usp=sharing"",""งานกองทุน!I15"")"),4374705.31)</f>
        <v>4374705.3099999996</v>
      </c>
      <c r="J780" s="184">
        <f ca="1">IFERROR(__xludf.DUMMYFUNCTION("IMPORTRANGE(""https://docs.google.com/spreadsheets/d/10OvvATaaLtwErnr3qtWFcTmtbfpFEt5Bsqel9sXx0uE/edit?usp=sharing"",""งานกองทุน!K15"")"),298813.61)</f>
        <v>298813.61</v>
      </c>
      <c r="K780" s="224">
        <f t="shared" ca="1" si="194"/>
        <v>6.8304854573164384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IFERROR(__xludf.DUMMYFUNCTION("IMPORTRANGE(""https://docs.google.com/spreadsheets/d/10OvvATaaLtwErnr3qtWFcTmtbfpFEt5Bsqel9sXx0uE/edit?usp=sharing"",""งานกองทุน!H15"")"),145)</f>
        <v>145</v>
      </c>
      <c r="J781" s="184">
        <f ca="1">IFERROR(__xludf.DUMMYFUNCTION("IMPORTRANGE(""https://docs.google.com/spreadsheets/d/10OvvATaaLtwErnr3qtWFcTmtbfpFEt5Bsqel9sXx0uE/edit?usp=sharing"",""งานกองทุน!J15"")"),50)</f>
        <v>50</v>
      </c>
      <c r="K781" s="224">
        <f t="shared" ca="1" si="194"/>
        <v>34.482758620689658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IFERROR(__xludf.DUMMYFUNCTION("IMPORTRANGE(""https://docs.google.com/spreadsheets/d/10OvvATaaLtwErnr3qtWFcTmtbfpFEt5Bsqel9sXx0uE/edit?usp=sharing"",""งานกองทุน!N15"")"),774975.64)</f>
        <v>774975.64</v>
      </c>
      <c r="J782" s="184">
        <f ca="1">IFERROR(__xludf.DUMMYFUNCTION("IMPORTRANGE(""https://docs.google.com/spreadsheets/d/10OvvATaaLtwErnr3qtWFcTmtbfpFEt5Bsqel9sXx0uE/edit?usp=sharing"",""งานกองทุน!P15"")"),180721.4)</f>
        <v>180721.4</v>
      </c>
      <c r="K782" s="224">
        <f t="shared" ca="1" si="194"/>
        <v>23.319623310998523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IFERROR(__xludf.DUMMYFUNCTION("IMPORTRANGE(""https://docs.google.com/spreadsheets/d/10OvvATaaLtwErnr3qtWFcTmtbfpFEt5Bsqel9sXx0uE/edit?usp=sharing"",""งานกองทุน!M15"")"),49)</f>
        <v>49</v>
      </c>
      <c r="J783" s="184">
        <f ca="1">IFERROR(__xludf.DUMMYFUNCTION("IMPORTRANGE(""https://docs.google.com/spreadsheets/d/10OvvATaaLtwErnr3qtWFcTmtbfpFEt5Bsqel9sXx0uE/edit?usp=sharing"",""งานกองทุน!O15"")"),96)</f>
        <v>96</v>
      </c>
      <c r="K783" s="224">
        <f t="shared" ca="1" si="194"/>
        <v>195.91836734693877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IFERROR(__xludf.DUMMYFUNCTION("IMPORTRANGE(""https://docs.google.com/spreadsheets/d/10OvvATaaLtwErnr3qtWFcTmtbfpFEt5Bsqel9sXx0uE/edit?usp=sharing"",""งานกองทุน!S15"")"),9072000)</f>
        <v>9072000</v>
      </c>
      <c r="J784" s="184">
        <f ca="1">IFERROR(__xludf.DUMMYFUNCTION("IMPORTRANGE(""https://docs.google.com/spreadsheets/d/10OvvATaaLtwErnr3qtWFcTmtbfpFEt5Bsqel9sXx0uE/edit?usp=sharing"",""งานกองทุน!U15"")"),1840000)</f>
        <v>1840000</v>
      </c>
      <c r="K784" s="224">
        <f t="shared" ca="1" si="194"/>
        <v>20.282186948853617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IFERROR(__xludf.DUMMYFUNCTION("IMPORTRANGE(""https://docs.google.com/spreadsheets/d/10OvvATaaLtwErnr3qtWFcTmtbfpFEt5Bsqel9sXx0uE/edit?usp=sharing"",""งานกองทุน!R15"")"),324)</f>
        <v>324</v>
      </c>
      <c r="J785" s="188">
        <f ca="1">IFERROR(__xludf.DUMMYFUNCTION("IMPORTRANGE(""https://docs.google.com/spreadsheets/d/10OvvATaaLtwErnr3qtWFcTmtbfpFEt5Bsqel9sXx0uE/edit?usp=sharing"",""งานกองทุน!T15"")"),59)</f>
        <v>59</v>
      </c>
      <c r="K785" s="455">
        <f t="shared" ca="1" si="194"/>
        <v>18.209876543209877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460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4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4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horizontalDpi="4294967293" verticalDpi="4294967293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F90A9-F2FF-4C81-8863-BE9893D37F95}">
  <sheetPr>
    <outlinePr summaryBelow="0" summaryRight="0"/>
  </sheetPr>
  <dimension ref="A1:U789"/>
  <sheetViews>
    <sheetView view="pageBreakPreview" zoomScale="60" zoomScaleNormal="70" workbookViewId="0">
      <pane xSplit="8" ySplit="6" topLeftCell="I7" activePane="bottomRight" state="frozen"/>
      <selection activeCell="N28" sqref="N28"/>
      <selection pane="topRight" activeCell="N28" sqref="N28"/>
      <selection pane="bottomLeft" activeCell="N28" sqref="N28"/>
      <selection pane="bottomRight" activeCell="N28" sqref="N2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7109375" bestFit="1" customWidth="1"/>
    <col min="10" max="10" width="14.28515625" bestFit="1" customWidth="1"/>
    <col min="11" max="11" width="12.42578125" bestFit="1" customWidth="1"/>
    <col min="12" max="14" width="21" bestFit="1" customWidth="1"/>
    <col min="15" max="15" width="20.140625" bestFit="1" customWidth="1"/>
    <col min="16" max="16" width="22" bestFit="1" customWidth="1"/>
    <col min="17" max="18" width="21" bestFit="1" customWidth="1"/>
    <col min="19" max="19" width="18.57031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815" t="s">
        <v>0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5"/>
      <c r="T1" s="815"/>
      <c r="U1" s="815"/>
    </row>
    <row r="2" spans="1:21" ht="19.5" x14ac:dyDescent="0.3">
      <c r="A2" s="815" t="s">
        <v>314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</row>
    <row r="3" spans="1:21" ht="19.5" x14ac:dyDescent="0.3">
      <c r="A3" s="815" t="s">
        <v>335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709"/>
      <c r="L4" s="816" t="s">
        <v>2</v>
      </c>
      <c r="M4" s="800"/>
      <c r="N4" s="800"/>
      <c r="O4" s="800"/>
      <c r="P4" s="801"/>
      <c r="Q4" s="817" t="s">
        <v>3</v>
      </c>
      <c r="R4" s="800"/>
      <c r="S4" s="800"/>
      <c r="T4" s="800"/>
      <c r="U4" s="801"/>
    </row>
    <row r="5" spans="1:21" ht="19.5" x14ac:dyDescent="0.3">
      <c r="A5" s="822" t="s">
        <v>4</v>
      </c>
      <c r="B5" s="797"/>
      <c r="C5" s="797"/>
      <c r="D5" s="797"/>
      <c r="E5" s="797"/>
      <c r="F5" s="797"/>
      <c r="G5" s="798"/>
      <c r="H5" s="708" t="s">
        <v>5</v>
      </c>
      <c r="I5" s="814" t="s">
        <v>6</v>
      </c>
      <c r="J5" s="800"/>
      <c r="K5" s="801"/>
      <c r="L5" s="818" t="s">
        <v>7</v>
      </c>
      <c r="M5" s="801"/>
      <c r="N5" s="807" t="s">
        <v>8</v>
      </c>
      <c r="O5" s="800"/>
      <c r="P5" s="801"/>
      <c r="Q5" s="808" t="s">
        <v>7</v>
      </c>
      <c r="R5" s="801"/>
      <c r="S5" s="807" t="s">
        <v>8</v>
      </c>
      <c r="T5" s="800"/>
      <c r="U5" s="801"/>
    </row>
    <row r="6" spans="1:21" ht="19.5" x14ac:dyDescent="0.3">
      <c r="A6" s="799"/>
      <c r="B6" s="800"/>
      <c r="C6" s="800"/>
      <c r="D6" s="800"/>
      <c r="E6" s="800"/>
      <c r="F6" s="800"/>
      <c r="G6" s="801"/>
      <c r="H6" s="707"/>
      <c r="I6" s="6" t="s">
        <v>9</v>
      </c>
      <c r="J6" s="7" t="s">
        <v>10</v>
      </c>
      <c r="K6" s="6" t="s">
        <v>11</v>
      </c>
      <c r="L6" s="706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823"/>
      <c r="B7" s="800"/>
      <c r="C7" s="800"/>
      <c r="D7" s="800"/>
      <c r="E7" s="800"/>
      <c r="F7" s="800"/>
      <c r="G7" s="801"/>
      <c r="H7" s="14"/>
      <c r="I7" s="15"/>
      <c r="J7" s="15"/>
      <c r="K7" s="16"/>
      <c r="L7" s="580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571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71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71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71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71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71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71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71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580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803" t="s">
        <v>309</v>
      </c>
      <c r="B17" s="800"/>
      <c r="C17" s="800"/>
      <c r="D17" s="800"/>
      <c r="E17" s="800"/>
      <c r="F17" s="800"/>
      <c r="G17" s="801"/>
      <c r="H17" s="23"/>
      <c r="I17" s="24"/>
      <c r="J17" s="24"/>
      <c r="K17" s="25"/>
      <c r="L17" s="705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704">
        <f ca="1">L19+L20</f>
        <v>2479995</v>
      </c>
      <c r="M18" s="664">
        <f ca="1">M19+M20</f>
        <v>2772408</v>
      </c>
      <c r="N18" s="664">
        <f ca="1">N19+N20</f>
        <v>2187973.09</v>
      </c>
      <c r="O18" s="664">
        <f t="shared" ref="O18:O26" ca="1" si="0">IF(L18&gt;0,N18*100/L18,0)</f>
        <v>88.224899243748482</v>
      </c>
      <c r="P18" s="664">
        <f t="shared" ref="P18:P26" ca="1" si="1">IF(M18&gt;0,N18*100/M18,0)</f>
        <v>78.919592282232628</v>
      </c>
      <c r="Q18" s="664">
        <f ca="1">Q19+Q20</f>
        <v>2549294.2400000002</v>
      </c>
      <c r="R18" s="664">
        <f ca="1">R19+R20</f>
        <v>2424294</v>
      </c>
      <c r="S18" s="664">
        <f ca="1">S19+S20</f>
        <v>695962.29</v>
      </c>
      <c r="T18" s="664">
        <f t="shared" ref="T18:T26" ca="1" si="2">IF(Q18&gt;0,S18*100/Q18,0)</f>
        <v>27.30019466093486</v>
      </c>
      <c r="U18" s="664">
        <f t="shared" ref="U18:U26" ca="1" si="3">IF(R18&gt;0,S18*100/R18,0)</f>
        <v>28.707833703337961</v>
      </c>
    </row>
    <row r="19" spans="1:21" ht="18.75" hidden="1" x14ac:dyDescent="0.25">
      <c r="A19" s="26"/>
      <c r="B19" s="27"/>
      <c r="C19" s="27"/>
      <c r="D19" s="27"/>
      <c r="E19" s="703" t="s">
        <v>20</v>
      </c>
      <c r="F19" s="27"/>
      <c r="G19" s="30"/>
      <c r="H19" s="702" t="s">
        <v>14</v>
      </c>
      <c r="I19" s="32"/>
      <c r="J19" s="32"/>
      <c r="K19" s="33"/>
      <c r="L19" s="701">
        <f t="shared" ref="L19:N20" si="4">L22+L25</f>
        <v>0</v>
      </c>
      <c r="M19" s="700">
        <f t="shared" si="4"/>
        <v>0</v>
      </c>
      <c r="N19" s="700">
        <f t="shared" si="4"/>
        <v>0</v>
      </c>
      <c r="O19" s="700">
        <f t="shared" si="0"/>
        <v>0</v>
      </c>
      <c r="P19" s="700">
        <f t="shared" si="1"/>
        <v>0</v>
      </c>
      <c r="Q19" s="700">
        <f t="shared" ref="Q19:S20" si="5">Q22+Q25</f>
        <v>0</v>
      </c>
      <c r="R19" s="700">
        <f t="shared" si="5"/>
        <v>0</v>
      </c>
      <c r="S19" s="700">
        <f t="shared" si="5"/>
        <v>0</v>
      </c>
      <c r="T19" s="700">
        <f t="shared" si="2"/>
        <v>0</v>
      </c>
      <c r="U19" s="700">
        <f t="shared" si="3"/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699">
        <f t="shared" ca="1" si="4"/>
        <v>2479995</v>
      </c>
      <c r="M20" s="698">
        <f t="shared" ca="1" si="4"/>
        <v>2772408</v>
      </c>
      <c r="N20" s="698">
        <f t="shared" ca="1" si="4"/>
        <v>2187973.09</v>
      </c>
      <c r="O20" s="698">
        <f t="shared" ca="1" si="0"/>
        <v>88.224899243748482</v>
      </c>
      <c r="P20" s="698">
        <f t="shared" ca="1" si="1"/>
        <v>78.919592282232628</v>
      </c>
      <c r="Q20" s="698">
        <f t="shared" ca="1" si="5"/>
        <v>2549294.2400000002</v>
      </c>
      <c r="R20" s="698">
        <f t="shared" ca="1" si="5"/>
        <v>2424294</v>
      </c>
      <c r="S20" s="698">
        <f t="shared" ca="1" si="5"/>
        <v>695962.29</v>
      </c>
      <c r="T20" s="698">
        <f t="shared" ca="1" si="2"/>
        <v>27.30019466093486</v>
      </c>
      <c r="U20" s="698">
        <f t="shared" ca="1" si="3"/>
        <v>28.707833703337961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468">
        <f ca="1">L22+L23</f>
        <v>2479995</v>
      </c>
      <c r="M21" s="224">
        <f ca="1">M22+M23</f>
        <v>2772408</v>
      </c>
      <c r="N21" s="224">
        <f ca="1">N22+N23</f>
        <v>2187973.09</v>
      </c>
      <c r="O21" s="224">
        <f t="shared" ca="1" si="0"/>
        <v>88.224899243748482</v>
      </c>
      <c r="P21" s="224">
        <f t="shared" ca="1" si="1"/>
        <v>78.919592282232628</v>
      </c>
      <c r="Q21" s="224">
        <f ca="1">Q22+Q23</f>
        <v>2549294.2400000002</v>
      </c>
      <c r="R21" s="224">
        <f ca="1">R22+R23</f>
        <v>2424294</v>
      </c>
      <c r="S21" s="224">
        <f ca="1">S22+S23</f>
        <v>695962.29</v>
      </c>
      <c r="T21" s="224">
        <f t="shared" ca="1" si="2"/>
        <v>27.30019466093486</v>
      </c>
      <c r="U21" s="224">
        <f t="shared" ca="1" si="3"/>
        <v>28.707833703337961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674" t="s">
        <v>14</v>
      </c>
      <c r="I22" s="44"/>
      <c r="J22" s="44"/>
      <c r="K22" s="45"/>
      <c r="L22" s="469">
        <f t="shared" ref="L22:N23" si="6">L48+L63+L76+L98+L129+L143+L161+L190+L177+L270+L286+L307+L324+L337+L360+L517</f>
        <v>0</v>
      </c>
      <c r="M22" s="83">
        <f t="shared" si="6"/>
        <v>0</v>
      </c>
      <c r="N22" s="83">
        <f t="shared" si="6"/>
        <v>0</v>
      </c>
      <c r="O22" s="83">
        <f t="shared" si="0"/>
        <v>0</v>
      </c>
      <c r="P22" s="83">
        <f t="shared" si="1"/>
        <v>0</v>
      </c>
      <c r="Q22" s="83">
        <f t="shared" ref="Q22:S23" si="7">Q76+Q98+Q121+Q143+Q161+Q177+Q190+Q270+Q286+Q307+Q337+Q379+Q396+Q417+Q497+Q603+Q620+Q646+Q694+Q718+Q732+Q764</f>
        <v>0</v>
      </c>
      <c r="R22" s="83">
        <f t="shared" si="7"/>
        <v>0</v>
      </c>
      <c r="S22" s="83">
        <f t="shared" si="7"/>
        <v>0</v>
      </c>
      <c r="T22" s="83">
        <f t="shared" si="2"/>
        <v>0</v>
      </c>
      <c r="U22" s="83">
        <f t="shared" si="3"/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468">
        <f t="shared" ca="1" si="6"/>
        <v>2479995</v>
      </c>
      <c r="M23" s="224">
        <f t="shared" ca="1" si="6"/>
        <v>2772408</v>
      </c>
      <c r="N23" s="224">
        <f t="shared" ca="1" si="6"/>
        <v>2187973.09</v>
      </c>
      <c r="O23" s="224">
        <f t="shared" ca="1" si="0"/>
        <v>88.224899243748482</v>
      </c>
      <c r="P23" s="224">
        <f t="shared" ca="1" si="1"/>
        <v>78.919592282232628</v>
      </c>
      <c r="Q23" s="224">
        <f t="shared" ca="1" si="7"/>
        <v>2549294.2400000002</v>
      </c>
      <c r="R23" s="224">
        <f t="shared" ca="1" si="7"/>
        <v>2424294</v>
      </c>
      <c r="S23" s="224">
        <f t="shared" ca="1" si="7"/>
        <v>695962.29</v>
      </c>
      <c r="T23" s="224">
        <f t="shared" ca="1" si="2"/>
        <v>27.30019466093486</v>
      </c>
      <c r="U23" s="224">
        <f t="shared" ca="1" si="3"/>
        <v>28.707833703337961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468">
        <f ca="1">L25+L26</f>
        <v>0</v>
      </c>
      <c r="M24" s="224">
        <f ca="1">M25+M26</f>
        <v>0</v>
      </c>
      <c r="N24" s="224">
        <f ca="1">N25+N26</f>
        <v>0</v>
      </c>
      <c r="O24" s="224">
        <f t="shared" ca="1" si="0"/>
        <v>0</v>
      </c>
      <c r="P24" s="224">
        <f t="shared" ca="1" si="1"/>
        <v>0</v>
      </c>
      <c r="Q24" s="224">
        <f>Q25+Q26</f>
        <v>0</v>
      </c>
      <c r="R24" s="224">
        <f>R25+R26</f>
        <v>0</v>
      </c>
      <c r="S24" s="224">
        <f>S25+S26</f>
        <v>0</v>
      </c>
      <c r="T24" s="224">
        <f t="shared" si="2"/>
        <v>0</v>
      </c>
      <c r="U24" s="224">
        <f t="shared" si="3"/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674" t="s">
        <v>14</v>
      </c>
      <c r="I25" s="44"/>
      <c r="J25" s="44"/>
      <c r="K25" s="45"/>
      <c r="L25" s="469">
        <f t="shared" ref="L25:N26" si="8">L51+L66+L79+L101+L132+L146+L164+L193+L180+L273+L289+L310+L327+L340+L363+L520</f>
        <v>0</v>
      </c>
      <c r="M25" s="83">
        <f t="shared" si="8"/>
        <v>0</v>
      </c>
      <c r="N25" s="83">
        <f t="shared" si="8"/>
        <v>0</v>
      </c>
      <c r="O25" s="83">
        <f t="shared" si="0"/>
        <v>0</v>
      </c>
      <c r="P25" s="83">
        <f t="shared" si="1"/>
        <v>0</v>
      </c>
      <c r="Q25" s="83">
        <f t="shared" ref="Q25:S26" si="9">Q79+Q101+Q124+Q146+Q164+Q180+Q193+Q273+Q289+Q310+Q340+Q382+Q399+Q420+Q500+Q606+Q623+Q649+Q697+Q721+Q735+Q767</f>
        <v>0</v>
      </c>
      <c r="R25" s="83">
        <f t="shared" si="9"/>
        <v>0</v>
      </c>
      <c r="S25" s="83">
        <f t="shared" si="9"/>
        <v>0</v>
      </c>
      <c r="T25" s="83">
        <f t="shared" si="2"/>
        <v>0</v>
      </c>
      <c r="U25" s="83">
        <f t="shared" si="3"/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468">
        <f t="shared" ca="1" si="8"/>
        <v>0</v>
      </c>
      <c r="M26" s="224">
        <f t="shared" ca="1" si="8"/>
        <v>0</v>
      </c>
      <c r="N26" s="224">
        <f t="shared" ca="1" si="8"/>
        <v>0</v>
      </c>
      <c r="O26" s="224">
        <f t="shared" ca="1" si="0"/>
        <v>0</v>
      </c>
      <c r="P26" s="224">
        <f t="shared" ca="1" si="1"/>
        <v>0</v>
      </c>
      <c r="Q26" s="83">
        <f t="shared" si="9"/>
        <v>0</v>
      </c>
      <c r="R26" s="83">
        <f t="shared" si="9"/>
        <v>0</v>
      </c>
      <c r="S26" s="83">
        <f t="shared" si="9"/>
        <v>0</v>
      </c>
      <c r="T26" s="224">
        <f t="shared" si="2"/>
        <v>0</v>
      </c>
      <c r="U26" s="224">
        <f t="shared" si="3"/>
        <v>0</v>
      </c>
    </row>
    <row r="27" spans="1:21" ht="18.75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465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674" t="s">
        <v>14</v>
      </c>
      <c r="I28" s="44"/>
      <c r="J28" s="44"/>
      <c r="K28" s="45"/>
      <c r="L28" s="465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463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823"/>
      <c r="B30" s="800"/>
      <c r="C30" s="800"/>
      <c r="D30" s="800"/>
      <c r="E30" s="800"/>
      <c r="F30" s="800"/>
      <c r="G30" s="801"/>
      <c r="H30" s="14"/>
      <c r="I30" s="15"/>
      <c r="J30" s="15"/>
      <c r="K30" s="16"/>
      <c r="L30" s="580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571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7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71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7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7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7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7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71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580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697">
        <f ca="1">L44+L59+L72+L94+L125+L139+L157+L173+L186+L266+L282+L303+L320+L333+L356</f>
        <v>2479995</v>
      </c>
      <c r="M40" s="696">
        <f ca="1">M44+M59+M72+M94+M125+M139+M157+M173+M186+M266+M282+M303+M320+M333+M356</f>
        <v>2772408</v>
      </c>
      <c r="N40" s="696">
        <f ca="1">N44+N59+N72+N94+N125+N139+N157+N173+N186+N266+N282+N303+N320+N333+N356</f>
        <v>2187973.09</v>
      </c>
      <c r="O40" s="696">
        <f ca="1">IF(L40&gt;0,N40*100/L40,0)</f>
        <v>88.224899243748482</v>
      </c>
      <c r="P40" s="696">
        <f ca="1">IF(M40&gt;0,N40*100/M40,0)</f>
        <v>78.919592282232628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695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571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694" t="s">
        <v>19</v>
      </c>
      <c r="E44" s="71"/>
      <c r="F44" s="71"/>
      <c r="G44" s="74"/>
      <c r="H44" s="75" t="s">
        <v>14</v>
      </c>
      <c r="I44" s="76"/>
      <c r="J44" s="76"/>
      <c r="K44" s="77"/>
      <c r="L44" s="693">
        <f ca="1">L45+L46</f>
        <v>567650</v>
      </c>
      <c r="M44" s="692">
        <f ca="1">M45+M46</f>
        <v>571638</v>
      </c>
      <c r="N44" s="692">
        <f ca="1">N45+N46</f>
        <v>413394.86</v>
      </c>
      <c r="O44" s="692">
        <f t="shared" ref="O44:O52" ca="1" si="10">IF(L44&gt;0,N44*100/L44,0)</f>
        <v>72.825660177926537</v>
      </c>
      <c r="P44" s="692">
        <f t="shared" ref="P44:P52" ca="1" si="11">IF(M44&gt;0,N44*100/M44,0)</f>
        <v>72.317596101028968</v>
      </c>
      <c r="Q44" s="692">
        <f>Q45+Q46</f>
        <v>0</v>
      </c>
      <c r="R44" s="692">
        <f>R45+R46</f>
        <v>0</v>
      </c>
      <c r="S44" s="692">
        <f>S45+S46</f>
        <v>0</v>
      </c>
      <c r="T44" s="692">
        <f t="shared" ref="T44:T52" si="12">IF(Q44&gt;0,S44*100/Q44,0)</f>
        <v>0</v>
      </c>
      <c r="U44" s="692">
        <f t="shared" ref="U44:U52" si="13">IF(R44&gt;0,S44*100/R44,0)</f>
        <v>0</v>
      </c>
    </row>
    <row r="45" spans="1:21" ht="18.75" hidden="1" x14ac:dyDescent="0.25">
      <c r="A45" s="70"/>
      <c r="B45" s="71"/>
      <c r="C45" s="71"/>
      <c r="D45" s="71"/>
      <c r="E45" s="691" t="s">
        <v>20</v>
      </c>
      <c r="F45" s="71"/>
      <c r="G45" s="74"/>
      <c r="H45" s="690" t="s">
        <v>14</v>
      </c>
      <c r="I45" s="76"/>
      <c r="J45" s="76"/>
      <c r="K45" s="77"/>
      <c r="L45" s="689">
        <f t="shared" ref="L45:N46" si="14">L48+L51</f>
        <v>0</v>
      </c>
      <c r="M45" s="688">
        <f t="shared" si="14"/>
        <v>0</v>
      </c>
      <c r="N45" s="688">
        <f t="shared" si="14"/>
        <v>0</v>
      </c>
      <c r="O45" s="688">
        <f t="shared" si="10"/>
        <v>0</v>
      </c>
      <c r="P45" s="688">
        <f t="shared" si="11"/>
        <v>0</v>
      </c>
      <c r="Q45" s="688">
        <f t="shared" ref="Q45:S46" si="15">Q48+Q51</f>
        <v>0</v>
      </c>
      <c r="R45" s="688">
        <f t="shared" si="15"/>
        <v>0</v>
      </c>
      <c r="S45" s="688">
        <f t="shared" si="15"/>
        <v>0</v>
      </c>
      <c r="T45" s="688">
        <f t="shared" si="12"/>
        <v>0</v>
      </c>
      <c r="U45" s="688">
        <f t="shared" si="13"/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687">
        <f t="shared" ca="1" si="14"/>
        <v>567650</v>
      </c>
      <c r="M46" s="686">
        <f t="shared" ca="1" si="14"/>
        <v>571638</v>
      </c>
      <c r="N46" s="686">
        <f t="shared" ca="1" si="14"/>
        <v>413394.86</v>
      </c>
      <c r="O46" s="686">
        <f t="shared" ca="1" si="10"/>
        <v>72.825660177926537</v>
      </c>
      <c r="P46" s="686">
        <f t="shared" ca="1" si="11"/>
        <v>72.317596101028968</v>
      </c>
      <c r="Q46" s="686">
        <f t="shared" si="15"/>
        <v>0</v>
      </c>
      <c r="R46" s="686">
        <f t="shared" si="15"/>
        <v>0</v>
      </c>
      <c r="S46" s="686">
        <f t="shared" si="15"/>
        <v>0</v>
      </c>
      <c r="T46" s="686">
        <f t="shared" si="12"/>
        <v>0</v>
      </c>
      <c r="U46" s="686">
        <f t="shared" si="13"/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468">
        <f ca="1">L48+L49</f>
        <v>567650</v>
      </c>
      <c r="M47" s="224">
        <f ca="1">M48+M49</f>
        <v>571638</v>
      </c>
      <c r="N47" s="224">
        <f ca="1">N48+N49</f>
        <v>413394.86</v>
      </c>
      <c r="O47" s="224">
        <f t="shared" ca="1" si="10"/>
        <v>72.825660177926537</v>
      </c>
      <c r="P47" s="224">
        <f t="shared" ca="1" si="11"/>
        <v>72.317596101028968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 t="shared" si="12"/>
        <v>0</v>
      </c>
      <c r="U47" s="224">
        <f t="shared" si="13"/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674" t="s">
        <v>14</v>
      </c>
      <c r="I48" s="44"/>
      <c r="J48" s="44"/>
      <c r="K48" s="45"/>
      <c r="L48" s="469">
        <v>0</v>
      </c>
      <c r="M48" s="83">
        <v>0</v>
      </c>
      <c r="N48" s="83">
        <v>0</v>
      </c>
      <c r="O48" s="83">
        <f t="shared" si="10"/>
        <v>0</v>
      </c>
      <c r="P48" s="83">
        <f t="shared" si="11"/>
        <v>0</v>
      </c>
      <c r="Q48" s="83">
        <v>0</v>
      </c>
      <c r="R48" s="83">
        <v>0</v>
      </c>
      <c r="S48" s="83">
        <v>0</v>
      </c>
      <c r="T48" s="83">
        <f t="shared" si="12"/>
        <v>0</v>
      </c>
      <c r="U48" s="83">
        <f t="shared" si="13"/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468">
        <f ca="1">IFERROR(__xludf.DUMMYFUNCTION("IMPORTRANGE(""https://docs.google.com/spreadsheets/d/1-uDff_7J0KD5mKrp0Vvzr7lt3OU09vwQwhkpOPPYv2Y/edit?usp=sharing"",""งบพรบ!P16"")"),567650)</f>
        <v>567650</v>
      </c>
      <c r="M49" s="224">
        <f ca="1">IFERROR(__xludf.DUMMYFUNCTION("IMPORTRANGE(""https://docs.google.com/spreadsheets/d/1-uDff_7J0KD5mKrp0Vvzr7lt3OU09vwQwhkpOPPYv2Y/edit?usp=sharing"",""งบพรบ!V16"")"),571638)</f>
        <v>571638</v>
      </c>
      <c r="N49" s="224">
        <f ca="1">IFERROR(__xludf.DUMMYFUNCTION("IMPORTRANGE(""https://docs.google.com/spreadsheets/d/1-uDff_7J0KD5mKrp0Vvzr7lt3OU09vwQwhkpOPPYv2Y/edit?usp=sharing"",""งบพรบ!Y16"")"),413394.86)</f>
        <v>413394.86</v>
      </c>
      <c r="O49" s="224">
        <f t="shared" ca="1" si="10"/>
        <v>72.825660177926537</v>
      </c>
      <c r="P49" s="224">
        <f t="shared" ca="1" si="11"/>
        <v>72.317596101028968</v>
      </c>
      <c r="Q49" s="224">
        <v>0</v>
      </c>
      <c r="R49" s="224">
        <v>0</v>
      </c>
      <c r="S49" s="224">
        <v>0</v>
      </c>
      <c r="T49" s="224">
        <f t="shared" si="12"/>
        <v>0</v>
      </c>
      <c r="U49" s="224">
        <f t="shared" si="13"/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468">
        <f ca="1">L51+L52</f>
        <v>0</v>
      </c>
      <c r="M50" s="224">
        <f ca="1">M51+M52</f>
        <v>0</v>
      </c>
      <c r="N50" s="224">
        <f ca="1">N51+N52</f>
        <v>0</v>
      </c>
      <c r="O50" s="224">
        <f t="shared" ca="1" si="10"/>
        <v>0</v>
      </c>
      <c r="P50" s="224">
        <f t="shared" ca="1" si="11"/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 t="shared" si="12"/>
        <v>0</v>
      </c>
      <c r="U50" s="224">
        <f t="shared" si="13"/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674" t="s">
        <v>14</v>
      </c>
      <c r="I51" s="44"/>
      <c r="J51" s="44"/>
      <c r="K51" s="45"/>
      <c r="L51" s="469">
        <v>0</v>
      </c>
      <c r="M51" s="83">
        <v>0</v>
      </c>
      <c r="N51" s="83">
        <v>0</v>
      </c>
      <c r="O51" s="83">
        <f t="shared" si="10"/>
        <v>0</v>
      </c>
      <c r="P51" s="83">
        <f t="shared" si="11"/>
        <v>0</v>
      </c>
      <c r="Q51" s="83">
        <v>0</v>
      </c>
      <c r="R51" s="83">
        <v>0</v>
      </c>
      <c r="S51" s="83">
        <v>0</v>
      </c>
      <c r="T51" s="83">
        <f t="shared" si="12"/>
        <v>0</v>
      </c>
      <c r="U51" s="83">
        <f t="shared" si="13"/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468">
        <f ca="1">IFERROR(__xludf.DUMMYFUNCTION("IMPORTRANGE(""https://docs.google.com/spreadsheets/d/1-uDff_7J0KD5mKrp0Vvzr7lt3OU09vwQwhkpOPPYv2Y/edit?usp=sharing"",""งบพรบ!S16"")"),0)</f>
        <v>0</v>
      </c>
      <c r="M52" s="224">
        <f ca="1">IFERROR(__xludf.DUMMYFUNCTION("IMPORTRANGE(""https://docs.google.com/spreadsheets/d/1-uDff_7J0KD5mKrp0Vvzr7lt3OU09vwQwhkpOPPYv2Y/edit?usp=sharing"",""งบพรบ!W16"")"),0)</f>
        <v>0</v>
      </c>
      <c r="N52" s="224">
        <f ca="1">IFERROR(__xludf.DUMMYFUNCTION("IMPORTRANGE(""https://docs.google.com/spreadsheets/d/1-uDff_7J0KD5mKrp0Vvzr7lt3OU09vwQwhkpOPPYv2Y/edit?usp=sharing"",""งบพรบ!Z16"")"),0)</f>
        <v>0</v>
      </c>
      <c r="O52" s="224">
        <f t="shared" ca="1" si="10"/>
        <v>0</v>
      </c>
      <c r="P52" s="224">
        <f t="shared" ca="1" si="11"/>
        <v>0</v>
      </c>
      <c r="Q52" s="224">
        <v>0</v>
      </c>
      <c r="R52" s="224">
        <v>0</v>
      </c>
      <c r="S52" s="224">
        <v>0</v>
      </c>
      <c r="T52" s="224">
        <f t="shared" si="12"/>
        <v>0</v>
      </c>
      <c r="U52" s="224">
        <f t="shared" si="13"/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465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674" t="s">
        <v>14</v>
      </c>
      <c r="I54" s="44"/>
      <c r="J54" s="44"/>
      <c r="K54" s="45"/>
      <c r="L54" s="465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463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804" t="s">
        <v>28</v>
      </c>
      <c r="B56" s="800"/>
      <c r="C56" s="800"/>
      <c r="D56" s="800"/>
      <c r="E56" s="800"/>
      <c r="F56" s="800"/>
      <c r="G56" s="80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805" t="s">
        <v>29</v>
      </c>
      <c r="C57" s="793"/>
      <c r="D57" s="793"/>
      <c r="E57" s="793"/>
      <c r="F57" s="793"/>
      <c r="G57" s="794"/>
      <c r="H57" s="89"/>
      <c r="I57" s="90"/>
      <c r="J57" s="90"/>
      <c r="K57" s="91"/>
      <c r="L57" s="68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8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8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82">
        <f ca="1">L60+L61</f>
        <v>483100</v>
      </c>
      <c r="M59" s="681">
        <f ca="1">M60+M61</f>
        <v>542640</v>
      </c>
      <c r="N59" s="681">
        <f ca="1">N60+N61</f>
        <v>490552.88</v>
      </c>
      <c r="O59" s="681">
        <f t="shared" ref="O59:O67" ca="1" si="16">IF(L59&gt;0,N59*100/L59,0)</f>
        <v>101.54271993376112</v>
      </c>
      <c r="P59" s="681">
        <f t="shared" ref="P59:P67" ca="1" si="17">IF(M59&gt;0,N59*100/M59,0)</f>
        <v>90.401164676396874</v>
      </c>
      <c r="Q59" s="681">
        <f>Q60+Q61</f>
        <v>0</v>
      </c>
      <c r="R59" s="681">
        <f>R60+R61</f>
        <v>0</v>
      </c>
      <c r="S59" s="681">
        <f>S60+S61</f>
        <v>0</v>
      </c>
      <c r="T59" s="681">
        <f t="shared" ref="T59:T67" si="18">IF(Q59&gt;0,S59*100/Q59,0)</f>
        <v>0</v>
      </c>
      <c r="U59" s="681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80" t="s">
        <v>20</v>
      </c>
      <c r="F60" s="99"/>
      <c r="G60" s="102"/>
      <c r="H60" s="679" t="s">
        <v>14</v>
      </c>
      <c r="I60" s="104"/>
      <c r="J60" s="104"/>
      <c r="K60" s="105"/>
      <c r="L60" s="678">
        <f t="shared" ref="L60:N61" si="20">L63+L66</f>
        <v>0</v>
      </c>
      <c r="M60" s="677">
        <f t="shared" si="20"/>
        <v>0</v>
      </c>
      <c r="N60" s="677">
        <f t="shared" si="20"/>
        <v>0</v>
      </c>
      <c r="O60" s="677">
        <f t="shared" si="16"/>
        <v>0</v>
      </c>
      <c r="P60" s="677">
        <f t="shared" si="17"/>
        <v>0</v>
      </c>
      <c r="Q60" s="677">
        <f t="shared" ref="Q60:S61" si="21">Q63+Q66</f>
        <v>0</v>
      </c>
      <c r="R60" s="677">
        <f t="shared" si="21"/>
        <v>0</v>
      </c>
      <c r="S60" s="677">
        <f t="shared" si="21"/>
        <v>0</v>
      </c>
      <c r="T60" s="677">
        <f t="shared" si="18"/>
        <v>0</v>
      </c>
      <c r="U60" s="677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76">
        <f t="shared" ca="1" si="20"/>
        <v>483100</v>
      </c>
      <c r="M61" s="675">
        <f t="shared" ca="1" si="20"/>
        <v>542640</v>
      </c>
      <c r="N61" s="675">
        <f t="shared" ca="1" si="20"/>
        <v>490552.88</v>
      </c>
      <c r="O61" s="675">
        <f t="shared" ca="1" si="16"/>
        <v>101.54271993376112</v>
      </c>
      <c r="P61" s="675">
        <f t="shared" ca="1" si="17"/>
        <v>90.401164676396874</v>
      </c>
      <c r="Q61" s="675">
        <f t="shared" si="21"/>
        <v>0</v>
      </c>
      <c r="R61" s="675">
        <f t="shared" si="21"/>
        <v>0</v>
      </c>
      <c r="S61" s="675">
        <f t="shared" si="21"/>
        <v>0</v>
      </c>
      <c r="T61" s="675">
        <f t="shared" si="18"/>
        <v>0</v>
      </c>
      <c r="U61" s="675">
        <f t="shared" si="19"/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468">
        <f ca="1">L63+L64</f>
        <v>483100</v>
      </c>
      <c r="M62" s="224">
        <f ca="1">M63+M64</f>
        <v>542640</v>
      </c>
      <c r="N62" s="224">
        <f ca="1">N63+N64</f>
        <v>490552.88</v>
      </c>
      <c r="O62" s="224">
        <f t="shared" ca="1" si="16"/>
        <v>101.54271993376112</v>
      </c>
      <c r="P62" s="224">
        <f t="shared" ca="1" si="17"/>
        <v>90.401164676396874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 t="shared" si="18"/>
        <v>0</v>
      </c>
      <c r="U62" s="224">
        <f t="shared" si="19"/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674" t="s">
        <v>14</v>
      </c>
      <c r="I63" s="44"/>
      <c r="J63" s="44"/>
      <c r="K63" s="45"/>
      <c r="L63" s="469">
        <v>0</v>
      </c>
      <c r="M63" s="83">
        <v>0</v>
      </c>
      <c r="N63" s="83">
        <v>0</v>
      </c>
      <c r="O63" s="83">
        <f t="shared" si="16"/>
        <v>0</v>
      </c>
      <c r="P63" s="83">
        <f t="shared" si="17"/>
        <v>0</v>
      </c>
      <c r="Q63" s="83">
        <v>0</v>
      </c>
      <c r="R63" s="83">
        <v>0</v>
      </c>
      <c r="S63" s="83">
        <v>0</v>
      </c>
      <c r="T63" s="83">
        <f t="shared" si="18"/>
        <v>0</v>
      </c>
      <c r="U63" s="83">
        <f t="shared" si="19"/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468">
        <f ca="1">IFERROR(__xludf.DUMMYFUNCTION("IMPORTRANGE(""https://docs.google.com/spreadsheets/d/1-uDff_7J0KD5mKrp0Vvzr7lt3OU09vwQwhkpOPPYv2Y/edit?usp=sharing"",""งบพรบ!AC16"")"),483100)</f>
        <v>483100</v>
      </c>
      <c r="M64" s="224">
        <f ca="1">IFERROR(__xludf.DUMMYFUNCTION("IMPORTRANGE(""https://docs.google.com/spreadsheets/d/1-uDff_7J0KD5mKrp0Vvzr7lt3OU09vwQwhkpOPPYv2Y/edit?usp=sharing"",""งบพรบ!AH16"")"),542640)</f>
        <v>542640</v>
      </c>
      <c r="N64" s="224">
        <f ca="1">IFERROR(__xludf.DUMMYFUNCTION("IMPORTRANGE(""https://docs.google.com/spreadsheets/d/1-uDff_7J0KD5mKrp0Vvzr7lt3OU09vwQwhkpOPPYv2Y/edit?usp=sharing"",""งบพรบ!AJ16"")"),490552.88)</f>
        <v>490552.88</v>
      </c>
      <c r="O64" s="224">
        <f t="shared" ca="1" si="16"/>
        <v>101.54271993376112</v>
      </c>
      <c r="P64" s="224">
        <f t="shared" ca="1" si="17"/>
        <v>90.401164676396874</v>
      </c>
      <c r="Q64" s="224">
        <v>0</v>
      </c>
      <c r="R64" s="224">
        <v>0</v>
      </c>
      <c r="S64" s="224">
        <v>0</v>
      </c>
      <c r="T64" s="224">
        <f t="shared" si="18"/>
        <v>0</v>
      </c>
      <c r="U64" s="224">
        <f t="shared" si="19"/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468">
        <f ca="1">L66+L67</f>
        <v>0</v>
      </c>
      <c r="M65" s="224">
        <f ca="1">M66+M67</f>
        <v>0</v>
      </c>
      <c r="N65" s="224">
        <f ca="1">N66+N67</f>
        <v>0</v>
      </c>
      <c r="O65" s="224">
        <f t="shared" ca="1" si="16"/>
        <v>0</v>
      </c>
      <c r="P65" s="224">
        <f t="shared" ca="1" si="17"/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 t="shared" si="18"/>
        <v>0</v>
      </c>
      <c r="U65" s="224">
        <f t="shared" si="19"/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674" t="s">
        <v>14</v>
      </c>
      <c r="I66" s="44"/>
      <c r="J66" s="44"/>
      <c r="K66" s="45"/>
      <c r="L66" s="469">
        <v>0</v>
      </c>
      <c r="M66" s="83">
        <v>0</v>
      </c>
      <c r="N66" s="83">
        <v>0</v>
      </c>
      <c r="O66" s="83">
        <f t="shared" si="16"/>
        <v>0</v>
      </c>
      <c r="P66" s="83">
        <f t="shared" si="17"/>
        <v>0</v>
      </c>
      <c r="Q66" s="83">
        <v>0</v>
      </c>
      <c r="R66" s="83">
        <v>0</v>
      </c>
      <c r="S66" s="83">
        <v>0</v>
      </c>
      <c r="T66" s="83">
        <f t="shared" si="18"/>
        <v>0</v>
      </c>
      <c r="U66" s="83">
        <f t="shared" si="19"/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673">
        <f ca="1">IFERROR(__xludf.DUMMYFUNCTION("IMPORTRANGE(""https://docs.google.com/spreadsheets/d/1-uDff_7J0KD5mKrp0Vvzr7lt3OU09vwQwhkpOPPYv2Y/edit?usp=sharing"",""งบพรบ!AF16"")"),0)</f>
        <v>0</v>
      </c>
      <c r="M67" s="455">
        <f ca="1">IFERROR(__xludf.DUMMYFUNCTION("IMPORTRANGE(""https://docs.google.com/spreadsheets/d/1-uDff_7J0KD5mKrp0Vvzr7lt3OU09vwQwhkpOPPYv2Y/edit?usp=sharing"",""งบพรบ!AI16"")"),0)</f>
        <v>0</v>
      </c>
      <c r="N67" s="455">
        <f ca="1">IFERROR(__xludf.DUMMYFUNCTION("IMPORTRANGE(""https://docs.google.com/spreadsheets/d/1-uDff_7J0KD5mKrp0Vvzr7lt3OU09vwQwhkpOPPYv2Y/edit?usp=sharing"",""งบพรบ!AK16"")"),0)</f>
        <v>0</v>
      </c>
      <c r="O67" s="455">
        <f t="shared" ca="1" si="16"/>
        <v>0</v>
      </c>
      <c r="P67" s="455">
        <f t="shared" ca="1" si="17"/>
        <v>0</v>
      </c>
      <c r="Q67" s="455">
        <v>0</v>
      </c>
      <c r="R67" s="455">
        <v>0</v>
      </c>
      <c r="S67" s="455">
        <v>0</v>
      </c>
      <c r="T67" s="455">
        <f t="shared" si="18"/>
        <v>0</v>
      </c>
      <c r="U67" s="455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7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665">
        <f ca="1">I82</f>
        <v>0</v>
      </c>
      <c r="J70" s="665">
        <f>J82</f>
        <v>0</v>
      </c>
      <c r="K70" s="664">
        <f ca="1">IF(I70&gt;0,J70*100/I70,0)</f>
        <v>0</v>
      </c>
      <c r="L70" s="510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665">
        <f ca="1">I83</f>
        <v>0</v>
      </c>
      <c r="J71" s="665">
        <f>J83</f>
        <v>0</v>
      </c>
      <c r="K71" s="664">
        <f ca="1">IF(I71&gt;0,J71*100/I71,0)</f>
        <v>0</v>
      </c>
      <c r="L71" s="510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129" t="s">
        <v>18</v>
      </c>
      <c r="D72" s="472" t="s">
        <v>19</v>
      </c>
      <c r="E72" s="40"/>
      <c r="F72" s="40"/>
      <c r="G72" s="42"/>
      <c r="H72" s="131" t="s">
        <v>14</v>
      </c>
      <c r="I72" s="44"/>
      <c r="J72" s="44"/>
      <c r="K72" s="45"/>
      <c r="L72" s="471">
        <f ca="1">L73+L74</f>
        <v>0</v>
      </c>
      <c r="M72" s="470">
        <f ca="1">M73+M74</f>
        <v>80000</v>
      </c>
      <c r="N72" s="470">
        <f ca="1">N73+N74</f>
        <v>80000</v>
      </c>
      <c r="O72" s="470">
        <f t="shared" ref="O72:O80" ca="1" si="22">IF(L72&gt;0,N72*100/L72,0)</f>
        <v>0</v>
      </c>
      <c r="P72" s="470">
        <f t="shared" ref="P72:P80" ca="1" si="23">IF(M72&gt;0,N72*100/M72,0)</f>
        <v>100</v>
      </c>
      <c r="Q72" s="470">
        <f ca="1">Q73+Q74</f>
        <v>0</v>
      </c>
      <c r="R72" s="470">
        <f ca="1">R73+R74</f>
        <v>0</v>
      </c>
      <c r="S72" s="470">
        <f ca="1">S73+S74</f>
        <v>0</v>
      </c>
      <c r="T72" s="470">
        <f t="shared" ref="T72:T80" ca="1" si="24">IF(Q72&gt;0,S72*100/Q72,0)</f>
        <v>0</v>
      </c>
      <c r="U72" s="470">
        <f t="shared" ref="U72:U80" ca="1" si="25">IF(R72&gt;0,S72*100/R72,0)</f>
        <v>0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469">
        <f t="shared" ref="L73:N74" si="26">L76+L79</f>
        <v>0</v>
      </c>
      <c r="M73" s="83">
        <f t="shared" si="26"/>
        <v>0</v>
      </c>
      <c r="N73" s="83">
        <f t="shared" si="26"/>
        <v>0</v>
      </c>
      <c r="O73" s="83">
        <f t="shared" si="22"/>
        <v>0</v>
      </c>
      <c r="P73" s="83">
        <f t="shared" si="23"/>
        <v>0</v>
      </c>
      <c r="Q73" s="83">
        <f t="shared" ref="Q73:S74" si="27">Q76+Q79</f>
        <v>0</v>
      </c>
      <c r="R73" s="83">
        <f t="shared" si="27"/>
        <v>0</v>
      </c>
      <c r="S73" s="83">
        <f t="shared" si="27"/>
        <v>0</v>
      </c>
      <c r="T73" s="83">
        <f t="shared" si="24"/>
        <v>0</v>
      </c>
      <c r="U73" s="83">
        <f t="shared" si="25"/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468">
        <f t="shared" ca="1" si="26"/>
        <v>0</v>
      </c>
      <c r="M74" s="224">
        <f t="shared" ca="1" si="26"/>
        <v>80000</v>
      </c>
      <c r="N74" s="224">
        <f t="shared" ca="1" si="26"/>
        <v>80000</v>
      </c>
      <c r="O74" s="224">
        <f t="shared" ca="1" si="22"/>
        <v>0</v>
      </c>
      <c r="P74" s="224">
        <f t="shared" ca="1" si="23"/>
        <v>100</v>
      </c>
      <c r="Q74" s="224">
        <f t="shared" ca="1" si="27"/>
        <v>0</v>
      </c>
      <c r="R74" s="224">
        <f t="shared" ca="1" si="27"/>
        <v>0</v>
      </c>
      <c r="S74" s="224">
        <f t="shared" ca="1" si="27"/>
        <v>0</v>
      </c>
      <c r="T74" s="224">
        <f t="shared" ca="1" si="24"/>
        <v>0</v>
      </c>
      <c r="U74" s="224">
        <f t="shared" ca="1" si="25"/>
        <v>0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468">
        <f ca="1">L76+L77</f>
        <v>0</v>
      </c>
      <c r="M75" s="224">
        <f ca="1">M76+M77</f>
        <v>80000</v>
      </c>
      <c r="N75" s="224">
        <f ca="1">N76+N77</f>
        <v>80000</v>
      </c>
      <c r="O75" s="224">
        <f t="shared" ca="1" si="22"/>
        <v>0</v>
      </c>
      <c r="P75" s="224">
        <f t="shared" ca="1" si="23"/>
        <v>100</v>
      </c>
      <c r="Q75" s="224">
        <f ca="1">Q76+Q77</f>
        <v>0</v>
      </c>
      <c r="R75" s="224">
        <f ca="1">R76+R77</f>
        <v>0</v>
      </c>
      <c r="S75" s="224">
        <f ca="1">S76+S77</f>
        <v>0</v>
      </c>
      <c r="T75" s="224">
        <f t="shared" ca="1" si="24"/>
        <v>0</v>
      </c>
      <c r="U75" s="224">
        <f t="shared" ca="1" si="25"/>
        <v>0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469">
        <v>0</v>
      </c>
      <c r="M76" s="83">
        <v>0</v>
      </c>
      <c r="N76" s="83">
        <v>0</v>
      </c>
      <c r="O76" s="83">
        <f t="shared" si="22"/>
        <v>0</v>
      </c>
      <c r="P76" s="83">
        <f t="shared" si="23"/>
        <v>0</v>
      </c>
      <c r="Q76" s="83">
        <v>0</v>
      </c>
      <c r="R76" s="83">
        <v>0</v>
      </c>
      <c r="S76" s="83">
        <v>0</v>
      </c>
      <c r="T76" s="83">
        <f t="shared" si="24"/>
        <v>0</v>
      </c>
      <c r="U76" s="83">
        <f t="shared" si="25"/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468">
        <f ca="1">IFERROR(__xludf.DUMMYFUNCTION("IMPORTRANGE(""https://docs.google.com/spreadsheets/d/1-uDff_7J0KD5mKrp0Vvzr7lt3OU09vwQwhkpOPPYv2Y/edit?usp=sharing"",""งบพรบ!AM16"")"),0)</f>
        <v>0</v>
      </c>
      <c r="M77" s="224">
        <f ca="1">IFERROR(__xludf.DUMMYFUNCTION("IMPORTRANGE(""https://docs.google.com/spreadsheets/d/1-uDff_7J0KD5mKrp0Vvzr7lt3OU09vwQwhkpOPPYv2Y/edit?usp=sharing"",""งบพรบ!AR16"")"),80000)</f>
        <v>80000</v>
      </c>
      <c r="N77" s="224">
        <f ca="1">IFERROR(__xludf.DUMMYFUNCTION("IMPORTRANGE(""https://docs.google.com/spreadsheets/d/1-uDff_7J0KD5mKrp0Vvzr7lt3OU09vwQwhkpOPPYv2Y/edit?usp=sharing"",""งบพรบ!AT16"")"),80000)</f>
        <v>80000</v>
      </c>
      <c r="O77" s="224">
        <f t="shared" ca="1" si="22"/>
        <v>0</v>
      </c>
      <c r="P77" s="224">
        <f t="shared" ca="1" si="23"/>
        <v>100</v>
      </c>
      <c r="Q77" s="224">
        <f ca="1">IFERROR(__xludf.DUMMYFUNCTION("IMPORTRANGE(""https://docs.google.com/spreadsheets/d/1ItG2mGa2ceCfYo0BwxsXqNm01IGEUdYcSSLTEv9YCik/edit?usp=sharing"",""เบิกจ่ายกองทุน!AS16"")"),0)</f>
        <v>0</v>
      </c>
      <c r="R77" s="224">
        <f ca="1">IFERROR(__xludf.DUMMYFUNCTION("IMPORTRANGE(""https://docs.google.com/spreadsheets/d/1ItG2mGa2ceCfYo0BwxsXqNm01IGEUdYcSSLTEv9YCik/edit?usp=sharing"",""เบิกจ่ายกองทุน!AT16"")"),0)</f>
        <v>0</v>
      </c>
      <c r="S77" s="224">
        <f ca="1">IFERROR(__xludf.DUMMYFUNCTION("IMPORTRANGE(""https://docs.google.com/spreadsheets/d/1ItG2mGa2ceCfYo0BwxsXqNm01IGEUdYcSSLTEv9YCik/edit?usp=sharing"",""เบิกจ่ายกองทุน!AU16"")"),0)</f>
        <v>0</v>
      </c>
      <c r="T77" s="224">
        <f t="shared" ca="1" si="24"/>
        <v>0</v>
      </c>
      <c r="U77" s="224">
        <f t="shared" ca="1" si="25"/>
        <v>0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468">
        <f ca="1">L79+L80</f>
        <v>0</v>
      </c>
      <c r="M78" s="224">
        <f ca="1">M79+M80</f>
        <v>0</v>
      </c>
      <c r="N78" s="224">
        <f ca="1">N79+N80</f>
        <v>0</v>
      </c>
      <c r="O78" s="224">
        <f t="shared" ca="1" si="22"/>
        <v>0</v>
      </c>
      <c r="P78" s="224">
        <f t="shared" ca="1" si="23"/>
        <v>0</v>
      </c>
      <c r="Q78" s="224">
        <f>Q79+Q80</f>
        <v>0</v>
      </c>
      <c r="R78" s="224">
        <f>R79+R80</f>
        <v>0</v>
      </c>
      <c r="S78" s="224">
        <f>S79+S80</f>
        <v>0</v>
      </c>
      <c r="T78" s="224">
        <f t="shared" si="24"/>
        <v>0</v>
      </c>
      <c r="U78" s="224">
        <f t="shared" si="25"/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469">
        <v>0</v>
      </c>
      <c r="M79" s="224">
        <v>0</v>
      </c>
      <c r="N79" s="224">
        <v>0</v>
      </c>
      <c r="O79" s="83">
        <f t="shared" si="22"/>
        <v>0</v>
      </c>
      <c r="P79" s="83">
        <f t="shared" si="23"/>
        <v>0</v>
      </c>
      <c r="Q79" s="83">
        <v>0</v>
      </c>
      <c r="R79" s="224">
        <v>0</v>
      </c>
      <c r="S79" s="224">
        <v>0</v>
      </c>
      <c r="T79" s="83">
        <f t="shared" si="24"/>
        <v>0</v>
      </c>
      <c r="U79" s="83">
        <f t="shared" si="25"/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468">
        <f ca="1">IFERROR(__xludf.DUMMYFUNCTION("IMPORTRANGE(""https://docs.google.com/spreadsheets/d/1-uDff_7J0KD5mKrp0Vvzr7lt3OU09vwQwhkpOPPYv2Y/edit?usp=sharing"",""งบพรบ!AP16"")"),0)</f>
        <v>0</v>
      </c>
      <c r="M80" s="224">
        <f ca="1">IFERROR(__xludf.DUMMYFUNCTION("IMPORTRANGE(""https://docs.google.com/spreadsheets/d/1-uDff_7J0KD5mKrp0Vvzr7lt3OU09vwQwhkpOPPYv2Y/edit?usp=sharing"",""งบพรบ!AS16"")"),0)</f>
        <v>0</v>
      </c>
      <c r="N80" s="224">
        <f ca="1">IFERROR(__xludf.DUMMYFUNCTION("IMPORTRANGE(""https://docs.google.com/spreadsheets/d/1-uDff_7J0KD5mKrp0Vvzr7lt3OU09vwQwhkpOPPYv2Y/edit?usp=sharing"",""งบพรบ!AU16"")"),0)</f>
        <v>0</v>
      </c>
      <c r="O80" s="224">
        <f t="shared" ca="1" si="22"/>
        <v>0</v>
      </c>
      <c r="P80" s="224">
        <f t="shared" ca="1" si="23"/>
        <v>0</v>
      </c>
      <c r="Q80" s="224">
        <v>0</v>
      </c>
      <c r="R80" s="224">
        <v>0</v>
      </c>
      <c r="S80" s="224">
        <v>0</v>
      </c>
      <c r="T80" s="224">
        <f t="shared" si="24"/>
        <v>0</v>
      </c>
      <c r="U80" s="224">
        <f t="shared" si="25"/>
        <v>0</v>
      </c>
    </row>
    <row r="81" spans="1:21" ht="19.5" x14ac:dyDescent="0.3">
      <c r="A81" s="138"/>
      <c r="B81" s="139"/>
      <c r="C81" s="129" t="s">
        <v>18</v>
      </c>
      <c r="D81" s="498" t="s">
        <v>38</v>
      </c>
      <c r="E81" s="141"/>
      <c r="F81" s="141"/>
      <c r="G81" s="142"/>
      <c r="H81" s="143"/>
      <c r="I81" s="135"/>
      <c r="J81" s="135"/>
      <c r="K81" s="136"/>
      <c r="L81" s="4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ca="1">I84+I86+I88</f>
        <v>0</v>
      </c>
      <c r="J82" s="328">
        <f>J84+J86+J88</f>
        <v>0</v>
      </c>
      <c r="K82" s="582">
        <f t="shared" ref="K82:K90" ca="1" si="28">IF(I82&gt;0,J82*100/I82,0)</f>
        <v>0</v>
      </c>
      <c r="L82" s="4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ca="1">I85+I87+I89</f>
        <v>0</v>
      </c>
      <c r="J83" s="328">
        <f>J85+J87+J89</f>
        <v>0</v>
      </c>
      <c r="K83" s="582">
        <f t="shared" ca="1" si="28"/>
        <v>0</v>
      </c>
      <c r="L83" s="4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581">
        <f ca="1">IFERROR(__xludf.DUMMYFUNCTION("IMPORTRANGE(""https://docs.google.com/spreadsheets/d/1eHaY18a8A9IcSdp1K8H6x8fbOy06t2VsZHhMHf-1x7Y/edit?usp=sharing"",""แผน!H16"")"),0)</f>
        <v>0</v>
      </c>
      <c r="J84" s="466">
        <v>0</v>
      </c>
      <c r="K84" s="497">
        <f t="shared" ca="1" si="28"/>
        <v>0</v>
      </c>
      <c r="L84" s="4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581">
        <f ca="1">IFERROR(__xludf.DUMMYFUNCTION("IMPORTRANGE(""https://docs.google.com/spreadsheets/d/1eHaY18a8A9IcSdp1K8H6x8fbOy06t2VsZHhMHf-1x7Y/edit?usp=sharing"",""แผน!I16"")"),0)</f>
        <v>0</v>
      </c>
      <c r="J85" s="466">
        <v>0</v>
      </c>
      <c r="K85" s="497">
        <f t="shared" ca="1" si="28"/>
        <v>0</v>
      </c>
      <c r="L85" s="4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581">
        <f ca="1">IFERROR(__xludf.DUMMYFUNCTION("IMPORTRANGE(""https://docs.google.com/spreadsheets/d/1eHaY18a8A9IcSdp1K8H6x8fbOy06t2VsZHhMHf-1x7Y/edit?usp=sharing"",""แผน!F16"")"),0)</f>
        <v>0</v>
      </c>
      <c r="J86" s="466">
        <v>0</v>
      </c>
      <c r="K86" s="497">
        <f t="shared" ca="1" si="28"/>
        <v>0</v>
      </c>
      <c r="L86" s="4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581">
        <f ca="1">IFERROR(__xludf.DUMMYFUNCTION("IMPORTRANGE(""https://docs.google.com/spreadsheets/d/1eHaY18a8A9IcSdp1K8H6x8fbOy06t2VsZHhMHf-1x7Y/edit?usp=sharing"",""แผน!G16"")"),0)</f>
        <v>0</v>
      </c>
      <c r="J87" s="466">
        <v>0</v>
      </c>
      <c r="K87" s="497">
        <f t="shared" ca="1" si="28"/>
        <v>0</v>
      </c>
      <c r="L87" s="4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581">
        <f ca="1">IFERROR(__xludf.DUMMYFUNCTION("IMPORTRANGE(""https://docs.google.com/spreadsheets/d/1eHaY18a8A9IcSdp1K8H6x8fbOy06t2VsZHhMHf-1x7Y/edit?usp=sharing"",""แผน!D16"")"),0)</f>
        <v>0</v>
      </c>
      <c r="J88" s="466">
        <v>0</v>
      </c>
      <c r="K88" s="497">
        <f t="shared" ca="1" si="28"/>
        <v>0</v>
      </c>
      <c r="L88" s="4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581">
        <f ca="1">IFERROR(__xludf.DUMMYFUNCTION("IMPORTRANGE(""https://docs.google.com/spreadsheets/d/1eHaY18a8A9IcSdp1K8H6x8fbOy06t2VsZHhMHf-1x7Y/edit?usp=sharing"",""แผน!E16"")"),0)</f>
        <v>0</v>
      </c>
      <c r="J89" s="466">
        <v>0</v>
      </c>
      <c r="K89" s="497">
        <f t="shared" ca="1" si="28"/>
        <v>0</v>
      </c>
      <c r="L89" s="4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581">
        <f ca="1">IFERROR(__xludf.DUMMYFUNCTION("IMPORTRANGE(""https://docs.google.com/spreadsheets/d/1eHaY18a8A9IcSdp1K8H6x8fbOy06t2VsZHhMHf-1x7Y/edit?usp=sharing"",""แผน!J16"")"),0)</f>
        <v>0</v>
      </c>
      <c r="J90" s="466">
        <v>0</v>
      </c>
      <c r="K90" s="497">
        <f t="shared" ca="1" si="28"/>
        <v>0</v>
      </c>
      <c r="L90" s="4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7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665">
        <f ca="1">I108</f>
        <v>30</v>
      </c>
      <c r="J92" s="665">
        <f>J108</f>
        <v>30</v>
      </c>
      <c r="K92" s="664">
        <f ca="1">IF(I92&gt;0,J92*100/I92,0)</f>
        <v>100</v>
      </c>
      <c r="L92" s="510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665">
        <f ca="1">I109</f>
        <v>10</v>
      </c>
      <c r="J93" s="665">
        <f>J109</f>
        <v>10</v>
      </c>
      <c r="K93" s="664">
        <f ca="1">IF(I93&gt;0,J93*100/I93,0)</f>
        <v>100</v>
      </c>
      <c r="L93" s="510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129" t="s">
        <v>18</v>
      </c>
      <c r="D94" s="472" t="s">
        <v>19</v>
      </c>
      <c r="E94" s="40"/>
      <c r="F94" s="40"/>
      <c r="G94" s="42"/>
      <c r="H94" s="131" t="s">
        <v>14</v>
      </c>
      <c r="I94" s="44"/>
      <c r="J94" s="44"/>
      <c r="K94" s="45"/>
      <c r="L94" s="471">
        <f ca="1">L95+L96</f>
        <v>0</v>
      </c>
      <c r="M94" s="470">
        <f ca="1">M95+M96</f>
        <v>19500</v>
      </c>
      <c r="N94" s="470">
        <f ca="1">N95+N96</f>
        <v>0</v>
      </c>
      <c r="O94" s="470">
        <f t="shared" ref="O94:O102" ca="1" si="29">IF(L94&gt;0,N94*100/L94,0)</f>
        <v>0</v>
      </c>
      <c r="P94" s="470">
        <f t="shared" ref="P94:P102" ca="1" si="30">IF(M94&gt;0,N94*100/M94,0)</f>
        <v>0</v>
      </c>
      <c r="Q94" s="470">
        <f ca="1">Q95+Q96</f>
        <v>64920</v>
      </c>
      <c r="R94" s="470">
        <f ca="1">R95+R96</f>
        <v>64920</v>
      </c>
      <c r="S94" s="470">
        <f ca="1">S95+S96</f>
        <v>4545</v>
      </c>
      <c r="T94" s="470">
        <f t="shared" ref="T94:T102" ca="1" si="31">IF(Q94&gt;0,S94*100/Q94,0)</f>
        <v>7.0009242144177453</v>
      </c>
      <c r="U94" s="470">
        <f t="shared" ref="U94:U102" ca="1" si="32">IF(R94&gt;0,S94*100/R94,0)</f>
        <v>7.0009242144177453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469">
        <f t="shared" ref="L95:N96" si="33">L98+L101</f>
        <v>0</v>
      </c>
      <c r="M95" s="83">
        <f t="shared" si="33"/>
        <v>0</v>
      </c>
      <c r="N95" s="83">
        <f t="shared" si="33"/>
        <v>0</v>
      </c>
      <c r="O95" s="83">
        <f t="shared" si="29"/>
        <v>0</v>
      </c>
      <c r="P95" s="83">
        <f t="shared" si="30"/>
        <v>0</v>
      </c>
      <c r="Q95" s="83">
        <f t="shared" ref="Q95:S96" si="34">Q98+Q101</f>
        <v>0</v>
      </c>
      <c r="R95" s="83">
        <f t="shared" si="34"/>
        <v>0</v>
      </c>
      <c r="S95" s="83">
        <f t="shared" si="34"/>
        <v>0</v>
      </c>
      <c r="T95" s="83">
        <f t="shared" si="31"/>
        <v>0</v>
      </c>
      <c r="U95" s="83">
        <f t="shared" si="32"/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468">
        <f t="shared" ca="1" si="33"/>
        <v>0</v>
      </c>
      <c r="M96" s="224">
        <f t="shared" ca="1" si="33"/>
        <v>19500</v>
      </c>
      <c r="N96" s="224">
        <f t="shared" ca="1" si="33"/>
        <v>0</v>
      </c>
      <c r="O96" s="224">
        <f t="shared" ca="1" si="29"/>
        <v>0</v>
      </c>
      <c r="P96" s="224">
        <f t="shared" ca="1" si="30"/>
        <v>0</v>
      </c>
      <c r="Q96" s="224">
        <f t="shared" ca="1" si="34"/>
        <v>64920</v>
      </c>
      <c r="R96" s="224">
        <f t="shared" ca="1" si="34"/>
        <v>64920</v>
      </c>
      <c r="S96" s="224">
        <f t="shared" ca="1" si="34"/>
        <v>4545</v>
      </c>
      <c r="T96" s="224">
        <f t="shared" ca="1" si="31"/>
        <v>7.0009242144177453</v>
      </c>
      <c r="U96" s="224">
        <f t="shared" ca="1" si="32"/>
        <v>7.0009242144177453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468">
        <f ca="1">L98+L99</f>
        <v>0</v>
      </c>
      <c r="M97" s="224">
        <f ca="1">M98+M99</f>
        <v>19500</v>
      </c>
      <c r="N97" s="224">
        <f ca="1">N98+N99</f>
        <v>0</v>
      </c>
      <c r="O97" s="224">
        <f t="shared" ca="1" si="29"/>
        <v>0</v>
      </c>
      <c r="P97" s="224">
        <f t="shared" ca="1" si="30"/>
        <v>0</v>
      </c>
      <c r="Q97" s="224">
        <f ca="1">Q98+Q99</f>
        <v>64920</v>
      </c>
      <c r="R97" s="224">
        <f ca="1">R98+R99</f>
        <v>64920</v>
      </c>
      <c r="S97" s="224">
        <f ca="1">S98+S99</f>
        <v>4545</v>
      </c>
      <c r="T97" s="224">
        <f t="shared" ca="1" si="31"/>
        <v>7.0009242144177453</v>
      </c>
      <c r="U97" s="224">
        <f t="shared" ca="1" si="32"/>
        <v>7.0009242144177453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469">
        <v>0</v>
      </c>
      <c r="M98" s="83">
        <v>0</v>
      </c>
      <c r="N98" s="83">
        <v>0</v>
      </c>
      <c r="O98" s="83">
        <f t="shared" si="29"/>
        <v>0</v>
      </c>
      <c r="P98" s="83">
        <f t="shared" si="30"/>
        <v>0</v>
      </c>
      <c r="Q98" s="83">
        <v>0</v>
      </c>
      <c r="R98" s="83">
        <v>0</v>
      </c>
      <c r="S98" s="83">
        <v>0</v>
      </c>
      <c r="T98" s="83">
        <f t="shared" si="31"/>
        <v>0</v>
      </c>
      <c r="U98" s="83">
        <f t="shared" si="32"/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468">
        <f ca="1">IFERROR(__xludf.DUMMYFUNCTION("IMPORTRANGE(""https://docs.google.com/spreadsheets/d/1-uDff_7J0KD5mKrp0Vvzr7lt3OU09vwQwhkpOPPYv2Y/edit?usp=sharing"",""งบพรบ!AW16"")"),0)</f>
        <v>0</v>
      </c>
      <c r="M99" s="224">
        <f ca="1">IFERROR(__xludf.DUMMYFUNCTION("IMPORTRANGE(""https://docs.google.com/spreadsheets/d/1-uDff_7J0KD5mKrp0Vvzr7lt3OU09vwQwhkpOPPYv2Y/edit?usp=sharing"",""งบพรบ!BB16"")"),19500)</f>
        <v>19500</v>
      </c>
      <c r="N99" s="224">
        <f ca="1">IFERROR(__xludf.DUMMYFUNCTION("IMPORTRANGE(""https://docs.google.com/spreadsheets/d/1-uDff_7J0KD5mKrp0Vvzr7lt3OU09vwQwhkpOPPYv2Y/edit?usp=sharing"",""งบพรบ!BD16"")"),0)</f>
        <v>0</v>
      </c>
      <c r="O99" s="224">
        <f t="shared" ca="1" si="29"/>
        <v>0</v>
      </c>
      <c r="P99" s="224">
        <f t="shared" ca="1" si="30"/>
        <v>0</v>
      </c>
      <c r="Q99" s="224">
        <f ca="1">IFERROR(__xludf.DUMMYFUNCTION("IMPORTRANGE(""https://docs.google.com/spreadsheets/d/1ItG2mGa2ceCfYo0BwxsXqNm01IGEUdYcSSLTEv9YCik/edit?usp=sharing"",""เบิกจ่ายกองทุน!AD16"")"),64920)</f>
        <v>64920</v>
      </c>
      <c r="R99" s="224">
        <f ca="1">IFERROR(__xludf.DUMMYFUNCTION("IMPORTRANGE(""https://docs.google.com/spreadsheets/d/1ItG2mGa2ceCfYo0BwxsXqNm01IGEUdYcSSLTEv9YCik/edit?usp=sharing"",""เบิกจ่ายกองทุน!AE16"")"),64920)</f>
        <v>64920</v>
      </c>
      <c r="S99" s="224">
        <f ca="1">IFERROR(__xludf.DUMMYFUNCTION("IMPORTRANGE(""https://docs.google.com/spreadsheets/d/1ItG2mGa2ceCfYo0BwxsXqNm01IGEUdYcSSLTEv9YCik/edit?usp=sharing"",""เบิกจ่ายกองทุน!AF16"")"),4545)</f>
        <v>4545</v>
      </c>
      <c r="T99" s="224">
        <f t="shared" ca="1" si="31"/>
        <v>7.0009242144177453</v>
      </c>
      <c r="U99" s="224">
        <f t="shared" ca="1" si="32"/>
        <v>7.0009242144177453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468">
        <f ca="1">L101+L102</f>
        <v>0</v>
      </c>
      <c r="M100" s="224">
        <f ca="1">M101+M102</f>
        <v>0</v>
      </c>
      <c r="N100" s="224">
        <f ca="1">N101+N102</f>
        <v>0</v>
      </c>
      <c r="O100" s="224">
        <f t="shared" ca="1" si="29"/>
        <v>0</v>
      </c>
      <c r="P100" s="224">
        <f t="shared" ca="1" si="30"/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 t="shared" si="31"/>
        <v>0</v>
      </c>
      <c r="U100" s="224">
        <f t="shared" si="32"/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469">
        <v>0</v>
      </c>
      <c r="M101" s="83">
        <v>0</v>
      </c>
      <c r="N101" s="83">
        <v>0</v>
      </c>
      <c r="O101" s="83">
        <f t="shared" si="29"/>
        <v>0</v>
      </c>
      <c r="P101" s="83">
        <f t="shared" si="30"/>
        <v>0</v>
      </c>
      <c r="Q101" s="83">
        <v>0</v>
      </c>
      <c r="R101" s="83">
        <v>0</v>
      </c>
      <c r="S101" s="83">
        <v>0</v>
      </c>
      <c r="T101" s="83">
        <f t="shared" si="31"/>
        <v>0</v>
      </c>
      <c r="U101" s="83">
        <f t="shared" si="32"/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468">
        <f ca="1">IFERROR(__xludf.DUMMYFUNCTION("IMPORTRANGE(""https://docs.google.com/spreadsheets/d/1-uDff_7J0KD5mKrp0Vvzr7lt3OU09vwQwhkpOPPYv2Y/edit?usp=sharing"",""งบพรบ!AZ16"")"),0)</f>
        <v>0</v>
      </c>
      <c r="M102" s="224">
        <f ca="1">IFERROR(__xludf.DUMMYFUNCTION("IMPORTRANGE(""https://docs.google.com/spreadsheets/d/1-uDff_7J0KD5mKrp0Vvzr7lt3OU09vwQwhkpOPPYv2Y/edit?usp=sharing"",""งบพรบ!BC16"")"),0)</f>
        <v>0</v>
      </c>
      <c r="N102" s="224">
        <f ca="1">IFERROR(__xludf.DUMMYFUNCTION("IMPORTRANGE(""https://docs.google.com/spreadsheets/d/1-uDff_7J0KD5mKrp0Vvzr7lt3OU09vwQwhkpOPPYv2Y/edit?usp=sharing"",""งบพรบ!BE16"")"),0)</f>
        <v>0</v>
      </c>
      <c r="O102" s="224">
        <f t="shared" ca="1" si="29"/>
        <v>0</v>
      </c>
      <c r="P102" s="224">
        <f t="shared" ca="1" si="30"/>
        <v>0</v>
      </c>
      <c r="Q102" s="224">
        <v>0</v>
      </c>
      <c r="R102" s="224">
        <v>0</v>
      </c>
      <c r="S102" s="224">
        <v>0</v>
      </c>
      <c r="T102" s="224">
        <f t="shared" si="31"/>
        <v>0</v>
      </c>
      <c r="U102" s="224">
        <f t="shared" si="32"/>
        <v>0</v>
      </c>
    </row>
    <row r="103" spans="1:21" ht="19.5" x14ac:dyDescent="0.3">
      <c r="A103" s="138"/>
      <c r="B103" s="139"/>
      <c r="C103" s="129" t="s">
        <v>18</v>
      </c>
      <c r="D103" s="498" t="s">
        <v>38</v>
      </c>
      <c r="E103" s="141"/>
      <c r="F103" s="141"/>
      <c r="G103" s="142"/>
      <c r="H103" s="143"/>
      <c r="I103" s="135"/>
      <c r="J103" s="44"/>
      <c r="K103" s="45"/>
      <c r="L103" s="465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571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571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571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465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IFERROR(__xludf.DUMMYFUNCTION("IMPORTRANGE(""https://docs.google.com/spreadsheets/d/1eHaY18a8A9IcSdp1K8H6x8fbOy06t2VsZHhMHf-1x7Y/edit?usp=sharing"",""แผน!N16"")"),30)</f>
        <v>30</v>
      </c>
      <c r="J108" s="466">
        <v>30</v>
      </c>
      <c r="K108" s="224">
        <f ca="1">IF(I108&gt;0,J108*100/I108,0)</f>
        <v>100</v>
      </c>
      <c r="L108" s="465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IFERROR(__xludf.DUMMYFUNCTION("IMPORTRANGE(""https://docs.google.com/spreadsheets/d/1eHaY18a8A9IcSdp1K8H6x8fbOy06t2VsZHhMHf-1x7Y/edit?usp=sharing"",""แผน!O16"")"),10)</f>
        <v>10</v>
      </c>
      <c r="J109" s="466">
        <v>10</v>
      </c>
      <c r="K109" s="224">
        <f ca="1">IF(I109&gt;0,J109*100/I109,0)</f>
        <v>100</v>
      </c>
      <c r="L109" s="465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571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571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571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749"/>
      <c r="B113" s="438"/>
      <c r="C113" s="438"/>
      <c r="D113" s="748" t="s">
        <v>50</v>
      </c>
      <c r="E113" s="440"/>
      <c r="F113" s="440"/>
      <c r="G113" s="441"/>
      <c r="H113" s="747" t="s">
        <v>46</v>
      </c>
      <c r="I113" s="746">
        <f ca="1">IFERROR(__xludf.DUMMYFUNCTION("IMPORTRANGE(""https://docs.google.com/spreadsheets/d/1eHaY18a8A9IcSdp1K8H6x8fbOy06t2VsZHhMHf-1x7Y/edit?usp=sharing"",""แผน!N16"")"),30)</f>
        <v>30</v>
      </c>
      <c r="J113" s="444">
        <v>0</v>
      </c>
      <c r="K113" s="591">
        <f ca="1">IF(I113&gt;0,J113*100/I113,0)</f>
        <v>0</v>
      </c>
      <c r="L113" s="656"/>
      <c r="M113" s="656"/>
      <c r="N113" s="656"/>
      <c r="O113" s="445"/>
      <c r="P113" s="445"/>
      <c r="Q113" s="656"/>
      <c r="R113" s="656"/>
      <c r="S113" s="656"/>
      <c r="T113" s="445"/>
      <c r="U113" s="445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581">
        <f ca="1">IFERROR(__xludf.DUMMYFUNCTION("IMPORTRANGE(""https://docs.google.com/spreadsheets/d/1eHaY18a8A9IcSdp1K8H6x8fbOy06t2VsZHhMHf-1x7Y/edit?usp=sharing"",""แผน!O16"")"),10)</f>
        <v>10</v>
      </c>
      <c r="J114" s="466">
        <v>0</v>
      </c>
      <c r="K114" s="224">
        <f ca="1">IF(I114&gt;0,J114*100/I114,0)</f>
        <v>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671" t="s">
        <v>51</v>
      </c>
      <c r="B115" s="668"/>
      <c r="C115" s="670"/>
      <c r="D115" s="669"/>
      <c r="E115" s="669"/>
      <c r="F115" s="669"/>
      <c r="G115" s="669"/>
      <c r="H115" s="668"/>
      <c r="I115" s="667"/>
      <c r="J115" s="667"/>
      <c r="K115" s="66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665">
        <f ca="1">I127</f>
        <v>20</v>
      </c>
      <c r="J116" s="665">
        <f>J127</f>
        <v>20</v>
      </c>
      <c r="K116" s="664">
        <f ca="1">IF(I116&gt;0,J116*100/I116,0)</f>
        <v>100</v>
      </c>
      <c r="L116" s="510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472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471">
        <f ca="1">L118+L119</f>
        <v>0</v>
      </c>
      <c r="M117" s="470">
        <f ca="1">M118+M119</f>
        <v>0</v>
      </c>
      <c r="N117" s="470">
        <f ca="1">N118+N119</f>
        <v>0</v>
      </c>
      <c r="O117" s="470">
        <f t="shared" ref="O117:O125" ca="1" si="35">IF(L117&gt;0,N117*100/L117,0)</f>
        <v>0</v>
      </c>
      <c r="P117" s="470">
        <f t="shared" ref="P117:P125" ca="1" si="36">IF(M117&gt;0,N117*100/M117,0)</f>
        <v>0</v>
      </c>
      <c r="Q117" s="470">
        <f ca="1">Q118+Q119</f>
        <v>209360</v>
      </c>
      <c r="R117" s="470">
        <f ca="1">R118+R119</f>
        <v>209360</v>
      </c>
      <c r="S117" s="470">
        <f ca="1">S118+S119</f>
        <v>97781</v>
      </c>
      <c r="T117" s="470">
        <f t="shared" ref="T117:T125" ca="1" si="37">IF(Q117&gt;0,S117*100/Q117,0)</f>
        <v>46.704719144058082</v>
      </c>
      <c r="U117" s="470">
        <f t="shared" ref="U117:U125" ca="1" si="38">IF(R117&gt;0,S117*100/R117,0)</f>
        <v>46.704719144058082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469">
        <f t="shared" ref="L118:N119" si="39">L121+L124</f>
        <v>0</v>
      </c>
      <c r="M118" s="83">
        <f t="shared" si="39"/>
        <v>0</v>
      </c>
      <c r="N118" s="83">
        <f t="shared" si="39"/>
        <v>0</v>
      </c>
      <c r="O118" s="83">
        <f t="shared" si="35"/>
        <v>0</v>
      </c>
      <c r="P118" s="83">
        <f t="shared" si="36"/>
        <v>0</v>
      </c>
      <c r="Q118" s="83">
        <f t="shared" ref="Q118:S119" si="40">Q121+Q124</f>
        <v>0</v>
      </c>
      <c r="R118" s="83">
        <f t="shared" si="40"/>
        <v>0</v>
      </c>
      <c r="S118" s="83">
        <f t="shared" si="40"/>
        <v>0</v>
      </c>
      <c r="T118" s="83">
        <f t="shared" si="37"/>
        <v>0</v>
      </c>
      <c r="U118" s="83">
        <f t="shared" si="38"/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468">
        <f t="shared" ca="1" si="39"/>
        <v>0</v>
      </c>
      <c r="M119" s="224">
        <f t="shared" ca="1" si="39"/>
        <v>0</v>
      </c>
      <c r="N119" s="224">
        <f t="shared" ca="1" si="39"/>
        <v>0</v>
      </c>
      <c r="O119" s="224">
        <f t="shared" ca="1" si="35"/>
        <v>0</v>
      </c>
      <c r="P119" s="224">
        <f t="shared" ca="1" si="36"/>
        <v>0</v>
      </c>
      <c r="Q119" s="224">
        <f t="shared" ca="1" si="40"/>
        <v>209360</v>
      </c>
      <c r="R119" s="224">
        <f t="shared" ca="1" si="40"/>
        <v>209360</v>
      </c>
      <c r="S119" s="224">
        <f t="shared" ca="1" si="40"/>
        <v>97781</v>
      </c>
      <c r="T119" s="224">
        <f t="shared" ca="1" si="37"/>
        <v>46.704719144058082</v>
      </c>
      <c r="U119" s="224">
        <f t="shared" ca="1" si="38"/>
        <v>46.704719144058082</v>
      </c>
    </row>
    <row r="120" spans="1:21" ht="18.75" x14ac:dyDescent="0.25">
      <c r="A120" s="128"/>
      <c r="B120" s="158"/>
      <c r="C120" s="174"/>
      <c r="D120" s="53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468">
        <f ca="1">L121+L122</f>
        <v>0</v>
      </c>
      <c r="M120" s="224">
        <f ca="1">M121+M122</f>
        <v>0</v>
      </c>
      <c r="N120" s="224">
        <f ca="1">N121+N122</f>
        <v>0</v>
      </c>
      <c r="O120" s="224">
        <f t="shared" ca="1" si="35"/>
        <v>0</v>
      </c>
      <c r="P120" s="224">
        <f t="shared" ca="1" si="36"/>
        <v>0</v>
      </c>
      <c r="Q120" s="224">
        <f ca="1">Q121+Q122</f>
        <v>209360</v>
      </c>
      <c r="R120" s="224">
        <f ca="1">R121+R122</f>
        <v>209360</v>
      </c>
      <c r="S120" s="224">
        <f ca="1">S121+S122</f>
        <v>97781</v>
      </c>
      <c r="T120" s="224">
        <f t="shared" ca="1" si="37"/>
        <v>46.704719144058082</v>
      </c>
      <c r="U120" s="224">
        <f t="shared" ca="1" si="38"/>
        <v>46.704719144058082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469">
        <v>0</v>
      </c>
      <c r="M121" s="83">
        <v>0</v>
      </c>
      <c r="N121" s="83">
        <v>0</v>
      </c>
      <c r="O121" s="83">
        <f t="shared" si="35"/>
        <v>0</v>
      </c>
      <c r="P121" s="83">
        <f t="shared" si="36"/>
        <v>0</v>
      </c>
      <c r="Q121" s="83">
        <v>0</v>
      </c>
      <c r="R121" s="83">
        <v>0</v>
      </c>
      <c r="S121" s="83">
        <v>0</v>
      </c>
      <c r="T121" s="83">
        <f t="shared" si="37"/>
        <v>0</v>
      </c>
      <c r="U121" s="83">
        <f t="shared" si="38"/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468">
        <f ca="1">IFERROR(__xludf.DUMMYFUNCTION("IMPORTRANGE(""https://docs.google.com/spreadsheets/d/1-uDff_7J0KD5mKrp0Vvzr7lt3OU09vwQwhkpOPPYv2Y/edit?usp=sharing"",""งบพรบ!BG16"")"),0)</f>
        <v>0</v>
      </c>
      <c r="M122" s="224">
        <f ca="1">IFERROR(__xludf.DUMMYFUNCTION("IMPORTRANGE(""https://docs.google.com/spreadsheets/d/1-uDff_7J0KD5mKrp0Vvzr7lt3OU09vwQwhkpOPPYv2Y/edit?usp=sharing"",""งบพรบ!BL16"")"),0)</f>
        <v>0</v>
      </c>
      <c r="N122" s="224">
        <f ca="1">IFERROR(__xludf.DUMMYFUNCTION("IMPORTRANGE(""https://docs.google.com/spreadsheets/d/1-uDff_7J0KD5mKrp0Vvzr7lt3OU09vwQwhkpOPPYv2Y/edit?usp=sharing"",""งบพรบ!BN16"")"),0)</f>
        <v>0</v>
      </c>
      <c r="O122" s="224">
        <f t="shared" ca="1" si="35"/>
        <v>0</v>
      </c>
      <c r="P122" s="224">
        <f t="shared" ca="1" si="36"/>
        <v>0</v>
      </c>
      <c r="Q122" s="224">
        <f ca="1">IFERROR(__xludf.DUMMYFUNCTION("IMPORTRANGE(""https://docs.google.com/spreadsheets/d/1ItG2mGa2ceCfYo0BwxsXqNm01IGEUdYcSSLTEv9YCik/edit?usp=sharing"",""เบิกจ่ายกองทุน!R16"")"),209360)</f>
        <v>209360</v>
      </c>
      <c r="R122" s="224">
        <f ca="1">IFERROR(__xludf.DUMMYFUNCTION("IMPORTRANGE(""https://docs.google.com/spreadsheets/d/1ItG2mGa2ceCfYo0BwxsXqNm01IGEUdYcSSLTEv9YCik/edit?usp=sharing"",""เบิกจ่ายกองทุน!S16"")"),209360)</f>
        <v>209360</v>
      </c>
      <c r="S122" s="224">
        <f ca="1">IFERROR(__xludf.DUMMYFUNCTION("IMPORTRANGE(""https://docs.google.com/spreadsheets/d/1ItG2mGa2ceCfYo0BwxsXqNm01IGEUdYcSSLTEv9YCik/edit?usp=sharing"",""เบิกจ่ายกองทุน!T16"")"),97781)</f>
        <v>97781</v>
      </c>
      <c r="T122" s="224">
        <f t="shared" ca="1" si="37"/>
        <v>46.704719144058082</v>
      </c>
      <c r="U122" s="224">
        <f t="shared" ca="1" si="38"/>
        <v>46.704719144058082</v>
      </c>
    </row>
    <row r="123" spans="1:21" ht="18.75" x14ac:dyDescent="0.25">
      <c r="A123" s="128"/>
      <c r="B123" s="40"/>
      <c r="C123" s="174"/>
      <c r="D123" s="53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468">
        <f ca="1">L124+L125</f>
        <v>0</v>
      </c>
      <c r="M123" s="224">
        <f ca="1">M124+M125</f>
        <v>0</v>
      </c>
      <c r="N123" s="224">
        <f ca="1">N124+N125</f>
        <v>0</v>
      </c>
      <c r="O123" s="224">
        <f t="shared" ca="1" si="35"/>
        <v>0</v>
      </c>
      <c r="P123" s="224">
        <f t="shared" ca="1" si="36"/>
        <v>0</v>
      </c>
      <c r="Q123" s="224">
        <f>Q124+Q125</f>
        <v>0</v>
      </c>
      <c r="R123" s="224">
        <f>R124+R125</f>
        <v>0</v>
      </c>
      <c r="S123" s="224">
        <f>S124+S125</f>
        <v>0</v>
      </c>
      <c r="T123" s="224">
        <f t="shared" si="37"/>
        <v>0</v>
      </c>
      <c r="U123" s="224">
        <f t="shared" si="38"/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469">
        <v>0</v>
      </c>
      <c r="M124" s="83">
        <v>0</v>
      </c>
      <c r="N124" s="83">
        <v>0</v>
      </c>
      <c r="O124" s="83">
        <f t="shared" si="35"/>
        <v>0</v>
      </c>
      <c r="P124" s="83">
        <f t="shared" si="36"/>
        <v>0</v>
      </c>
      <c r="Q124" s="83">
        <v>0</v>
      </c>
      <c r="R124" s="83">
        <v>0</v>
      </c>
      <c r="S124" s="83">
        <v>0</v>
      </c>
      <c r="T124" s="83">
        <f t="shared" si="37"/>
        <v>0</v>
      </c>
      <c r="U124" s="83">
        <f t="shared" si="38"/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468">
        <f ca="1">IFERROR(__xludf.DUMMYFUNCTION("IMPORTRANGE(""https://docs.google.com/spreadsheets/d/1-uDff_7J0KD5mKrp0Vvzr7lt3OU09vwQwhkpOPPYv2Y/edit?usp=sharing"",""งบพรบ!BJ16"")"),0)</f>
        <v>0</v>
      </c>
      <c r="M125" s="224">
        <f ca="1">IFERROR(__xludf.DUMMYFUNCTION("IMPORTRANGE(""https://docs.google.com/spreadsheets/d/1-uDff_7J0KD5mKrp0Vvzr7lt3OU09vwQwhkpOPPYv2Y/edit?usp=sharing"",""งบพรบ!BM16"")"),0)</f>
        <v>0</v>
      </c>
      <c r="N125" s="224">
        <f ca="1">IFERROR(__xludf.DUMMYFUNCTION("IMPORTRANGE(""https://docs.google.com/spreadsheets/d/1-uDff_7J0KD5mKrp0Vvzr7lt3OU09vwQwhkpOPPYv2Y/edit?usp=sharing"",""งบพรบ!BO16"")"),0)</f>
        <v>0</v>
      </c>
      <c r="O125" s="224">
        <f t="shared" ca="1" si="35"/>
        <v>0</v>
      </c>
      <c r="P125" s="224">
        <f t="shared" ca="1" si="36"/>
        <v>0</v>
      </c>
      <c r="Q125" s="224">
        <v>0</v>
      </c>
      <c r="R125" s="224">
        <v>0</v>
      </c>
      <c r="S125" s="224">
        <v>0</v>
      </c>
      <c r="T125" s="224">
        <f t="shared" si="37"/>
        <v>0</v>
      </c>
      <c r="U125" s="224">
        <f t="shared" si="38"/>
        <v>0</v>
      </c>
    </row>
    <row r="126" spans="1:21" ht="19.5" x14ac:dyDescent="0.3">
      <c r="A126" s="138"/>
      <c r="B126" s="139"/>
      <c r="C126" s="177" t="s">
        <v>18</v>
      </c>
      <c r="D126" s="498" t="s">
        <v>38</v>
      </c>
      <c r="E126" s="141"/>
      <c r="F126" s="141"/>
      <c r="G126" s="142"/>
      <c r="H126" s="178"/>
      <c r="I126" s="44"/>
      <c r="J126" s="44"/>
      <c r="K126" s="45"/>
      <c r="L126" s="465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IFERROR(__xludf.DUMMYFUNCTION("IMPORTRANGE(""https://docs.google.com/spreadsheets/d/1eHaY18a8A9IcSdp1K8H6x8fbOy06t2VsZHhMHf-1x7Y/edit?usp=sharing"",""แผน!FF16"")"),20)</f>
        <v>20</v>
      </c>
      <c r="J127" s="466">
        <v>20</v>
      </c>
      <c r="K127" s="224">
        <f ca="1">IF(I127&gt;0,J127*100/I127,0)</f>
        <v>100</v>
      </c>
      <c r="L127" s="465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IFERROR(__xludf.DUMMYFUNCTION("IMPORTRANGE(""https://docs.google.com/spreadsheets/d/1eHaY18a8A9IcSdp1K8H6x8fbOy06t2VsZHhMHf-1x7Y/edit?usp=sharing"",""แผน!FG16"")"),0)</f>
        <v>0</v>
      </c>
      <c r="J128" s="466">
        <v>0</v>
      </c>
      <c r="K128" s="224">
        <f ca="1">IF(I128&gt;0,J128*100/I128,0)</f>
        <v>0</v>
      </c>
      <c r="L128" s="465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IFERROR(__xludf.DUMMYFUNCTION("IMPORTRANGE(""https://docs.google.com/spreadsheets/d/1eHaY18a8A9IcSdp1K8H6x8fbOy06t2VsZHhMHf-1x7Y/edit?usp=sharing"",""แผน!FH16"")"),20)</f>
        <v>20</v>
      </c>
      <c r="J129" s="466">
        <v>20</v>
      </c>
      <c r="K129" s="224">
        <f ca="1">IF(I129&gt;0,J129*100/I129,0)</f>
        <v>100</v>
      </c>
      <c r="L129" s="465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IFERROR(__xludf.DUMMYFUNCTION("IMPORTRANGE(""https://docs.google.com/spreadsheets/d/1eHaY18a8A9IcSdp1K8H6x8fbOy06t2VsZHhMHf-1x7Y/edit?usp=sharing"",""แผน!FI16"")"),0)</f>
        <v>0</v>
      </c>
      <c r="J130" s="466">
        <v>0</v>
      </c>
      <c r="K130" s="224">
        <f ca="1">IF(I130&gt;0,J130*100/I130,0)</f>
        <v>0</v>
      </c>
      <c r="L130" s="465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465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465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57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10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665">
        <f ca="1">I154</f>
        <v>1</v>
      </c>
      <c r="J136" s="665">
        <f>J154</f>
        <v>0</v>
      </c>
      <c r="K136" s="664">
        <f ca="1">IF(I136&gt;0,J136*100/I136,0)</f>
        <v>0</v>
      </c>
      <c r="L136" s="510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665">
        <f ca="1">I152</f>
        <v>20</v>
      </c>
      <c r="J137" s="665">
        <f>J152</f>
        <v>20</v>
      </c>
      <c r="K137" s="664">
        <f ca="1">IF(I137&gt;0,J137*100/I137,0)</f>
        <v>100</v>
      </c>
      <c r="L137" s="510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665">
        <f ca="1">I153</f>
        <v>2</v>
      </c>
      <c r="J138" s="665">
        <f>J153</f>
        <v>2</v>
      </c>
      <c r="K138" s="664">
        <f ca="1">IF(I138&gt;0,J138*100/I138,0)</f>
        <v>100</v>
      </c>
      <c r="L138" s="510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129" t="s">
        <v>18</v>
      </c>
      <c r="D139" s="472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471">
        <f ca="1">L140+L141</f>
        <v>137700</v>
      </c>
      <c r="M139" s="470">
        <f ca="1">M140+M141</f>
        <v>132700</v>
      </c>
      <c r="N139" s="470">
        <f ca="1">N140+N141</f>
        <v>108806</v>
      </c>
      <c r="O139" s="470">
        <f t="shared" ref="O139:O147" ca="1" si="41">IF(L139&gt;0,N139*100/L139,0)</f>
        <v>79.016702977487284</v>
      </c>
      <c r="P139" s="470">
        <f t="shared" ref="P139:P147" ca="1" si="42">IF(M139&gt;0,N139*100/M139,0)</f>
        <v>81.993971363978901</v>
      </c>
      <c r="Q139" s="470">
        <f ca="1">Q140+Q141</f>
        <v>0</v>
      </c>
      <c r="R139" s="470">
        <f ca="1">R140+R141</f>
        <v>0</v>
      </c>
      <c r="S139" s="470">
        <f ca="1">S140+S141</f>
        <v>0</v>
      </c>
      <c r="T139" s="470">
        <f t="shared" ref="T139:T147" ca="1" si="43">IF(Q139&gt;0,S139*100/Q139,0)</f>
        <v>0</v>
      </c>
      <c r="U139" s="470">
        <f t="shared" ref="U139:U147" ca="1" si="44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469">
        <f t="shared" ref="L140:N141" si="45">L143+L146</f>
        <v>0</v>
      </c>
      <c r="M140" s="83">
        <f t="shared" si="45"/>
        <v>0</v>
      </c>
      <c r="N140" s="83">
        <f t="shared" si="45"/>
        <v>0</v>
      </c>
      <c r="O140" s="83">
        <f t="shared" si="41"/>
        <v>0</v>
      </c>
      <c r="P140" s="83">
        <f t="shared" si="42"/>
        <v>0</v>
      </c>
      <c r="Q140" s="83">
        <f t="shared" ref="Q140:S141" si="46">Q143+Q146</f>
        <v>0</v>
      </c>
      <c r="R140" s="83">
        <f t="shared" si="46"/>
        <v>0</v>
      </c>
      <c r="S140" s="83">
        <f t="shared" si="46"/>
        <v>0</v>
      </c>
      <c r="T140" s="83">
        <f t="shared" si="43"/>
        <v>0</v>
      </c>
      <c r="U140" s="83">
        <f t="shared" si="44"/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468">
        <f t="shared" ca="1" si="45"/>
        <v>137700</v>
      </c>
      <c r="M141" s="224">
        <f t="shared" ca="1" si="45"/>
        <v>132700</v>
      </c>
      <c r="N141" s="224">
        <f t="shared" ca="1" si="45"/>
        <v>108806</v>
      </c>
      <c r="O141" s="224">
        <f t="shared" ca="1" si="41"/>
        <v>79.016702977487284</v>
      </c>
      <c r="P141" s="224">
        <f t="shared" ca="1" si="42"/>
        <v>81.993971363978901</v>
      </c>
      <c r="Q141" s="224">
        <f t="shared" ca="1" si="46"/>
        <v>0</v>
      </c>
      <c r="R141" s="224">
        <f t="shared" ca="1" si="46"/>
        <v>0</v>
      </c>
      <c r="S141" s="224">
        <f t="shared" ca="1" si="46"/>
        <v>0</v>
      </c>
      <c r="T141" s="224">
        <f t="shared" ca="1" si="43"/>
        <v>0</v>
      </c>
      <c r="U141" s="224">
        <f t="shared" ca="1" si="44"/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468">
        <f ca="1">L143+L144</f>
        <v>137700</v>
      </c>
      <c r="M142" s="224">
        <f ca="1">M143+M144</f>
        <v>132700</v>
      </c>
      <c r="N142" s="224">
        <f ca="1">N143+N144</f>
        <v>108806</v>
      </c>
      <c r="O142" s="224">
        <f t="shared" ca="1" si="41"/>
        <v>79.016702977487284</v>
      </c>
      <c r="P142" s="224">
        <f t="shared" ca="1" si="42"/>
        <v>81.993971363978901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t="shared" ca="1" si="43"/>
        <v>0</v>
      </c>
      <c r="U142" s="224">
        <f t="shared" ca="1" si="44"/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469">
        <v>0</v>
      </c>
      <c r="M143" s="83">
        <v>0</v>
      </c>
      <c r="N143" s="83">
        <v>0</v>
      </c>
      <c r="O143" s="83">
        <f t="shared" si="41"/>
        <v>0</v>
      </c>
      <c r="P143" s="83">
        <f t="shared" si="42"/>
        <v>0</v>
      </c>
      <c r="Q143" s="83">
        <v>0</v>
      </c>
      <c r="R143" s="83">
        <v>0</v>
      </c>
      <c r="S143" s="83">
        <v>0</v>
      </c>
      <c r="T143" s="83">
        <f t="shared" si="43"/>
        <v>0</v>
      </c>
      <c r="U143" s="83">
        <f t="shared" si="44"/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468">
        <f ca="1">IFERROR(__xludf.DUMMYFUNCTION("IMPORTRANGE(""https://docs.google.com/spreadsheets/d/1-uDff_7J0KD5mKrp0Vvzr7lt3OU09vwQwhkpOPPYv2Y/edit?usp=sharing"",""งบพรบ!BQ16"")"),137700)</f>
        <v>137700</v>
      </c>
      <c r="M144" s="224">
        <f ca="1">IFERROR(__xludf.DUMMYFUNCTION("IMPORTRANGE(""https://docs.google.com/spreadsheets/d/1-uDff_7J0KD5mKrp0Vvzr7lt3OU09vwQwhkpOPPYv2Y/edit?usp=sharing"",""งบพรบ!BV16"")"),132700)</f>
        <v>132700</v>
      </c>
      <c r="N144" s="224">
        <f ca="1">IFERROR(__xludf.DUMMYFUNCTION("IMPORTRANGE(""https://docs.google.com/spreadsheets/d/1-uDff_7J0KD5mKrp0Vvzr7lt3OU09vwQwhkpOPPYv2Y/edit?usp=sharing"",""งบพรบ!BX16"")"),108806)</f>
        <v>108806</v>
      </c>
      <c r="O144" s="224">
        <f t="shared" ca="1" si="41"/>
        <v>79.016702977487284</v>
      </c>
      <c r="P144" s="224">
        <f t="shared" ca="1" si="42"/>
        <v>81.993971363978901</v>
      </c>
      <c r="Q144" s="224">
        <f ca="1">IFERROR(__xludf.DUMMYFUNCTION("IMPORTRANGE(""https://docs.google.com/spreadsheets/d/1ItG2mGa2ceCfYo0BwxsXqNm01IGEUdYcSSLTEv9YCik/edit?usp=sharing"",""เบิกจ่ายกองทุน!BB16"")"),0)</f>
        <v>0</v>
      </c>
      <c r="R144" s="224">
        <f ca="1">IFERROR(__xludf.DUMMYFUNCTION("IMPORTRANGE(""https://docs.google.com/spreadsheets/d/1ItG2mGa2ceCfYo0BwxsXqNm01IGEUdYcSSLTEv9YCik/edit?usp=sharing"",""เบิกจ่ายกองทุน!BC16"")"),0)</f>
        <v>0</v>
      </c>
      <c r="S144" s="224">
        <f ca="1">IFERROR(__xludf.DUMMYFUNCTION("IMPORTRANGE(""https://docs.google.com/spreadsheets/d/1ItG2mGa2ceCfYo0BwxsXqNm01IGEUdYcSSLTEv9YCik/edit?usp=sharing"",""เบิกจ่ายกองทุน!BD16"")"),0)</f>
        <v>0</v>
      </c>
      <c r="T144" s="224">
        <f t="shared" ca="1" si="43"/>
        <v>0</v>
      </c>
      <c r="U144" s="224">
        <f t="shared" ca="1" si="44"/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468">
        <f ca="1">L146+L147</f>
        <v>0</v>
      </c>
      <c r="M145" s="224">
        <f ca="1">M146+M147</f>
        <v>0</v>
      </c>
      <c r="N145" s="224">
        <f ca="1">N146+N147</f>
        <v>0</v>
      </c>
      <c r="O145" s="224">
        <f t="shared" ca="1" si="41"/>
        <v>0</v>
      </c>
      <c r="P145" s="224">
        <f t="shared" ca="1" si="42"/>
        <v>0</v>
      </c>
      <c r="Q145" s="224">
        <f>Q146+Q147</f>
        <v>0</v>
      </c>
      <c r="R145" s="224">
        <f>R146+R147</f>
        <v>0</v>
      </c>
      <c r="S145" s="224">
        <f>S146+S147</f>
        <v>0</v>
      </c>
      <c r="T145" s="224">
        <f t="shared" si="43"/>
        <v>0</v>
      </c>
      <c r="U145" s="224">
        <f t="shared" si="44"/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469">
        <v>0</v>
      </c>
      <c r="M146" s="83">
        <v>0</v>
      </c>
      <c r="N146" s="83">
        <v>0</v>
      </c>
      <c r="O146" s="83">
        <f t="shared" si="41"/>
        <v>0</v>
      </c>
      <c r="P146" s="83">
        <f t="shared" si="42"/>
        <v>0</v>
      </c>
      <c r="Q146" s="83">
        <v>0</v>
      </c>
      <c r="R146" s="83">
        <v>0</v>
      </c>
      <c r="S146" s="83">
        <v>0</v>
      </c>
      <c r="T146" s="83">
        <f t="shared" si="43"/>
        <v>0</v>
      </c>
      <c r="U146" s="83">
        <f t="shared" si="44"/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468">
        <f ca="1">IFERROR(__xludf.DUMMYFUNCTION("IMPORTRANGE(""https://docs.google.com/spreadsheets/d/1-uDff_7J0KD5mKrp0Vvzr7lt3OU09vwQwhkpOPPYv2Y/edit?usp=sharing"",""งบพรบ!BT16"")"),0)</f>
        <v>0</v>
      </c>
      <c r="M147" s="224">
        <f ca="1">IFERROR(__xludf.DUMMYFUNCTION("IMPORTRANGE(""https://docs.google.com/spreadsheets/d/1-uDff_7J0KD5mKrp0Vvzr7lt3OU09vwQwhkpOPPYv2Y/edit?usp=sharing"",""งบพรบ!BW16"")"),0)</f>
        <v>0</v>
      </c>
      <c r="N147" s="224">
        <f ca="1">IFERROR(__xludf.DUMMYFUNCTION("IMPORTRANGE(""https://docs.google.com/spreadsheets/d/1-uDff_7J0KD5mKrp0Vvzr7lt3OU09vwQwhkpOPPYv2Y/edit?usp=sharing"",""งบพรบ!BY16"")"),0)</f>
        <v>0</v>
      </c>
      <c r="O147" s="224">
        <f t="shared" ca="1" si="41"/>
        <v>0</v>
      </c>
      <c r="P147" s="224">
        <f t="shared" ca="1" si="42"/>
        <v>0</v>
      </c>
      <c r="Q147" s="224">
        <v>0</v>
      </c>
      <c r="R147" s="224">
        <v>0</v>
      </c>
      <c r="S147" s="224">
        <v>0</v>
      </c>
      <c r="T147" s="224">
        <f t="shared" si="43"/>
        <v>0</v>
      </c>
      <c r="U147" s="224">
        <f t="shared" si="44"/>
        <v>0</v>
      </c>
    </row>
    <row r="148" spans="1:21" ht="19.5" x14ac:dyDescent="0.3">
      <c r="A148" s="138"/>
      <c r="B148" s="139"/>
      <c r="C148" s="129" t="s">
        <v>18</v>
      </c>
      <c r="D148" s="498" t="s">
        <v>38</v>
      </c>
      <c r="E148" s="141"/>
      <c r="F148" s="141"/>
      <c r="G148" s="142"/>
      <c r="H148" s="178"/>
      <c r="I148" s="44"/>
      <c r="J148" s="44"/>
      <c r="K148" s="45"/>
      <c r="L148" s="465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466">
        <v>0</v>
      </c>
      <c r="K149" s="45"/>
      <c r="L149" s="465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IFERROR(__xludf.DUMMYFUNCTION("IMPORTRANGE(""https://docs.google.com/spreadsheets/d/1eHaY18a8A9IcSdp1K8H6x8fbOy06t2VsZHhMHf-1x7Y/edit?usp=sharing"",""แผน!U16"")"),10)</f>
        <v>10</v>
      </c>
      <c r="J150" s="466">
        <v>10</v>
      </c>
      <c r="K150" s="224">
        <f ca="1">IF(I150&gt;0,J150*100/I150,0)</f>
        <v>100</v>
      </c>
      <c r="L150" s="465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IFERROR(__xludf.DUMMYFUNCTION("IMPORTRANGE(""https://docs.google.com/spreadsheets/d/1eHaY18a8A9IcSdp1K8H6x8fbOy06t2VsZHhMHf-1x7Y/edit?usp=sharing"",""แผน!V16"")"),1)</f>
        <v>1</v>
      </c>
      <c r="J151" s="466">
        <v>1</v>
      </c>
      <c r="K151" s="224">
        <f ca="1">IF(I151&gt;0,J151*100/I151,0)</f>
        <v>100</v>
      </c>
      <c r="L151" s="465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IFERROR(__xludf.DUMMYFUNCTION("IMPORTRANGE(""https://docs.google.com/spreadsheets/d/1eHaY18a8A9IcSdp1K8H6x8fbOy06t2VsZHhMHf-1x7Y/edit?usp=sharing"",""แผน!W16"")"),20)</f>
        <v>20</v>
      </c>
      <c r="J152" s="466">
        <v>20</v>
      </c>
      <c r="K152" s="224">
        <f ca="1">IF(I152&gt;0,J152*100/I152,0)</f>
        <v>100</v>
      </c>
      <c r="L152" s="465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IFERROR(__xludf.DUMMYFUNCTION("IMPORTRANGE(""https://docs.google.com/spreadsheets/d/1eHaY18a8A9IcSdp1K8H6x8fbOy06t2VsZHhMHf-1x7Y/edit?usp=sharing"",""แผน!X16"")"),2)</f>
        <v>2</v>
      </c>
      <c r="J153" s="466">
        <v>2</v>
      </c>
      <c r="K153" s="224">
        <f ca="1">IF(I153&gt;0,J153*100/I153,0)</f>
        <v>100</v>
      </c>
      <c r="L153" s="465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IFERROR(__xludf.DUMMYFUNCTION("IMPORTRANGE(""https://docs.google.com/spreadsheets/d/1eHaY18a8A9IcSdp1K8H6x8fbOy06t2VsZHhMHf-1x7Y/edit?usp=sharing"",""แผน!Y16"")"),1)</f>
        <v>1</v>
      </c>
      <c r="J154" s="466">
        <v>0</v>
      </c>
      <c r="K154" s="224">
        <f ca="1">IF(I154&gt;0,J154*100/I154,0)</f>
        <v>0</v>
      </c>
      <c r="L154" s="465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hidden="1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665">
        <f ca="1">I169</f>
        <v>0</v>
      </c>
      <c r="J156" s="665">
        <f>J169</f>
        <v>0</v>
      </c>
      <c r="K156" s="664">
        <f ca="1">IF(I156&gt;0,J156*100/I156,0)</f>
        <v>0</v>
      </c>
      <c r="L156" s="510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hidden="1" x14ac:dyDescent="0.3">
      <c r="A157" s="128"/>
      <c r="B157" s="40"/>
      <c r="C157" s="129" t="s">
        <v>18</v>
      </c>
      <c r="D157" s="472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471">
        <f ca="1">L158+L159</f>
        <v>0</v>
      </c>
      <c r="M157" s="470">
        <f ca="1">M158+M159</f>
        <v>8160</v>
      </c>
      <c r="N157" s="470">
        <f ca="1">N158+N159</f>
        <v>0</v>
      </c>
      <c r="O157" s="470">
        <f t="shared" ref="O157:O165" ca="1" si="47">IF(L157&gt;0,N157*100/L157,0)</f>
        <v>0</v>
      </c>
      <c r="P157" s="470">
        <f t="shared" ref="P157:P165" ca="1" si="48">IF(M157&gt;0,N157*100/M157,0)</f>
        <v>0</v>
      </c>
      <c r="Q157" s="470">
        <f ca="1">Q158+Q159</f>
        <v>0</v>
      </c>
      <c r="R157" s="470">
        <f ca="1">R158+R159</f>
        <v>0</v>
      </c>
      <c r="S157" s="470">
        <f ca="1">S158+S159</f>
        <v>0</v>
      </c>
      <c r="T157" s="470">
        <f t="shared" ref="T157:T165" ca="1" si="49">IF(Q157&gt;0,S157*100/Q157,0)</f>
        <v>0</v>
      </c>
      <c r="U157" s="470">
        <f t="shared" ref="U157:U165" ca="1" si="50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469">
        <f t="shared" ref="L158:N159" si="51">L161+L164</f>
        <v>0</v>
      </c>
      <c r="M158" s="83">
        <f t="shared" si="51"/>
        <v>0</v>
      </c>
      <c r="N158" s="83">
        <f t="shared" si="51"/>
        <v>0</v>
      </c>
      <c r="O158" s="83">
        <f t="shared" si="47"/>
        <v>0</v>
      </c>
      <c r="P158" s="83">
        <f t="shared" si="48"/>
        <v>0</v>
      </c>
      <c r="Q158" s="83">
        <f t="shared" ref="Q158:S159" si="52">Q161+Q164</f>
        <v>0</v>
      </c>
      <c r="R158" s="83">
        <f t="shared" si="52"/>
        <v>0</v>
      </c>
      <c r="S158" s="83">
        <f t="shared" si="52"/>
        <v>0</v>
      </c>
      <c r="T158" s="83">
        <f t="shared" si="49"/>
        <v>0</v>
      </c>
      <c r="U158" s="83">
        <f t="shared" si="50"/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468">
        <f t="shared" ca="1" si="51"/>
        <v>0</v>
      </c>
      <c r="M159" s="224">
        <f t="shared" ca="1" si="51"/>
        <v>8160</v>
      </c>
      <c r="N159" s="224">
        <f t="shared" ca="1" si="51"/>
        <v>0</v>
      </c>
      <c r="O159" s="224">
        <f t="shared" ca="1" si="47"/>
        <v>0</v>
      </c>
      <c r="P159" s="224">
        <f t="shared" ca="1" si="48"/>
        <v>0</v>
      </c>
      <c r="Q159" s="224">
        <f t="shared" ca="1" si="52"/>
        <v>0</v>
      </c>
      <c r="R159" s="224">
        <f t="shared" ca="1" si="52"/>
        <v>0</v>
      </c>
      <c r="S159" s="224">
        <f t="shared" ca="1" si="52"/>
        <v>0</v>
      </c>
      <c r="T159" s="224">
        <f t="shared" ca="1" si="49"/>
        <v>0</v>
      </c>
      <c r="U159" s="224">
        <f t="shared" ca="1" si="50"/>
        <v>0</v>
      </c>
    </row>
    <row r="160" spans="1:21" ht="18.75" hidden="1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468">
        <f ca="1">L161+L162</f>
        <v>0</v>
      </c>
      <c r="M160" s="224">
        <f ca="1">M161+M162</f>
        <v>8160</v>
      </c>
      <c r="N160" s="224">
        <f ca="1">N161+N162</f>
        <v>0</v>
      </c>
      <c r="O160" s="224">
        <f t="shared" ca="1" si="47"/>
        <v>0</v>
      </c>
      <c r="P160" s="224">
        <f t="shared" ca="1" si="48"/>
        <v>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t="shared" ca="1" si="49"/>
        <v>0</v>
      </c>
      <c r="U160" s="224">
        <f t="shared" ca="1" si="50"/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469">
        <v>0</v>
      </c>
      <c r="M161" s="83">
        <v>0</v>
      </c>
      <c r="N161" s="83">
        <v>0</v>
      </c>
      <c r="O161" s="83">
        <f t="shared" si="47"/>
        <v>0</v>
      </c>
      <c r="P161" s="83">
        <f t="shared" si="48"/>
        <v>0</v>
      </c>
      <c r="Q161" s="83">
        <v>0</v>
      </c>
      <c r="R161" s="83">
        <v>0</v>
      </c>
      <c r="S161" s="83">
        <v>0</v>
      </c>
      <c r="T161" s="83">
        <f t="shared" si="49"/>
        <v>0</v>
      </c>
      <c r="U161" s="83">
        <f t="shared" si="50"/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468">
        <f ca="1">IFERROR(__xludf.DUMMYFUNCTION("IMPORTRANGE(""https://docs.google.com/spreadsheets/d/1-uDff_7J0KD5mKrp0Vvzr7lt3OU09vwQwhkpOPPYv2Y/edit?usp=sharing"",""งบพรบ!CA16"")"),0)</f>
        <v>0</v>
      </c>
      <c r="M162" s="224">
        <f ca="1">IFERROR(__xludf.DUMMYFUNCTION("IMPORTRANGE(""https://docs.google.com/spreadsheets/d/1-uDff_7J0KD5mKrp0Vvzr7lt3OU09vwQwhkpOPPYv2Y/edit?usp=sharing"",""งบพรบ!CF16"")"),8160)</f>
        <v>8160</v>
      </c>
      <c r="N162" s="224">
        <f ca="1">IFERROR(__xludf.DUMMYFUNCTION("IMPORTRANGE(""https://docs.google.com/spreadsheets/d/1-uDff_7J0KD5mKrp0Vvzr7lt3OU09vwQwhkpOPPYv2Y/edit?usp=sharing"",""งบพรบ!CH16"")"),0)</f>
        <v>0</v>
      </c>
      <c r="O162" s="224">
        <f t="shared" ca="1" si="47"/>
        <v>0</v>
      </c>
      <c r="P162" s="224">
        <f t="shared" ca="1" si="48"/>
        <v>0</v>
      </c>
      <c r="Q162" s="224">
        <f ca="1">IFERROR(__xludf.DUMMYFUNCTION("IMPORTRANGE(""https://docs.google.com/spreadsheets/d/1ItG2mGa2ceCfYo0BwxsXqNm01IGEUdYcSSLTEv9YCik/edit?usp=sharing"",""เบิกจ่ายกองทุน!AG16"")"),0)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IFERROR(__xludf.DUMMYFUNCTION("IMPORTRANGE(""https://docs.google.com/spreadsheets/d/1ItG2mGa2ceCfYo0BwxsXqNm01IGEUdYcSSLTEv9YCik/edit?usp=sharing"",""เบิกจ่ายกองทุน!AH16"")"),0)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IFERROR(__xludf.DUMMYFUNCTION("IMPORTRANGE(""https://docs.google.com/spreadsheets/d/1ItG2mGa2ceCfYo0BwxsXqNm01IGEUdYcSSLTEv9YCik/edit?usp=sharing"",""เบิกจ่ายกองทุน!AI16"")"),0)</f>
        <v>0</v>
      </c>
      <c r="T162" s="224">
        <f t="shared" ca="1" si="49"/>
        <v>0</v>
      </c>
      <c r="U162" s="224">
        <f t="shared" ca="1" si="50"/>
        <v>0</v>
      </c>
    </row>
    <row r="163" spans="1:21" ht="18.75" hidden="1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468">
        <f ca="1">L164+L165</f>
        <v>0</v>
      </c>
      <c r="M163" s="224">
        <f ca="1">M164+M165</f>
        <v>0</v>
      </c>
      <c r="N163" s="224">
        <f ca="1">N164+N165</f>
        <v>0</v>
      </c>
      <c r="O163" s="224">
        <f t="shared" ca="1" si="47"/>
        <v>0</v>
      </c>
      <c r="P163" s="224">
        <f t="shared" ca="1" si="48"/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 t="shared" si="49"/>
        <v>0</v>
      </c>
      <c r="U163" s="224">
        <f t="shared" si="50"/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469">
        <v>0</v>
      </c>
      <c r="M164" s="83">
        <v>0</v>
      </c>
      <c r="N164" s="83">
        <v>0</v>
      </c>
      <c r="O164" s="83">
        <f t="shared" si="47"/>
        <v>0</v>
      </c>
      <c r="P164" s="83">
        <f t="shared" si="48"/>
        <v>0</v>
      </c>
      <c r="Q164" s="83">
        <v>0</v>
      </c>
      <c r="R164" s="83">
        <v>0</v>
      </c>
      <c r="S164" s="83">
        <v>0</v>
      </c>
      <c r="T164" s="83">
        <f t="shared" si="49"/>
        <v>0</v>
      </c>
      <c r="U164" s="83">
        <f t="shared" si="50"/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468">
        <f ca="1">IFERROR(__xludf.DUMMYFUNCTION("IMPORTRANGE(""https://docs.google.com/spreadsheets/d/1-uDff_7J0KD5mKrp0Vvzr7lt3OU09vwQwhkpOPPYv2Y/edit?usp=sharing"",""งบพรบ!CD16"")"),0)</f>
        <v>0</v>
      </c>
      <c r="M165" s="224">
        <f ca="1">IFERROR(__xludf.DUMMYFUNCTION("IMPORTRANGE(""https://docs.google.com/spreadsheets/d/1-uDff_7J0KD5mKrp0Vvzr7lt3OU09vwQwhkpOPPYv2Y/edit?usp=sharing"",""งบพรบ!CG16"")"),0)</f>
        <v>0</v>
      </c>
      <c r="N165" s="224">
        <f ca="1">IFERROR(__xludf.DUMMYFUNCTION("IMPORTRANGE(""https://docs.google.com/spreadsheets/d/1-uDff_7J0KD5mKrp0Vvzr7lt3OU09vwQwhkpOPPYv2Y/edit?usp=sharing"",""งบพรบ!CI16"")"),0)</f>
        <v>0</v>
      </c>
      <c r="O165" s="224">
        <f t="shared" ca="1" si="47"/>
        <v>0</v>
      </c>
      <c r="P165" s="224">
        <f t="shared" ca="1" si="48"/>
        <v>0</v>
      </c>
      <c r="Q165" s="224">
        <v>0</v>
      </c>
      <c r="R165" s="224">
        <v>0</v>
      </c>
      <c r="S165" s="224">
        <v>0</v>
      </c>
      <c r="T165" s="224">
        <f t="shared" si="49"/>
        <v>0</v>
      </c>
      <c r="U165" s="224">
        <f t="shared" si="50"/>
        <v>0</v>
      </c>
    </row>
    <row r="166" spans="1:21" ht="19.5" hidden="1" x14ac:dyDescent="0.3">
      <c r="A166" s="138"/>
      <c r="B166" s="139"/>
      <c r="C166" s="129" t="s">
        <v>18</v>
      </c>
      <c r="D166" s="498" t="s">
        <v>38</v>
      </c>
      <c r="E166" s="141"/>
      <c r="F166" s="141"/>
      <c r="G166" s="142"/>
      <c r="H166" s="178"/>
      <c r="I166" s="44"/>
      <c r="J166" s="44"/>
      <c r="K166" s="45"/>
      <c r="L166" s="465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hidden="1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IFERROR(__xludf.DUMMYFUNCTION("IMPORTRANGE(""https://docs.google.com/spreadsheets/d/1eHaY18a8A9IcSdp1K8H6x8fbOy06t2VsZHhMHf-1x7Y/edit?usp=sharing"",""แผน!Z16"")"),0)</f>
        <v>0</v>
      </c>
      <c r="J167" s="466">
        <v>0</v>
      </c>
      <c r="K167" s="224">
        <f ca="1">IF(I167&gt;0,J167*100/I167,0)</f>
        <v>0</v>
      </c>
      <c r="L167" s="465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375" t="s">
        <v>35</v>
      </c>
      <c r="I168" s="430">
        <f ca="1">IFERROR(__xludf.DUMMYFUNCTION("IMPORTRANGE(""https://docs.google.com/spreadsheets/d/1eHaY18a8A9IcSdp1K8H6x8fbOy06t2VsZHhMHf-1x7Y/edit?usp=sharing"",""แผน!Z16"")"),0)</f>
        <v>0</v>
      </c>
      <c r="J168" s="525">
        <v>0</v>
      </c>
      <c r="K168" s="83">
        <f ca="1">IF(I168&gt;0,J168*100/I168,0)</f>
        <v>0</v>
      </c>
      <c r="L168" s="465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31" t="s">
        <v>71</v>
      </c>
      <c r="E169" s="1"/>
      <c r="F169" s="1"/>
      <c r="G169" s="52"/>
      <c r="H169" s="663" t="s">
        <v>35</v>
      </c>
      <c r="I169" s="433">
        <f ca="1">IFERROR(__xludf.DUMMYFUNCTION("IMPORTRANGE(""https://docs.google.com/spreadsheets/d/1eHaY18a8A9IcSdp1K8H6x8fbOy06t2VsZHhMHf-1x7Y/edit?usp=sharing"",""แผน!Z16"")"),0)</f>
        <v>0</v>
      </c>
      <c r="J169" s="522">
        <v>0</v>
      </c>
      <c r="K169" s="521">
        <f ca="1">IF(I169&gt;0,J169*100/I169,0)</f>
        <v>0</v>
      </c>
      <c r="L169" s="46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662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661">
        <f ca="1">I183+I184</f>
        <v>7</v>
      </c>
      <c r="J172" s="661">
        <f>J183+J184</f>
        <v>7</v>
      </c>
      <c r="K172" s="660">
        <f ca="1">IF(I172&gt;0,J172*100/I172,0)</f>
        <v>100</v>
      </c>
      <c r="L172" s="659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472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471">
        <f ca="1">L174+L175</f>
        <v>19590</v>
      </c>
      <c r="M173" s="470">
        <f ca="1">M174+M175</f>
        <v>166020</v>
      </c>
      <c r="N173" s="470">
        <f ca="1">N174+N175</f>
        <v>164010</v>
      </c>
      <c r="O173" s="470">
        <f t="shared" ref="O173:O181" ca="1" si="53">IF(L173&gt;0,N173*100/L173,0)</f>
        <v>837.21286370597238</v>
      </c>
      <c r="P173" s="470">
        <f t="shared" ref="P173:P181" ca="1" si="54">IF(M173&gt;0,N173*100/M173,0)</f>
        <v>98.789302493675464</v>
      </c>
      <c r="Q173" s="470">
        <f ca="1">Q174+Q175</f>
        <v>0</v>
      </c>
      <c r="R173" s="470">
        <f ca="1">R174+R175</f>
        <v>0</v>
      </c>
      <c r="S173" s="470">
        <f ca="1">S174+S175</f>
        <v>0</v>
      </c>
      <c r="T173" s="470">
        <f t="shared" ref="T173:T181" ca="1" si="55">IF(Q173&gt;0,S173*100/Q173,0)</f>
        <v>0</v>
      </c>
      <c r="U173" s="470">
        <f t="shared" ref="U173:U181" ca="1" si="56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469">
        <f t="shared" ref="L174:N175" si="57">L177+L180</f>
        <v>0</v>
      </c>
      <c r="M174" s="83">
        <f t="shared" si="57"/>
        <v>0</v>
      </c>
      <c r="N174" s="83">
        <f t="shared" si="57"/>
        <v>0</v>
      </c>
      <c r="O174" s="83">
        <f t="shared" si="53"/>
        <v>0</v>
      </c>
      <c r="P174" s="83">
        <f t="shared" si="54"/>
        <v>0</v>
      </c>
      <c r="Q174" s="83">
        <f t="shared" ref="Q174:S175" si="58">Q177+Q180</f>
        <v>0</v>
      </c>
      <c r="R174" s="83">
        <f t="shared" si="58"/>
        <v>0</v>
      </c>
      <c r="S174" s="83">
        <f t="shared" si="58"/>
        <v>0</v>
      </c>
      <c r="T174" s="83">
        <f t="shared" si="55"/>
        <v>0</v>
      </c>
      <c r="U174" s="83">
        <f t="shared" si="56"/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468">
        <f t="shared" ca="1" si="57"/>
        <v>19590</v>
      </c>
      <c r="M175" s="224">
        <f t="shared" ca="1" si="57"/>
        <v>166020</v>
      </c>
      <c r="N175" s="224">
        <f t="shared" ca="1" si="57"/>
        <v>164010</v>
      </c>
      <c r="O175" s="224">
        <f t="shared" ca="1" si="53"/>
        <v>837.21286370597238</v>
      </c>
      <c r="P175" s="224">
        <f t="shared" ca="1" si="54"/>
        <v>98.789302493675464</v>
      </c>
      <c r="Q175" s="224">
        <f t="shared" ca="1" si="58"/>
        <v>0</v>
      </c>
      <c r="R175" s="224">
        <f t="shared" ca="1" si="58"/>
        <v>0</v>
      </c>
      <c r="S175" s="224">
        <f t="shared" ca="1" si="58"/>
        <v>0</v>
      </c>
      <c r="T175" s="224">
        <f t="shared" ca="1" si="55"/>
        <v>0</v>
      </c>
      <c r="U175" s="224">
        <f t="shared" ca="1" si="56"/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468">
        <f ca="1">L177+L178</f>
        <v>19590</v>
      </c>
      <c r="M176" s="224">
        <f ca="1">M177+M178</f>
        <v>166020</v>
      </c>
      <c r="N176" s="224">
        <f ca="1">N177+N178</f>
        <v>164010</v>
      </c>
      <c r="O176" s="224">
        <f t="shared" ca="1" si="53"/>
        <v>837.21286370597238</v>
      </c>
      <c r="P176" s="224">
        <f t="shared" ca="1" si="54"/>
        <v>98.789302493675464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t="shared" ca="1" si="55"/>
        <v>0</v>
      </c>
      <c r="U176" s="224">
        <f t="shared" ca="1" si="56"/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469">
        <v>0</v>
      </c>
      <c r="M177" s="83">
        <v>0</v>
      </c>
      <c r="N177" s="83">
        <v>0</v>
      </c>
      <c r="O177" s="83">
        <f t="shared" si="53"/>
        <v>0</v>
      </c>
      <c r="P177" s="83">
        <f t="shared" si="54"/>
        <v>0</v>
      </c>
      <c r="Q177" s="83">
        <v>0</v>
      </c>
      <c r="R177" s="83">
        <v>0</v>
      </c>
      <c r="S177" s="83">
        <v>0</v>
      </c>
      <c r="T177" s="83">
        <f t="shared" si="55"/>
        <v>0</v>
      </c>
      <c r="U177" s="83">
        <f t="shared" si="56"/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468">
        <f ca="1">IFERROR(__xludf.DUMMYFUNCTION("IMPORTRANGE(""https://docs.google.com/spreadsheets/d/1-uDff_7J0KD5mKrp0Vvzr7lt3OU09vwQwhkpOPPYv2Y/edit?usp=sharing"",""งบพรบ!CK16"")"),19590)</f>
        <v>19590</v>
      </c>
      <c r="M178" s="224">
        <f ca="1">IFERROR(__xludf.DUMMYFUNCTION("IMPORTRANGE(""https://docs.google.com/spreadsheets/d/1-uDff_7J0KD5mKrp0Vvzr7lt3OU09vwQwhkpOPPYv2Y/edit?usp=sharing"",""งบพรบ!CP16"")"),166020)</f>
        <v>166020</v>
      </c>
      <c r="N178" s="224">
        <f ca="1">IFERROR(__xludf.DUMMYFUNCTION("IMPORTRANGE(""https://docs.google.com/spreadsheets/d/1-uDff_7J0KD5mKrp0Vvzr7lt3OU09vwQwhkpOPPYv2Y/edit?usp=sharing"",""งบพรบ!CR16"")"),164010)</f>
        <v>164010</v>
      </c>
      <c r="O178" s="224">
        <f t="shared" ca="1" si="53"/>
        <v>837.21286370597238</v>
      </c>
      <c r="P178" s="224">
        <f t="shared" ca="1" si="54"/>
        <v>98.789302493675464</v>
      </c>
      <c r="Q178" s="224">
        <f ca="1">IFERROR(__xludf.DUMMYFUNCTION("IMPORTRANGE(""https://docs.google.com/spreadsheets/d/1ItG2mGa2ceCfYo0BwxsXqNm01IGEUdYcSSLTEv9YCik/edit?usp=sharing"",""เบิกจ่ายกองทุน!BE16"")"),0)</f>
        <v>0</v>
      </c>
      <c r="R178" s="224">
        <f ca="1">IFERROR(__xludf.DUMMYFUNCTION("IMPORTRANGE(""https://docs.google.com/spreadsheets/d/1ItG2mGa2ceCfYo0BwxsXqNm01IGEUdYcSSLTEv9YCik/edit?usp=sharing"",""เบิกจ่ายกองทุน!BF16"")"),0)</f>
        <v>0</v>
      </c>
      <c r="S178" s="224">
        <f ca="1">IFERROR(__xludf.DUMMYFUNCTION("IMPORTRANGE(""https://docs.google.com/spreadsheets/d/1ItG2mGa2ceCfYo0BwxsXqNm01IGEUdYcSSLTEv9YCik/edit?usp=sharing"",""เบิกจ่ายกองทุน!BG16"")"),0)</f>
        <v>0</v>
      </c>
      <c r="T178" s="224">
        <f t="shared" ca="1" si="55"/>
        <v>0</v>
      </c>
      <c r="U178" s="224">
        <f t="shared" ca="1" si="56"/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468">
        <f ca="1">L180+L181</f>
        <v>0</v>
      </c>
      <c r="M179" s="224">
        <f ca="1">M180+M181</f>
        <v>0</v>
      </c>
      <c r="N179" s="224">
        <f ca="1">N180+N181</f>
        <v>0</v>
      </c>
      <c r="O179" s="224">
        <f t="shared" ca="1" si="53"/>
        <v>0</v>
      </c>
      <c r="P179" s="224">
        <f t="shared" ca="1" si="54"/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 t="shared" si="55"/>
        <v>0</v>
      </c>
      <c r="U179" s="224">
        <f t="shared" si="56"/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469">
        <v>0</v>
      </c>
      <c r="M180" s="83">
        <v>0</v>
      </c>
      <c r="N180" s="83">
        <v>0</v>
      </c>
      <c r="O180" s="83">
        <f t="shared" si="53"/>
        <v>0</v>
      </c>
      <c r="P180" s="83">
        <f t="shared" si="54"/>
        <v>0</v>
      </c>
      <c r="Q180" s="83">
        <v>0</v>
      </c>
      <c r="R180" s="83">
        <v>0</v>
      </c>
      <c r="S180" s="83">
        <v>0</v>
      </c>
      <c r="T180" s="83">
        <f t="shared" si="55"/>
        <v>0</v>
      </c>
      <c r="U180" s="83">
        <f t="shared" si="56"/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468">
        <f ca="1">IFERROR(__xludf.DUMMYFUNCTION("IMPORTRANGE(""https://docs.google.com/spreadsheets/d/1-uDff_7J0KD5mKrp0Vvzr7lt3OU09vwQwhkpOPPYv2Y/edit?usp=sharing"",""งบพรบ!CN16"")"),0)</f>
        <v>0</v>
      </c>
      <c r="M181" s="224">
        <f ca="1">IFERROR(__xludf.DUMMYFUNCTION("IMPORTRANGE(""https://docs.google.com/spreadsheets/d/1-uDff_7J0KD5mKrp0Vvzr7lt3OU09vwQwhkpOPPYv2Y/edit?usp=sharing"",""งบพรบ!CQ16"")"),0)</f>
        <v>0</v>
      </c>
      <c r="N181" s="224">
        <f ca="1">IFERROR(__xludf.DUMMYFUNCTION("IMPORTRANGE(""https://docs.google.com/spreadsheets/d/1-uDff_7J0KD5mKrp0Vvzr7lt3OU09vwQwhkpOPPYv2Y/edit?usp=sharing"",""งบพรบ!CS16"")"),0)</f>
        <v>0</v>
      </c>
      <c r="O181" s="224">
        <f t="shared" ca="1" si="53"/>
        <v>0</v>
      </c>
      <c r="P181" s="224">
        <f t="shared" ca="1" si="54"/>
        <v>0</v>
      </c>
      <c r="Q181" s="224">
        <v>0</v>
      </c>
      <c r="R181" s="224">
        <v>0</v>
      </c>
      <c r="S181" s="224">
        <v>0</v>
      </c>
      <c r="T181" s="224">
        <f t="shared" si="55"/>
        <v>0</v>
      </c>
      <c r="U181" s="224">
        <f t="shared" si="56"/>
        <v>0</v>
      </c>
    </row>
    <row r="182" spans="1:21" ht="19.5" x14ac:dyDescent="0.3">
      <c r="A182" s="138"/>
      <c r="B182" s="139"/>
      <c r="C182" s="129" t="s">
        <v>18</v>
      </c>
      <c r="D182" s="498" t="s">
        <v>38</v>
      </c>
      <c r="E182" s="141"/>
      <c r="F182" s="141"/>
      <c r="G182" s="142"/>
      <c r="H182" s="178"/>
      <c r="I182" s="44"/>
      <c r="J182" s="44"/>
      <c r="K182" s="45"/>
      <c r="L182" s="465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IFERROR(__xludf.DUMMYFUNCTION("IMPORTRANGE(""https://docs.google.com/spreadsheets/d/1eHaY18a8A9IcSdp1K8H6x8fbOy06t2VsZHhMHf-1x7Y/edit?usp=sharing"",""แผน!AA16"")"),7)</f>
        <v>7</v>
      </c>
      <c r="J183" s="466">
        <v>7</v>
      </c>
      <c r="K183" s="224">
        <f ca="1">IF(I183&gt;0,J183*100/I183,0)</f>
        <v>100</v>
      </c>
      <c r="L183" s="465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14" t="s">
        <v>76</v>
      </c>
      <c r="E184" s="40"/>
      <c r="F184" s="40"/>
      <c r="G184" s="42"/>
      <c r="H184" s="526" t="s">
        <v>35</v>
      </c>
      <c r="I184" s="430">
        <v>0</v>
      </c>
      <c r="J184" s="430">
        <v>0</v>
      </c>
      <c r="K184" s="83">
        <f>IF(I184&gt;0,J184*100/I184,0)</f>
        <v>0</v>
      </c>
      <c r="L184" s="465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661">
        <f ca="1">I230+I231</f>
        <v>120</v>
      </c>
      <c r="J185" s="661">
        <f>J230+J231</f>
        <v>120</v>
      </c>
      <c r="K185" s="660">
        <f ca="1">IF(I185&gt;0,J185*100/I185,0)</f>
        <v>100</v>
      </c>
      <c r="L185" s="659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472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471">
        <f ca="1">L187+L188</f>
        <v>509400</v>
      </c>
      <c r="M186" s="470">
        <f ca="1">M187+M188</f>
        <v>413100</v>
      </c>
      <c r="N186" s="470">
        <f ca="1">N187+N188</f>
        <v>270861.71000000002</v>
      </c>
      <c r="O186" s="470">
        <f t="shared" ref="O186:O194" ca="1" si="59">IF(L186&gt;0,N186*100/L186,0)</f>
        <v>53.172695327836678</v>
      </c>
      <c r="P186" s="470">
        <f t="shared" ref="P186:P194" ca="1" si="60">IF(M186&gt;0,N186*100/M186,0)</f>
        <v>65.56807310578553</v>
      </c>
      <c r="Q186" s="470">
        <f ca="1">Q187+Q188</f>
        <v>324600</v>
      </c>
      <c r="R186" s="470">
        <f ca="1">R187+R188</f>
        <v>324600</v>
      </c>
      <c r="S186" s="470">
        <f ca="1">S187+S188</f>
        <v>274800</v>
      </c>
      <c r="T186" s="470">
        <f t="shared" ref="T186:T194" ca="1" si="61">IF(Q186&gt;0,S186*100/Q186,0)</f>
        <v>84.658040665434385</v>
      </c>
      <c r="U186" s="470">
        <f t="shared" ref="U186:U194" ca="1" si="62">IF(R186&gt;0,S186*100/R186,0)</f>
        <v>84.658040665434385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469">
        <f t="shared" ref="L187:N188" si="63">L190+L193</f>
        <v>0</v>
      </c>
      <c r="M187" s="83">
        <f t="shared" si="63"/>
        <v>0</v>
      </c>
      <c r="N187" s="83">
        <f t="shared" si="63"/>
        <v>0</v>
      </c>
      <c r="O187" s="83">
        <f t="shared" si="59"/>
        <v>0</v>
      </c>
      <c r="P187" s="83">
        <f t="shared" si="60"/>
        <v>0</v>
      </c>
      <c r="Q187" s="83">
        <f t="shared" ref="Q187:S188" si="64">Q190+Q193</f>
        <v>0</v>
      </c>
      <c r="R187" s="83">
        <f t="shared" si="64"/>
        <v>0</v>
      </c>
      <c r="S187" s="83">
        <f t="shared" si="64"/>
        <v>0</v>
      </c>
      <c r="T187" s="83">
        <f t="shared" si="61"/>
        <v>0</v>
      </c>
      <c r="U187" s="83">
        <f t="shared" si="62"/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468">
        <f t="shared" ca="1" si="63"/>
        <v>509400</v>
      </c>
      <c r="M188" s="224">
        <f t="shared" ca="1" si="63"/>
        <v>413100</v>
      </c>
      <c r="N188" s="224">
        <f t="shared" ca="1" si="63"/>
        <v>270861.71000000002</v>
      </c>
      <c r="O188" s="224">
        <f t="shared" ca="1" si="59"/>
        <v>53.172695327836678</v>
      </c>
      <c r="P188" s="224">
        <f t="shared" ca="1" si="60"/>
        <v>65.56807310578553</v>
      </c>
      <c r="Q188" s="224">
        <f t="shared" ca="1" si="64"/>
        <v>324600</v>
      </c>
      <c r="R188" s="224">
        <f t="shared" ca="1" si="64"/>
        <v>324600</v>
      </c>
      <c r="S188" s="224">
        <f t="shared" ca="1" si="64"/>
        <v>274800</v>
      </c>
      <c r="T188" s="224">
        <f t="shared" ca="1" si="61"/>
        <v>84.658040665434385</v>
      </c>
      <c r="U188" s="224">
        <f t="shared" ca="1" si="62"/>
        <v>84.658040665434385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468">
        <f ca="1">L190+L191</f>
        <v>509400</v>
      </c>
      <c r="M189" s="224">
        <f ca="1">M190+M191</f>
        <v>413100</v>
      </c>
      <c r="N189" s="224">
        <f ca="1">N190+N191</f>
        <v>270861.71000000002</v>
      </c>
      <c r="O189" s="224">
        <f t="shared" ca="1" si="59"/>
        <v>53.172695327836678</v>
      </c>
      <c r="P189" s="224">
        <f t="shared" ca="1" si="60"/>
        <v>65.56807310578553</v>
      </c>
      <c r="Q189" s="224">
        <f ca="1">Q190+Q191</f>
        <v>324600</v>
      </c>
      <c r="R189" s="224">
        <f ca="1">R190+R191</f>
        <v>324600</v>
      </c>
      <c r="S189" s="224">
        <f ca="1">S190+S191</f>
        <v>274800</v>
      </c>
      <c r="T189" s="224">
        <f t="shared" ca="1" si="61"/>
        <v>84.658040665434385</v>
      </c>
      <c r="U189" s="224">
        <f t="shared" ca="1" si="62"/>
        <v>84.658040665434385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469">
        <v>0</v>
      </c>
      <c r="M190" s="83">
        <v>0</v>
      </c>
      <c r="N190" s="83">
        <v>0</v>
      </c>
      <c r="O190" s="83">
        <f t="shared" si="59"/>
        <v>0</v>
      </c>
      <c r="P190" s="83">
        <f t="shared" si="60"/>
        <v>0</v>
      </c>
      <c r="Q190" s="83">
        <v>0</v>
      </c>
      <c r="R190" s="83">
        <v>0</v>
      </c>
      <c r="S190" s="83">
        <v>0</v>
      </c>
      <c r="T190" s="83">
        <f t="shared" si="61"/>
        <v>0</v>
      </c>
      <c r="U190" s="83">
        <f t="shared" si="62"/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468">
        <f ca="1">IFERROR(__xludf.DUMMYFUNCTION("IMPORTRANGE(""https://docs.google.com/spreadsheets/d/1-uDff_7J0KD5mKrp0Vvzr7lt3OU09vwQwhkpOPPYv2Y/edit?usp=sharing"",""งบพรบ!CU16"")"),509400)</f>
        <v>509400</v>
      </c>
      <c r="M191" s="224">
        <f ca="1">IFERROR(__xludf.DUMMYFUNCTION("IMPORTRANGE(""https://docs.google.com/spreadsheets/d/1-uDff_7J0KD5mKrp0Vvzr7lt3OU09vwQwhkpOPPYv2Y/edit?usp=sharing"",""งบพรบ!CZ16"")"),413100)</f>
        <v>413100</v>
      </c>
      <c r="N191" s="224">
        <f ca="1">IFERROR(__xludf.DUMMYFUNCTION("IMPORTRANGE(""https://docs.google.com/spreadsheets/d/1-uDff_7J0KD5mKrp0Vvzr7lt3OU09vwQwhkpOPPYv2Y/edit?usp=sharing"",""งบพรบ!DB16"")"),270861.71)</f>
        <v>270861.71000000002</v>
      </c>
      <c r="O191" s="224">
        <f t="shared" ca="1" si="59"/>
        <v>53.172695327836678</v>
      </c>
      <c r="P191" s="224">
        <f t="shared" ca="1" si="60"/>
        <v>65.56807310578553</v>
      </c>
      <c r="Q191" s="224">
        <f ca="1">IFERROR(__xludf.DUMMYFUNCTION("IMPORTRANGE(""https://docs.google.com/spreadsheets/d/1ItG2mGa2ceCfYo0BwxsXqNm01IGEUdYcSSLTEv9YCik/edit?usp=sharing"",""เบิกจ่ายกองทุน!AV16"")"),324600)</f>
        <v>324600</v>
      </c>
      <c r="R191" s="224">
        <f ca="1">IFERROR(__xludf.DUMMYFUNCTION("IMPORTRANGE(""https://docs.google.com/spreadsheets/d/1ItG2mGa2ceCfYo0BwxsXqNm01IGEUdYcSSLTEv9YCik/edit?usp=sharing"",""เบิกจ่ายกองทุน!AW16"")"),324600)</f>
        <v>324600</v>
      </c>
      <c r="S191" s="224">
        <f ca="1">IFERROR(__xludf.DUMMYFUNCTION("IMPORTRANGE(""https://docs.google.com/spreadsheets/d/1ItG2mGa2ceCfYo0BwxsXqNm01IGEUdYcSSLTEv9YCik/edit?usp=sharing"",""เบิกจ่ายกองทุน!AX16"")"),274800)</f>
        <v>274800</v>
      </c>
      <c r="T191" s="224">
        <f t="shared" ca="1" si="61"/>
        <v>84.658040665434385</v>
      </c>
      <c r="U191" s="224">
        <f t="shared" ca="1" si="62"/>
        <v>84.658040665434385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468">
        <f ca="1">L193+L194</f>
        <v>0</v>
      </c>
      <c r="M192" s="224">
        <f ca="1">M193+M194</f>
        <v>0</v>
      </c>
      <c r="N192" s="224">
        <f ca="1">N193+N194</f>
        <v>0</v>
      </c>
      <c r="O192" s="224">
        <f t="shared" ca="1" si="59"/>
        <v>0</v>
      </c>
      <c r="P192" s="224">
        <f t="shared" ca="1" si="60"/>
        <v>0</v>
      </c>
      <c r="Q192" s="224">
        <f>Q193+Q194</f>
        <v>0</v>
      </c>
      <c r="R192" s="224">
        <f>R193+R194</f>
        <v>0</v>
      </c>
      <c r="S192" s="224">
        <f>S193+S194</f>
        <v>0</v>
      </c>
      <c r="T192" s="224">
        <f t="shared" si="61"/>
        <v>0</v>
      </c>
      <c r="U192" s="224">
        <f t="shared" si="62"/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469">
        <v>0</v>
      </c>
      <c r="M193" s="83">
        <v>0</v>
      </c>
      <c r="N193" s="83">
        <v>0</v>
      </c>
      <c r="O193" s="83">
        <f t="shared" si="59"/>
        <v>0</v>
      </c>
      <c r="P193" s="83">
        <f t="shared" si="60"/>
        <v>0</v>
      </c>
      <c r="Q193" s="83">
        <v>0</v>
      </c>
      <c r="R193" s="83">
        <v>0</v>
      </c>
      <c r="S193" s="83">
        <v>0</v>
      </c>
      <c r="T193" s="83">
        <f t="shared" si="61"/>
        <v>0</v>
      </c>
      <c r="U193" s="83">
        <f t="shared" si="62"/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468">
        <f ca="1">IFERROR(__xludf.DUMMYFUNCTION("IMPORTRANGE(""https://docs.google.com/spreadsheets/d/1-uDff_7J0KD5mKrp0Vvzr7lt3OU09vwQwhkpOPPYv2Y/edit?usp=sharing"",""งบพรบ!CX16"")"),0)</f>
        <v>0</v>
      </c>
      <c r="M194" s="224">
        <f ca="1">IFERROR(__xludf.DUMMYFUNCTION("IMPORTRANGE(""https://docs.google.com/spreadsheets/d/1-uDff_7J0KD5mKrp0Vvzr7lt3OU09vwQwhkpOPPYv2Y/edit?usp=sharing"",""งบพรบ!DA16"")"),0)</f>
        <v>0</v>
      </c>
      <c r="N194" s="224">
        <f ca="1">IFERROR(__xludf.DUMMYFUNCTION("IMPORTRANGE(""https://docs.google.com/spreadsheets/d/1-uDff_7J0KD5mKrp0Vvzr7lt3OU09vwQwhkpOPPYv2Y/edit?usp=sharing"",""งบพรบ!DC16"")"),0)</f>
        <v>0</v>
      </c>
      <c r="O194" s="224">
        <f t="shared" ca="1" si="59"/>
        <v>0</v>
      </c>
      <c r="P194" s="224">
        <f t="shared" ca="1" si="60"/>
        <v>0</v>
      </c>
      <c r="Q194" s="224">
        <v>0</v>
      </c>
      <c r="R194" s="224">
        <v>0</v>
      </c>
      <c r="S194" s="224">
        <v>0</v>
      </c>
      <c r="T194" s="224">
        <f t="shared" si="61"/>
        <v>0</v>
      </c>
      <c r="U194" s="224">
        <f t="shared" si="62"/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ca="1">I198</f>
        <v>4</v>
      </c>
      <c r="J195" s="303">
        <f>J198</f>
        <v>2</v>
      </c>
      <c r="K195" s="304">
        <f ca="1">IF(I195&gt;0,J195*100/I195,0)</f>
        <v>50</v>
      </c>
      <c r="L195" s="557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654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471">
        <f ca="1">IFERROR(__xludf.DUMMYFUNCTION("IMPORTRANGE(""https://docs.google.com/spreadsheets/d/1eHaY18a8A9IcSdp1K8H6x8fbOy06t2VsZHhMHf-1x7Y/edit?usp=sharing"",""แผน!AB16"")"),6000)</f>
        <v>6000</v>
      </c>
      <c r="M196" s="45"/>
      <c r="N196" s="658">
        <v>4240</v>
      </c>
      <c r="O196" s="470">
        <f ca="1">IF(L196&gt;0,N196*100/L196,0)</f>
        <v>70.666666666666671</v>
      </c>
      <c r="P196" s="47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498" t="s">
        <v>38</v>
      </c>
      <c r="E197" s="141"/>
      <c r="F197" s="141"/>
      <c r="G197" s="142"/>
      <c r="H197" s="143"/>
      <c r="I197" s="44"/>
      <c r="J197" s="44"/>
      <c r="K197" s="45"/>
      <c r="L197" s="465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IFERROR(__xludf.DUMMYFUNCTION("IMPORTRANGE(""https://docs.google.com/spreadsheets/d/1eHaY18a8A9IcSdp1K8H6x8fbOy06t2VsZHhMHf-1x7Y/edit?usp=sharing"",""แผน!AE16"")"),4)</f>
        <v>4</v>
      </c>
      <c r="J198" s="466">
        <v>2</v>
      </c>
      <c r="K198" s="224">
        <f ca="1">IF(I198&gt;0,J198*100/I198,0)</f>
        <v>50</v>
      </c>
      <c r="L198" s="465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37</v>
      </c>
      <c r="K199" s="45"/>
      <c r="L199" s="465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466">
        <v>37</v>
      </c>
      <c r="K200" s="45"/>
      <c r="L200" s="465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466">
        <v>0</v>
      </c>
      <c r="K201" s="45"/>
      <c r="L201" s="465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ca="1">I209</f>
        <v>2</v>
      </c>
      <c r="J202" s="303">
        <f>J209</f>
        <v>2</v>
      </c>
      <c r="K202" s="304">
        <f ca="1">IF(I202&gt;0,J202*100/I202,0)</f>
        <v>100</v>
      </c>
      <c r="L202" s="557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654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471">
        <f ca="1">L204+L205+L206+L207</f>
        <v>10000</v>
      </c>
      <c r="M203" s="45"/>
      <c r="N203" s="470">
        <f>N204+N205+N206+N207</f>
        <v>500</v>
      </c>
      <c r="O203" s="470">
        <f ca="1">IF(L203&gt;0,N203*100/L203,0)</f>
        <v>5</v>
      </c>
      <c r="P203" s="470">
        <f>IF(M203&gt;0,N203*100/M203,0)</f>
        <v>0</v>
      </c>
      <c r="Q203" s="657">
        <f ca="1">Q204+Q205+Q206+Q207</f>
        <v>28000</v>
      </c>
      <c r="R203" s="656"/>
      <c r="S203" s="655">
        <f>S204+S205+S206+S207</f>
        <v>27900</v>
      </c>
      <c r="T203" s="655">
        <f ca="1">IF(Q203&gt;0,S203*100/Q203,0)</f>
        <v>99.642857142857139</v>
      </c>
      <c r="U203" s="655">
        <f>IF(R203&gt;0,S203*100/R203,0)</f>
        <v>0</v>
      </c>
    </row>
    <row r="204" spans="1:21" ht="18.75" x14ac:dyDescent="0.25">
      <c r="A204" s="128"/>
      <c r="B204" s="158"/>
      <c r="C204" s="40"/>
      <c r="D204" s="653" t="s">
        <v>311</v>
      </c>
      <c r="E204" s="40"/>
      <c r="F204" s="40"/>
      <c r="G204" s="42"/>
      <c r="H204" s="134" t="s">
        <v>14</v>
      </c>
      <c r="I204" s="135"/>
      <c r="J204" s="135"/>
      <c r="K204" s="136"/>
      <c r="L204" s="468">
        <f ca="1">IFERROR(__xludf.DUMMYFUNCTION("IMPORTRANGE(""https://docs.google.com/spreadsheets/d/1eHaY18a8A9IcSdp1K8H6x8fbOy06t2VsZHhMHf-1x7Y/edit?usp=sharing"",""แผน!AG16"")"),2000)</f>
        <v>2000</v>
      </c>
      <c r="M204" s="45"/>
      <c r="N204" s="644">
        <v>500</v>
      </c>
      <c r="O204" s="136"/>
      <c r="P204" s="45"/>
      <c r="Q204" s="468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307</v>
      </c>
      <c r="E205" s="40"/>
      <c r="F205" s="40"/>
      <c r="G205" s="42"/>
      <c r="H205" s="43" t="s">
        <v>14</v>
      </c>
      <c r="I205" s="44"/>
      <c r="J205" s="44"/>
      <c r="K205" s="45"/>
      <c r="L205" s="468">
        <f ca="1">IFERROR(__xludf.DUMMYFUNCTION("IMPORTRANGE(""https://docs.google.com/spreadsheets/d/1eHaY18a8A9IcSdp1K8H6x8fbOy06t2VsZHhMHf-1x7Y/edit?usp=sharing"",""แผน!AH16"")"),0)</f>
        <v>0</v>
      </c>
      <c r="M205" s="45"/>
      <c r="N205" s="644">
        <v>0</v>
      </c>
      <c r="O205" s="136"/>
      <c r="P205" s="45"/>
      <c r="Q205" s="468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468">
        <f ca="1">IFERROR(__xludf.DUMMYFUNCTION("IMPORTRANGE(""https://docs.google.com/spreadsheets/d/1eHaY18a8A9IcSdp1K8H6x8fbOy06t2VsZHhMHf-1x7Y/edit?usp=sharing"",""แผน!AI16"")"),0)</f>
        <v>0</v>
      </c>
      <c r="M206" s="45"/>
      <c r="N206" s="644">
        <v>0</v>
      </c>
      <c r="O206" s="136"/>
      <c r="P206" s="45"/>
      <c r="Q206" s="468">
        <f ca="1">IFERROR(__xludf.DUMMYFUNCTION("IMPORTRANGE(""https://docs.google.com/spreadsheets/d/1eHaY18a8A9IcSdp1K8H6x8fbOy06t2VsZHhMHf-1x7Y/edit?usp=sharing"",""แผน!LV16"")"),28000)</f>
        <v>28000</v>
      </c>
      <c r="R206" s="45"/>
      <c r="S206" s="644">
        <v>27900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468">
        <f ca="1">IFERROR(__xludf.DUMMYFUNCTION("IMPORTRANGE(""https://docs.google.com/spreadsheets/d/1eHaY18a8A9IcSdp1K8H6x8fbOy06t2VsZHhMHf-1x7Y/edit?usp=sharing"",""แผน!AJ16"")"),8000)</f>
        <v>8000</v>
      </c>
      <c r="M207" s="45"/>
      <c r="N207" s="644">
        <v>0</v>
      </c>
      <c r="O207" s="136"/>
      <c r="P207" s="45"/>
      <c r="Q207" s="468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498" t="s">
        <v>38</v>
      </c>
      <c r="E208" s="141"/>
      <c r="F208" s="141"/>
      <c r="G208" s="142"/>
      <c r="H208" s="143"/>
      <c r="I208" s="135"/>
      <c r="J208" s="135"/>
      <c r="K208" s="136"/>
      <c r="L208" s="492"/>
      <c r="M208" s="136"/>
      <c r="N208" s="136"/>
      <c r="O208" s="136"/>
      <c r="P208" s="136"/>
      <c r="Q208" s="4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IFERROR(__xludf.DUMMYFUNCTION("IMPORTRANGE(""https://docs.google.com/spreadsheets/d/1eHaY18a8A9IcSdp1K8H6x8fbOy06t2VsZHhMHf-1x7Y/edit?usp=sharing"",""แผน!AK16"")"),2)</f>
        <v>2</v>
      </c>
      <c r="J209" s="466">
        <v>2</v>
      </c>
      <c r="K209" s="497">
        <f ca="1">IF(I209&gt;0,J209*100/I209,0)</f>
        <v>100</v>
      </c>
      <c r="L209" s="465"/>
      <c r="M209" s="45"/>
      <c r="N209" s="45"/>
      <c r="O209" s="45"/>
      <c r="P209" s="45"/>
      <c r="Q209" s="465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465"/>
      <c r="M210" s="45"/>
      <c r="N210" s="45"/>
      <c r="O210" s="45"/>
      <c r="P210" s="45"/>
      <c r="Q210" s="46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IFERROR(__xludf.DUMMYFUNCTION("IMPORTRANGE(""https://docs.google.com/spreadsheets/d/1eHaY18a8A9IcSdp1K8H6x8fbOy06t2VsZHhMHf-1x7Y/edit?usp=sharing"",""แผน!JX16"")"),2)</f>
        <v>2</v>
      </c>
      <c r="J211" s="466">
        <v>0</v>
      </c>
      <c r="K211" s="497">
        <f ca="1">IF(I211&gt;0,J211*100/I211,0)</f>
        <v>0</v>
      </c>
      <c r="L211" s="465"/>
      <c r="M211" s="45"/>
      <c r="N211" s="45"/>
      <c r="O211" s="45"/>
      <c r="P211" s="45"/>
      <c r="Q211" s="46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IFERROR(__xludf.DUMMYFUNCTION("IMPORTRANGE(""https://docs.google.com/spreadsheets/d/1eHaY18a8A9IcSdp1K8H6x8fbOy06t2VsZHhMHf-1x7Y/edit?usp=sharing"",""แผน!JY16"")"),0)</f>
        <v>0</v>
      </c>
      <c r="J212" s="466">
        <v>0</v>
      </c>
      <c r="K212" s="497">
        <f ca="1">IF(I212&gt;0,J212*100/I212,0)</f>
        <v>0</v>
      </c>
      <c r="L212" s="465"/>
      <c r="M212" s="45"/>
      <c r="N212" s="45"/>
      <c r="O212" s="45"/>
      <c r="P212" s="45"/>
      <c r="Q212" s="465"/>
      <c r="R212" s="45"/>
      <c r="S212" s="45"/>
      <c r="T212" s="45"/>
      <c r="U212" s="45"/>
    </row>
    <row r="213" spans="1:21" ht="19.5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ca="1">I220</f>
        <v>1</v>
      </c>
      <c r="J213" s="303">
        <f>J220</f>
        <v>0</v>
      </c>
      <c r="K213" s="304">
        <f ca="1">IF(I213&gt;0,J213*100/I213,0)</f>
        <v>0</v>
      </c>
      <c r="L213" s="557"/>
      <c r="M213" s="219"/>
      <c r="N213" s="219"/>
      <c r="O213" s="219"/>
      <c r="P213" s="219"/>
      <c r="Q213" s="557"/>
      <c r="R213" s="219"/>
      <c r="S213" s="219"/>
      <c r="T213" s="219"/>
      <c r="U213" s="219"/>
    </row>
    <row r="214" spans="1:21" ht="19.5" x14ac:dyDescent="0.3">
      <c r="A214" s="128"/>
      <c r="B214" s="40"/>
      <c r="C214" s="129" t="s">
        <v>18</v>
      </c>
      <c r="D214" s="654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471">
        <f ca="1">L215+L216+L217</f>
        <v>6000</v>
      </c>
      <c r="M214" s="45"/>
      <c r="N214" s="470">
        <f>N215+N216+N217</f>
        <v>0</v>
      </c>
      <c r="O214" s="470">
        <f ca="1">IF(L214&gt;0,N214*100/L214,0)</f>
        <v>0</v>
      </c>
      <c r="P214" s="470">
        <f>IF(M214&gt;0,N214*100/M214,0)</f>
        <v>0</v>
      </c>
      <c r="Q214" s="471">
        <f ca="1">Q215+Q216+Q217</f>
        <v>49700</v>
      </c>
      <c r="R214" s="45"/>
      <c r="S214" s="470">
        <f>S215+S216+S217</f>
        <v>0</v>
      </c>
      <c r="T214" s="470">
        <f ca="1">IF(Q214&gt;0,S214*100/Q214,0)</f>
        <v>0</v>
      </c>
      <c r="U214" s="470">
        <f>IF(R214&gt;0,S214*100/R214,0)</f>
        <v>0</v>
      </c>
    </row>
    <row r="215" spans="1:21" ht="18.75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468">
        <f ca="1">IFERROR(__xludf.DUMMYFUNCTION("IMPORTRANGE(""https://docs.google.com/spreadsheets/d/1eHaY18a8A9IcSdp1K8H6x8fbOy06t2VsZHhMHf-1x7Y/edit?usp=sharing"",""แผน!AM16"")"),1000)</f>
        <v>1000</v>
      </c>
      <c r="M215" s="45"/>
      <c r="N215" s="644">
        <v>0</v>
      </c>
      <c r="O215" s="136"/>
      <c r="P215" s="45"/>
      <c r="Q215" s="468">
        <v>0</v>
      </c>
      <c r="R215" s="45"/>
      <c r="S215" s="224">
        <v>0</v>
      </c>
      <c r="T215" s="136"/>
      <c r="U215" s="45"/>
    </row>
    <row r="216" spans="1:21" ht="18.75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468">
        <f ca="1">IFERROR(__xludf.DUMMYFUNCTION("IMPORTRANGE(""https://docs.google.com/spreadsheets/d/1eHaY18a8A9IcSdp1K8H6x8fbOy06t2VsZHhMHf-1x7Y/edit?usp=sharing"",""แผน!AN16"")"),5000)</f>
        <v>5000</v>
      </c>
      <c r="M216" s="45"/>
      <c r="N216" s="644">
        <v>0</v>
      </c>
      <c r="O216" s="136"/>
      <c r="P216" s="45"/>
      <c r="Q216" s="468">
        <v>0</v>
      </c>
      <c r="R216" s="45"/>
      <c r="S216" s="224">
        <v>0</v>
      </c>
      <c r="T216" s="136"/>
      <c r="U216" s="45"/>
    </row>
    <row r="217" spans="1:21" ht="18.75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468">
        <f ca="1">IFERROR(__xludf.DUMMYFUNCTION("IMPORTRANGE(""https://docs.google.com/spreadsheets/d/1eHaY18a8A9IcSdp1K8H6x8fbOy06t2VsZHhMHf-1x7Y/edit?usp=sharing"",""แผน!AO16"")"),0)</f>
        <v>0</v>
      </c>
      <c r="M217" s="45"/>
      <c r="N217" s="644">
        <v>0</v>
      </c>
      <c r="O217" s="136"/>
      <c r="P217" s="45"/>
      <c r="Q217" s="468">
        <f ca="1">IFERROR(__xludf.DUMMYFUNCTION("IMPORTRANGE(""https://docs.google.com/spreadsheets/d/1eHaY18a8A9IcSdp1K8H6x8fbOy06t2VsZHhMHf-1x7Y/edit?usp=sharing"",""แผน!LY16"")"),49700)</f>
        <v>49700</v>
      </c>
      <c r="R217" s="45"/>
      <c r="S217" s="644">
        <v>0</v>
      </c>
      <c r="T217" s="136"/>
      <c r="U217" s="45"/>
    </row>
    <row r="218" spans="1:21" ht="19.5" x14ac:dyDescent="0.3">
      <c r="A218" s="138"/>
      <c r="B218" s="139"/>
      <c r="C218" s="161" t="s">
        <v>18</v>
      </c>
      <c r="D218" s="498" t="s">
        <v>38</v>
      </c>
      <c r="E218" s="141"/>
      <c r="F218" s="141"/>
      <c r="G218" s="142"/>
      <c r="H218" s="143"/>
      <c r="I218" s="135"/>
      <c r="J218" s="44"/>
      <c r="K218" s="45"/>
      <c r="L218" s="465"/>
      <c r="M218" s="45"/>
      <c r="N218" s="45"/>
      <c r="O218" s="136"/>
      <c r="P218" s="136"/>
      <c r="Q218" s="465"/>
      <c r="R218" s="45"/>
      <c r="S218" s="45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IFERROR(__xludf.DUMMYFUNCTION("IMPORTRANGE(""https://docs.google.com/spreadsheets/d/1eHaY18a8A9IcSdp1K8H6x8fbOy06t2VsZHhMHf-1x7Y/edit?usp=sharing"",""แผน!AP16"")"),1)</f>
        <v>1</v>
      </c>
      <c r="J219" s="466">
        <v>0</v>
      </c>
      <c r="K219" s="224">
        <f ca="1">IF(I219&gt;0,J219*100/I219,0)</f>
        <v>0</v>
      </c>
      <c r="L219" s="465"/>
      <c r="M219" s="45"/>
      <c r="N219" s="45"/>
      <c r="O219" s="45"/>
      <c r="P219" s="45"/>
      <c r="Q219" s="465"/>
      <c r="R219" s="45"/>
      <c r="S219" s="45"/>
      <c r="T219" s="45"/>
      <c r="U219" s="45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IFERROR(__xludf.DUMMYFUNCTION("IMPORTRANGE(""https://docs.google.com/spreadsheets/d/1eHaY18a8A9IcSdp1K8H6x8fbOy06t2VsZHhMHf-1x7Y/edit?usp=sharing"",""แผน!AP16"")"),1)</f>
        <v>1</v>
      </c>
      <c r="J220" s="466">
        <v>0</v>
      </c>
      <c r="K220" s="224">
        <f ca="1">IF(I220&gt;0,J220*100/I220,0)</f>
        <v>0</v>
      </c>
      <c r="L220" s="465"/>
      <c r="M220" s="45"/>
      <c r="N220" s="45"/>
      <c r="O220" s="45"/>
      <c r="P220" s="45"/>
      <c r="Q220" s="465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ca="1">I229</f>
        <v>16000</v>
      </c>
      <c r="J221" s="303">
        <f>J229</f>
        <v>0</v>
      </c>
      <c r="K221" s="304">
        <f ca="1">IF(I221&gt;0,J221*100/I221,0)</f>
        <v>0</v>
      </c>
      <c r="L221" s="557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654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471">
        <f ca="1">L223+L224+L225</f>
        <v>4500</v>
      </c>
      <c r="M222" s="45"/>
      <c r="N222" s="470">
        <f>N223+N224+N225</f>
        <v>0</v>
      </c>
      <c r="O222" s="470">
        <f ca="1">IF(L222&gt;0,N222*100/L222,0)</f>
        <v>0</v>
      </c>
      <c r="P222" s="47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653" t="s">
        <v>308</v>
      </c>
      <c r="E223" s="40"/>
      <c r="F223" s="40"/>
      <c r="G223" s="42"/>
      <c r="H223" s="134" t="s">
        <v>14</v>
      </c>
      <c r="I223" s="135"/>
      <c r="J223" s="135"/>
      <c r="K223" s="136"/>
      <c r="L223" s="468">
        <f ca="1">IFERROR(__xludf.DUMMYFUNCTION("IMPORTRANGE(""https://docs.google.com/spreadsheets/d/1eHaY18a8A9IcSdp1K8H6x8fbOy06t2VsZHhMHf-1x7Y/edit?usp=sharing"",""แผน!AR16"")"),2500)</f>
        <v>2500</v>
      </c>
      <c r="M223" s="45"/>
      <c r="N223" s="644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307</v>
      </c>
      <c r="E224" s="40"/>
      <c r="F224" s="40"/>
      <c r="G224" s="42"/>
      <c r="H224" s="134" t="s">
        <v>14</v>
      </c>
      <c r="I224" s="44"/>
      <c r="J224" s="44"/>
      <c r="K224" s="45"/>
      <c r="L224" s="468">
        <f ca="1">IFERROR(__xludf.DUMMYFUNCTION("IMPORTRANGE(""https://docs.google.com/spreadsheets/d/1eHaY18a8A9IcSdp1K8H6x8fbOy06t2VsZHhMHf-1x7Y/edit?usp=sharing"",""แผน!AS16"")"),2000)</f>
        <v>2000</v>
      </c>
      <c r="M224" s="45"/>
      <c r="N224" s="644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468">
        <f ca="1">IFERROR(__xludf.DUMMYFUNCTION("IMPORTRANGE(""https://docs.google.com/spreadsheets/d/1eHaY18a8A9IcSdp1K8H6x8fbOy06t2VsZHhMHf-1x7Y/edit?usp=sharing"",""แผน!AT16"")"),0)</f>
        <v>0</v>
      </c>
      <c r="M225" s="45"/>
      <c r="N225" s="644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498" t="s">
        <v>38</v>
      </c>
      <c r="E226" s="141"/>
      <c r="F226" s="141"/>
      <c r="G226" s="142"/>
      <c r="H226" s="143"/>
      <c r="I226" s="135"/>
      <c r="J226" s="135"/>
      <c r="K226" s="136"/>
      <c r="L226" s="4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4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IFERROR(__xludf.DUMMYFUNCTION("IMPORTRANGE(""https://docs.google.com/spreadsheets/d/1eHaY18a8A9IcSdp1K8H6x8fbOy06t2VsZHhMHf-1x7Y/edit?usp=sharing"",""แผน!AV16"")"),16000)</f>
        <v>16000</v>
      </c>
      <c r="J228" s="466">
        <v>0</v>
      </c>
      <c r="K228" s="497">
        <f ca="1">IF(I228&gt;0,J228*100/I228,0)</f>
        <v>0</v>
      </c>
      <c r="L228" s="4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IFERROR(__xludf.DUMMYFUNCTION("IMPORTRANGE(""https://docs.google.com/spreadsheets/d/1eHaY18a8A9IcSdp1K8H6x8fbOy06t2VsZHhMHf-1x7Y/edit?usp=sharing"",""แผน!AV16"")"),16000)</f>
        <v>16000</v>
      </c>
      <c r="J229" s="466">
        <v>0</v>
      </c>
      <c r="K229" s="497">
        <f ca="1">IF(I229&gt;0,J229*100/I229,0)</f>
        <v>0</v>
      </c>
      <c r="L229" s="465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IFERROR(__xludf.DUMMYFUNCTION("IMPORTRANGE(""https://docs.google.com/spreadsheets/d/1eHaY18a8A9IcSdp1K8H6x8fbOy06t2VsZHhMHf-1x7Y/edit?usp=sharing"",""แผน!AU16"")"),0)</f>
        <v>0</v>
      </c>
      <c r="J230" s="466">
        <v>0</v>
      </c>
      <c r="K230" s="497">
        <f ca="1">IF(I230&gt;0,J230*100/I230,0)</f>
        <v>0</v>
      </c>
      <c r="L230" s="465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745"/>
      <c r="B231" s="744"/>
      <c r="C231" s="649" t="s">
        <v>105</v>
      </c>
      <c r="D231" s="743"/>
      <c r="E231" s="743"/>
      <c r="F231" s="743"/>
      <c r="G231" s="742"/>
      <c r="H231" s="648" t="s">
        <v>35</v>
      </c>
      <c r="I231" s="647">
        <f ca="1">I242+I253</f>
        <v>120</v>
      </c>
      <c r="J231" s="647">
        <f>J242+J253</f>
        <v>120</v>
      </c>
      <c r="K231" s="646">
        <f ca="1">IF(I231&gt;0,J231*100/I231,0)</f>
        <v>100</v>
      </c>
      <c r="L231" s="557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615"/>
      <c r="B232" s="614"/>
      <c r="C232" s="527" t="s">
        <v>18</v>
      </c>
      <c r="D232" s="494" t="s">
        <v>19</v>
      </c>
      <c r="E232" s="614"/>
      <c r="F232" s="614"/>
      <c r="G232" s="613"/>
      <c r="H232" s="372" t="s">
        <v>14</v>
      </c>
      <c r="I232" s="612"/>
      <c r="J232" s="612"/>
      <c r="K232" s="611"/>
      <c r="L232" s="652">
        <f ca="1">L243+L254</f>
        <v>287400</v>
      </c>
      <c r="M232" s="45"/>
      <c r="N232" s="651">
        <f>N243+N254</f>
        <v>149416.70000000001</v>
      </c>
      <c r="O232" s="45"/>
      <c r="P232" s="45"/>
      <c r="Q232" s="652">
        <f ca="1">Q243+Q254</f>
        <v>246900</v>
      </c>
      <c r="R232" s="45"/>
      <c r="S232" s="651">
        <f>S243+S254</f>
        <v>246900</v>
      </c>
      <c r="T232" s="45"/>
      <c r="U232" s="45"/>
    </row>
    <row r="233" spans="1:21" ht="18.75" hidden="1" x14ac:dyDescent="0.25">
      <c r="A233" s="615"/>
      <c r="B233" s="740"/>
      <c r="C233" s="614"/>
      <c r="D233" s="605" t="s">
        <v>311</v>
      </c>
      <c r="E233" s="614"/>
      <c r="F233" s="614"/>
      <c r="G233" s="613"/>
      <c r="H233" s="159" t="s">
        <v>14</v>
      </c>
      <c r="I233" s="612"/>
      <c r="J233" s="612"/>
      <c r="K233" s="611"/>
      <c r="L233" s="469">
        <f ca="1">L244+L255</f>
        <v>20000</v>
      </c>
      <c r="M233" s="45"/>
      <c r="N233" s="83">
        <f>N244+N255</f>
        <v>15230</v>
      </c>
      <c r="O233" s="45"/>
      <c r="P233" s="45"/>
      <c r="Q233" s="469">
        <f>Q244+Q255</f>
        <v>0</v>
      </c>
      <c r="R233" s="45"/>
      <c r="S233" s="83">
        <f>S244+S255</f>
        <v>0</v>
      </c>
      <c r="T233" s="45"/>
      <c r="U233" s="45"/>
    </row>
    <row r="234" spans="1:21" ht="18.75" hidden="1" x14ac:dyDescent="0.25">
      <c r="A234" s="741"/>
      <c r="B234" s="740"/>
      <c r="C234" s="740"/>
      <c r="D234" s="605" t="s">
        <v>87</v>
      </c>
      <c r="E234" s="614"/>
      <c r="F234" s="614"/>
      <c r="G234" s="613"/>
      <c r="H234" s="159" t="s">
        <v>14</v>
      </c>
      <c r="I234" s="619"/>
      <c r="J234" s="619"/>
      <c r="K234" s="618"/>
      <c r="L234" s="469">
        <f ca="1">L245+L256</f>
        <v>190400</v>
      </c>
      <c r="M234" s="45"/>
      <c r="N234" s="83">
        <f>N245+N256</f>
        <v>134186.70000000001</v>
      </c>
      <c r="O234" s="45"/>
      <c r="P234" s="45"/>
      <c r="Q234" s="469">
        <f>Q245+Q256</f>
        <v>0</v>
      </c>
      <c r="R234" s="45"/>
      <c r="S234" s="83">
        <f>S245+S256</f>
        <v>0</v>
      </c>
      <c r="T234" s="45"/>
      <c r="U234" s="45"/>
    </row>
    <row r="235" spans="1:21" ht="18.75" hidden="1" x14ac:dyDescent="0.25">
      <c r="A235" s="741"/>
      <c r="B235" s="740"/>
      <c r="C235" s="740"/>
      <c r="D235" s="605" t="s">
        <v>88</v>
      </c>
      <c r="E235" s="614"/>
      <c r="F235" s="614"/>
      <c r="G235" s="613"/>
      <c r="H235" s="159" t="s">
        <v>14</v>
      </c>
      <c r="I235" s="619"/>
      <c r="J235" s="619"/>
      <c r="K235" s="618"/>
      <c r="L235" s="469">
        <f ca="1">L246+L257</f>
        <v>0</v>
      </c>
      <c r="M235" s="45"/>
      <c r="N235" s="83">
        <f>N246+N257</f>
        <v>0</v>
      </c>
      <c r="O235" s="45"/>
      <c r="P235" s="45"/>
      <c r="Q235" s="469">
        <f ca="1">Q246+Q257</f>
        <v>246900</v>
      </c>
      <c r="R235" s="45"/>
      <c r="S235" s="83">
        <f>S246+S257</f>
        <v>246900</v>
      </c>
      <c r="T235" s="45"/>
      <c r="U235" s="45"/>
    </row>
    <row r="236" spans="1:21" ht="18.75" hidden="1" x14ac:dyDescent="0.25">
      <c r="A236" s="741"/>
      <c r="B236" s="740"/>
      <c r="C236" s="740"/>
      <c r="D236" s="605" t="s">
        <v>89</v>
      </c>
      <c r="E236" s="614"/>
      <c r="F236" s="614"/>
      <c r="G236" s="613"/>
      <c r="H236" s="159" t="s">
        <v>14</v>
      </c>
      <c r="I236" s="619"/>
      <c r="J236" s="619"/>
      <c r="K236" s="618"/>
      <c r="L236" s="469">
        <f ca="1">L247+L258</f>
        <v>77000</v>
      </c>
      <c r="M236" s="45"/>
      <c r="N236" s="83">
        <f>N247+N258</f>
        <v>0</v>
      </c>
      <c r="O236" s="45"/>
      <c r="P236" s="45"/>
      <c r="Q236" s="469">
        <f>Q247+Q258</f>
        <v>0</v>
      </c>
      <c r="R236" s="45"/>
      <c r="S236" s="83">
        <f>S247+S258</f>
        <v>0</v>
      </c>
      <c r="T236" s="45"/>
      <c r="U236" s="45"/>
    </row>
    <row r="237" spans="1:21" ht="19.5" hidden="1" x14ac:dyDescent="0.3">
      <c r="A237" s="737"/>
      <c r="B237" s="736"/>
      <c r="C237" s="643" t="s">
        <v>18</v>
      </c>
      <c r="D237" s="509" t="s">
        <v>38</v>
      </c>
      <c r="E237" s="739"/>
      <c r="F237" s="739"/>
      <c r="G237" s="738"/>
      <c r="H237" s="734"/>
      <c r="I237" s="612"/>
      <c r="J237" s="619"/>
      <c r="K237" s="618"/>
      <c r="L237" s="465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737"/>
      <c r="B238" s="736"/>
      <c r="C238" s="736"/>
      <c r="D238" s="179" t="s">
        <v>108</v>
      </c>
      <c r="E238" s="735"/>
      <c r="F238" s="735"/>
      <c r="G238" s="734"/>
      <c r="H238" s="640" t="s">
        <v>35</v>
      </c>
      <c r="I238" s="430">
        <f ca="1">I249+I260</f>
        <v>120</v>
      </c>
      <c r="J238" s="430">
        <f>J249+J260</f>
        <v>120</v>
      </c>
      <c r="K238" s="83">
        <f ca="1">IF(I238&gt;0,J238*100/I238,0)</f>
        <v>100</v>
      </c>
      <c r="L238" s="465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737"/>
      <c r="B239" s="736"/>
      <c r="C239" s="736"/>
      <c r="D239" s="642" t="s">
        <v>43</v>
      </c>
      <c r="E239" s="735"/>
      <c r="F239" s="735"/>
      <c r="G239" s="734"/>
      <c r="H239" s="734"/>
      <c r="I239" s="619"/>
      <c r="J239" s="619"/>
      <c r="K239" s="618"/>
      <c r="L239" s="465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737"/>
      <c r="B240" s="736"/>
      <c r="C240" s="736"/>
      <c r="D240" s="736"/>
      <c r="E240" s="641" t="s">
        <v>109</v>
      </c>
      <c r="F240" s="735"/>
      <c r="G240" s="734"/>
      <c r="H240" s="640" t="s">
        <v>35</v>
      </c>
      <c r="I240" s="430">
        <f ca="1">I251+I262</f>
        <v>60</v>
      </c>
      <c r="J240" s="430">
        <f>J251+J262</f>
        <v>120</v>
      </c>
      <c r="K240" s="83">
        <f ca="1">IF(I240&gt;0,J240*100/I240,0)</f>
        <v>200</v>
      </c>
      <c r="L240" s="465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737"/>
      <c r="B241" s="736"/>
      <c r="C241" s="736"/>
      <c r="D241" s="736"/>
      <c r="E241" s="641" t="s">
        <v>110</v>
      </c>
      <c r="F241" s="735"/>
      <c r="G241" s="734"/>
      <c r="H241" s="640" t="s">
        <v>61</v>
      </c>
      <c r="I241" s="430">
        <f ca="1">I252+I263</f>
        <v>1</v>
      </c>
      <c r="J241" s="430">
        <f>J252+J263</f>
        <v>0</v>
      </c>
      <c r="K241" s="83">
        <f ca="1">IF(I241&gt;0,J241*100/I241,0)</f>
        <v>0</v>
      </c>
      <c r="L241" s="465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x14ac:dyDescent="0.3">
      <c r="A242" s="733"/>
      <c r="B242" s="732"/>
      <c r="C242" s="731" t="s">
        <v>313</v>
      </c>
      <c r="D242" s="730"/>
      <c r="E242" s="730"/>
      <c r="F242" s="730"/>
      <c r="G242" s="729"/>
      <c r="H242" s="728" t="s">
        <v>35</v>
      </c>
      <c r="I242" s="727">
        <f ca="1">I249</f>
        <v>120</v>
      </c>
      <c r="J242" s="727">
        <f>J249</f>
        <v>120</v>
      </c>
      <c r="K242" s="726">
        <f ca="1">IF(I242&gt;0,J242*100/I242,0)</f>
        <v>100</v>
      </c>
      <c r="L242" s="557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x14ac:dyDescent="0.3">
      <c r="A243" s="610"/>
      <c r="B243" s="609"/>
      <c r="C243" s="624" t="s">
        <v>18</v>
      </c>
      <c r="D243" s="623" t="s">
        <v>19</v>
      </c>
      <c r="E243" s="609"/>
      <c r="F243" s="609"/>
      <c r="G243" s="608"/>
      <c r="H243" s="725" t="s">
        <v>14</v>
      </c>
      <c r="I243" s="601"/>
      <c r="J243" s="601"/>
      <c r="K243" s="599"/>
      <c r="L243" s="471">
        <f ca="1">L244+L245+L246+L247</f>
        <v>287400</v>
      </c>
      <c r="M243" s="45"/>
      <c r="N243" s="470">
        <f>N244+N245+N246+N247</f>
        <v>149416.70000000001</v>
      </c>
      <c r="O243" s="470">
        <f ca="1">IF(L243&gt;0,N243*100/L243,0)</f>
        <v>51.989109255393188</v>
      </c>
      <c r="P243" s="470">
        <f>IF(M243&gt;0,N243*100/M243,0)</f>
        <v>0</v>
      </c>
      <c r="Q243" s="471">
        <f ca="1">Q244+Q245+Q246</f>
        <v>246900</v>
      </c>
      <c r="R243" s="45"/>
      <c r="S243" s="470">
        <f>S244+S245+S246</f>
        <v>246900</v>
      </c>
      <c r="T243" s="470">
        <f ca="1">IF(Q243&gt;0,S243*100/Q243,0)</f>
        <v>100</v>
      </c>
      <c r="U243" s="470">
        <f>IF(R243&gt;0,S243*100/R243,0)</f>
        <v>0</v>
      </c>
    </row>
    <row r="244" spans="1:21" ht="18.75" x14ac:dyDescent="0.25">
      <c r="A244" s="610"/>
      <c r="B244" s="545"/>
      <c r="C244" s="609"/>
      <c r="D244" s="605" t="s">
        <v>311</v>
      </c>
      <c r="E244" s="609"/>
      <c r="F244" s="609"/>
      <c r="G244" s="608"/>
      <c r="H244" s="617" t="s">
        <v>14</v>
      </c>
      <c r="I244" s="601"/>
      <c r="J244" s="601"/>
      <c r="K244" s="599"/>
      <c r="L244" s="468">
        <f ca="1">IFERROR(__xludf.DUMMYFUNCTION("IMPORTRANGE(""https://docs.google.com/spreadsheets/d/1eHaY18a8A9IcSdp1K8H6x8fbOy06t2VsZHhMHf-1x7Y/edit?usp=sharing"",""แผน!AX16"")"),20000)</f>
        <v>20000</v>
      </c>
      <c r="M244" s="45"/>
      <c r="N244" s="644">
        <v>15230</v>
      </c>
      <c r="O244" s="45"/>
      <c r="P244" s="45"/>
      <c r="Q244" s="468">
        <v>0</v>
      </c>
      <c r="R244" s="45"/>
      <c r="S244" s="224">
        <v>0</v>
      </c>
      <c r="T244" s="136"/>
      <c r="U244" s="45"/>
    </row>
    <row r="245" spans="1:21" ht="18.75" x14ac:dyDescent="0.25">
      <c r="A245" s="724"/>
      <c r="B245" s="545"/>
      <c r="C245" s="545"/>
      <c r="D245" s="605" t="s">
        <v>307</v>
      </c>
      <c r="E245" s="609"/>
      <c r="F245" s="609"/>
      <c r="G245" s="608"/>
      <c r="H245" s="617" t="s">
        <v>14</v>
      </c>
      <c r="I245" s="479"/>
      <c r="J245" s="479"/>
      <c r="K245" s="476"/>
      <c r="L245" s="468">
        <f ca="1">IFERROR(__xludf.DUMMYFUNCTION("IMPORTRANGE(""https://docs.google.com/spreadsheets/d/1eHaY18a8A9IcSdp1K8H6x8fbOy06t2VsZHhMHf-1x7Y/edit?usp=sharing"",""แผน!AY16"")"),190400)</f>
        <v>190400</v>
      </c>
      <c r="M245" s="45"/>
      <c r="N245" s="644">
        <v>134186.70000000001</v>
      </c>
      <c r="O245" s="45"/>
      <c r="P245" s="45"/>
      <c r="Q245" s="468">
        <v>0</v>
      </c>
      <c r="R245" s="45"/>
      <c r="S245" s="224">
        <v>0</v>
      </c>
      <c r="T245" s="136"/>
      <c r="U245" s="45"/>
    </row>
    <row r="246" spans="1:21" ht="18.75" x14ac:dyDescent="0.25">
      <c r="A246" s="724"/>
      <c r="B246" s="545"/>
      <c r="C246" s="545"/>
      <c r="D246" s="605" t="s">
        <v>88</v>
      </c>
      <c r="E246" s="609"/>
      <c r="F246" s="609"/>
      <c r="G246" s="608"/>
      <c r="H246" s="617" t="s">
        <v>14</v>
      </c>
      <c r="I246" s="479"/>
      <c r="J246" s="479"/>
      <c r="K246" s="476"/>
      <c r="L246" s="468">
        <f ca="1">IFERROR(__xludf.DUMMYFUNCTION("IMPORTRANGE(""https://docs.google.com/spreadsheets/d/1eHaY18a8A9IcSdp1K8H6x8fbOy06t2VsZHhMHf-1x7Y/edit?usp=sharing"",""แผน!AZ16"")"),0)</f>
        <v>0</v>
      </c>
      <c r="M246" s="45"/>
      <c r="N246" s="644">
        <v>0</v>
      </c>
      <c r="O246" s="45"/>
      <c r="P246" s="45"/>
      <c r="Q246" s="468">
        <f ca="1">IFERROR(__xludf.DUMMYFUNCTION("IMPORTRANGE(""https://docs.google.com/spreadsheets/d/1eHaY18a8A9IcSdp1K8H6x8fbOy06t2VsZHhMHf-1x7Y/edit?usp=sharing"",""แผน!MD16"")"),246900)</f>
        <v>246900</v>
      </c>
      <c r="R246" s="45"/>
      <c r="S246" s="644">
        <v>246900</v>
      </c>
      <c r="T246" s="136"/>
      <c r="U246" s="45"/>
    </row>
    <row r="247" spans="1:21" ht="18.75" x14ac:dyDescent="0.25">
      <c r="A247" s="724"/>
      <c r="B247" s="545"/>
      <c r="C247" s="545"/>
      <c r="D247" s="605" t="s">
        <v>89</v>
      </c>
      <c r="E247" s="609"/>
      <c r="F247" s="609"/>
      <c r="G247" s="608"/>
      <c r="H247" s="617" t="s">
        <v>14</v>
      </c>
      <c r="I247" s="479"/>
      <c r="J247" s="479"/>
      <c r="K247" s="476"/>
      <c r="L247" s="468">
        <f ca="1">IFERROR(__xludf.DUMMYFUNCTION("IMPORTRANGE(""https://docs.google.com/spreadsheets/d/1eHaY18a8A9IcSdp1K8H6x8fbOy06t2VsZHhMHf-1x7Y/edit?usp=sharing"",""แผน!BA16"")"),77000)</f>
        <v>77000</v>
      </c>
      <c r="M247" s="45"/>
      <c r="N247" s="644">
        <v>0</v>
      </c>
      <c r="O247" s="45"/>
      <c r="P247" s="45"/>
      <c r="Q247" s="45"/>
      <c r="R247" s="45"/>
      <c r="S247" s="45"/>
      <c r="T247" s="45"/>
      <c r="U247" s="45"/>
    </row>
    <row r="248" spans="1:21" ht="19.5" x14ac:dyDescent="0.3">
      <c r="A248" s="485"/>
      <c r="B248" s="484"/>
      <c r="C248" s="723" t="s">
        <v>18</v>
      </c>
      <c r="D248" s="604" t="s">
        <v>38</v>
      </c>
      <c r="E248" s="603"/>
      <c r="F248" s="603"/>
      <c r="G248" s="602"/>
      <c r="H248" s="481"/>
      <c r="I248" s="601"/>
      <c r="J248" s="479"/>
      <c r="K248" s="476"/>
      <c r="L248" s="465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x14ac:dyDescent="0.25">
      <c r="A249" s="485"/>
      <c r="B249" s="484"/>
      <c r="C249" s="484"/>
      <c r="D249" s="482" t="s">
        <v>108</v>
      </c>
      <c r="E249" s="483"/>
      <c r="F249" s="483"/>
      <c r="G249" s="481"/>
      <c r="H249" s="721" t="s">
        <v>35</v>
      </c>
      <c r="I249" s="487">
        <f ca="1">IFERROR(__xludf.DUMMYFUNCTION("IMPORTRANGE(""https://docs.google.com/spreadsheets/d/1eHaY18a8A9IcSdp1K8H6x8fbOy06t2VsZHhMHf-1x7Y/edit?usp=sharing"",""แผน!BG16"")"),120)</f>
        <v>120</v>
      </c>
      <c r="J249" s="478">
        <v>120</v>
      </c>
      <c r="K249" s="486">
        <f ca="1">IF(I249&gt;0,J249*100/I249,0)</f>
        <v>100</v>
      </c>
      <c r="L249" s="465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x14ac:dyDescent="0.25">
      <c r="A250" s="485"/>
      <c r="B250" s="484"/>
      <c r="C250" s="484"/>
      <c r="D250" s="722" t="s">
        <v>43</v>
      </c>
      <c r="E250" s="483"/>
      <c r="F250" s="483"/>
      <c r="G250" s="481"/>
      <c r="H250" s="481"/>
      <c r="I250" s="479"/>
      <c r="J250" s="479"/>
      <c r="K250" s="476"/>
      <c r="L250" s="465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x14ac:dyDescent="0.25">
      <c r="A251" s="485"/>
      <c r="B251" s="484"/>
      <c r="C251" s="484"/>
      <c r="D251" s="484"/>
      <c r="E251" s="308" t="s">
        <v>109</v>
      </c>
      <c r="F251" s="483"/>
      <c r="G251" s="481"/>
      <c r="H251" s="721" t="s">
        <v>35</v>
      </c>
      <c r="I251" s="487">
        <f ca="1">IFERROR(__xludf.DUMMYFUNCTION("IMPORTRANGE(""https://docs.google.com/spreadsheets/d/1eHaY18a8A9IcSdp1K8H6x8fbOy06t2VsZHhMHf-1x7Y/edit?usp=sharing"",""แผน!KN16"")"),60)</f>
        <v>60</v>
      </c>
      <c r="J251" s="478">
        <v>120</v>
      </c>
      <c r="K251" s="486">
        <f ca="1">IF(I251&gt;0,J251*100/I251,0)</f>
        <v>200</v>
      </c>
      <c r="L251" s="465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x14ac:dyDescent="0.25">
      <c r="A252" s="485"/>
      <c r="B252" s="484"/>
      <c r="C252" s="484"/>
      <c r="D252" s="484"/>
      <c r="E252" s="308" t="s">
        <v>110</v>
      </c>
      <c r="F252" s="483"/>
      <c r="G252" s="481"/>
      <c r="H252" s="721" t="s">
        <v>61</v>
      </c>
      <c r="I252" s="487">
        <f ca="1">IFERROR(__xludf.DUMMYFUNCTION("IMPORTRANGE(""https://docs.google.com/spreadsheets/d/1eHaY18a8A9IcSdp1K8H6x8fbOy06t2VsZHhMHf-1x7Y/edit?usp=sharing"",""แผน!KO16"")"),1)</f>
        <v>1</v>
      </c>
      <c r="J252" s="478">
        <v>0</v>
      </c>
      <c r="K252" s="486">
        <f ca="1">IF(I252&gt;0,J252*100/I252,0)</f>
        <v>0</v>
      </c>
      <c r="L252" s="465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649" t="s">
        <v>112</v>
      </c>
      <c r="D253" s="214"/>
      <c r="E253" s="214"/>
      <c r="F253" s="214"/>
      <c r="G253" s="215"/>
      <c r="H253" s="648" t="s">
        <v>35</v>
      </c>
      <c r="I253" s="647">
        <f ca="1">I260</f>
        <v>0</v>
      </c>
      <c r="J253" s="647">
        <f>J260</f>
        <v>0</v>
      </c>
      <c r="K253" s="646">
        <f ca="1">IF(I253&gt;0,J253*100/I253,0)</f>
        <v>0</v>
      </c>
      <c r="L253" s="557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527" t="s">
        <v>18</v>
      </c>
      <c r="D254" s="645" t="s">
        <v>19</v>
      </c>
      <c r="E254" s="40"/>
      <c r="F254" s="40"/>
      <c r="G254" s="42"/>
      <c r="H254" s="372" t="s">
        <v>14</v>
      </c>
      <c r="I254" s="135"/>
      <c r="J254" s="135"/>
      <c r="K254" s="136"/>
      <c r="L254" s="471">
        <f ca="1">L255+L256+L257+L258</f>
        <v>0</v>
      </c>
      <c r="M254" s="45"/>
      <c r="N254" s="470">
        <f>N255+N256+N257+N258</f>
        <v>0</v>
      </c>
      <c r="O254" s="470">
        <f ca="1">IF(L254&gt;0,N254*100/L254,0)</f>
        <v>0</v>
      </c>
      <c r="P254" s="470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605" t="s">
        <v>311</v>
      </c>
      <c r="E255" s="40"/>
      <c r="F255" s="40"/>
      <c r="G255" s="42"/>
      <c r="H255" s="159" t="s">
        <v>14</v>
      </c>
      <c r="I255" s="135"/>
      <c r="J255" s="135"/>
      <c r="K255" s="136"/>
      <c r="L255" s="468">
        <f ca="1">IFERROR(__xludf.DUMMYFUNCTION("IMPORTRANGE(""https://docs.google.com/spreadsheets/d/1eHaY18a8A9IcSdp1K8H6x8fbOy06t2VsZHhMHf-1x7Y/edit?usp=sharing"",""แผน!BB16"")"),0)</f>
        <v>0</v>
      </c>
      <c r="M255" s="45"/>
      <c r="N255" s="644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605" t="s">
        <v>87</v>
      </c>
      <c r="E256" s="40"/>
      <c r="F256" s="40"/>
      <c r="G256" s="42"/>
      <c r="H256" s="159" t="s">
        <v>14</v>
      </c>
      <c r="I256" s="44"/>
      <c r="J256" s="44"/>
      <c r="K256" s="45"/>
      <c r="L256" s="468">
        <f ca="1">IFERROR(__xludf.DUMMYFUNCTION("IMPORTRANGE(""https://docs.google.com/spreadsheets/d/1eHaY18a8A9IcSdp1K8H6x8fbOy06t2VsZHhMHf-1x7Y/edit?usp=sharing"",""แผน!BC16"")"),0)</f>
        <v>0</v>
      </c>
      <c r="M256" s="45"/>
      <c r="N256" s="644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605" t="s">
        <v>88</v>
      </c>
      <c r="E257" s="40"/>
      <c r="F257" s="40"/>
      <c r="G257" s="42"/>
      <c r="H257" s="159" t="s">
        <v>14</v>
      </c>
      <c r="I257" s="44"/>
      <c r="J257" s="44"/>
      <c r="K257" s="45"/>
      <c r="L257" s="468">
        <f ca="1">IFERROR(__xludf.DUMMYFUNCTION("IMPORTRANGE(""https://docs.google.com/spreadsheets/d/1eHaY18a8A9IcSdp1K8H6x8fbOy06t2VsZHhMHf-1x7Y/edit?usp=sharing"",""แผน!BD16"")"),0)</f>
        <v>0</v>
      </c>
      <c r="M257" s="45"/>
      <c r="N257" s="644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605" t="s">
        <v>89</v>
      </c>
      <c r="E258" s="40"/>
      <c r="F258" s="40"/>
      <c r="G258" s="42"/>
      <c r="H258" s="159" t="s">
        <v>14</v>
      </c>
      <c r="I258" s="44"/>
      <c r="J258" s="44"/>
      <c r="K258" s="45"/>
      <c r="L258" s="468">
        <f ca="1">IFERROR(__xludf.DUMMYFUNCTION("IMPORTRANGE(""https://docs.google.com/spreadsheets/d/1eHaY18a8A9IcSdp1K8H6x8fbOy06t2VsZHhMHf-1x7Y/edit?usp=sharing"",""แผน!BE16"")"),0)</f>
        <v>0</v>
      </c>
      <c r="M258" s="45"/>
      <c r="N258" s="644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643" t="s">
        <v>18</v>
      </c>
      <c r="D259" s="509" t="s">
        <v>38</v>
      </c>
      <c r="E259" s="141"/>
      <c r="F259" s="141"/>
      <c r="G259" s="142"/>
      <c r="H259" s="143"/>
      <c r="I259" s="135"/>
      <c r="J259" s="44"/>
      <c r="K259" s="45"/>
      <c r="L259" s="465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640" t="s">
        <v>35</v>
      </c>
      <c r="I260" s="430">
        <f ca="1">IFERROR(__xludf.DUMMYFUNCTION("IMPORTRANGE(""https://docs.google.com/spreadsheets/d/1eHaY18a8A9IcSdp1K8H6x8fbOy06t2VsZHhMHf-1x7Y/edit?usp=sharing"",""แผน!BH16"")"),0)</f>
        <v>0</v>
      </c>
      <c r="J260" s="525">
        <v>0</v>
      </c>
      <c r="K260" s="83">
        <f ca="1">IF(I260&gt;0,J260*100/I260,0)</f>
        <v>0</v>
      </c>
      <c r="L260" s="465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642" t="s">
        <v>43</v>
      </c>
      <c r="E261" s="145"/>
      <c r="F261" s="145"/>
      <c r="G261" s="143"/>
      <c r="H261" s="143"/>
      <c r="I261" s="44"/>
      <c r="J261" s="44"/>
      <c r="K261" s="45"/>
      <c r="L261" s="465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1" t="s">
        <v>109</v>
      </c>
      <c r="F262" s="145"/>
      <c r="G262" s="143"/>
      <c r="H262" s="640" t="s">
        <v>35</v>
      </c>
      <c r="I262" s="44"/>
      <c r="J262" s="525">
        <v>0</v>
      </c>
      <c r="K262" s="83">
        <f>IF(I262&gt;0,J262*100/I262,0)</f>
        <v>0</v>
      </c>
      <c r="L262" s="465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641" t="s">
        <v>110</v>
      </c>
      <c r="F263" s="145"/>
      <c r="G263" s="143"/>
      <c r="H263" s="640" t="s">
        <v>61</v>
      </c>
      <c r="I263" s="44"/>
      <c r="J263" s="525">
        <v>0</v>
      </c>
      <c r="K263" s="83">
        <f>IF(I263&gt;0,J263*100/I263,0)</f>
        <v>0</v>
      </c>
      <c r="L263" s="465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639" t="s">
        <v>113</v>
      </c>
      <c r="B264" s="638"/>
      <c r="C264" s="638"/>
      <c r="D264" s="637"/>
      <c r="E264" s="637"/>
      <c r="F264" s="637"/>
      <c r="G264" s="636"/>
      <c r="H264" s="636"/>
      <c r="I264" s="635"/>
      <c r="J264" s="635"/>
      <c r="K264" s="633"/>
      <c r="L264" s="634"/>
      <c r="M264" s="633"/>
      <c r="N264" s="633"/>
      <c r="O264" s="633"/>
      <c r="P264" s="633"/>
      <c r="Q264" s="633"/>
      <c r="R264" s="633"/>
      <c r="S264" s="633"/>
      <c r="T264" s="633"/>
      <c r="U264" s="633"/>
    </row>
    <row r="265" spans="1:21" ht="19.5" x14ac:dyDescent="0.3">
      <c r="A265" s="632"/>
      <c r="B265" s="631" t="s">
        <v>114</v>
      </c>
      <c r="C265" s="630"/>
      <c r="D265" s="603"/>
      <c r="E265" s="603"/>
      <c r="F265" s="603"/>
      <c r="G265" s="602"/>
      <c r="H265" s="629" t="s">
        <v>35</v>
      </c>
      <c r="I265" s="628">
        <f ca="1">I276</f>
        <v>24</v>
      </c>
      <c r="J265" s="628">
        <f>J276</f>
        <v>24</v>
      </c>
      <c r="K265" s="627">
        <f ca="1">IF(I265&gt;0,J265*100/I265,0)</f>
        <v>100</v>
      </c>
      <c r="L265" s="626"/>
      <c r="M265" s="625"/>
      <c r="N265" s="625"/>
      <c r="O265" s="625"/>
      <c r="P265" s="625"/>
      <c r="Q265" s="625"/>
      <c r="R265" s="625"/>
      <c r="S265" s="625"/>
      <c r="T265" s="625"/>
      <c r="U265" s="625"/>
    </row>
    <row r="266" spans="1:21" ht="19.5" x14ac:dyDescent="0.3">
      <c r="A266" s="610"/>
      <c r="B266" s="609"/>
      <c r="C266" s="624" t="s">
        <v>18</v>
      </c>
      <c r="D266" s="623" t="s">
        <v>19</v>
      </c>
      <c r="E266" s="609"/>
      <c r="F266" s="609"/>
      <c r="G266" s="608"/>
      <c r="H266" s="622" t="s">
        <v>14</v>
      </c>
      <c r="I266" s="479"/>
      <c r="J266" s="479"/>
      <c r="K266" s="476"/>
      <c r="L266" s="621">
        <f ca="1">L267+L268</f>
        <v>0</v>
      </c>
      <c r="M266" s="620">
        <f ca="1">M267+M268</f>
        <v>5000</v>
      </c>
      <c r="N266" s="620">
        <f ca="1">N267+N268</f>
        <v>0</v>
      </c>
      <c r="O266" s="620">
        <f t="shared" ref="O266:O274" ca="1" si="65">IF(L266&gt;0,N266*100/L266,0)</f>
        <v>0</v>
      </c>
      <c r="P266" s="620">
        <f t="shared" ref="P266:P274" ca="1" si="66">IF(M266&gt;0,N266*100/M266,0)</f>
        <v>0</v>
      </c>
      <c r="Q266" s="620">
        <f ca="1">Q267+Q268</f>
        <v>53440</v>
      </c>
      <c r="R266" s="620">
        <f ca="1">R267+R268</f>
        <v>53440</v>
      </c>
      <c r="S266" s="620">
        <f ca="1">S267+S268</f>
        <v>21017</v>
      </c>
      <c r="T266" s="620">
        <f t="shared" ref="T266:T274" ca="1" si="67">IF(Q266&gt;0,S266*100/Q266,0)</f>
        <v>39.328218562874248</v>
      </c>
      <c r="U266" s="620">
        <f t="shared" ref="U266:U274" ca="1" si="68">IF(R266&gt;0,S266*100/R266,0)</f>
        <v>39.328218562874248</v>
      </c>
    </row>
    <row r="267" spans="1:21" ht="18.75" hidden="1" x14ac:dyDescent="0.25">
      <c r="A267" s="615"/>
      <c r="B267" s="614"/>
      <c r="C267" s="614"/>
      <c r="D267" s="614"/>
      <c r="E267" s="156" t="s">
        <v>20</v>
      </c>
      <c r="F267" s="614"/>
      <c r="G267" s="613"/>
      <c r="H267" s="157" t="s">
        <v>14</v>
      </c>
      <c r="I267" s="619"/>
      <c r="J267" s="619"/>
      <c r="K267" s="618"/>
      <c r="L267" s="469">
        <f t="shared" ref="L267:N268" si="69">L270+L273</f>
        <v>0</v>
      </c>
      <c r="M267" s="83">
        <f t="shared" si="69"/>
        <v>0</v>
      </c>
      <c r="N267" s="83">
        <f t="shared" si="69"/>
        <v>0</v>
      </c>
      <c r="O267" s="83">
        <f t="shared" si="65"/>
        <v>0</v>
      </c>
      <c r="P267" s="83">
        <f t="shared" si="66"/>
        <v>0</v>
      </c>
      <c r="Q267" s="83">
        <f t="shared" ref="Q267:S268" si="70">Q270+Q273</f>
        <v>0</v>
      </c>
      <c r="R267" s="83">
        <f t="shared" si="70"/>
        <v>0</v>
      </c>
      <c r="S267" s="83">
        <f t="shared" si="70"/>
        <v>0</v>
      </c>
      <c r="T267" s="83">
        <f t="shared" si="67"/>
        <v>0</v>
      </c>
      <c r="U267" s="83">
        <f t="shared" si="68"/>
        <v>0</v>
      </c>
    </row>
    <row r="268" spans="1:21" ht="18.75" hidden="1" x14ac:dyDescent="0.25">
      <c r="A268" s="610"/>
      <c r="B268" s="609"/>
      <c r="C268" s="609"/>
      <c r="D268" s="609"/>
      <c r="E268" s="605" t="s">
        <v>21</v>
      </c>
      <c r="F268" s="609"/>
      <c r="G268" s="608"/>
      <c r="H268" s="480" t="s">
        <v>14</v>
      </c>
      <c r="I268" s="479"/>
      <c r="J268" s="479"/>
      <c r="K268" s="476"/>
      <c r="L268" s="606">
        <f t="shared" ca="1" si="69"/>
        <v>0</v>
      </c>
      <c r="M268" s="486">
        <f t="shared" ca="1" si="69"/>
        <v>5000</v>
      </c>
      <c r="N268" s="486">
        <f t="shared" ca="1" si="69"/>
        <v>0</v>
      </c>
      <c r="O268" s="486">
        <f t="shared" ca="1" si="65"/>
        <v>0</v>
      </c>
      <c r="P268" s="486">
        <f t="shared" ca="1" si="66"/>
        <v>0</v>
      </c>
      <c r="Q268" s="486">
        <f t="shared" ca="1" si="70"/>
        <v>53440</v>
      </c>
      <c r="R268" s="486">
        <f t="shared" ca="1" si="70"/>
        <v>53440</v>
      </c>
      <c r="S268" s="486">
        <f t="shared" ca="1" si="70"/>
        <v>21017</v>
      </c>
      <c r="T268" s="486">
        <f t="shared" ca="1" si="67"/>
        <v>39.328218562874248</v>
      </c>
      <c r="U268" s="486">
        <f t="shared" ca="1" si="68"/>
        <v>39.328218562874248</v>
      </c>
    </row>
    <row r="269" spans="1:21" ht="18.75" x14ac:dyDescent="0.25">
      <c r="A269" s="610"/>
      <c r="B269" s="609"/>
      <c r="C269" s="609"/>
      <c r="D269" s="616" t="s">
        <v>22</v>
      </c>
      <c r="E269" s="609"/>
      <c r="F269" s="609"/>
      <c r="G269" s="608"/>
      <c r="H269" s="617" t="s">
        <v>14</v>
      </c>
      <c r="I269" s="601"/>
      <c r="J269" s="601"/>
      <c r="K269" s="599"/>
      <c r="L269" s="606">
        <f ca="1">L270+L271</f>
        <v>0</v>
      </c>
      <c r="M269" s="486">
        <f ca="1">M270+M271</f>
        <v>5000</v>
      </c>
      <c r="N269" s="486">
        <f ca="1">N270+N271</f>
        <v>0</v>
      </c>
      <c r="O269" s="486">
        <f t="shared" ca="1" si="65"/>
        <v>0</v>
      </c>
      <c r="P269" s="486">
        <f t="shared" ca="1" si="66"/>
        <v>0</v>
      </c>
      <c r="Q269" s="486">
        <f ca="1">Q270+Q271</f>
        <v>53440</v>
      </c>
      <c r="R269" s="486">
        <f ca="1">R270+R271</f>
        <v>53440</v>
      </c>
      <c r="S269" s="486">
        <f ca="1">S270+S271</f>
        <v>21017</v>
      </c>
      <c r="T269" s="486">
        <f t="shared" ca="1" si="67"/>
        <v>39.328218562874248</v>
      </c>
      <c r="U269" s="486">
        <f t="shared" ca="1" si="68"/>
        <v>39.328218562874248</v>
      </c>
    </row>
    <row r="270" spans="1:21" ht="18.75" hidden="1" x14ac:dyDescent="0.25">
      <c r="A270" s="615"/>
      <c r="B270" s="614"/>
      <c r="C270" s="614"/>
      <c r="D270" s="614"/>
      <c r="E270" s="156" t="s">
        <v>36</v>
      </c>
      <c r="F270" s="614"/>
      <c r="G270" s="613"/>
      <c r="H270" s="159" t="s">
        <v>14</v>
      </c>
      <c r="I270" s="612"/>
      <c r="J270" s="612"/>
      <c r="K270" s="611"/>
      <c r="L270" s="469">
        <v>0</v>
      </c>
      <c r="M270" s="83">
        <v>0</v>
      </c>
      <c r="N270" s="83">
        <v>0</v>
      </c>
      <c r="O270" s="83">
        <f t="shared" si="65"/>
        <v>0</v>
      </c>
      <c r="P270" s="83">
        <f t="shared" si="66"/>
        <v>0</v>
      </c>
      <c r="Q270" s="83">
        <v>0</v>
      </c>
      <c r="R270" s="83">
        <v>0</v>
      </c>
      <c r="S270" s="83">
        <v>0</v>
      </c>
      <c r="T270" s="83">
        <f t="shared" si="67"/>
        <v>0</v>
      </c>
      <c r="U270" s="83">
        <f t="shared" si="68"/>
        <v>0</v>
      </c>
    </row>
    <row r="271" spans="1:21" ht="18.75" hidden="1" x14ac:dyDescent="0.25">
      <c r="A271" s="610"/>
      <c r="B271" s="609"/>
      <c r="C271" s="609"/>
      <c r="D271" s="609"/>
      <c r="E271" s="605" t="s">
        <v>37</v>
      </c>
      <c r="F271" s="609"/>
      <c r="G271" s="608"/>
      <c r="H271" s="617" t="s">
        <v>14</v>
      </c>
      <c r="I271" s="601"/>
      <c r="J271" s="601"/>
      <c r="K271" s="599"/>
      <c r="L271" s="606">
        <f ca="1">IFERROR(__xludf.DUMMYFUNCTION("IMPORTRANGE(""https://docs.google.com/spreadsheets/d/1-uDff_7J0KD5mKrp0Vvzr7lt3OU09vwQwhkpOPPYv2Y/edit?usp=sharing"",""งบพรบ!DE16"")"),0)</f>
        <v>0</v>
      </c>
      <c r="M271" s="486">
        <f ca="1">IFERROR(__xludf.DUMMYFUNCTION("IMPORTRANGE(""https://docs.google.com/spreadsheets/d/1-uDff_7J0KD5mKrp0Vvzr7lt3OU09vwQwhkpOPPYv2Y/edit?usp=sharing"",""งบพรบ!DJ16"")"),5000)</f>
        <v>5000</v>
      </c>
      <c r="N271" s="486">
        <f ca="1">IFERROR(__xludf.DUMMYFUNCTION("IMPORTRANGE(""https://docs.google.com/spreadsheets/d/1-uDff_7J0KD5mKrp0Vvzr7lt3OU09vwQwhkpOPPYv2Y/edit?usp=sharing"",""งบพรบ!DL16"")"),0)</f>
        <v>0</v>
      </c>
      <c r="O271" s="486">
        <f t="shared" ca="1" si="65"/>
        <v>0</v>
      </c>
      <c r="P271" s="486">
        <f t="shared" ca="1" si="66"/>
        <v>0</v>
      </c>
      <c r="Q271" s="486">
        <f ca="1">IFERROR(__xludf.DUMMYFUNCTION("IMPORTRANGE(""https://docs.google.com/spreadsheets/d/1ItG2mGa2ceCfYo0BwxsXqNm01IGEUdYcSSLTEv9YCik/edit?usp=sharing"",""เบิกจ่ายกองทุน!AJ16"")"),53440)</f>
        <v>53440</v>
      </c>
      <c r="R271" s="486">
        <f ca="1">IFERROR(__xludf.DUMMYFUNCTION("IMPORTRANGE(""https://docs.google.com/spreadsheets/d/1ItG2mGa2ceCfYo0BwxsXqNm01IGEUdYcSSLTEv9YCik/edit?usp=sharing"",""เบิกจ่ายกองทุน!AK16"")"),53440)</f>
        <v>53440</v>
      </c>
      <c r="S271" s="486">
        <f ca="1">IFERROR(__xludf.DUMMYFUNCTION("IMPORTRANGE(""https://docs.google.com/spreadsheets/d/1ItG2mGa2ceCfYo0BwxsXqNm01IGEUdYcSSLTEv9YCik/edit?usp=sharing"",""เบิกจ่ายกองทุน!AL16"")"),21017)</f>
        <v>21017</v>
      </c>
      <c r="T271" s="486">
        <f t="shared" ca="1" si="67"/>
        <v>39.328218562874248</v>
      </c>
      <c r="U271" s="486">
        <f t="shared" ca="1" si="68"/>
        <v>39.328218562874248</v>
      </c>
    </row>
    <row r="272" spans="1:21" ht="18.75" x14ac:dyDescent="0.25">
      <c r="A272" s="610"/>
      <c r="B272" s="609"/>
      <c r="C272" s="609"/>
      <c r="D272" s="616" t="s">
        <v>23</v>
      </c>
      <c r="E272" s="609"/>
      <c r="F272" s="609"/>
      <c r="G272" s="608"/>
      <c r="H272" s="607" t="s">
        <v>14</v>
      </c>
      <c r="I272" s="601"/>
      <c r="J272" s="601"/>
      <c r="K272" s="599"/>
      <c r="L272" s="606">
        <f ca="1">L273+L274</f>
        <v>0</v>
      </c>
      <c r="M272" s="486">
        <f ca="1">M273+M274</f>
        <v>0</v>
      </c>
      <c r="N272" s="486">
        <f ca="1">N273+N274</f>
        <v>0</v>
      </c>
      <c r="O272" s="486">
        <f t="shared" ca="1" si="65"/>
        <v>0</v>
      </c>
      <c r="P272" s="486">
        <f t="shared" ca="1" si="66"/>
        <v>0</v>
      </c>
      <c r="Q272" s="486">
        <f>Q273+Q274</f>
        <v>0</v>
      </c>
      <c r="R272" s="486">
        <f>R273+R274</f>
        <v>0</v>
      </c>
      <c r="S272" s="486">
        <f>S273+S274</f>
        <v>0</v>
      </c>
      <c r="T272" s="486">
        <f t="shared" si="67"/>
        <v>0</v>
      </c>
      <c r="U272" s="486">
        <f t="shared" si="68"/>
        <v>0</v>
      </c>
    </row>
    <row r="273" spans="1:21" ht="18.75" hidden="1" x14ac:dyDescent="0.25">
      <c r="A273" s="615"/>
      <c r="B273" s="614"/>
      <c r="C273" s="614"/>
      <c r="D273" s="614"/>
      <c r="E273" s="156" t="s">
        <v>20</v>
      </c>
      <c r="F273" s="614"/>
      <c r="G273" s="613"/>
      <c r="H273" s="159" t="s">
        <v>14</v>
      </c>
      <c r="I273" s="612"/>
      <c r="J273" s="612"/>
      <c r="K273" s="611"/>
      <c r="L273" s="469">
        <v>0</v>
      </c>
      <c r="M273" s="83">
        <v>0</v>
      </c>
      <c r="N273" s="83">
        <v>0</v>
      </c>
      <c r="O273" s="83">
        <f t="shared" si="65"/>
        <v>0</v>
      </c>
      <c r="P273" s="83">
        <f t="shared" si="66"/>
        <v>0</v>
      </c>
      <c r="Q273" s="83">
        <v>0</v>
      </c>
      <c r="R273" s="83">
        <v>0</v>
      </c>
      <c r="S273" s="83">
        <v>0</v>
      </c>
      <c r="T273" s="83">
        <f t="shared" si="67"/>
        <v>0</v>
      </c>
      <c r="U273" s="83">
        <f t="shared" si="68"/>
        <v>0</v>
      </c>
    </row>
    <row r="274" spans="1:21" ht="18.75" hidden="1" x14ac:dyDescent="0.25">
      <c r="A274" s="610"/>
      <c r="B274" s="609"/>
      <c r="C274" s="609"/>
      <c r="D274" s="609"/>
      <c r="E274" s="605" t="s">
        <v>21</v>
      </c>
      <c r="F274" s="609"/>
      <c r="G274" s="608"/>
      <c r="H274" s="607" t="s">
        <v>14</v>
      </c>
      <c r="I274" s="601"/>
      <c r="J274" s="601"/>
      <c r="K274" s="599"/>
      <c r="L274" s="606">
        <f ca="1">IFERROR(__xludf.DUMMYFUNCTION("IMPORTRANGE(""https://docs.google.com/spreadsheets/d/1-uDff_7J0KD5mKrp0Vvzr7lt3OU09vwQwhkpOPPYv2Y/edit?usp=sharing"",""งบพรบ!DH16"")"),0)</f>
        <v>0</v>
      </c>
      <c r="M274" s="486">
        <f ca="1">IFERROR(__xludf.DUMMYFUNCTION("IMPORTRANGE(""https://docs.google.com/spreadsheets/d/1-uDff_7J0KD5mKrp0Vvzr7lt3OU09vwQwhkpOPPYv2Y/edit?usp=sharing"",""งบพรบ!DK16"")"),0)</f>
        <v>0</v>
      </c>
      <c r="N274" s="486">
        <f ca="1">IFERROR(__xludf.DUMMYFUNCTION("IMPORTRANGE(""https://docs.google.com/spreadsheets/d/1-uDff_7J0KD5mKrp0Vvzr7lt3OU09vwQwhkpOPPYv2Y/edit?usp=sharing"",""งบพรบ!DM16"")"),0)</f>
        <v>0</v>
      </c>
      <c r="O274" s="486">
        <f t="shared" ca="1" si="65"/>
        <v>0</v>
      </c>
      <c r="P274" s="486">
        <f t="shared" ca="1" si="66"/>
        <v>0</v>
      </c>
      <c r="Q274" s="486">
        <v>0</v>
      </c>
      <c r="R274" s="486">
        <v>0</v>
      </c>
      <c r="S274" s="486">
        <v>0</v>
      </c>
      <c r="T274" s="486">
        <f t="shared" si="67"/>
        <v>0</v>
      </c>
      <c r="U274" s="486">
        <f t="shared" si="68"/>
        <v>0</v>
      </c>
    </row>
    <row r="275" spans="1:21" ht="19.5" x14ac:dyDescent="0.3">
      <c r="A275" s="485"/>
      <c r="B275" s="484"/>
      <c r="C275" s="605" t="s">
        <v>18</v>
      </c>
      <c r="D275" s="604" t="s">
        <v>38</v>
      </c>
      <c r="E275" s="603"/>
      <c r="F275" s="603"/>
      <c r="G275" s="602"/>
      <c r="H275" s="481"/>
      <c r="I275" s="601"/>
      <c r="J275" s="601"/>
      <c r="K275" s="599"/>
      <c r="L275" s="600"/>
      <c r="M275" s="599"/>
      <c r="N275" s="599"/>
      <c r="O275" s="599"/>
      <c r="P275" s="599"/>
      <c r="Q275" s="599"/>
      <c r="R275" s="599"/>
      <c r="S275" s="599"/>
      <c r="T275" s="599"/>
      <c r="U275" s="599"/>
    </row>
    <row r="276" spans="1:21" ht="18.75" x14ac:dyDescent="0.25">
      <c r="A276" s="598"/>
      <c r="B276" s="597"/>
      <c r="C276" s="597"/>
      <c r="D276" s="596" t="s">
        <v>115</v>
      </c>
      <c r="E276" s="595"/>
      <c r="F276" s="595"/>
      <c r="G276" s="594"/>
      <c r="H276" s="593" t="s">
        <v>35</v>
      </c>
      <c r="I276" s="592">
        <f ca="1">IFERROR(__xludf.DUMMYFUNCTION("IMPORTRANGE(""https://docs.google.com/spreadsheets/d/1eHaY18a8A9IcSdp1K8H6x8fbOy06t2VsZHhMHf-1x7Y/edit?usp=sharing"",""แผน!EC16"")"),24)</f>
        <v>24</v>
      </c>
      <c r="J276" s="444">
        <v>24</v>
      </c>
      <c r="K276" s="591">
        <f ca="1">IF(I276&gt;0,J276*100/I276,0)</f>
        <v>100</v>
      </c>
      <c r="L276" s="465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590" t="s">
        <v>116</v>
      </c>
      <c r="E277" s="252"/>
      <c r="F277" s="252"/>
      <c r="G277" s="253"/>
      <c r="H277" s="589" t="s">
        <v>35</v>
      </c>
      <c r="I277" s="433">
        <v>0</v>
      </c>
      <c r="J277" s="433">
        <v>0</v>
      </c>
      <c r="K277" s="588">
        <v>0</v>
      </c>
      <c r="L277" s="587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58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585">
        <f ca="1">I293</f>
        <v>20</v>
      </c>
      <c r="J280" s="585">
        <f>J293</f>
        <v>20</v>
      </c>
      <c r="K280" s="584">
        <f ca="1">IF(I280&gt;0,J280*100/I280,0)</f>
        <v>100</v>
      </c>
      <c r="L280" s="583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585">
        <f ca="1">I292</f>
        <v>200</v>
      </c>
      <c r="J281" s="585">
        <f>J292</f>
        <v>200</v>
      </c>
      <c r="K281" s="584">
        <f ca="1">IF(I281&gt;0,J281*100/I281,0)</f>
        <v>100</v>
      </c>
      <c r="L281" s="583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472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471">
        <f ca="1">L283+L284</f>
        <v>71120</v>
      </c>
      <c r="M282" s="470">
        <f ca="1">M283+M284</f>
        <v>71120</v>
      </c>
      <c r="N282" s="470">
        <f ca="1">N283+N284</f>
        <v>62540</v>
      </c>
      <c r="O282" s="470">
        <f t="shared" ref="O282:O290" ca="1" si="71">IF(L282&gt;0,N282*100/L282,0)</f>
        <v>87.935883014623172</v>
      </c>
      <c r="P282" s="470">
        <f t="shared" ref="P282:P290" ca="1" si="72">IF(M282&gt;0,N282*100/M282,0)</f>
        <v>87.935883014623172</v>
      </c>
      <c r="Q282" s="470">
        <f>Q283+Q284</f>
        <v>0</v>
      </c>
      <c r="R282" s="470">
        <f>R283+R284</f>
        <v>0</v>
      </c>
      <c r="S282" s="470">
        <f>S283+S284</f>
        <v>0</v>
      </c>
      <c r="T282" s="470">
        <f t="shared" ref="T282:T290" si="73">IF(Q282&gt;0,S282*100/Q282,0)</f>
        <v>0</v>
      </c>
      <c r="U282" s="470">
        <f t="shared" ref="U282:U290" si="74"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469">
        <f t="shared" ref="L283:N284" si="75">L286+L289</f>
        <v>0</v>
      </c>
      <c r="M283" s="83">
        <f t="shared" si="75"/>
        <v>0</v>
      </c>
      <c r="N283" s="83">
        <f t="shared" si="75"/>
        <v>0</v>
      </c>
      <c r="O283" s="83">
        <f t="shared" si="71"/>
        <v>0</v>
      </c>
      <c r="P283" s="83">
        <f t="shared" si="72"/>
        <v>0</v>
      </c>
      <c r="Q283" s="83">
        <f t="shared" ref="Q283:S284" si="76">Q286+Q289</f>
        <v>0</v>
      </c>
      <c r="R283" s="83">
        <f t="shared" si="76"/>
        <v>0</v>
      </c>
      <c r="S283" s="83">
        <f t="shared" si="76"/>
        <v>0</v>
      </c>
      <c r="T283" s="83">
        <f t="shared" si="73"/>
        <v>0</v>
      </c>
      <c r="U283" s="83">
        <f t="shared" si="74"/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468">
        <f t="shared" ca="1" si="75"/>
        <v>71120</v>
      </c>
      <c r="M284" s="224">
        <f t="shared" ca="1" si="75"/>
        <v>71120</v>
      </c>
      <c r="N284" s="224">
        <f t="shared" ca="1" si="75"/>
        <v>62540</v>
      </c>
      <c r="O284" s="224">
        <f t="shared" ca="1" si="71"/>
        <v>87.935883014623172</v>
      </c>
      <c r="P284" s="224">
        <f t="shared" ca="1" si="72"/>
        <v>87.935883014623172</v>
      </c>
      <c r="Q284" s="224">
        <f t="shared" si="76"/>
        <v>0</v>
      </c>
      <c r="R284" s="224">
        <f t="shared" si="76"/>
        <v>0</v>
      </c>
      <c r="S284" s="224">
        <f t="shared" si="76"/>
        <v>0</v>
      </c>
      <c r="T284" s="224">
        <f t="shared" si="73"/>
        <v>0</v>
      </c>
      <c r="U284" s="224">
        <f t="shared" si="74"/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468">
        <f ca="1">L286+L287</f>
        <v>71120</v>
      </c>
      <c r="M285" s="224">
        <f ca="1">M286+M287</f>
        <v>71120</v>
      </c>
      <c r="N285" s="224">
        <f ca="1">N286+N287</f>
        <v>62540</v>
      </c>
      <c r="O285" s="224">
        <f t="shared" ca="1" si="71"/>
        <v>87.935883014623172</v>
      </c>
      <c r="P285" s="224">
        <f t="shared" ca="1" si="72"/>
        <v>87.935883014623172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 t="shared" si="73"/>
        <v>0</v>
      </c>
      <c r="U285" s="224">
        <f t="shared" si="74"/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469">
        <v>0</v>
      </c>
      <c r="M286" s="83">
        <v>0</v>
      </c>
      <c r="N286" s="83">
        <v>0</v>
      </c>
      <c r="O286" s="83">
        <f t="shared" si="71"/>
        <v>0</v>
      </c>
      <c r="P286" s="83">
        <f t="shared" si="72"/>
        <v>0</v>
      </c>
      <c r="Q286" s="83">
        <v>0</v>
      </c>
      <c r="R286" s="83">
        <v>0</v>
      </c>
      <c r="S286" s="83">
        <v>0</v>
      </c>
      <c r="T286" s="83">
        <f t="shared" si="73"/>
        <v>0</v>
      </c>
      <c r="U286" s="83">
        <f t="shared" si="74"/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468">
        <f ca="1">IFERROR(__xludf.DUMMYFUNCTION("IMPORTRANGE(""https://docs.google.com/spreadsheets/d/1-uDff_7J0KD5mKrp0Vvzr7lt3OU09vwQwhkpOPPYv2Y/edit?usp=sharing"",""งบพรบ!DO16"")"),71120)</f>
        <v>71120</v>
      </c>
      <c r="M287" s="224">
        <f ca="1">IFERROR(__xludf.DUMMYFUNCTION("IMPORTRANGE(""https://docs.google.com/spreadsheets/d/1-uDff_7J0KD5mKrp0Vvzr7lt3OU09vwQwhkpOPPYv2Y/edit?usp=sharing"",""งบพรบ!DT16"")"),71120)</f>
        <v>71120</v>
      </c>
      <c r="N287" s="224">
        <f ca="1">IFERROR(__xludf.DUMMYFUNCTION("IMPORTRANGE(""https://docs.google.com/spreadsheets/d/1-uDff_7J0KD5mKrp0Vvzr7lt3OU09vwQwhkpOPPYv2Y/edit?usp=sharing"",""งบพรบ!DV16"")"),62540)</f>
        <v>62540</v>
      </c>
      <c r="O287" s="224">
        <f t="shared" ca="1" si="71"/>
        <v>87.935883014623172</v>
      </c>
      <c r="P287" s="224">
        <f t="shared" ca="1" si="72"/>
        <v>87.935883014623172</v>
      </c>
      <c r="Q287" s="224">
        <v>0</v>
      </c>
      <c r="R287" s="224">
        <v>0</v>
      </c>
      <c r="S287" s="224">
        <v>0</v>
      </c>
      <c r="T287" s="83">
        <f t="shared" si="73"/>
        <v>0</v>
      </c>
      <c r="U287" s="83">
        <f t="shared" si="74"/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468">
        <f ca="1">L289+L290</f>
        <v>0</v>
      </c>
      <c r="M288" s="224">
        <f ca="1">M289+M290</f>
        <v>0</v>
      </c>
      <c r="N288" s="224">
        <f ca="1">N289+N290</f>
        <v>0</v>
      </c>
      <c r="O288" s="224">
        <f t="shared" ca="1" si="71"/>
        <v>0</v>
      </c>
      <c r="P288" s="224">
        <f t="shared" ca="1" si="72"/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 t="shared" si="73"/>
        <v>0</v>
      </c>
      <c r="U288" s="224">
        <f t="shared" si="74"/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469">
        <v>0</v>
      </c>
      <c r="M289" s="83">
        <v>0</v>
      </c>
      <c r="N289" s="83">
        <v>0</v>
      </c>
      <c r="O289" s="83">
        <f t="shared" si="71"/>
        <v>0</v>
      </c>
      <c r="P289" s="83">
        <f t="shared" si="72"/>
        <v>0</v>
      </c>
      <c r="Q289" s="83">
        <v>0</v>
      </c>
      <c r="R289" s="83">
        <v>0</v>
      </c>
      <c r="S289" s="83">
        <v>0</v>
      </c>
      <c r="T289" s="83">
        <f t="shared" si="73"/>
        <v>0</v>
      </c>
      <c r="U289" s="83">
        <f t="shared" si="74"/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468">
        <f ca="1">IFERROR(__xludf.DUMMYFUNCTION("IMPORTRANGE(""https://docs.google.com/spreadsheets/d/1-uDff_7J0KD5mKrp0Vvzr7lt3OU09vwQwhkpOPPYv2Y/edit?usp=sharing"",""งบพรบ!DR16"")"),0)</f>
        <v>0</v>
      </c>
      <c r="M290" s="224">
        <f ca="1">IFERROR(__xludf.DUMMYFUNCTION("IMPORTRANGE(""https://docs.google.com/spreadsheets/d/1-uDff_7J0KD5mKrp0Vvzr7lt3OU09vwQwhkpOPPYv2Y/edit?usp=sharing"",""งบพรบ!DU16"")"),0)</f>
        <v>0</v>
      </c>
      <c r="N290" s="224">
        <f ca="1">IFERROR(__xludf.DUMMYFUNCTION("IMPORTRANGE(""https://docs.google.com/spreadsheets/d/1-uDff_7J0KD5mKrp0Vvzr7lt3OU09vwQwhkpOPPYv2Y/edit?usp=sharing"",""งบพรบ!DW16"")"),0)</f>
        <v>0</v>
      </c>
      <c r="O290" s="224">
        <f t="shared" ca="1" si="71"/>
        <v>0</v>
      </c>
      <c r="P290" s="224">
        <f t="shared" ca="1" si="72"/>
        <v>0</v>
      </c>
      <c r="Q290" s="224">
        <v>0</v>
      </c>
      <c r="R290" s="224">
        <v>0</v>
      </c>
      <c r="S290" s="224">
        <v>0</v>
      </c>
      <c r="T290" s="224">
        <f t="shared" si="73"/>
        <v>0</v>
      </c>
      <c r="U290" s="224">
        <f t="shared" si="74"/>
        <v>0</v>
      </c>
    </row>
    <row r="291" spans="1:21" ht="19.5" x14ac:dyDescent="0.3">
      <c r="A291" s="138"/>
      <c r="B291" s="139"/>
      <c r="C291" s="129" t="s">
        <v>18</v>
      </c>
      <c r="D291" s="498" t="s">
        <v>38</v>
      </c>
      <c r="E291" s="141"/>
      <c r="F291" s="141"/>
      <c r="G291" s="142"/>
      <c r="H291" s="143"/>
      <c r="I291" s="135"/>
      <c r="J291" s="135"/>
      <c r="K291" s="136"/>
      <c r="L291" s="4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IFERROR(__xludf.DUMMYFUNCTION("IMPORTRANGE(""https://docs.google.com/spreadsheets/d/1eHaY18a8A9IcSdp1K8H6x8fbOy06t2VsZHhMHf-1x7Y/edit?usp=sharing"",""แผน!EE16"")"),200)</f>
        <v>200</v>
      </c>
      <c r="J292" s="466">
        <v>200</v>
      </c>
      <c r="K292" s="497">
        <f ca="1">IF(I292&gt;0,J292*100/I292,0)</f>
        <v>100</v>
      </c>
      <c r="L292" s="4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IFERROR(__xludf.DUMMYFUNCTION("IMPORTRANGE(""https://docs.google.com/spreadsheets/d/1eHaY18a8A9IcSdp1K8H6x8fbOy06t2VsZHhMHf-1x7Y/edit?usp=sharing"",""แผน!ED16"")"),20)</f>
        <v>20</v>
      </c>
      <c r="J293" s="328">
        <f>J296</f>
        <v>20</v>
      </c>
      <c r="K293" s="582">
        <f ca="1">IF(I293&gt;0,J293*100/I293,0)</f>
        <v>100</v>
      </c>
      <c r="L293" s="4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4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581">
        <f ca="1">IFERROR(__xludf.DUMMYFUNCTION("IMPORTRANGE(""https://docs.google.com/spreadsheets/d/1eHaY18a8A9IcSdp1K8H6x8fbOy06t2VsZHhMHf-1x7Y/edit?usp=sharing"",""แผน!ED16"")"),20)</f>
        <v>20</v>
      </c>
      <c r="J295" s="466">
        <v>20</v>
      </c>
      <c r="K295" s="497">
        <f ca="1">IF(I295&gt;0,J295*100/I295,0)</f>
        <v>100</v>
      </c>
      <c r="L295" s="4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581">
        <f ca="1">IFERROR(__xludf.DUMMYFUNCTION("IMPORTRANGE(""https://docs.google.com/spreadsheets/d/1eHaY18a8A9IcSdp1K8H6x8fbOy06t2VsZHhMHf-1x7Y/edit?usp=sharing"",""แผน!ED16"")"),20)</f>
        <v>20</v>
      </c>
      <c r="J296" s="466">
        <v>20</v>
      </c>
      <c r="K296" s="497">
        <f ca="1">IF(I296&gt;0,J296*100/I296,0)</f>
        <v>100</v>
      </c>
      <c r="L296" s="4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571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hidden="1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571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580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57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541">
        <f ca="1">I314</f>
        <v>20</v>
      </c>
      <c r="J302" s="541">
        <f>J314</f>
        <v>20</v>
      </c>
      <c r="K302" s="540">
        <f ca="1">IF(I302&gt;0,J302*100/I302,0)</f>
        <v>100</v>
      </c>
      <c r="L302" s="539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472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471">
        <f ca="1">L304+L305</f>
        <v>235700</v>
      </c>
      <c r="M303" s="470">
        <f ca="1">M304+M305</f>
        <v>235700</v>
      </c>
      <c r="N303" s="470">
        <f ca="1">N304+N305</f>
        <v>199500</v>
      </c>
      <c r="O303" s="470">
        <f t="shared" ref="O303:O311" ca="1" si="77">IF(L303&gt;0,N303*100/L303,0)</f>
        <v>84.641493423843869</v>
      </c>
      <c r="P303" s="470">
        <f t="shared" ref="P303:P311" ca="1" si="78">IF(M303&gt;0,N303*100/M303,0)</f>
        <v>84.641493423843869</v>
      </c>
      <c r="Q303" s="470">
        <f ca="1">Q304+Q305</f>
        <v>144609.24</v>
      </c>
      <c r="R303" s="470">
        <f ca="1">R304+R305</f>
        <v>144609</v>
      </c>
      <c r="S303" s="470">
        <f ca="1">S304+S305</f>
        <v>0</v>
      </c>
      <c r="T303" s="470">
        <f t="shared" ref="T303:T311" ca="1" si="79">IF(Q303&gt;0,S303*100/Q303,0)</f>
        <v>0</v>
      </c>
      <c r="U303" s="470">
        <f t="shared" ref="U303:U311" ca="1" si="80">IF(R303&gt;0,S303*100/R303,0)</f>
        <v>0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469">
        <f t="shared" ref="L304:N305" si="81">L307+L310</f>
        <v>0</v>
      </c>
      <c r="M304" s="83">
        <f t="shared" si="81"/>
        <v>0</v>
      </c>
      <c r="N304" s="83">
        <f t="shared" si="81"/>
        <v>0</v>
      </c>
      <c r="O304" s="83">
        <f t="shared" si="77"/>
        <v>0</v>
      </c>
      <c r="P304" s="83">
        <f t="shared" si="78"/>
        <v>0</v>
      </c>
      <c r="Q304" s="83">
        <f t="shared" ref="Q304:S305" si="82">Q307+Q310</f>
        <v>0</v>
      </c>
      <c r="R304" s="83">
        <f t="shared" si="82"/>
        <v>0</v>
      </c>
      <c r="S304" s="83">
        <f t="shared" si="82"/>
        <v>0</v>
      </c>
      <c r="T304" s="83">
        <f t="shared" si="79"/>
        <v>0</v>
      </c>
      <c r="U304" s="83">
        <f t="shared" si="80"/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468">
        <f t="shared" ca="1" si="81"/>
        <v>235700</v>
      </c>
      <c r="M305" s="224">
        <f t="shared" ca="1" si="81"/>
        <v>235700</v>
      </c>
      <c r="N305" s="224">
        <f t="shared" ca="1" si="81"/>
        <v>199500</v>
      </c>
      <c r="O305" s="224">
        <f t="shared" ca="1" si="77"/>
        <v>84.641493423843869</v>
      </c>
      <c r="P305" s="224">
        <f t="shared" ca="1" si="78"/>
        <v>84.641493423843869</v>
      </c>
      <c r="Q305" s="224">
        <f t="shared" ca="1" si="82"/>
        <v>144609.24</v>
      </c>
      <c r="R305" s="224">
        <f t="shared" ca="1" si="82"/>
        <v>144609</v>
      </c>
      <c r="S305" s="224">
        <f t="shared" ca="1" si="82"/>
        <v>0</v>
      </c>
      <c r="T305" s="224">
        <f t="shared" ca="1" si="79"/>
        <v>0</v>
      </c>
      <c r="U305" s="224">
        <f t="shared" ca="1" si="80"/>
        <v>0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468">
        <f ca="1">L307+L308</f>
        <v>235700</v>
      </c>
      <c r="M306" s="224">
        <f ca="1">M307+M308</f>
        <v>235700</v>
      </c>
      <c r="N306" s="224">
        <f ca="1">N307+N308</f>
        <v>199500</v>
      </c>
      <c r="O306" s="224">
        <f t="shared" ca="1" si="77"/>
        <v>84.641493423843869</v>
      </c>
      <c r="P306" s="224">
        <f t="shared" ca="1" si="78"/>
        <v>84.641493423843869</v>
      </c>
      <c r="Q306" s="224">
        <f ca="1">Q307+Q308</f>
        <v>144609.24</v>
      </c>
      <c r="R306" s="224">
        <f ca="1">R307+R308</f>
        <v>144609</v>
      </c>
      <c r="S306" s="224">
        <f ca="1">S307+S308</f>
        <v>0</v>
      </c>
      <c r="T306" s="224">
        <f t="shared" ca="1" si="79"/>
        <v>0</v>
      </c>
      <c r="U306" s="224">
        <f t="shared" ca="1" si="80"/>
        <v>0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469">
        <v>0</v>
      </c>
      <c r="M307" s="83">
        <v>0</v>
      </c>
      <c r="N307" s="83">
        <v>0</v>
      </c>
      <c r="O307" s="83">
        <f t="shared" si="77"/>
        <v>0</v>
      </c>
      <c r="P307" s="83">
        <f t="shared" si="78"/>
        <v>0</v>
      </c>
      <c r="Q307" s="83">
        <v>0</v>
      </c>
      <c r="R307" s="83">
        <v>0</v>
      </c>
      <c r="S307" s="83">
        <v>0</v>
      </c>
      <c r="T307" s="83">
        <f t="shared" si="79"/>
        <v>0</v>
      </c>
      <c r="U307" s="83">
        <f t="shared" si="80"/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468">
        <f ca="1">IFERROR(__xludf.DUMMYFUNCTION("IMPORTRANGE(""https://docs.google.com/spreadsheets/d/1-uDff_7J0KD5mKrp0Vvzr7lt3OU09vwQwhkpOPPYv2Y/edit?usp=sharing"",""งบพรบ!DY16"")"),235700)</f>
        <v>235700</v>
      </c>
      <c r="M308" s="224">
        <f ca="1">IFERROR(__xludf.DUMMYFUNCTION("IMPORTRANGE(""https://docs.google.com/spreadsheets/d/1-uDff_7J0KD5mKrp0Vvzr7lt3OU09vwQwhkpOPPYv2Y/edit?usp=sharing"",""งบพรบ!ED16"")"),235700)</f>
        <v>235700</v>
      </c>
      <c r="N308" s="224">
        <f ca="1">IFERROR(__xludf.DUMMYFUNCTION("IMPORTRANGE(""https://docs.google.com/spreadsheets/d/1-uDff_7J0KD5mKrp0Vvzr7lt3OU09vwQwhkpOPPYv2Y/edit?usp=sharing"",""งบพรบ!EF16"")"),199500)</f>
        <v>199500</v>
      </c>
      <c r="O308" s="224">
        <f t="shared" ca="1" si="77"/>
        <v>84.641493423843869</v>
      </c>
      <c r="P308" s="224">
        <f t="shared" ca="1" si="78"/>
        <v>84.641493423843869</v>
      </c>
      <c r="Q308" s="224">
        <f ca="1">IFERROR(__xludf.DUMMYFUNCTION("IMPORTRANGE(""https://docs.google.com/spreadsheets/d/1ItG2mGa2ceCfYo0BwxsXqNm01IGEUdYcSSLTEv9YCik/edit?usp=sharing"",""เบิกจ่ายกองทุน!AP16"")"),144609.24)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IFERROR(__xludf.DUMMYFUNCTION("IMPORTRANGE(""https://docs.google.com/spreadsheets/d/1ItG2mGa2ceCfYo0BwxsXqNm01IGEUdYcSSLTEv9YCik/edit?usp=sharing"",""เบิกจ่ายกองทุน!AQ16"")"),144609)</f>
        <v>144609</v>
      </c>
      <c r="S308" s="224">
        <f ca="1">IFERROR(__xludf.DUMMYFUNCTION("IMPORTRANGE(""https://docs.google.com/spreadsheets/d/1ItG2mGa2ceCfYo0BwxsXqNm01IGEUdYcSSLTEv9YCik/edit?usp=sharing"",""เบิกจ่ายกองทุน!AR16"")"),0)</f>
        <v>0</v>
      </c>
      <c r="T308" s="224">
        <f t="shared" ca="1" si="79"/>
        <v>0</v>
      </c>
      <c r="U308" s="224">
        <f t="shared" ca="1" si="80"/>
        <v>0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468">
        <f ca="1">L310+L311</f>
        <v>0</v>
      </c>
      <c r="M309" s="224">
        <f ca="1">M310+M311</f>
        <v>0</v>
      </c>
      <c r="N309" s="224">
        <f ca="1">N310+N311</f>
        <v>0</v>
      </c>
      <c r="O309" s="224">
        <f t="shared" ca="1" si="77"/>
        <v>0</v>
      </c>
      <c r="P309" s="224">
        <f t="shared" ca="1" si="78"/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 t="shared" si="79"/>
        <v>0</v>
      </c>
      <c r="U309" s="224">
        <f t="shared" si="80"/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469">
        <v>0</v>
      </c>
      <c r="M310" s="83">
        <v>0</v>
      </c>
      <c r="N310" s="83">
        <v>0</v>
      </c>
      <c r="O310" s="83">
        <f t="shared" si="77"/>
        <v>0</v>
      </c>
      <c r="P310" s="83">
        <f t="shared" si="78"/>
        <v>0</v>
      </c>
      <c r="Q310" s="83">
        <v>0</v>
      </c>
      <c r="R310" s="83">
        <v>0</v>
      </c>
      <c r="S310" s="83">
        <v>0</v>
      </c>
      <c r="T310" s="83">
        <f t="shared" si="79"/>
        <v>0</v>
      </c>
      <c r="U310" s="83">
        <f t="shared" si="80"/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468">
        <f ca="1">IFERROR(__xludf.DUMMYFUNCTION("IMPORTRANGE(""https://docs.google.com/spreadsheets/d/1-uDff_7J0KD5mKrp0Vvzr7lt3OU09vwQwhkpOPPYv2Y/edit?usp=sharing"",""งบพรบ!EB16"")"),0)</f>
        <v>0</v>
      </c>
      <c r="M311" s="224">
        <f ca="1">IFERROR(__xludf.DUMMYFUNCTION("IMPORTRANGE(""https://docs.google.com/spreadsheets/d/1-uDff_7J0KD5mKrp0Vvzr7lt3OU09vwQwhkpOPPYv2Y/edit?usp=sharing"",""งบพรบ!EE16"")"),0)</f>
        <v>0</v>
      </c>
      <c r="N311" s="224">
        <f ca="1">IFERROR(__xludf.DUMMYFUNCTION("IMPORTRANGE(""https://docs.google.com/spreadsheets/d/1-uDff_7J0KD5mKrp0Vvzr7lt3OU09vwQwhkpOPPYv2Y/edit?usp=sharing"",""งบพรบ!EG16"")"),0)</f>
        <v>0</v>
      </c>
      <c r="O311" s="224">
        <f t="shared" ca="1" si="77"/>
        <v>0</v>
      </c>
      <c r="P311" s="224">
        <f t="shared" ca="1" si="78"/>
        <v>0</v>
      </c>
      <c r="Q311" s="224">
        <v>0</v>
      </c>
      <c r="R311" s="224">
        <v>0</v>
      </c>
      <c r="S311" s="224">
        <v>0</v>
      </c>
      <c r="T311" s="224">
        <f t="shared" si="79"/>
        <v>0</v>
      </c>
      <c r="U311" s="224">
        <f t="shared" si="80"/>
        <v>0</v>
      </c>
    </row>
    <row r="312" spans="1:21" ht="19.5" x14ac:dyDescent="0.3">
      <c r="A312" s="138"/>
      <c r="B312" s="139"/>
      <c r="C312" s="129" t="s">
        <v>18</v>
      </c>
      <c r="D312" s="498" t="s">
        <v>38</v>
      </c>
      <c r="E312" s="141"/>
      <c r="F312" s="141"/>
      <c r="G312" s="142"/>
      <c r="H312" s="143"/>
      <c r="I312" s="44"/>
      <c r="J312" s="44"/>
      <c r="K312" s="45"/>
      <c r="L312" s="465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579"/>
      <c r="E313" s="18"/>
      <c r="F313" s="18"/>
      <c r="G313" s="19"/>
      <c r="H313" s="19"/>
      <c r="I313" s="20"/>
      <c r="J313" s="577"/>
      <c r="K313" s="21"/>
      <c r="L313" s="571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IFERROR(__xludf.DUMMYFUNCTION("IMPORTRANGE(""https://docs.google.com/spreadsheets/d/1eHaY18a8A9IcSdp1K8H6x8fbOy06t2VsZHhMHf-1x7Y/edit?usp=sharing"",""แผน!EF16"")"),20)</f>
        <v>20</v>
      </c>
      <c r="J314" s="466">
        <v>20</v>
      </c>
      <c r="K314" s="224">
        <f ca="1">IF(I314&gt;0,J314*100/I314,0)</f>
        <v>100</v>
      </c>
      <c r="L314" s="465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579"/>
      <c r="E315" s="18"/>
      <c r="F315" s="18"/>
      <c r="G315" s="19"/>
      <c r="H315" s="578"/>
      <c r="I315" s="577"/>
      <c r="J315" s="577"/>
      <c r="K315" s="576"/>
      <c r="L315" s="571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579"/>
      <c r="E316" s="18"/>
      <c r="F316" s="18"/>
      <c r="G316" s="19"/>
      <c r="H316" s="578"/>
      <c r="I316" s="577"/>
      <c r="J316" s="577"/>
      <c r="K316" s="576"/>
      <c r="L316" s="571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575"/>
      <c r="E317" s="18"/>
      <c r="F317" s="18"/>
      <c r="G317" s="19"/>
      <c r="H317" s="574"/>
      <c r="I317" s="573"/>
      <c r="J317" s="573"/>
      <c r="K317" s="572"/>
      <c r="L317" s="571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57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hidden="1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541">
        <f ca="1">I330</f>
        <v>0</v>
      </c>
      <c r="J319" s="541">
        <f>J330</f>
        <v>0</v>
      </c>
      <c r="K319" s="540">
        <f ca="1">IF(I319&gt;0,J319*100/I319,0)</f>
        <v>0</v>
      </c>
      <c r="L319" s="539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hidden="1" x14ac:dyDescent="0.3">
      <c r="A320" s="128"/>
      <c r="B320" s="40"/>
      <c r="C320" s="129" t="s">
        <v>18</v>
      </c>
      <c r="D320" s="472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471">
        <f ca="1">L321+L322</f>
        <v>0</v>
      </c>
      <c r="M320" s="470">
        <f ca="1">M321+M322</f>
        <v>0</v>
      </c>
      <c r="N320" s="470">
        <f ca="1">N321+N322</f>
        <v>0</v>
      </c>
      <c r="O320" s="470">
        <f t="shared" ref="O320:O328" ca="1" si="83">IF(L320&gt;0,N320*100/L320,0)</f>
        <v>0</v>
      </c>
      <c r="P320" s="470">
        <f t="shared" ref="P320:P328" ca="1" si="84">IF(M320&gt;0,N320*100/M320,0)</f>
        <v>0</v>
      </c>
      <c r="Q320" s="470">
        <f>Q321+Q322</f>
        <v>0</v>
      </c>
      <c r="R320" s="470">
        <f>R321+R322</f>
        <v>0</v>
      </c>
      <c r="S320" s="470">
        <f>S321+S322</f>
        <v>0</v>
      </c>
      <c r="T320" s="470">
        <f t="shared" ref="T320:T328" si="85">IF(Q320&gt;0,S320*100/Q320,0)</f>
        <v>0</v>
      </c>
      <c r="U320" s="470">
        <f t="shared" ref="U320:U328" si="86"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469">
        <f t="shared" ref="L321:N322" si="87">L324+L327</f>
        <v>0</v>
      </c>
      <c r="M321" s="83">
        <f t="shared" si="87"/>
        <v>0</v>
      </c>
      <c r="N321" s="83">
        <f t="shared" si="87"/>
        <v>0</v>
      </c>
      <c r="O321" s="83">
        <f t="shared" si="83"/>
        <v>0</v>
      </c>
      <c r="P321" s="83">
        <f t="shared" si="84"/>
        <v>0</v>
      </c>
      <c r="Q321" s="83">
        <f t="shared" ref="Q321:S322" si="88">Q324+Q327</f>
        <v>0</v>
      </c>
      <c r="R321" s="83">
        <f t="shared" si="88"/>
        <v>0</v>
      </c>
      <c r="S321" s="83">
        <f t="shared" si="88"/>
        <v>0</v>
      </c>
      <c r="T321" s="83">
        <f t="shared" si="85"/>
        <v>0</v>
      </c>
      <c r="U321" s="83">
        <f t="shared" si="86"/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468">
        <f t="shared" ca="1" si="87"/>
        <v>0</v>
      </c>
      <c r="M322" s="224">
        <f t="shared" ca="1" si="87"/>
        <v>0</v>
      </c>
      <c r="N322" s="224">
        <f t="shared" ca="1" si="87"/>
        <v>0</v>
      </c>
      <c r="O322" s="224">
        <f t="shared" ca="1" si="83"/>
        <v>0</v>
      </c>
      <c r="P322" s="224">
        <f t="shared" ca="1" si="84"/>
        <v>0</v>
      </c>
      <c r="Q322" s="224">
        <f t="shared" si="88"/>
        <v>0</v>
      </c>
      <c r="R322" s="224">
        <f t="shared" si="88"/>
        <v>0</v>
      </c>
      <c r="S322" s="224">
        <f t="shared" si="88"/>
        <v>0</v>
      </c>
      <c r="T322" s="224">
        <f t="shared" si="85"/>
        <v>0</v>
      </c>
      <c r="U322" s="224">
        <f t="shared" si="86"/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468">
        <f ca="1">L324+L325</f>
        <v>0</v>
      </c>
      <c r="M323" s="224">
        <f ca="1">M324+M325</f>
        <v>0</v>
      </c>
      <c r="N323" s="224">
        <f ca="1">N324+N325</f>
        <v>0</v>
      </c>
      <c r="O323" s="224">
        <f t="shared" ca="1" si="83"/>
        <v>0</v>
      </c>
      <c r="P323" s="224">
        <f t="shared" ca="1" si="84"/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 t="shared" si="85"/>
        <v>0</v>
      </c>
      <c r="U323" s="224">
        <f t="shared" si="86"/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469">
        <v>0</v>
      </c>
      <c r="M324" s="83">
        <v>0</v>
      </c>
      <c r="N324" s="83">
        <v>0</v>
      </c>
      <c r="O324" s="83">
        <f t="shared" si="83"/>
        <v>0</v>
      </c>
      <c r="P324" s="83">
        <f t="shared" si="84"/>
        <v>0</v>
      </c>
      <c r="Q324" s="83">
        <v>0</v>
      </c>
      <c r="R324" s="83">
        <v>0</v>
      </c>
      <c r="S324" s="83">
        <v>0</v>
      </c>
      <c r="T324" s="83">
        <f t="shared" si="85"/>
        <v>0</v>
      </c>
      <c r="U324" s="83">
        <f t="shared" si="86"/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468">
        <f ca="1">IFERROR(__xludf.DUMMYFUNCTION("IMPORTRANGE(""https://docs.google.com/spreadsheets/d/1-uDff_7J0KD5mKrp0Vvzr7lt3OU09vwQwhkpOPPYv2Y/edit?usp=sharing"",""งบพรบ!EI16"")"),0)</f>
        <v>0</v>
      </c>
      <c r="M325" s="224">
        <f ca="1">IFERROR(__xludf.DUMMYFUNCTION("IMPORTRANGE(""https://docs.google.com/spreadsheets/d/1-uDff_7J0KD5mKrp0Vvzr7lt3OU09vwQwhkpOPPYv2Y/edit?usp=sharing"",""งบพรบ!EN16"")"),0)</f>
        <v>0</v>
      </c>
      <c r="N325" s="224">
        <f ca="1">IFERROR(__xludf.DUMMYFUNCTION("IMPORTRANGE(""https://docs.google.com/spreadsheets/d/1-uDff_7J0KD5mKrp0Vvzr7lt3OU09vwQwhkpOPPYv2Y/edit?usp=sharing"",""งบพรบ!EP16"")"),0)</f>
        <v>0</v>
      </c>
      <c r="O325" s="224">
        <f t="shared" ca="1" si="83"/>
        <v>0</v>
      </c>
      <c r="P325" s="224">
        <f t="shared" ca="1" si="84"/>
        <v>0</v>
      </c>
      <c r="Q325" s="224">
        <v>0</v>
      </c>
      <c r="R325" s="224">
        <v>0</v>
      </c>
      <c r="S325" s="224">
        <v>0</v>
      </c>
      <c r="T325" s="224">
        <f t="shared" si="85"/>
        <v>0</v>
      </c>
      <c r="U325" s="224">
        <f t="shared" si="86"/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468">
        <f ca="1">L327+L328</f>
        <v>0</v>
      </c>
      <c r="M326" s="224">
        <f ca="1">M327+M328</f>
        <v>0</v>
      </c>
      <c r="N326" s="224">
        <f ca="1">N327+N328</f>
        <v>0</v>
      </c>
      <c r="O326" s="224">
        <f t="shared" ca="1" si="83"/>
        <v>0</v>
      </c>
      <c r="P326" s="224">
        <f t="shared" ca="1" si="84"/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 t="shared" si="85"/>
        <v>0</v>
      </c>
      <c r="U326" s="224">
        <f t="shared" si="86"/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469">
        <v>0</v>
      </c>
      <c r="M327" s="83">
        <v>0</v>
      </c>
      <c r="N327" s="83">
        <v>0</v>
      </c>
      <c r="O327" s="83">
        <f t="shared" si="83"/>
        <v>0</v>
      </c>
      <c r="P327" s="83">
        <f t="shared" si="84"/>
        <v>0</v>
      </c>
      <c r="Q327" s="83">
        <v>0</v>
      </c>
      <c r="R327" s="83">
        <v>0</v>
      </c>
      <c r="S327" s="83">
        <v>0</v>
      </c>
      <c r="T327" s="83">
        <f t="shared" si="85"/>
        <v>0</v>
      </c>
      <c r="U327" s="83">
        <f t="shared" si="86"/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468">
        <f ca="1">IFERROR(__xludf.DUMMYFUNCTION("IMPORTRANGE(""https://docs.google.com/spreadsheets/d/1-uDff_7J0KD5mKrp0Vvzr7lt3OU09vwQwhkpOPPYv2Y/edit?usp=sharing"",""งบพรบ!EL16"")"),0)</f>
        <v>0</v>
      </c>
      <c r="M328" s="224">
        <f ca="1">IFERROR(__xludf.DUMMYFUNCTION("IMPORTRANGE(""https://docs.google.com/spreadsheets/d/1-uDff_7J0KD5mKrp0Vvzr7lt3OU09vwQwhkpOPPYv2Y/edit?usp=sharing"",""งบพรบ!EO16"")"),0)</f>
        <v>0</v>
      </c>
      <c r="N328" s="224">
        <f ca="1">IFERROR(__xludf.DUMMYFUNCTION("IMPORTRANGE(""https://docs.google.com/spreadsheets/d/1-uDff_7J0KD5mKrp0Vvzr7lt3OU09vwQwhkpOPPYv2Y/edit?usp=sharing"",""งบพรบ!EQ16"")"),0)</f>
        <v>0</v>
      </c>
      <c r="O328" s="224">
        <f t="shared" ca="1" si="83"/>
        <v>0</v>
      </c>
      <c r="P328" s="224">
        <f t="shared" ca="1" si="84"/>
        <v>0</v>
      </c>
      <c r="Q328" s="224">
        <v>0</v>
      </c>
      <c r="R328" s="224">
        <v>0</v>
      </c>
      <c r="S328" s="224">
        <v>0</v>
      </c>
      <c r="T328" s="224">
        <f t="shared" si="85"/>
        <v>0</v>
      </c>
      <c r="U328" s="224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8" t="s">
        <v>38</v>
      </c>
      <c r="E329" s="141"/>
      <c r="F329" s="141"/>
      <c r="G329" s="142"/>
      <c r="H329" s="143"/>
      <c r="I329" s="135"/>
      <c r="J329" s="44"/>
      <c r="K329" s="45"/>
      <c r="L329" s="465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IFERROR(__xludf.DUMMYFUNCTION("IMPORTRANGE(""https://docs.google.com/spreadsheets/d/1eHaY18a8A9IcSdp1K8H6x8fbOy06t2VsZHhMHf-1x7Y/edit?usp=sharing"",""แผน!EJ16"")"),0)</f>
        <v>0</v>
      </c>
      <c r="J330" s="466">
        <v>0</v>
      </c>
      <c r="K330" s="224">
        <f ca="1">IF(I330&gt;0,J330*100/I330,0)</f>
        <v>0</v>
      </c>
      <c r="L330" s="465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57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569">
        <f ca="1">I344</f>
        <v>600</v>
      </c>
      <c r="J332" s="568">
        <f ca="1">J344+J347+J348+J349+J353</f>
        <v>5367</v>
      </c>
      <c r="K332" s="567">
        <f ca="1">IF(I332&gt;0,J332*100/I332,0)</f>
        <v>894.5</v>
      </c>
      <c r="L332" s="539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472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471">
        <f ca="1">L334+L335</f>
        <v>103000</v>
      </c>
      <c r="M333" s="470">
        <f ca="1">M334+M335</f>
        <v>108000</v>
      </c>
      <c r="N333" s="470">
        <f ca="1">N334+N335</f>
        <v>81770.34</v>
      </c>
      <c r="O333" s="470">
        <f t="shared" ref="O333:O341" ca="1" si="89">IF(L333&gt;0,N333*100/L333,0)</f>
        <v>79.388679611650488</v>
      </c>
      <c r="P333" s="470">
        <f t="shared" ref="P333:P341" ca="1" si="90">IF(M333&gt;0,N333*100/M333,0)</f>
        <v>75.713277777777776</v>
      </c>
      <c r="Q333" s="470">
        <f>Q334+Q335</f>
        <v>0</v>
      </c>
      <c r="R333" s="470">
        <f>R334+R335</f>
        <v>0</v>
      </c>
      <c r="S333" s="470">
        <f>S334+S335</f>
        <v>0</v>
      </c>
      <c r="T333" s="470">
        <f t="shared" ref="T333:T341" si="91">IF(Q333&gt;0,S333*100/Q333,0)</f>
        <v>0</v>
      </c>
      <c r="U333" s="470">
        <f t="shared" ref="U333:U341" si="92"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469">
        <f t="shared" ref="L334:N335" si="93">L337+L340</f>
        <v>0</v>
      </c>
      <c r="M334" s="83">
        <f t="shared" si="93"/>
        <v>0</v>
      </c>
      <c r="N334" s="83">
        <f t="shared" si="93"/>
        <v>0</v>
      </c>
      <c r="O334" s="83">
        <f t="shared" si="89"/>
        <v>0</v>
      </c>
      <c r="P334" s="83">
        <f t="shared" si="90"/>
        <v>0</v>
      </c>
      <c r="Q334" s="83">
        <f t="shared" ref="Q334:S335" si="94">Q337+Q340</f>
        <v>0</v>
      </c>
      <c r="R334" s="83">
        <f t="shared" si="94"/>
        <v>0</v>
      </c>
      <c r="S334" s="83">
        <f t="shared" si="94"/>
        <v>0</v>
      </c>
      <c r="T334" s="83">
        <f t="shared" si="91"/>
        <v>0</v>
      </c>
      <c r="U334" s="83">
        <f t="shared" si="92"/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468">
        <f t="shared" ca="1" si="93"/>
        <v>103000</v>
      </c>
      <c r="M335" s="224">
        <f t="shared" ca="1" si="93"/>
        <v>108000</v>
      </c>
      <c r="N335" s="224">
        <f t="shared" ca="1" si="93"/>
        <v>81770.34</v>
      </c>
      <c r="O335" s="224">
        <f t="shared" ca="1" si="89"/>
        <v>79.388679611650488</v>
      </c>
      <c r="P335" s="224">
        <f t="shared" ca="1" si="90"/>
        <v>75.713277777777776</v>
      </c>
      <c r="Q335" s="224">
        <f t="shared" si="94"/>
        <v>0</v>
      </c>
      <c r="R335" s="224">
        <f t="shared" si="94"/>
        <v>0</v>
      </c>
      <c r="S335" s="224">
        <f t="shared" si="94"/>
        <v>0</v>
      </c>
      <c r="T335" s="224">
        <f t="shared" si="91"/>
        <v>0</v>
      </c>
      <c r="U335" s="224">
        <f t="shared" si="92"/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468">
        <f ca="1">L337+L338</f>
        <v>103000</v>
      </c>
      <c r="M336" s="224">
        <f ca="1">M337+M338</f>
        <v>108000</v>
      </c>
      <c r="N336" s="224">
        <f ca="1">N337+N338</f>
        <v>81770.34</v>
      </c>
      <c r="O336" s="224">
        <f t="shared" ca="1" si="89"/>
        <v>79.388679611650488</v>
      </c>
      <c r="P336" s="224">
        <f t="shared" ca="1" si="90"/>
        <v>75.713277777777776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 t="shared" si="91"/>
        <v>0</v>
      </c>
      <c r="U336" s="224">
        <f t="shared" si="92"/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469">
        <v>0</v>
      </c>
      <c r="M337" s="83">
        <v>0</v>
      </c>
      <c r="N337" s="83">
        <v>0</v>
      </c>
      <c r="O337" s="83">
        <f t="shared" si="89"/>
        <v>0</v>
      </c>
      <c r="P337" s="83">
        <f t="shared" si="90"/>
        <v>0</v>
      </c>
      <c r="Q337" s="83">
        <v>0</v>
      </c>
      <c r="R337" s="83">
        <v>0</v>
      </c>
      <c r="S337" s="83">
        <v>0</v>
      </c>
      <c r="T337" s="83">
        <f t="shared" si="91"/>
        <v>0</v>
      </c>
      <c r="U337" s="83">
        <f t="shared" si="92"/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468">
        <f ca="1">IFERROR(__xludf.DUMMYFUNCTION("IMPORTRANGE(""https://docs.google.com/spreadsheets/d/1-uDff_7J0KD5mKrp0Vvzr7lt3OU09vwQwhkpOPPYv2Y/edit?usp=sharing"",""งบพรบ!ES16"")"),103000)</f>
        <v>103000</v>
      </c>
      <c r="M338" s="224">
        <f ca="1">IFERROR(__xludf.DUMMYFUNCTION("IMPORTRANGE(""https://docs.google.com/spreadsheets/d/1-uDff_7J0KD5mKrp0Vvzr7lt3OU09vwQwhkpOPPYv2Y/edit?usp=sharing"",""งบพรบ!EX16"")"),108000)</f>
        <v>108000</v>
      </c>
      <c r="N338" s="224">
        <f ca="1">IFERROR(__xludf.DUMMYFUNCTION("IMPORTRANGE(""https://docs.google.com/spreadsheets/d/1-uDff_7J0KD5mKrp0Vvzr7lt3OU09vwQwhkpOPPYv2Y/edit?usp=sharing"",""งบพรบ!EZ16"")"),81770.34)</f>
        <v>81770.34</v>
      </c>
      <c r="O338" s="224">
        <f t="shared" ca="1" si="89"/>
        <v>79.388679611650488</v>
      </c>
      <c r="P338" s="224">
        <f t="shared" ca="1" si="90"/>
        <v>75.713277777777776</v>
      </c>
      <c r="Q338" s="224">
        <v>0</v>
      </c>
      <c r="R338" s="224">
        <v>0</v>
      </c>
      <c r="S338" s="224">
        <v>0</v>
      </c>
      <c r="T338" s="224">
        <f t="shared" si="91"/>
        <v>0</v>
      </c>
      <c r="U338" s="224">
        <f t="shared" si="92"/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468">
        <f ca="1">L340+L341</f>
        <v>0</v>
      </c>
      <c r="M339" s="224">
        <f ca="1">M340+M341</f>
        <v>0</v>
      </c>
      <c r="N339" s="224">
        <f ca="1">N340+N341</f>
        <v>0</v>
      </c>
      <c r="O339" s="224">
        <f t="shared" ca="1" si="89"/>
        <v>0</v>
      </c>
      <c r="P339" s="224">
        <f t="shared" ca="1" si="90"/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 t="shared" si="91"/>
        <v>0</v>
      </c>
      <c r="U339" s="224">
        <f t="shared" si="92"/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469">
        <v>0</v>
      </c>
      <c r="M340" s="83">
        <v>0</v>
      </c>
      <c r="N340" s="83">
        <v>0</v>
      </c>
      <c r="O340" s="83">
        <f t="shared" si="89"/>
        <v>0</v>
      </c>
      <c r="P340" s="83">
        <f t="shared" si="90"/>
        <v>0</v>
      </c>
      <c r="Q340" s="83">
        <v>0</v>
      </c>
      <c r="R340" s="83">
        <v>0</v>
      </c>
      <c r="S340" s="83">
        <v>0</v>
      </c>
      <c r="T340" s="83">
        <f t="shared" si="91"/>
        <v>0</v>
      </c>
      <c r="U340" s="83">
        <f t="shared" si="92"/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468">
        <f ca="1">IFERROR(__xludf.DUMMYFUNCTION("IMPORTRANGE(""https://docs.google.com/spreadsheets/d/1-uDff_7J0KD5mKrp0Vvzr7lt3OU09vwQwhkpOPPYv2Y/edit?usp=sharing"",""งบพรบ!EV16"")"),0)</f>
        <v>0</v>
      </c>
      <c r="M341" s="224">
        <f ca="1">IFERROR(__xludf.DUMMYFUNCTION("IMPORTRANGE(""https://docs.google.com/spreadsheets/d/1-uDff_7J0KD5mKrp0Vvzr7lt3OU09vwQwhkpOPPYv2Y/edit?usp=sharing"",""งบพรบ!EY16"")"),0)</f>
        <v>0</v>
      </c>
      <c r="N341" s="224">
        <f ca="1">IFERROR(__xludf.DUMMYFUNCTION("IMPORTRANGE(""https://docs.google.com/spreadsheets/d/1-uDff_7J0KD5mKrp0Vvzr7lt3OU09vwQwhkpOPPYv2Y/edit?usp=sharing"",""งบพรบ!FA16"")"),0)</f>
        <v>0</v>
      </c>
      <c r="O341" s="224">
        <f t="shared" ca="1" si="89"/>
        <v>0</v>
      </c>
      <c r="P341" s="224">
        <f t="shared" ca="1" si="90"/>
        <v>0</v>
      </c>
      <c r="Q341" s="224">
        <v>0</v>
      </c>
      <c r="R341" s="224">
        <v>0</v>
      </c>
      <c r="S341" s="224">
        <v>0</v>
      </c>
      <c r="T341" s="224">
        <f t="shared" si="91"/>
        <v>0</v>
      </c>
      <c r="U341" s="224">
        <f t="shared" si="92"/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465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566"/>
      <c r="B343" s="563"/>
      <c r="C343" s="565"/>
      <c r="D343" s="563"/>
      <c r="E343" s="564" t="s">
        <v>137</v>
      </c>
      <c r="F343" s="563"/>
      <c r="G343" s="562"/>
      <c r="H343" s="561" t="s">
        <v>35</v>
      </c>
      <c r="I343" s="560">
        <v>0</v>
      </c>
      <c r="J343" s="560">
        <f ca="1">J344+J347+J348+J349</f>
        <v>1389</v>
      </c>
      <c r="K343" s="559">
        <v>0</v>
      </c>
      <c r="L343" s="557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IFERROR(__xludf.DUMMYFUNCTION("IMPORTRANGE(""https://docs.google.com/spreadsheets/d/1eHaY18a8A9IcSdp1K8H6x8fbOy06t2VsZHhMHf-1x7Y/edit?usp=sharing"",""แผน!EK16"")"),600)</f>
        <v>600</v>
      </c>
      <c r="J344" s="184">
        <f ca="1">IFERROR(__xludf.DUMMYFUNCTION("IMPORTRANGE(""https://docs.google.com/spreadsheets/d/1awYsYK3VOup2i3Pq_Yjnu8DRu_mYwSBnCR2QPthd0rU/edit?usp=sharing"",""ศูนย์ยกเว้นโฉนด!D16"")"),1241)</f>
        <v>1241</v>
      </c>
      <c r="K344" s="224">
        <f ca="1">IF(I344&gt;0,J344*100/I344,0)</f>
        <v>206.83333333333334</v>
      </c>
      <c r="L344" s="465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465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IFERROR(__xludf.DUMMYFUNCTION("IMPORTRANGE(""https://docs.google.com/spreadsheets/d/1eHaY18a8A9IcSdp1K8H6x8fbOy06t2VsZHhMHf-1x7Y/edit?usp=sharing"",""แผน!EL16"")"),3)</f>
        <v>3</v>
      </c>
      <c r="J346" s="184">
        <f ca="1">IFERROR(__xludf.DUMMYFUNCTION("IMPORTRANGE(""https://docs.google.com/spreadsheets/d/1awYsYK3VOup2i3Pq_Yjnu8DRu_mYwSBnCR2QPthd0rU/edit?usp=sharing"",""ศูนย์รวม!E16"")"),3)</f>
        <v>3</v>
      </c>
      <c r="K346" s="224">
        <f ca="1">IF(I346&gt;0,J346*100/I346,0)</f>
        <v>100</v>
      </c>
      <c r="L346" s="465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IFERROR(__xludf.DUMMYFUNCTION("IMPORTRANGE(""https://docs.google.com/spreadsheets/d/1awYsYK3VOup2i3Pq_Yjnu8DRu_mYwSBnCR2QPthd0rU/edit?usp=sharing"",""ศูนย์ยกเว้นโฉนด!F16"")"),28)</f>
        <v>28</v>
      </c>
      <c r="K347" s="45"/>
      <c r="L347" s="465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IFERROR(__xludf.DUMMYFUNCTION("IMPORTRANGE(""https://docs.google.com/spreadsheets/d/1awYsYK3VOup2i3Pq_Yjnu8DRu_mYwSBnCR2QPthd0rU/edit?usp=sharing"",""ศูนย์ยกเว้นโฉนด!G16"")"),120)</f>
        <v>120</v>
      </c>
      <c r="K348" s="45"/>
      <c r="L348" s="465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IFERROR(__xludf.DUMMYFUNCTION("IMPORTRANGE(""https://docs.google.com/spreadsheets/d/1awYsYK3VOup2i3Pq_Yjnu8DRu_mYwSBnCR2QPthd0rU/edit?usp=sharing"",""ศูนย์ยกเว้นโฉนด!H16"")"),0)</f>
        <v>0</v>
      </c>
      <c r="K349" s="45"/>
      <c r="L349" s="465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0"/>
      <c r="F350" s="40"/>
      <c r="G350" s="42"/>
      <c r="H350" s="180"/>
      <c r="I350" s="44"/>
      <c r="J350" s="44"/>
      <c r="K350" s="45"/>
      <c r="L350" s="465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558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3983</v>
      </c>
      <c r="K351" s="304">
        <v>0</v>
      </c>
      <c r="L351" s="557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IFERROR(__xludf.DUMMYFUNCTION("IMPORTRANGE(""https://docs.google.com/spreadsheets/d/1awYsYK3VOup2i3Pq_Yjnu8DRu_mYwSBnCR2QPthd0rU/edit?usp=sharing"",""โฉนดM3!G16"")"),5)</f>
        <v>5</v>
      </c>
      <c r="K352" s="45"/>
      <c r="L352" s="465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IFERROR(__xludf.DUMMYFUNCTION("IMPORTRANGE(""https://docs.google.com/spreadsheets/d/1awYsYK3VOup2i3Pq_Yjnu8DRu_mYwSBnCR2QPthd0rU/edit?usp=sharing"",""โฉนดM3!H16"")"),3978)</f>
        <v>3978</v>
      </c>
      <c r="K353" s="45"/>
      <c r="L353" s="465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0"/>
      <c r="F354" s="40"/>
      <c r="G354" s="42"/>
      <c r="H354" s="180"/>
      <c r="I354" s="44"/>
      <c r="J354" s="44"/>
      <c r="K354" s="45"/>
      <c r="L354" s="465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539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472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471">
        <f ca="1">L357+L358</f>
        <v>352735</v>
      </c>
      <c r="M356" s="470">
        <f ca="1">M357+M358</f>
        <v>418830</v>
      </c>
      <c r="N356" s="470">
        <f ca="1">N357+N358</f>
        <v>316537.3</v>
      </c>
      <c r="O356" s="470">
        <f t="shared" ref="O356:O364" ca="1" si="95">IF(L356&gt;0,N356*100/L356,0)</f>
        <v>89.73799027598622</v>
      </c>
      <c r="P356" s="470">
        <f t="shared" ref="P356:P364" ca="1" si="96">IF(M356&gt;0,N356*100/M356,0)</f>
        <v>75.57655850822529</v>
      </c>
      <c r="Q356" s="470">
        <f>Q357+Q358</f>
        <v>0</v>
      </c>
      <c r="R356" s="470">
        <f>R357+R358</f>
        <v>0</v>
      </c>
      <c r="S356" s="470">
        <f>S357+S358</f>
        <v>0</v>
      </c>
      <c r="T356" s="470">
        <f t="shared" ref="T356:T364" si="97">IF(Q356&gt;0,S356*100/Q356,0)</f>
        <v>0</v>
      </c>
      <c r="U356" s="470">
        <f t="shared" ref="U356:U364" si="98"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469">
        <f t="shared" ref="L357:N358" si="99">L360+L363</f>
        <v>0</v>
      </c>
      <c r="M357" s="83">
        <f t="shared" si="99"/>
        <v>0</v>
      </c>
      <c r="N357" s="83">
        <f t="shared" si="99"/>
        <v>0</v>
      </c>
      <c r="O357" s="83">
        <f t="shared" si="95"/>
        <v>0</v>
      </c>
      <c r="P357" s="83">
        <f t="shared" si="96"/>
        <v>0</v>
      </c>
      <c r="Q357" s="83">
        <f t="shared" ref="Q357:S358" si="100">Q360+Q363</f>
        <v>0</v>
      </c>
      <c r="R357" s="83">
        <f t="shared" si="100"/>
        <v>0</v>
      </c>
      <c r="S357" s="83">
        <f t="shared" si="100"/>
        <v>0</v>
      </c>
      <c r="T357" s="83">
        <f t="shared" si="97"/>
        <v>0</v>
      </c>
      <c r="U357" s="83">
        <f t="shared" si="98"/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468">
        <f t="shared" ca="1" si="99"/>
        <v>352735</v>
      </c>
      <c r="M358" s="224">
        <f t="shared" ca="1" si="99"/>
        <v>418830</v>
      </c>
      <c r="N358" s="224">
        <f t="shared" ca="1" si="99"/>
        <v>316537.3</v>
      </c>
      <c r="O358" s="224">
        <f t="shared" ca="1" si="95"/>
        <v>89.73799027598622</v>
      </c>
      <c r="P358" s="224">
        <f t="shared" ca="1" si="96"/>
        <v>75.57655850822529</v>
      </c>
      <c r="Q358" s="224">
        <f t="shared" si="100"/>
        <v>0</v>
      </c>
      <c r="R358" s="224">
        <f t="shared" si="100"/>
        <v>0</v>
      </c>
      <c r="S358" s="224">
        <f t="shared" si="100"/>
        <v>0</v>
      </c>
      <c r="T358" s="224">
        <f t="shared" si="97"/>
        <v>0</v>
      </c>
      <c r="U358" s="224">
        <f t="shared" si="98"/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468">
        <f ca="1">L360+L361</f>
        <v>352735</v>
      </c>
      <c r="M359" s="224">
        <f ca="1">M360+M361</f>
        <v>418830</v>
      </c>
      <c r="N359" s="224">
        <f ca="1">N360+N361</f>
        <v>316537.3</v>
      </c>
      <c r="O359" s="224">
        <f t="shared" ca="1" si="95"/>
        <v>89.73799027598622</v>
      </c>
      <c r="P359" s="224">
        <f t="shared" ca="1" si="96"/>
        <v>75.57655850822529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 t="shared" si="97"/>
        <v>0</v>
      </c>
      <c r="U359" s="224">
        <f t="shared" si="98"/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469">
        <v>0</v>
      </c>
      <c r="M360" s="83">
        <v>0</v>
      </c>
      <c r="N360" s="83">
        <v>0</v>
      </c>
      <c r="O360" s="83">
        <f t="shared" si="95"/>
        <v>0</v>
      </c>
      <c r="P360" s="83">
        <f t="shared" si="96"/>
        <v>0</v>
      </c>
      <c r="Q360" s="83">
        <v>0</v>
      </c>
      <c r="R360" s="83">
        <v>0</v>
      </c>
      <c r="S360" s="83">
        <v>0</v>
      </c>
      <c r="T360" s="83">
        <f t="shared" si="97"/>
        <v>0</v>
      </c>
      <c r="U360" s="83">
        <f t="shared" si="98"/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468">
        <f ca="1">IFERROR(__xludf.DUMMYFUNCTION("IMPORTRANGE(""https://docs.google.com/spreadsheets/d/1-uDff_7J0KD5mKrp0Vvzr7lt3OU09vwQwhkpOPPYv2Y/edit?usp=sharing"",""งบพรบ!FC16"")"),352735)</f>
        <v>352735</v>
      </c>
      <c r="M361" s="224">
        <f ca="1">IFERROR(__xludf.DUMMYFUNCTION("IMPORTRANGE(""https://docs.google.com/spreadsheets/d/1-uDff_7J0KD5mKrp0Vvzr7lt3OU09vwQwhkpOPPYv2Y/edit?usp=sharing"",""งบพรบ!FH16"")"),418830)</f>
        <v>418830</v>
      </c>
      <c r="N361" s="224">
        <f ca="1">IFERROR(__xludf.DUMMYFUNCTION("IMPORTRANGE(""https://docs.google.com/spreadsheets/d/1-uDff_7J0KD5mKrp0Vvzr7lt3OU09vwQwhkpOPPYv2Y/edit?usp=sharing"",""งบพรบ!FJ16"")"),316537.3)</f>
        <v>316537.3</v>
      </c>
      <c r="O361" s="224">
        <f t="shared" ca="1" si="95"/>
        <v>89.73799027598622</v>
      </c>
      <c r="P361" s="224">
        <f t="shared" ca="1" si="96"/>
        <v>75.57655850822529</v>
      </c>
      <c r="Q361" s="224">
        <v>0</v>
      </c>
      <c r="R361" s="224">
        <v>0</v>
      </c>
      <c r="S361" s="224">
        <v>0</v>
      </c>
      <c r="T361" s="224">
        <f t="shared" si="97"/>
        <v>0</v>
      </c>
      <c r="U361" s="224">
        <f t="shared" si="98"/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468">
        <f ca="1">L363+L364</f>
        <v>0</v>
      </c>
      <c r="M362" s="224">
        <f ca="1">M363+M364</f>
        <v>0</v>
      </c>
      <c r="N362" s="224">
        <f ca="1">N363+N364</f>
        <v>0</v>
      </c>
      <c r="O362" s="224">
        <f t="shared" ca="1" si="95"/>
        <v>0</v>
      </c>
      <c r="P362" s="224">
        <f t="shared" ca="1" si="96"/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 t="shared" si="97"/>
        <v>0</v>
      </c>
      <c r="U362" s="224">
        <f t="shared" si="98"/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469">
        <v>0</v>
      </c>
      <c r="M363" s="83">
        <v>0</v>
      </c>
      <c r="N363" s="83">
        <v>0</v>
      </c>
      <c r="O363" s="83">
        <f t="shared" si="95"/>
        <v>0</v>
      </c>
      <c r="P363" s="83">
        <f t="shared" si="96"/>
        <v>0</v>
      </c>
      <c r="Q363" s="83">
        <v>0</v>
      </c>
      <c r="R363" s="83">
        <v>0</v>
      </c>
      <c r="S363" s="83">
        <v>0</v>
      </c>
      <c r="T363" s="83">
        <f t="shared" si="97"/>
        <v>0</v>
      </c>
      <c r="U363" s="83">
        <f t="shared" si="98"/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468">
        <f ca="1">IFERROR(__xludf.DUMMYFUNCTION("IMPORTRANGE(""https://docs.google.com/spreadsheets/d/1-uDff_7J0KD5mKrp0Vvzr7lt3OU09vwQwhkpOPPYv2Y/edit?usp=sharing"",""งบพรบ!FF16"")"),0)</f>
        <v>0</v>
      </c>
      <c r="M364" s="224">
        <f ca="1">IFERROR(__xludf.DUMMYFUNCTION("IMPORTRANGE(""https://docs.google.com/spreadsheets/d/1-uDff_7J0KD5mKrp0Vvzr7lt3OU09vwQwhkpOPPYv2Y/edit?usp=sharing"",""งบพรบ!FI16"")"),0)</f>
        <v>0</v>
      </c>
      <c r="N364" s="224">
        <f ca="1">IFERROR(__xludf.DUMMYFUNCTION("IMPORTRANGE(""https://docs.google.com/spreadsheets/d/1-uDff_7J0KD5mKrp0Vvzr7lt3OU09vwQwhkpOPPYv2Y/edit?usp=sharing"",""งบพรบ!FK16"")"),0)</f>
        <v>0</v>
      </c>
      <c r="O364" s="224">
        <f t="shared" ca="1" si="95"/>
        <v>0</v>
      </c>
      <c r="P364" s="224">
        <f t="shared" ca="1" si="96"/>
        <v>0</v>
      </c>
      <c r="Q364" s="224">
        <v>0</v>
      </c>
      <c r="R364" s="224">
        <v>0</v>
      </c>
      <c r="S364" s="224">
        <v>0</v>
      </c>
      <c r="T364" s="224">
        <f t="shared" si="97"/>
        <v>0</v>
      </c>
      <c r="U364" s="224">
        <f t="shared" si="98"/>
        <v>0</v>
      </c>
    </row>
    <row r="365" spans="1:21" ht="19.5" x14ac:dyDescent="0.3">
      <c r="A365" s="211"/>
      <c r="B365" s="212"/>
      <c r="C365" s="214"/>
      <c r="D365" s="558" t="s">
        <v>149</v>
      </c>
      <c r="E365" s="214"/>
      <c r="F365" s="214"/>
      <c r="G365" s="215"/>
      <c r="H365" s="223" t="s">
        <v>35</v>
      </c>
      <c r="I365" s="303">
        <f ca="1">I371</f>
        <v>131</v>
      </c>
      <c r="J365" s="303">
        <f ca="1">J371</f>
        <v>171</v>
      </c>
      <c r="K365" s="304">
        <f ca="1">IF(I365&gt;0,J365*100/I365,0)</f>
        <v>130.53435114503816</v>
      </c>
      <c r="L365" s="557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498" t="s">
        <v>38</v>
      </c>
      <c r="E366" s="141"/>
      <c r="F366" s="141"/>
      <c r="G366" s="142"/>
      <c r="H366" s="143"/>
      <c r="I366" s="44"/>
      <c r="J366" s="44"/>
      <c r="K366" s="45"/>
      <c r="L366" s="4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IFERROR(__xludf.DUMMYFUNCTION("IMPORTRANGE(""https://docs.google.com/spreadsheets/d/1tdoBKaGub7dwA3U6UFTqxio9LNnvDCQjHKmttSEBsFQ/edit?usp=sharing"",""จัดที่ดิน!AB16"")"),181)</f>
        <v>181</v>
      </c>
      <c r="K367" s="224">
        <f t="shared" ref="K367:K372" si="101">IF(I367&gt;0,J367*100/I367,0)</f>
        <v>0</v>
      </c>
      <c r="L367" s="4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IFERROR(__xludf.DUMMYFUNCTION("IMPORTRANGE(""https://docs.google.com/spreadsheets/d/1eHaY18a8A9IcSdp1K8H6x8fbOy06t2VsZHhMHf-1x7Y/edit?usp=sharing"",""แผน!EW16"")"),545)</f>
        <v>545</v>
      </c>
      <c r="J368" s="556">
        <f ca="1">IFERROR(__xludf.DUMMYFUNCTION("IMPORTRANGE(""https://docs.google.com/spreadsheets/d/1tdoBKaGub7dwA3U6UFTqxio9LNnvDCQjHKmttSEBsFQ/edit?usp=sharing"",""จัดที่ดิน!AC16"")"),562.69)</f>
        <v>562.69000000000005</v>
      </c>
      <c r="K368" s="224">
        <f t="shared" ca="1" si="101"/>
        <v>103.24587155963304</v>
      </c>
      <c r="L368" s="4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IFERROR(__xludf.DUMMYFUNCTION("IMPORTRANGE(""https://docs.google.com/spreadsheets/d/1eHaY18a8A9IcSdp1K8H6x8fbOy06t2VsZHhMHf-1x7Y/edit?usp=sharing"",""แผน!EX16"")"),131)</f>
        <v>131</v>
      </c>
      <c r="J369" s="184">
        <f ca="1">IFERROR(__xludf.DUMMYFUNCTION("IMPORTRANGE(""https://docs.google.com/spreadsheets/d/1tdoBKaGub7dwA3U6UFTqxio9LNnvDCQjHKmttSEBsFQ/edit?usp=sharing"",""จัดที่ดิน!AD16"")"),182)</f>
        <v>182</v>
      </c>
      <c r="K369" s="224">
        <f t="shared" ca="1" si="101"/>
        <v>138.93129770992365</v>
      </c>
      <c r="L369" s="4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556">
        <f ca="1">IFERROR(__xludf.DUMMYFUNCTION("IMPORTRANGE(""https://docs.google.com/spreadsheets/d/1tdoBKaGub7dwA3U6UFTqxio9LNnvDCQjHKmttSEBsFQ/edit?usp=sharing"",""จัดที่ดิน!AE16"")"),987.73)</f>
        <v>987.73</v>
      </c>
      <c r="K370" s="224">
        <f t="shared" si="101"/>
        <v>0</v>
      </c>
      <c r="L370" s="4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IFERROR(__xludf.DUMMYFUNCTION("IMPORTRANGE(""https://docs.google.com/spreadsheets/d/1eHaY18a8A9IcSdp1K8H6x8fbOy06t2VsZHhMHf-1x7Y/edit?usp=sharing"",""แผน!EY16"")"),131)</f>
        <v>131</v>
      </c>
      <c r="J371" s="184">
        <f ca="1">IFERROR(__xludf.DUMMYFUNCTION("IMPORTRANGE(""https://docs.google.com/spreadsheets/d/1tdoBKaGub7dwA3U6UFTqxio9LNnvDCQjHKmttSEBsFQ/edit?usp=sharing"",""จัดที่ดิน!AF16"")"),171)</f>
        <v>171</v>
      </c>
      <c r="K371" s="224">
        <f t="shared" ca="1" si="101"/>
        <v>130.53435114503816</v>
      </c>
      <c r="L371" s="4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556">
        <f ca="1">IFERROR(__xludf.DUMMYFUNCTION("IMPORTRANGE(""https://docs.google.com/spreadsheets/d/1tdoBKaGub7dwA3U6UFTqxio9LNnvDCQjHKmttSEBsFQ/edit?usp=sharing"",""จัดที่ดิน!AG16"")"),888.03)</f>
        <v>888.03</v>
      </c>
      <c r="K372" s="224">
        <f t="shared" si="101"/>
        <v>0</v>
      </c>
      <c r="L372" s="4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2"/>
      <c r="H373" s="52"/>
      <c r="I373" s="54"/>
      <c r="J373" s="54"/>
      <c r="K373" s="3"/>
      <c r="L373" s="46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555"/>
      <c r="B374" s="554" t="s">
        <v>153</v>
      </c>
      <c r="C374" s="553"/>
      <c r="D374" s="552"/>
      <c r="E374" s="551"/>
      <c r="F374" s="551"/>
      <c r="G374" s="550"/>
      <c r="H374" s="549" t="s">
        <v>46</v>
      </c>
      <c r="I374" s="720">
        <f ca="1">I386+I388</f>
        <v>2000</v>
      </c>
      <c r="J374" s="548">
        <f ca="1">J386+J388</f>
        <v>195</v>
      </c>
      <c r="K374" s="547">
        <f ca="1">IF(I374&gt;0,J374*100/I374,0)</f>
        <v>9.75</v>
      </c>
      <c r="L374" s="539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128"/>
      <c r="B375" s="158"/>
      <c r="C375" s="161" t="s">
        <v>18</v>
      </c>
      <c r="D375" s="544" t="s">
        <v>19</v>
      </c>
      <c r="E375" s="40"/>
      <c r="F375" s="40"/>
      <c r="G375" s="42"/>
      <c r="H375" s="131" t="s">
        <v>14</v>
      </c>
      <c r="I375" s="719"/>
      <c r="J375" s="44"/>
      <c r="K375" s="45"/>
      <c r="L375" s="471">
        <f>L376+L377</f>
        <v>0</v>
      </c>
      <c r="M375" s="470">
        <f>M376+M377</f>
        <v>0</v>
      </c>
      <c r="N375" s="470">
        <f>N376+N377</f>
        <v>0</v>
      </c>
      <c r="O375" s="470">
        <f t="shared" ref="O375:O383" si="102">IF(L375&gt;0,N375*100/L375,0)</f>
        <v>0</v>
      </c>
      <c r="P375" s="470">
        <f t="shared" ref="P375:P383" si="103">IF(M375&gt;0,N375*100/M375,0)</f>
        <v>0</v>
      </c>
      <c r="Q375" s="470">
        <f ca="1">Q376+Q377</f>
        <v>125000</v>
      </c>
      <c r="R375" s="470">
        <f ca="1">R376+R377</f>
        <v>0</v>
      </c>
      <c r="S375" s="470">
        <f ca="1">S376+S377</f>
        <v>0</v>
      </c>
      <c r="T375" s="470">
        <f t="shared" ref="T375:T383" ca="1" si="104">IF(Q375&gt;0,S375*100/Q375,0)</f>
        <v>0</v>
      </c>
      <c r="U375" s="470">
        <f t="shared" ref="U375:U383" ca="1" si="105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719"/>
      <c r="J376" s="44"/>
      <c r="K376" s="45"/>
      <c r="L376" s="469">
        <f t="shared" ref="L376:N377" si="106">L379+L382</f>
        <v>0</v>
      </c>
      <c r="M376" s="83">
        <f t="shared" si="106"/>
        <v>0</v>
      </c>
      <c r="N376" s="83">
        <f t="shared" si="106"/>
        <v>0</v>
      </c>
      <c r="O376" s="83">
        <f t="shared" si="102"/>
        <v>0</v>
      </c>
      <c r="P376" s="83">
        <f t="shared" si="103"/>
        <v>0</v>
      </c>
      <c r="Q376" s="83">
        <f t="shared" ref="Q376:S377" si="107">Q379+Q382</f>
        <v>0</v>
      </c>
      <c r="R376" s="83">
        <f t="shared" si="107"/>
        <v>0</v>
      </c>
      <c r="S376" s="83">
        <f t="shared" si="107"/>
        <v>0</v>
      </c>
      <c r="T376" s="83">
        <f t="shared" si="104"/>
        <v>0</v>
      </c>
      <c r="U376" s="83">
        <f t="shared" si="105"/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719"/>
      <c r="J377" s="44"/>
      <c r="K377" s="45"/>
      <c r="L377" s="468">
        <f t="shared" si="106"/>
        <v>0</v>
      </c>
      <c r="M377" s="224">
        <f t="shared" si="106"/>
        <v>0</v>
      </c>
      <c r="N377" s="224">
        <f t="shared" si="106"/>
        <v>0</v>
      </c>
      <c r="O377" s="224">
        <f t="shared" si="102"/>
        <v>0</v>
      </c>
      <c r="P377" s="224">
        <f t="shared" si="103"/>
        <v>0</v>
      </c>
      <c r="Q377" s="224">
        <f t="shared" ca="1" si="107"/>
        <v>125000</v>
      </c>
      <c r="R377" s="224">
        <f t="shared" ca="1" si="107"/>
        <v>0</v>
      </c>
      <c r="S377" s="224">
        <f t="shared" ca="1" si="107"/>
        <v>0</v>
      </c>
      <c r="T377" s="224">
        <f t="shared" ca="1" si="104"/>
        <v>0</v>
      </c>
      <c r="U377" s="224">
        <f t="shared" ca="1" si="105"/>
        <v>0</v>
      </c>
    </row>
    <row r="378" spans="1:21" ht="18.75" x14ac:dyDescent="0.25">
      <c r="A378" s="128"/>
      <c r="B378" s="158"/>
      <c r="C378" s="158"/>
      <c r="D378" s="538" t="s">
        <v>22</v>
      </c>
      <c r="E378" s="40"/>
      <c r="F378" s="40"/>
      <c r="G378" s="42"/>
      <c r="H378" s="134" t="s">
        <v>14</v>
      </c>
      <c r="I378" s="718"/>
      <c r="J378" s="135"/>
      <c r="K378" s="136"/>
      <c r="L378" s="468">
        <f>L379+L380</f>
        <v>0</v>
      </c>
      <c r="M378" s="224">
        <f>M379+M380</f>
        <v>0</v>
      </c>
      <c r="N378" s="224">
        <f>N379+N380</f>
        <v>0</v>
      </c>
      <c r="O378" s="224">
        <f t="shared" si="102"/>
        <v>0</v>
      </c>
      <c r="P378" s="224">
        <f t="shared" si="103"/>
        <v>0</v>
      </c>
      <c r="Q378" s="224">
        <f ca="1">Q379+Q380</f>
        <v>125000</v>
      </c>
      <c r="R378" s="224">
        <f ca="1">R379+R380</f>
        <v>0</v>
      </c>
      <c r="S378" s="224">
        <f ca="1">S379+S380</f>
        <v>0</v>
      </c>
      <c r="T378" s="224">
        <f t="shared" ca="1" si="104"/>
        <v>0</v>
      </c>
      <c r="U378" s="224">
        <f t="shared" ca="1" si="105"/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718"/>
      <c r="J379" s="135"/>
      <c r="K379" s="136"/>
      <c r="L379" s="469">
        <v>0</v>
      </c>
      <c r="M379" s="83">
        <v>0</v>
      </c>
      <c r="N379" s="83">
        <v>0</v>
      </c>
      <c r="O379" s="83">
        <f t="shared" si="102"/>
        <v>0</v>
      </c>
      <c r="P379" s="83">
        <f t="shared" si="103"/>
        <v>0</v>
      </c>
      <c r="Q379" s="83">
        <v>0</v>
      </c>
      <c r="R379" s="83">
        <v>0</v>
      </c>
      <c r="S379" s="83">
        <v>0</v>
      </c>
      <c r="T379" s="83">
        <f t="shared" si="104"/>
        <v>0</v>
      </c>
      <c r="U379" s="83">
        <f t="shared" si="105"/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718"/>
      <c r="J380" s="135"/>
      <c r="K380" s="136"/>
      <c r="L380" s="468">
        <v>0</v>
      </c>
      <c r="M380" s="224">
        <v>0</v>
      </c>
      <c r="N380" s="224">
        <v>0</v>
      </c>
      <c r="O380" s="224">
        <f t="shared" si="102"/>
        <v>0</v>
      </c>
      <c r="P380" s="224">
        <f t="shared" si="103"/>
        <v>0</v>
      </c>
      <c r="Q380" s="224">
        <f ca="1">IFERROR(__xludf.DUMMYFUNCTION("IMPORTRANGE(""https://docs.google.com/spreadsheets/d/1ItG2mGa2ceCfYo0BwxsXqNm01IGEUdYcSSLTEv9YCik/edit?usp=sharing"",""เบิกจ่ายกองทุน!AY16"")"),125000)</f>
        <v>125000</v>
      </c>
      <c r="R380" s="224">
        <f ca="1">IFERROR(__xludf.DUMMYFUNCTION("IMPORTRANGE(""https://docs.google.com/spreadsheets/d/1ItG2mGa2ceCfYo0BwxsXqNm01IGEUdYcSSLTEv9YCik/edit?usp=sharing"",""เบิกจ่ายกองทุน!AZ16"")"),0)</f>
        <v>0</v>
      </c>
      <c r="S380" s="224">
        <f ca="1">IFERROR(__xludf.DUMMYFUNCTION("IMPORTRANGE(""https://docs.google.com/spreadsheets/d/1ItG2mGa2ceCfYo0BwxsXqNm01IGEUdYcSSLTEv9YCik/edit?usp=sharing"",""เบิกจ่ายกองทุน!BA16"")"),0)</f>
        <v>0</v>
      </c>
      <c r="T380" s="224">
        <f t="shared" ca="1" si="104"/>
        <v>0</v>
      </c>
      <c r="U380" s="224">
        <f t="shared" ca="1" si="105"/>
        <v>0</v>
      </c>
    </row>
    <row r="381" spans="1:21" ht="18.75" x14ac:dyDescent="0.25">
      <c r="A381" s="128"/>
      <c r="B381" s="158"/>
      <c r="C381" s="158"/>
      <c r="D381" s="538" t="s">
        <v>23</v>
      </c>
      <c r="E381" s="40"/>
      <c r="F381" s="40"/>
      <c r="G381" s="42"/>
      <c r="H381" s="137" t="s">
        <v>14</v>
      </c>
      <c r="I381" s="718"/>
      <c r="J381" s="135"/>
      <c r="K381" s="136"/>
      <c r="L381" s="468">
        <f>L382+L383</f>
        <v>0</v>
      </c>
      <c r="M381" s="224">
        <f>M382+M383</f>
        <v>0</v>
      </c>
      <c r="N381" s="224">
        <f>N382+N383</f>
        <v>0</v>
      </c>
      <c r="O381" s="224">
        <f t="shared" si="102"/>
        <v>0</v>
      </c>
      <c r="P381" s="224">
        <f t="shared" si="103"/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 t="shared" si="104"/>
        <v>0</v>
      </c>
      <c r="U381" s="224">
        <f t="shared" si="105"/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718"/>
      <c r="J382" s="135"/>
      <c r="K382" s="136"/>
      <c r="L382" s="469">
        <v>0</v>
      </c>
      <c r="M382" s="83">
        <v>0</v>
      </c>
      <c r="N382" s="83">
        <v>0</v>
      </c>
      <c r="O382" s="83">
        <f t="shared" si="102"/>
        <v>0</v>
      </c>
      <c r="P382" s="83">
        <f t="shared" si="103"/>
        <v>0</v>
      </c>
      <c r="Q382" s="83">
        <v>0</v>
      </c>
      <c r="R382" s="83">
        <v>0</v>
      </c>
      <c r="S382" s="83">
        <v>0</v>
      </c>
      <c r="T382" s="83">
        <f t="shared" si="104"/>
        <v>0</v>
      </c>
      <c r="U382" s="83">
        <f t="shared" si="105"/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718"/>
      <c r="J383" s="135"/>
      <c r="K383" s="136"/>
      <c r="L383" s="468">
        <v>0</v>
      </c>
      <c r="M383" s="224">
        <v>0</v>
      </c>
      <c r="N383" s="224">
        <v>0</v>
      </c>
      <c r="O383" s="224">
        <f t="shared" si="102"/>
        <v>0</v>
      </c>
      <c r="P383" s="224">
        <f t="shared" si="103"/>
        <v>0</v>
      </c>
      <c r="Q383" s="224">
        <v>0</v>
      </c>
      <c r="R383" s="224">
        <v>0</v>
      </c>
      <c r="S383" s="224">
        <v>0</v>
      </c>
      <c r="T383" s="224">
        <f t="shared" si="104"/>
        <v>0</v>
      </c>
      <c r="U383" s="224">
        <f t="shared" si="105"/>
        <v>0</v>
      </c>
    </row>
    <row r="384" spans="1:21" ht="19.5" x14ac:dyDescent="0.3">
      <c r="A384" s="138"/>
      <c r="B384" s="139"/>
      <c r="C384" s="161" t="s">
        <v>18</v>
      </c>
      <c r="D384" s="491" t="s">
        <v>38</v>
      </c>
      <c r="E384" s="141"/>
      <c r="F384" s="141"/>
      <c r="G384" s="142"/>
      <c r="H384" s="178"/>
      <c r="I384" s="718"/>
      <c r="J384" s="44"/>
      <c r="K384" s="45"/>
      <c r="L384" s="465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717">
        <v>0</v>
      </c>
      <c r="J385" s="184">
        <f ca="1">IFERROR(__xludf.DUMMYFUNCTION("IMPORTRANGE(""https://docs.google.com/spreadsheets/d/1w5rwWK1o49a35cNtocGL0gxDwhFSTZUQu90BiH9_zqM/edit?usp=sharing"",""RTK!H16"")"),46)</f>
        <v>46</v>
      </c>
      <c r="K385" s="224">
        <f>IF(I385&gt;0,J385*100/I385,0)</f>
        <v>0</v>
      </c>
      <c r="L385" s="465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717">
        <f ca="1">IFERROR(__xludf.DUMMYFUNCTION("IMPORTRANGE(""https://docs.google.com/spreadsheets/d/1w5rwWK1o49a35cNtocGL0gxDwhFSTZUQu90BiH9_zqM/edit?usp=sharing"",""RTK!G16"")"),2000)</f>
        <v>2000</v>
      </c>
      <c r="J386" s="184">
        <f ca="1">IFERROR(__xludf.DUMMYFUNCTION("IMPORTRANGE(""https://docs.google.com/spreadsheets/d/1w5rwWK1o49a35cNtocGL0gxDwhFSTZUQu90BiH9_zqM/edit?usp=sharing"",""RTK!I16"")"),195)</f>
        <v>195</v>
      </c>
      <c r="K386" s="224">
        <f ca="1">IF(I386&gt;0,J386*100/I386,0)</f>
        <v>9.75</v>
      </c>
      <c r="L386" s="465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545"/>
      <c r="B387" s="545"/>
      <c r="C387" s="545"/>
      <c r="D387" s="545"/>
      <c r="E387" s="546" t="s">
        <v>155</v>
      </c>
      <c r="F387" s="545"/>
      <c r="G387" s="488"/>
      <c r="H387" s="480" t="s">
        <v>34</v>
      </c>
      <c r="I387" s="716">
        <v>0</v>
      </c>
      <c r="J387" s="487">
        <f ca="1">IFERROR(__xludf.DUMMYFUNCTION("IMPORTRANGE(""https://docs.google.com/spreadsheets/d/1w5rwWK1o49a35cNtocGL0gxDwhFSTZUQu90BiH9_zqM/edit?usp=sharing"",""RTK!L16"")"),0)</f>
        <v>0</v>
      </c>
      <c r="K387" s="486">
        <f>IF(I387&gt;0,J387*100/I387,0)</f>
        <v>0</v>
      </c>
      <c r="L387" s="477"/>
      <c r="M387" s="476"/>
      <c r="N387" s="476"/>
      <c r="O387" s="476"/>
      <c r="P387" s="476"/>
      <c r="Q387" s="476"/>
      <c r="R387" s="476"/>
      <c r="S387" s="476"/>
      <c r="T387" s="476"/>
      <c r="U387" s="476"/>
    </row>
    <row r="388" spans="1:21" ht="18.75" x14ac:dyDescent="0.25">
      <c r="A388" s="545"/>
      <c r="B388" s="545"/>
      <c r="C388" s="545"/>
      <c r="D388" s="545"/>
      <c r="E388" s="545"/>
      <c r="F388" s="545"/>
      <c r="G388" s="488"/>
      <c r="H388" s="480" t="s">
        <v>46</v>
      </c>
      <c r="I388" s="716">
        <f ca="1">IFERROR(__xludf.DUMMYFUNCTION("IMPORTRANGE(""https://docs.google.com/spreadsheets/d/1w5rwWK1o49a35cNtocGL0gxDwhFSTZUQu90BiH9_zqM/edit?usp=sharing"",""RTK!K16"")"),0)</f>
        <v>0</v>
      </c>
      <c r="J388" s="487">
        <f ca="1">IFERROR(__xludf.DUMMYFUNCTION("IMPORTRANGE(""https://docs.google.com/spreadsheets/d/1w5rwWK1o49a35cNtocGL0gxDwhFSTZUQu90BiH9_zqM/edit?usp=sharing"",""RTK!M16"")"),0)</f>
        <v>0</v>
      </c>
      <c r="K388" s="486">
        <f ca="1">IF(I388&gt;0,J388*100/I388,0)</f>
        <v>0</v>
      </c>
      <c r="L388" s="477"/>
      <c r="M388" s="476"/>
      <c r="N388" s="476"/>
      <c r="O388" s="476"/>
      <c r="P388" s="476"/>
      <c r="Q388" s="476"/>
      <c r="R388" s="476"/>
      <c r="S388" s="476"/>
      <c r="T388" s="476"/>
      <c r="U388" s="476"/>
    </row>
    <row r="389" spans="1:21" ht="12.75" hidden="1" x14ac:dyDescent="0.2">
      <c r="A389" s="228"/>
      <c r="B389" s="228"/>
      <c r="C389" s="228"/>
      <c r="D389" s="228"/>
      <c r="E389" s="228"/>
      <c r="F389" s="228"/>
      <c r="G389" s="231"/>
      <c r="H389" s="231"/>
      <c r="I389" s="715"/>
      <c r="J389" s="232"/>
      <c r="K389" s="233"/>
      <c r="L389" s="511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16"/>
      <c r="B390" s="316"/>
      <c r="C390" s="316"/>
      <c r="D390" s="316"/>
      <c r="E390" s="316"/>
      <c r="F390" s="316"/>
      <c r="G390" s="317"/>
      <c r="H390" s="317"/>
      <c r="I390" s="714"/>
      <c r="J390" s="318"/>
      <c r="K390" s="319"/>
      <c r="L390" s="496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hidden="1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>I402</f>
        <v>0</v>
      </c>
      <c r="J391" s="307">
        <f>J402</f>
        <v>0</v>
      </c>
      <c r="K391" s="540">
        <f>IF(I391&gt;0,J391*100/I391,0)</f>
        <v>0</v>
      </c>
      <c r="L391" s="539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hidden="1" x14ac:dyDescent="0.3">
      <c r="A392" s="128"/>
      <c r="B392" s="158"/>
      <c r="C392" s="161" t="s">
        <v>18</v>
      </c>
      <c r="D392" s="54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471">
        <f>L393+L394</f>
        <v>0</v>
      </c>
      <c r="M392" s="470">
        <f>M393+M394</f>
        <v>0</v>
      </c>
      <c r="N392" s="470">
        <f>N393+N394</f>
        <v>0</v>
      </c>
      <c r="O392" s="470">
        <f t="shared" ref="O392:O400" si="108">IF(L392&gt;0,N392*100/L392,0)</f>
        <v>0</v>
      </c>
      <c r="P392" s="470">
        <f t="shared" ref="P392:P400" si="109">IF(M392&gt;0,N392*100/M392,0)</f>
        <v>0</v>
      </c>
      <c r="Q392" s="470">
        <f>Q393+Q394</f>
        <v>0</v>
      </c>
      <c r="R392" s="470">
        <f>R393+R394</f>
        <v>0</v>
      </c>
      <c r="S392" s="470">
        <f>S393+S394</f>
        <v>0</v>
      </c>
      <c r="T392" s="470">
        <f t="shared" ref="T392:T400" si="110">IF(Q392&gt;0,S392*100/Q392,0)</f>
        <v>0</v>
      </c>
      <c r="U392" s="470">
        <f t="shared" ref="U392:U400" si="11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469">
        <f t="shared" ref="L393:N394" si="112">L396+L399</f>
        <v>0</v>
      </c>
      <c r="M393" s="83">
        <f t="shared" si="112"/>
        <v>0</v>
      </c>
      <c r="N393" s="83">
        <f t="shared" si="112"/>
        <v>0</v>
      </c>
      <c r="O393" s="83">
        <f t="shared" si="108"/>
        <v>0</v>
      </c>
      <c r="P393" s="83">
        <f t="shared" si="109"/>
        <v>0</v>
      </c>
      <c r="Q393" s="83">
        <f t="shared" ref="Q393:S394" si="113">Q396+Q399</f>
        <v>0</v>
      </c>
      <c r="R393" s="83">
        <f t="shared" si="113"/>
        <v>0</v>
      </c>
      <c r="S393" s="83">
        <f t="shared" si="113"/>
        <v>0</v>
      </c>
      <c r="T393" s="83">
        <f t="shared" si="110"/>
        <v>0</v>
      </c>
      <c r="U393" s="83">
        <f t="shared" si="111"/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468">
        <f t="shared" si="112"/>
        <v>0</v>
      </c>
      <c r="M394" s="224">
        <f t="shared" si="112"/>
        <v>0</v>
      </c>
      <c r="N394" s="224">
        <f t="shared" si="112"/>
        <v>0</v>
      </c>
      <c r="O394" s="224">
        <f t="shared" si="108"/>
        <v>0</v>
      </c>
      <c r="P394" s="224">
        <f t="shared" si="109"/>
        <v>0</v>
      </c>
      <c r="Q394" s="224">
        <f t="shared" si="113"/>
        <v>0</v>
      </c>
      <c r="R394" s="224">
        <f t="shared" si="113"/>
        <v>0</v>
      </c>
      <c r="S394" s="224">
        <f t="shared" si="113"/>
        <v>0</v>
      </c>
      <c r="T394" s="224">
        <f t="shared" si="110"/>
        <v>0</v>
      </c>
      <c r="U394" s="224">
        <f t="shared" si="111"/>
        <v>0</v>
      </c>
    </row>
    <row r="395" spans="1:21" ht="18.75" hidden="1" x14ac:dyDescent="0.25">
      <c r="A395" s="128"/>
      <c r="B395" s="158"/>
      <c r="C395" s="158"/>
      <c r="D395" s="53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468">
        <f>L396+L397</f>
        <v>0</v>
      </c>
      <c r="M395" s="224">
        <f>M396+M397</f>
        <v>0</v>
      </c>
      <c r="N395" s="224">
        <f>N396+N397</f>
        <v>0</v>
      </c>
      <c r="O395" s="224">
        <f t="shared" si="108"/>
        <v>0</v>
      </c>
      <c r="P395" s="224">
        <f t="shared" si="109"/>
        <v>0</v>
      </c>
      <c r="Q395" s="224">
        <f>Q396+Q397</f>
        <v>0</v>
      </c>
      <c r="R395" s="224">
        <f>R396+R397</f>
        <v>0</v>
      </c>
      <c r="S395" s="224">
        <f>S396+S397</f>
        <v>0</v>
      </c>
      <c r="T395" s="224">
        <f t="shared" si="110"/>
        <v>0</v>
      </c>
      <c r="U395" s="224">
        <f t="shared" si="111"/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469">
        <v>0</v>
      </c>
      <c r="M396" s="83">
        <v>0</v>
      </c>
      <c r="N396" s="83">
        <v>0</v>
      </c>
      <c r="O396" s="83">
        <f t="shared" si="108"/>
        <v>0</v>
      </c>
      <c r="P396" s="83">
        <f t="shared" si="109"/>
        <v>0</v>
      </c>
      <c r="Q396" s="83">
        <v>0</v>
      </c>
      <c r="R396" s="83">
        <v>0</v>
      </c>
      <c r="S396" s="83">
        <v>0</v>
      </c>
      <c r="T396" s="83">
        <f t="shared" si="110"/>
        <v>0</v>
      </c>
      <c r="U396" s="83">
        <f t="shared" si="111"/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468">
        <v>0</v>
      </c>
      <c r="M397" s="224">
        <v>0</v>
      </c>
      <c r="N397" s="224">
        <v>0</v>
      </c>
      <c r="O397" s="224">
        <f t="shared" si="108"/>
        <v>0</v>
      </c>
      <c r="P397" s="224">
        <f t="shared" si="109"/>
        <v>0</v>
      </c>
      <c r="Q397" s="224">
        <v>0</v>
      </c>
      <c r="R397" s="224">
        <v>0</v>
      </c>
      <c r="S397" s="224">
        <v>0</v>
      </c>
      <c r="T397" s="224">
        <f t="shared" si="110"/>
        <v>0</v>
      </c>
      <c r="U397" s="224">
        <f t="shared" si="111"/>
        <v>0</v>
      </c>
    </row>
    <row r="398" spans="1:21" ht="18.75" hidden="1" x14ac:dyDescent="0.25">
      <c r="A398" s="128"/>
      <c r="B398" s="158"/>
      <c r="C398" s="158"/>
      <c r="D398" s="53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468">
        <f>L399+L400</f>
        <v>0</v>
      </c>
      <c r="M398" s="224">
        <f>M399+M400</f>
        <v>0</v>
      </c>
      <c r="N398" s="224">
        <f>N399+N400</f>
        <v>0</v>
      </c>
      <c r="O398" s="224">
        <f t="shared" si="108"/>
        <v>0</v>
      </c>
      <c r="P398" s="224">
        <f t="shared" si="109"/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 t="shared" si="110"/>
        <v>0</v>
      </c>
      <c r="U398" s="224">
        <f t="shared" si="111"/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469">
        <v>0</v>
      </c>
      <c r="M399" s="83">
        <v>0</v>
      </c>
      <c r="N399" s="83">
        <v>0</v>
      </c>
      <c r="O399" s="83">
        <f t="shared" si="108"/>
        <v>0</v>
      </c>
      <c r="P399" s="83">
        <f t="shared" si="109"/>
        <v>0</v>
      </c>
      <c r="Q399" s="83">
        <v>0</v>
      </c>
      <c r="R399" s="83">
        <v>0</v>
      </c>
      <c r="S399" s="83">
        <v>0</v>
      </c>
      <c r="T399" s="83">
        <f t="shared" si="110"/>
        <v>0</v>
      </c>
      <c r="U399" s="83">
        <f t="shared" si="111"/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468">
        <v>0</v>
      </c>
      <c r="M400" s="224">
        <v>0</v>
      </c>
      <c r="N400" s="224">
        <v>0</v>
      </c>
      <c r="O400" s="224">
        <f t="shared" si="108"/>
        <v>0</v>
      </c>
      <c r="P400" s="224">
        <f t="shared" si="109"/>
        <v>0</v>
      </c>
      <c r="Q400" s="224">
        <v>0</v>
      </c>
      <c r="R400" s="224">
        <v>0</v>
      </c>
      <c r="S400" s="224">
        <v>0</v>
      </c>
      <c r="T400" s="224">
        <f t="shared" si="110"/>
        <v>0</v>
      </c>
      <c r="U400" s="224">
        <f t="shared" si="111"/>
        <v>0</v>
      </c>
    </row>
    <row r="401" spans="1:21" ht="19.5" hidden="1" x14ac:dyDescent="0.3">
      <c r="A401" s="138"/>
      <c r="B401" s="139"/>
      <c r="C401" s="161" t="s">
        <v>18</v>
      </c>
      <c r="D401" s="491" t="s">
        <v>38</v>
      </c>
      <c r="E401" s="141"/>
      <c r="F401" s="141"/>
      <c r="G401" s="142"/>
      <c r="H401" s="178"/>
      <c r="I401" s="135"/>
      <c r="J401" s="44"/>
      <c r="K401" s="45"/>
      <c r="L401" s="465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11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11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11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11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11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11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11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11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11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496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hidden="1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541">
        <f ca="1">I423</f>
        <v>0</v>
      </c>
      <c r="J412" s="541">
        <f>J423</f>
        <v>0</v>
      </c>
      <c r="K412" s="540">
        <f ca="1">IF(I412&gt;0,J412*100/I412,0)</f>
        <v>0</v>
      </c>
      <c r="L412" s="539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hidden="1" x14ac:dyDescent="0.3">
      <c r="A413" s="128"/>
      <c r="B413" s="158"/>
      <c r="C413" s="322" t="s">
        <v>18</v>
      </c>
      <c r="D413" s="819" t="s">
        <v>19</v>
      </c>
      <c r="E413" s="800"/>
      <c r="F413" s="800"/>
      <c r="G413" s="801"/>
      <c r="H413" s="323" t="s">
        <v>14</v>
      </c>
      <c r="I413" s="44"/>
      <c r="J413" s="44"/>
      <c r="K413" s="45"/>
      <c r="L413" s="471">
        <f>L414+L415</f>
        <v>0</v>
      </c>
      <c r="M413" s="470">
        <f>M414+M415</f>
        <v>0</v>
      </c>
      <c r="N413" s="470">
        <f>N414+N415</f>
        <v>0</v>
      </c>
      <c r="O413" s="470">
        <f t="shared" ref="O413:O421" si="114">IF(L413&gt;0,N413*100/L413,0)</f>
        <v>0</v>
      </c>
      <c r="P413" s="470">
        <f t="shared" ref="P413:P421" si="115">IF(M413&gt;0,N413*100/M413,0)</f>
        <v>0</v>
      </c>
      <c r="Q413" s="470">
        <f ca="1">Q414+Q415</f>
        <v>0</v>
      </c>
      <c r="R413" s="470">
        <f ca="1">R414+R415</f>
        <v>0</v>
      </c>
      <c r="S413" s="470">
        <f ca="1">S414+S415</f>
        <v>0</v>
      </c>
      <c r="T413" s="470">
        <f t="shared" ref="T413:T421" ca="1" si="116">IF(Q413&gt;0,S413*100/Q413,0)</f>
        <v>0</v>
      </c>
      <c r="U413" s="470">
        <f t="shared" ref="U413:U421" ca="1" si="117">IF(R413&gt;0,S413*100/R413,0)</f>
        <v>0</v>
      </c>
    </row>
    <row r="414" spans="1:21" ht="18.75" hidden="1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469">
        <f t="shared" ref="L414:N415" si="118">L417+L420</f>
        <v>0</v>
      </c>
      <c r="M414" s="83">
        <f t="shared" si="118"/>
        <v>0</v>
      </c>
      <c r="N414" s="83">
        <f t="shared" si="118"/>
        <v>0</v>
      </c>
      <c r="O414" s="83">
        <f t="shared" si="114"/>
        <v>0</v>
      </c>
      <c r="P414" s="83">
        <f t="shared" si="115"/>
        <v>0</v>
      </c>
      <c r="Q414" s="83">
        <f t="shared" ref="Q414:S415" si="119">Q417+Q420</f>
        <v>0</v>
      </c>
      <c r="R414" s="83">
        <f t="shared" si="119"/>
        <v>0</v>
      </c>
      <c r="S414" s="83">
        <f t="shared" si="119"/>
        <v>0</v>
      </c>
      <c r="T414" s="83">
        <f t="shared" si="116"/>
        <v>0</v>
      </c>
      <c r="U414" s="83">
        <f t="shared" si="117"/>
        <v>0</v>
      </c>
    </row>
    <row r="415" spans="1:21" ht="18.75" hidden="1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468">
        <f t="shared" si="118"/>
        <v>0</v>
      </c>
      <c r="M415" s="224">
        <f t="shared" si="118"/>
        <v>0</v>
      </c>
      <c r="N415" s="224">
        <f t="shared" si="118"/>
        <v>0</v>
      </c>
      <c r="O415" s="224">
        <f t="shared" si="114"/>
        <v>0</v>
      </c>
      <c r="P415" s="224">
        <f t="shared" si="115"/>
        <v>0</v>
      </c>
      <c r="Q415" s="224">
        <f t="shared" ca="1" si="119"/>
        <v>0</v>
      </c>
      <c r="R415" s="224">
        <f t="shared" ca="1" si="119"/>
        <v>0</v>
      </c>
      <c r="S415" s="224">
        <f t="shared" ca="1" si="119"/>
        <v>0</v>
      </c>
      <c r="T415" s="224">
        <f t="shared" ca="1" si="116"/>
        <v>0</v>
      </c>
      <c r="U415" s="224">
        <f t="shared" ca="1" si="117"/>
        <v>0</v>
      </c>
    </row>
    <row r="416" spans="1:21" ht="19.5" hidden="1" x14ac:dyDescent="0.3">
      <c r="A416" s="128"/>
      <c r="B416" s="158"/>
      <c r="C416" s="158"/>
      <c r="D416" s="54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468">
        <f>L417+L418</f>
        <v>0</v>
      </c>
      <c r="M416" s="224">
        <f>M417+M418</f>
        <v>0</v>
      </c>
      <c r="N416" s="224">
        <f>N417+N418</f>
        <v>0</v>
      </c>
      <c r="O416" s="224">
        <f t="shared" si="114"/>
        <v>0</v>
      </c>
      <c r="P416" s="224">
        <f t="shared" si="115"/>
        <v>0</v>
      </c>
      <c r="Q416" s="224">
        <f ca="1">Q417+Q418</f>
        <v>0</v>
      </c>
      <c r="R416" s="224">
        <f ca="1">R417+R418</f>
        <v>0</v>
      </c>
      <c r="S416" s="224">
        <f ca="1">S417+S418</f>
        <v>0</v>
      </c>
      <c r="T416" s="224">
        <f t="shared" ca="1" si="116"/>
        <v>0</v>
      </c>
      <c r="U416" s="224">
        <f t="shared" ca="1" si="117"/>
        <v>0</v>
      </c>
    </row>
    <row r="417" spans="1:21" ht="18.75" hidden="1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469">
        <v>0</v>
      </c>
      <c r="M417" s="83">
        <v>0</v>
      </c>
      <c r="N417" s="83">
        <v>0</v>
      </c>
      <c r="O417" s="83">
        <f t="shared" si="114"/>
        <v>0</v>
      </c>
      <c r="P417" s="83">
        <f t="shared" si="115"/>
        <v>0</v>
      </c>
      <c r="Q417" s="83">
        <v>0</v>
      </c>
      <c r="R417" s="83">
        <v>0</v>
      </c>
      <c r="S417" s="83">
        <v>0</v>
      </c>
      <c r="T417" s="83">
        <f t="shared" si="116"/>
        <v>0</v>
      </c>
      <c r="U417" s="83">
        <f t="shared" si="117"/>
        <v>0</v>
      </c>
    </row>
    <row r="418" spans="1:21" ht="18.75" hidden="1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468">
        <v>0</v>
      </c>
      <c r="M418" s="224">
        <v>0</v>
      </c>
      <c r="N418" s="224">
        <v>0</v>
      </c>
      <c r="O418" s="224">
        <f t="shared" si="114"/>
        <v>0</v>
      </c>
      <c r="P418" s="224">
        <f t="shared" si="115"/>
        <v>0</v>
      </c>
      <c r="Q418" s="224">
        <f ca="1">IFERROR(__xludf.DUMMYFUNCTION("IMPORTRANGE(""https://docs.google.com/spreadsheets/d/1ItG2mGa2ceCfYo0BwxsXqNm01IGEUdYcSSLTEv9YCik/edit?usp=sharing"",""เบิกจ่ายกองทุน!BH16"")"),0)</f>
        <v>0</v>
      </c>
      <c r="R418" s="224">
        <f ca="1">IFERROR(__xludf.DUMMYFUNCTION("IMPORTRANGE(""https://docs.google.com/spreadsheets/d/1ItG2mGa2ceCfYo0BwxsXqNm01IGEUdYcSSLTEv9YCik/edit?usp=sharing"",""เบิกจ่ายกองทุน!BI16"")"),0)</f>
        <v>0</v>
      </c>
      <c r="S418" s="224">
        <f ca="1">IFERROR(__xludf.DUMMYFUNCTION("IMPORTRANGE(""https://docs.google.com/spreadsheets/d/1ItG2mGa2ceCfYo0BwxsXqNm01IGEUdYcSSLTEv9YCik/edit?usp=sharing"",""เบิกจ่ายกองทุน!BJ16"")"),0)</f>
        <v>0</v>
      </c>
      <c r="T418" s="224">
        <f t="shared" ca="1" si="116"/>
        <v>0</v>
      </c>
      <c r="U418" s="224">
        <f t="shared" ca="1" si="117"/>
        <v>0</v>
      </c>
    </row>
    <row r="419" spans="1:21" ht="19.5" hidden="1" x14ac:dyDescent="0.3">
      <c r="A419" s="128"/>
      <c r="B419" s="158"/>
      <c r="C419" s="158"/>
      <c r="D419" s="54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468">
        <f>L420+L421</f>
        <v>0</v>
      </c>
      <c r="M419" s="224">
        <f>M420+M421</f>
        <v>0</v>
      </c>
      <c r="N419" s="224">
        <f>N420+N421</f>
        <v>0</v>
      </c>
      <c r="O419" s="224">
        <f t="shared" si="114"/>
        <v>0</v>
      </c>
      <c r="P419" s="224">
        <f t="shared" si="115"/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 t="shared" si="116"/>
        <v>0</v>
      </c>
      <c r="U419" s="224">
        <f t="shared" si="117"/>
        <v>0</v>
      </c>
    </row>
    <row r="420" spans="1:21" ht="18.75" hidden="1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469">
        <v>0</v>
      </c>
      <c r="M420" s="83">
        <v>0</v>
      </c>
      <c r="N420" s="83">
        <v>0</v>
      </c>
      <c r="O420" s="83">
        <f t="shared" si="114"/>
        <v>0</v>
      </c>
      <c r="P420" s="83">
        <f t="shared" si="115"/>
        <v>0</v>
      </c>
      <c r="Q420" s="83">
        <v>0</v>
      </c>
      <c r="R420" s="83">
        <v>0</v>
      </c>
      <c r="S420" s="83">
        <v>0</v>
      </c>
      <c r="T420" s="83">
        <f t="shared" si="116"/>
        <v>0</v>
      </c>
      <c r="U420" s="83">
        <f t="shared" si="117"/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468">
        <v>0</v>
      </c>
      <c r="M421" s="224">
        <v>0</v>
      </c>
      <c r="N421" s="224">
        <v>0</v>
      </c>
      <c r="O421" s="224">
        <f t="shared" si="114"/>
        <v>0</v>
      </c>
      <c r="P421" s="224">
        <f t="shared" si="115"/>
        <v>0</v>
      </c>
      <c r="Q421" s="224">
        <v>0</v>
      </c>
      <c r="R421" s="224">
        <v>0</v>
      </c>
      <c r="S421" s="224">
        <v>0</v>
      </c>
      <c r="T421" s="224">
        <f t="shared" si="116"/>
        <v>0</v>
      </c>
      <c r="U421" s="224">
        <f t="shared" si="117"/>
        <v>0</v>
      </c>
    </row>
    <row r="422" spans="1:21" ht="19.5" hidden="1" x14ac:dyDescent="0.3">
      <c r="A422" s="208"/>
      <c r="B422" s="158"/>
      <c r="C422" s="322" t="s">
        <v>18</v>
      </c>
      <c r="D422" s="543" t="s">
        <v>38</v>
      </c>
      <c r="E422" s="158"/>
      <c r="F422" s="158"/>
      <c r="G422" s="180"/>
      <c r="H422" s="180"/>
      <c r="I422" s="44"/>
      <c r="J422" s="44"/>
      <c r="K422" s="45"/>
      <c r="L422" s="465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ca="1">I440</f>
        <v>0</v>
      </c>
      <c r="J423" s="328">
        <f>J440</f>
        <v>0</v>
      </c>
      <c r="K423" s="470">
        <f ca="1">IF(I423&gt;0,J423*100/I423,0)</f>
        <v>0</v>
      </c>
      <c r="L423" s="465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IFERROR(__xludf.DUMMYFUNCTION("IMPORTRANGE(""https://docs.google.com/spreadsheets/d/1eHaY18a8A9IcSdp1K8H6x8fbOy06t2VsZHhMHf-1x7Y/edit?usp=sharing"",""แผน!HJ16"")"),0)</f>
        <v>0</v>
      </c>
      <c r="J424" s="328">
        <f>J426+J428+J430</f>
        <v>0</v>
      </c>
      <c r="K424" s="470">
        <f ca="1">IF(I424&gt;0,J424*100/I424,0)</f>
        <v>0</v>
      </c>
      <c r="L424" s="465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IFERROR(__xludf.DUMMYFUNCTION("IMPORTRANGE(""https://docs.google.com/spreadsheets/d/1eHaY18a8A9IcSdp1K8H6x8fbOy06t2VsZHhMHf-1x7Y/edit?usp=sharing"",""แผน!HK16"")"),0)</f>
        <v>0</v>
      </c>
      <c r="J425" s="328">
        <f>J427+J429+J431</f>
        <v>0</v>
      </c>
      <c r="K425" s="470">
        <f ca="1">IF(I425&gt;0,J425*100/I425,0)</f>
        <v>0</v>
      </c>
      <c r="L425" s="465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465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465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465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465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465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465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IFERROR(__xludf.DUMMYFUNCTION("IMPORTRANGE(""https://docs.google.com/spreadsheets/d/1eHaY18a8A9IcSdp1K8H6x8fbOy06t2VsZHhMHf-1x7Y/edit?usp=sharing"",""แผน!HJ16"")"),0)</f>
        <v>0</v>
      </c>
      <c r="J432" s="328">
        <f>J434+J436+J438</f>
        <v>0</v>
      </c>
      <c r="K432" s="470">
        <f ca="1">IF(I432&gt;0,J432*100/I432,0)</f>
        <v>0</v>
      </c>
      <c r="L432" s="465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IFERROR(__xludf.DUMMYFUNCTION("IMPORTRANGE(""https://docs.google.com/spreadsheets/d/1eHaY18a8A9IcSdp1K8H6x8fbOy06t2VsZHhMHf-1x7Y/edit?usp=sharing"",""แผน!HK16"")"),0)</f>
        <v>0</v>
      </c>
      <c r="J433" s="328">
        <f>J435+J437+J439</f>
        <v>0</v>
      </c>
      <c r="K433" s="470">
        <f ca="1">IF(I433&gt;0,J433*100/I433,0)</f>
        <v>0</v>
      </c>
      <c r="L433" s="465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465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465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465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465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465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465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IFERROR(__xludf.DUMMYFUNCTION("IMPORTRANGE(""https://docs.google.com/spreadsheets/d/1eHaY18a8A9IcSdp1K8H6x8fbOy06t2VsZHhMHf-1x7Y/edit?usp=sharing"",""แผน!HJ16"")"),0)</f>
        <v>0</v>
      </c>
      <c r="J440" s="328">
        <f>J442+J444+J446+J452+J454</f>
        <v>0</v>
      </c>
      <c r="K440" s="470">
        <f ca="1">IF(I440&gt;0,J440*100/I440,0)</f>
        <v>0</v>
      </c>
      <c r="L440" s="465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IFERROR(__xludf.DUMMYFUNCTION("IMPORTRANGE(""https://docs.google.com/spreadsheets/d/1eHaY18a8A9IcSdp1K8H6x8fbOy06t2VsZHhMHf-1x7Y/edit?usp=sharing"",""แผน!HK16"")"),0)</f>
        <v>0</v>
      </c>
      <c r="J441" s="328">
        <f>J443+J445+J447+J453+J455</f>
        <v>0</v>
      </c>
      <c r="K441" s="470">
        <f ca="1">IF(I441&gt;0,J441*100/I441,0)</f>
        <v>0</v>
      </c>
      <c r="L441" s="465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465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465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465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465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>J448+J450</f>
        <v>0</v>
      </c>
      <c r="K446" s="45"/>
      <c r="L446" s="465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>J449+J451</f>
        <v>0</v>
      </c>
      <c r="K447" s="45"/>
      <c r="L447" s="465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465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465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465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465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465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465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542"/>
      <c r="K454" s="45"/>
      <c r="L454" s="465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465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hidden="1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ca="1">I457</f>
        <v>0</v>
      </c>
      <c r="J456" s="328">
        <f>J457</f>
        <v>0</v>
      </c>
      <c r="K456" s="470">
        <f ca="1">IF(I456&gt;0,J456*100/I456,0)</f>
        <v>0</v>
      </c>
      <c r="L456" s="465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IFERROR(__xludf.DUMMYFUNCTION("IMPORTRANGE(""https://docs.google.com/spreadsheets/d/1eHaY18a8A9IcSdp1K8H6x8fbOy06t2VsZHhMHf-1x7Y/edit?usp=sharing"",""แผน!HL16"")"),0)</f>
        <v>0</v>
      </c>
      <c r="J457" s="328">
        <f>J459+J467+J473</f>
        <v>0</v>
      </c>
      <c r="K457" s="470">
        <f ca="1">IF(I457&gt;0,J457*100/I457,0)</f>
        <v>0</v>
      </c>
      <c r="L457" s="465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IFERROR(__xludf.DUMMYFUNCTION("IMPORTRANGE(""https://docs.google.com/spreadsheets/d/1eHaY18a8A9IcSdp1K8H6x8fbOy06t2VsZHhMHf-1x7Y/edit?usp=sharing"",""แผน!HM16"")"),0)</f>
        <v>0</v>
      </c>
      <c r="J458" s="328">
        <f>J460+J468+J474</f>
        <v>0</v>
      </c>
      <c r="K458" s="470">
        <f ca="1">IF(I458&gt;0,J458*100/I458,0)</f>
        <v>0</v>
      </c>
      <c r="L458" s="465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hidden="1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>J461+J463</f>
        <v>0</v>
      </c>
      <c r="K459" s="45"/>
      <c r="L459" s="465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>J462+J464</f>
        <v>0</v>
      </c>
      <c r="K460" s="45"/>
      <c r="L460" s="465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465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465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465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465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465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465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>J469+J471</f>
        <v>0</v>
      </c>
      <c r="K467" s="45"/>
      <c r="L467" s="465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>J470+J472</f>
        <v>0</v>
      </c>
      <c r="K468" s="45"/>
      <c r="L468" s="465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465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465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465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465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465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465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470">
        <f>IF(I475&gt;0,J475*100/I475,0)</f>
        <v>0</v>
      </c>
      <c r="L475" s="465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>J478+J480</f>
        <v>0</v>
      </c>
      <c r="K476" s="470">
        <f>IF(I476&gt;0,J476*100/I476,0)</f>
        <v>0</v>
      </c>
      <c r="L476" s="465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>J479+J481</f>
        <v>0</v>
      </c>
      <c r="K477" s="470">
        <f>IF(I477&gt;0,J477*100/I477,0)</f>
        <v>0</v>
      </c>
      <c r="L477" s="465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hidden="1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465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465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465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465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IFERROR(__xludf.DUMMYFUNCTION("IMPORTRANGE(""https://docs.google.com/spreadsheets/d/1eHaY18a8A9IcSdp1K8H6x8fbOy06t2VsZHhMHf-1x7Y/edit?usp=sharing"",""แผน!HN16"")"),0)</f>
        <v>0</v>
      </c>
      <c r="K482" s="45"/>
      <c r="L482" s="465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IFERROR(__xludf.DUMMYFUNCTION("IMPORTRANGE(""https://docs.google.com/spreadsheets/d/1eHaY18a8A9IcSdp1K8H6x8fbOy06t2VsZHhMHf-1x7Y/edit?usp=sharing"",""แผน!HO16"")"),0)</f>
        <v>0</v>
      </c>
      <c r="K483" s="45"/>
      <c r="L483" s="465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>J480</f>
        <v>0</v>
      </c>
      <c r="J484" s="328">
        <f>J486+J488+J490</f>
        <v>0</v>
      </c>
      <c r="K484" s="470">
        <f>IF(I484&gt;0,J484*100/I484,0)</f>
        <v>0</v>
      </c>
      <c r="L484" s="465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>J481</f>
        <v>0</v>
      </c>
      <c r="J485" s="328">
        <f>J487+J489+J491</f>
        <v>0</v>
      </c>
      <c r="K485" s="470">
        <f>IF(I485&gt;0,J485*100/I485,0)</f>
        <v>0</v>
      </c>
      <c r="L485" s="465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hidden="1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465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465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465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465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465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46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541">
        <f ca="1">I503</f>
        <v>0</v>
      </c>
      <c r="J492" s="541">
        <f ca="1">J503</f>
        <v>0</v>
      </c>
      <c r="K492" s="540">
        <f ca="1">IF(I492&gt;0,J492*100/I492,0)</f>
        <v>0</v>
      </c>
      <c r="L492" s="539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hidden="1" x14ac:dyDescent="0.3">
      <c r="A493" s="128"/>
      <c r="B493" s="158"/>
      <c r="C493" s="177" t="s">
        <v>18</v>
      </c>
      <c r="D493" s="819" t="s">
        <v>19</v>
      </c>
      <c r="E493" s="800"/>
      <c r="F493" s="800"/>
      <c r="G493" s="42"/>
      <c r="H493" s="221" t="s">
        <v>14</v>
      </c>
      <c r="I493" s="44"/>
      <c r="J493" s="44"/>
      <c r="K493" s="45"/>
      <c r="L493" s="471">
        <f>L494+L495</f>
        <v>0</v>
      </c>
      <c r="M493" s="470">
        <f>M494+M495</f>
        <v>0</v>
      </c>
      <c r="N493" s="470">
        <f>N494+N495</f>
        <v>0</v>
      </c>
      <c r="O493" s="470">
        <f t="shared" ref="O493:O501" si="120">IF(L493&gt;0,N493*100/L493,0)</f>
        <v>0</v>
      </c>
      <c r="P493" s="470">
        <f t="shared" ref="P493:P501" si="121">IF(M493&gt;0,N493*100/M493,0)</f>
        <v>0</v>
      </c>
      <c r="Q493" s="470">
        <f ca="1">Q494+Q495</f>
        <v>0</v>
      </c>
      <c r="R493" s="470">
        <f ca="1">R494+R495</f>
        <v>0</v>
      </c>
      <c r="S493" s="470">
        <f ca="1">S494+S495</f>
        <v>0</v>
      </c>
      <c r="T493" s="470">
        <f t="shared" ref="T493:T501" ca="1" si="122">IF(Q493&gt;0,S493*100/Q493,0)</f>
        <v>0</v>
      </c>
      <c r="U493" s="470">
        <f t="shared" ref="U493:U501" ca="1" si="123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469">
        <f t="shared" ref="L494:N495" si="124">L497+L500</f>
        <v>0</v>
      </c>
      <c r="M494" s="83">
        <f t="shared" si="124"/>
        <v>0</v>
      </c>
      <c r="N494" s="83">
        <f t="shared" si="124"/>
        <v>0</v>
      </c>
      <c r="O494" s="83">
        <f t="shared" si="120"/>
        <v>0</v>
      </c>
      <c r="P494" s="83">
        <f t="shared" si="121"/>
        <v>0</v>
      </c>
      <c r="Q494" s="83">
        <f t="shared" ref="Q494:S495" si="125">Q497+Q500</f>
        <v>0</v>
      </c>
      <c r="R494" s="83">
        <f t="shared" si="125"/>
        <v>0</v>
      </c>
      <c r="S494" s="83">
        <f t="shared" si="125"/>
        <v>0</v>
      </c>
      <c r="T494" s="83">
        <f t="shared" si="122"/>
        <v>0</v>
      </c>
      <c r="U494" s="83">
        <f t="shared" si="123"/>
        <v>0</v>
      </c>
    </row>
    <row r="495" spans="1:21" ht="18.75" hidden="1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468">
        <f t="shared" si="124"/>
        <v>0</v>
      </c>
      <c r="M495" s="224">
        <f t="shared" si="124"/>
        <v>0</v>
      </c>
      <c r="N495" s="224">
        <f t="shared" si="124"/>
        <v>0</v>
      </c>
      <c r="O495" s="224">
        <f t="shared" si="120"/>
        <v>0</v>
      </c>
      <c r="P495" s="224">
        <f t="shared" si="121"/>
        <v>0</v>
      </c>
      <c r="Q495" s="224">
        <f t="shared" ca="1" si="125"/>
        <v>0</v>
      </c>
      <c r="R495" s="224">
        <f t="shared" ca="1" si="125"/>
        <v>0</v>
      </c>
      <c r="S495" s="224">
        <f t="shared" ca="1" si="125"/>
        <v>0</v>
      </c>
      <c r="T495" s="224">
        <f t="shared" ca="1" si="122"/>
        <v>0</v>
      </c>
      <c r="U495" s="224">
        <f t="shared" ca="1" si="123"/>
        <v>0</v>
      </c>
    </row>
    <row r="496" spans="1:21" ht="18.75" hidden="1" x14ac:dyDescent="0.25">
      <c r="A496" s="128"/>
      <c r="B496" s="158"/>
      <c r="C496" s="158"/>
      <c r="D496" s="53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468">
        <f>L497+L498</f>
        <v>0</v>
      </c>
      <c r="M496" s="224">
        <f>M497+M498</f>
        <v>0</v>
      </c>
      <c r="N496" s="224">
        <f>N497+N498</f>
        <v>0</v>
      </c>
      <c r="O496" s="224">
        <f t="shared" si="120"/>
        <v>0</v>
      </c>
      <c r="P496" s="224">
        <f t="shared" si="121"/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t="shared" ca="1" si="122"/>
        <v>0</v>
      </c>
      <c r="U496" s="224">
        <f t="shared" ca="1" si="123"/>
        <v>0</v>
      </c>
    </row>
    <row r="497" spans="1:21" ht="18.75" hidden="1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469">
        <v>0</v>
      </c>
      <c r="M497" s="83">
        <v>0</v>
      </c>
      <c r="N497" s="83">
        <v>0</v>
      </c>
      <c r="O497" s="83">
        <f t="shared" si="120"/>
        <v>0</v>
      </c>
      <c r="P497" s="83">
        <f t="shared" si="121"/>
        <v>0</v>
      </c>
      <c r="Q497" s="83">
        <v>0</v>
      </c>
      <c r="R497" s="83">
        <v>0</v>
      </c>
      <c r="S497" s="83">
        <v>0</v>
      </c>
      <c r="T497" s="83">
        <f t="shared" si="122"/>
        <v>0</v>
      </c>
      <c r="U497" s="83">
        <f t="shared" si="123"/>
        <v>0</v>
      </c>
    </row>
    <row r="498" spans="1:21" ht="18.75" hidden="1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468">
        <v>0</v>
      </c>
      <c r="M498" s="224">
        <v>0</v>
      </c>
      <c r="N498" s="224">
        <v>0</v>
      </c>
      <c r="O498" s="224">
        <f t="shared" si="120"/>
        <v>0</v>
      </c>
      <c r="P498" s="224">
        <f t="shared" si="121"/>
        <v>0</v>
      </c>
      <c r="Q498" s="224">
        <f ca="1">IFERROR(__xludf.DUMMYFUNCTION("IMPORTRANGE(""https://docs.google.com/spreadsheets/d/1ItG2mGa2ceCfYo0BwxsXqNm01IGEUdYcSSLTEv9YCik/edit?usp=sharing"",""เบิกจ่ายกองทุน!X16"")"),0)</f>
        <v>0</v>
      </c>
      <c r="R498" s="224">
        <f ca="1">IFERROR(__xludf.DUMMYFUNCTION("IMPORTRANGE(""https://docs.google.com/spreadsheets/d/1ItG2mGa2ceCfYo0BwxsXqNm01IGEUdYcSSLTEv9YCik/edit?usp=sharing"",""เบิกจ่ายกองทุน!Y16"")"),0)</f>
        <v>0</v>
      </c>
      <c r="S498" s="224">
        <f ca="1">IFERROR(__xludf.DUMMYFUNCTION("IMPORTRANGE(""https://docs.google.com/spreadsheets/d/1ItG2mGa2ceCfYo0BwxsXqNm01IGEUdYcSSLTEv9YCik/edit?usp=sharing"",""เบิกจ่ายกองทุน!Z16"")"),0)</f>
        <v>0</v>
      </c>
      <c r="T498" s="224">
        <f t="shared" ca="1" si="122"/>
        <v>0</v>
      </c>
      <c r="U498" s="224">
        <f t="shared" ca="1" si="123"/>
        <v>0</v>
      </c>
    </row>
    <row r="499" spans="1:21" ht="18.75" hidden="1" x14ac:dyDescent="0.25">
      <c r="A499" s="128"/>
      <c r="B499" s="158"/>
      <c r="C499" s="158"/>
      <c r="D499" s="53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468">
        <f>L500+L501</f>
        <v>0</v>
      </c>
      <c r="M499" s="224">
        <f>M500+M501</f>
        <v>0</v>
      </c>
      <c r="N499" s="224">
        <f>N500+N501</f>
        <v>0</v>
      </c>
      <c r="O499" s="224">
        <f t="shared" si="120"/>
        <v>0</v>
      </c>
      <c r="P499" s="224">
        <f t="shared" si="121"/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 t="shared" si="122"/>
        <v>0</v>
      </c>
      <c r="U499" s="224">
        <f t="shared" si="123"/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469">
        <v>0</v>
      </c>
      <c r="M500" s="83">
        <v>0</v>
      </c>
      <c r="N500" s="83">
        <v>0</v>
      </c>
      <c r="O500" s="83">
        <f t="shared" si="120"/>
        <v>0</v>
      </c>
      <c r="P500" s="83">
        <f t="shared" si="121"/>
        <v>0</v>
      </c>
      <c r="Q500" s="83">
        <v>0</v>
      </c>
      <c r="R500" s="83">
        <v>0</v>
      </c>
      <c r="S500" s="83">
        <v>0</v>
      </c>
      <c r="T500" s="83">
        <f t="shared" si="122"/>
        <v>0</v>
      </c>
      <c r="U500" s="83">
        <f t="shared" si="123"/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468">
        <v>0</v>
      </c>
      <c r="M501" s="224">
        <v>0</v>
      </c>
      <c r="N501" s="224">
        <v>0</v>
      </c>
      <c r="O501" s="224">
        <f t="shared" si="120"/>
        <v>0</v>
      </c>
      <c r="P501" s="224">
        <f t="shared" si="121"/>
        <v>0</v>
      </c>
      <c r="Q501" s="224">
        <v>0</v>
      </c>
      <c r="R501" s="224">
        <v>0</v>
      </c>
      <c r="S501" s="224">
        <v>0</v>
      </c>
      <c r="T501" s="224">
        <f t="shared" si="122"/>
        <v>0</v>
      </c>
      <c r="U501" s="224">
        <f t="shared" si="123"/>
        <v>0</v>
      </c>
    </row>
    <row r="502" spans="1:21" ht="19.5" hidden="1" x14ac:dyDescent="0.3">
      <c r="A502" s="138"/>
      <c r="B502" s="139"/>
      <c r="C502" s="177" t="s">
        <v>18</v>
      </c>
      <c r="D502" s="491" t="s">
        <v>38</v>
      </c>
      <c r="E502" s="141"/>
      <c r="F502" s="141"/>
      <c r="G502" s="142"/>
      <c r="H502" s="178"/>
      <c r="I502" s="135"/>
      <c r="J502" s="135"/>
      <c r="K502" s="136"/>
      <c r="L502" s="4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IFERROR(__xludf.DUMMYFUNCTION("IMPORTRANGE(""https://docs.google.com/spreadsheets/d/1eHaY18a8A9IcSdp1K8H6x8fbOy06t2VsZHhMHf-1x7Y/edit?usp=sharing"",""แผน!GX16"")"),0)</f>
        <v>0</v>
      </c>
      <c r="J503" s="328">
        <f ca="1">IF(AND(J504=I504,J505=I505,J506=I506,J507=I507),I503,0)</f>
        <v>0</v>
      </c>
      <c r="K503" s="470">
        <f t="shared" ref="K503:K509" ca="1" si="126">IF(I503&gt;0,J503*100/I503,0)</f>
        <v>0</v>
      </c>
      <c r="L503" s="465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IFERROR(__xludf.DUMMYFUNCTION("IMPORTRANGE(""https://docs.google.com/spreadsheets/d/1eHaY18a8A9IcSdp1K8H6x8fbOy06t2VsZHhMHf-1x7Y/edit?usp=sharing"",""แผน!GY16"")"),0)</f>
        <v>0</v>
      </c>
      <c r="J504" s="466">
        <v>0</v>
      </c>
      <c r="K504" s="224">
        <f t="shared" ca="1" si="126"/>
        <v>0</v>
      </c>
      <c r="L504" s="465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IFERROR(__xludf.DUMMYFUNCTION("IMPORTRANGE(""https://docs.google.com/spreadsheets/d/1eHaY18a8A9IcSdp1K8H6x8fbOy06t2VsZHhMHf-1x7Y/edit?usp=sharing"",""แผน!GZ16"")"),0)</f>
        <v>0</v>
      </c>
      <c r="J505" s="466">
        <v>0</v>
      </c>
      <c r="K505" s="224">
        <f t="shared" ca="1" si="126"/>
        <v>0</v>
      </c>
      <c r="L505" s="465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IFERROR(__xludf.DUMMYFUNCTION("IMPORTRANGE(""https://docs.google.com/spreadsheets/d/1eHaY18a8A9IcSdp1K8H6x8fbOy06t2VsZHhMHf-1x7Y/edit?usp=sharing"",""แผน!HA16"")"),0)</f>
        <v>0</v>
      </c>
      <c r="J506" s="466">
        <v>0</v>
      </c>
      <c r="K506" s="224">
        <f t="shared" ca="1" si="126"/>
        <v>0</v>
      </c>
      <c r="L506" s="465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IFERROR(__xludf.DUMMYFUNCTION("IMPORTRANGE(""https://docs.google.com/spreadsheets/d/1eHaY18a8A9IcSdp1K8H6x8fbOy06t2VsZHhMHf-1x7Y/edit?usp=sharing"",""แผน!HB16"")"),0)</f>
        <v>0</v>
      </c>
      <c r="J507" s="466">
        <v>0</v>
      </c>
      <c r="K507" s="224">
        <f t="shared" ca="1" si="126"/>
        <v>0</v>
      </c>
      <c r="L507" s="465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 t="shared" si="126"/>
        <v>0</v>
      </c>
      <c r="L508" s="465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IFERROR(__xludf.DUMMYFUNCTION("IMPORTRANGE(""https://docs.google.com/spreadsheets/d/1eHaY18a8A9IcSdp1K8H6x8fbOy06t2VsZHhMHf-1x7Y/edit?usp=sharing"",""แผน!HC16"")"),0)</f>
        <v>0</v>
      </c>
      <c r="J509" s="464">
        <v>0</v>
      </c>
      <c r="K509" s="455">
        <f t="shared" ca="1" si="126"/>
        <v>0</v>
      </c>
      <c r="L509" s="46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537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536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hidden="1" x14ac:dyDescent="0.3">
      <c r="A511" s="535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534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hidden="1" x14ac:dyDescent="0.3">
      <c r="A512" s="349"/>
      <c r="B512" s="533" t="s">
        <v>207</v>
      </c>
      <c r="C512" s="351"/>
      <c r="D512" s="352"/>
      <c r="E512" s="352"/>
      <c r="F512" s="352"/>
      <c r="G512" s="353"/>
      <c r="H512" s="532" t="s">
        <v>61</v>
      </c>
      <c r="I512" s="531">
        <f>I524</f>
        <v>0</v>
      </c>
      <c r="J512" s="531">
        <f>J524</f>
        <v>0</v>
      </c>
      <c r="K512" s="530">
        <f>IF(I512&gt;0,J512*100/I512,0)</f>
        <v>0</v>
      </c>
      <c r="L512" s="512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hidden="1" x14ac:dyDescent="0.3">
      <c r="A513" s="128"/>
      <c r="B513" s="40"/>
      <c r="C513" s="527" t="s">
        <v>18</v>
      </c>
      <c r="D513" s="494" t="s">
        <v>19</v>
      </c>
      <c r="E513" s="40"/>
      <c r="F513" s="40"/>
      <c r="G513" s="42"/>
      <c r="H513" s="529" t="s">
        <v>14</v>
      </c>
      <c r="I513" s="44"/>
      <c r="J513" s="44"/>
      <c r="K513" s="45"/>
      <c r="L513" s="471">
        <f ca="1">L514+L515</f>
        <v>0</v>
      </c>
      <c r="M513" s="470">
        <f ca="1">M514+M515</f>
        <v>0</v>
      </c>
      <c r="N513" s="470">
        <f ca="1">N514+N515</f>
        <v>0</v>
      </c>
      <c r="O513" s="470">
        <f t="shared" ref="O513:O521" ca="1" si="127">IF(L513&gt;0,N513*100/L513,0)</f>
        <v>0</v>
      </c>
      <c r="P513" s="470">
        <f t="shared" ref="P513:P521" ca="1" si="128">IF(M513&gt;0,N513*100/M513,0)</f>
        <v>0</v>
      </c>
      <c r="Q513" s="470">
        <f>Q514+Q515</f>
        <v>0</v>
      </c>
      <c r="R513" s="470">
        <f>R514+R515</f>
        <v>0</v>
      </c>
      <c r="S513" s="470">
        <f>S514+S515</f>
        <v>0</v>
      </c>
      <c r="T513" s="470">
        <f t="shared" ref="T513:T521" si="129">IF(Q513&gt;0,S513*100/Q513,0)</f>
        <v>0</v>
      </c>
      <c r="U513" s="470">
        <f t="shared" ref="U513:U521" si="130"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469">
        <f t="shared" ref="L514:N515" si="131">L517+L520</f>
        <v>0</v>
      </c>
      <c r="M514" s="83">
        <f t="shared" si="131"/>
        <v>0</v>
      </c>
      <c r="N514" s="83">
        <f t="shared" si="131"/>
        <v>0</v>
      </c>
      <c r="O514" s="83">
        <f t="shared" si="127"/>
        <v>0</v>
      </c>
      <c r="P514" s="83">
        <f t="shared" si="128"/>
        <v>0</v>
      </c>
      <c r="Q514" s="83">
        <f t="shared" ref="Q514:S515" si="132">Q517+Q520</f>
        <v>0</v>
      </c>
      <c r="R514" s="83">
        <f t="shared" si="132"/>
        <v>0</v>
      </c>
      <c r="S514" s="83">
        <f t="shared" si="132"/>
        <v>0</v>
      </c>
      <c r="T514" s="83">
        <f t="shared" si="129"/>
        <v>0</v>
      </c>
      <c r="U514" s="83">
        <f t="shared" si="130"/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468">
        <f t="shared" ca="1" si="131"/>
        <v>0</v>
      </c>
      <c r="M515" s="224">
        <f t="shared" ca="1" si="131"/>
        <v>0</v>
      </c>
      <c r="N515" s="224">
        <f t="shared" ca="1" si="131"/>
        <v>0</v>
      </c>
      <c r="O515" s="224">
        <f t="shared" ca="1" si="127"/>
        <v>0</v>
      </c>
      <c r="P515" s="224">
        <f t="shared" ca="1" si="128"/>
        <v>0</v>
      </c>
      <c r="Q515" s="224">
        <f t="shared" si="132"/>
        <v>0</v>
      </c>
      <c r="R515" s="224">
        <f t="shared" si="132"/>
        <v>0</v>
      </c>
      <c r="S515" s="224">
        <f t="shared" si="132"/>
        <v>0</v>
      </c>
      <c r="T515" s="224">
        <f t="shared" si="129"/>
        <v>0</v>
      </c>
      <c r="U515" s="224">
        <f t="shared" si="130"/>
        <v>0</v>
      </c>
    </row>
    <row r="516" spans="1:21" ht="18.75" hidden="1" x14ac:dyDescent="0.25">
      <c r="A516" s="128"/>
      <c r="B516" s="40"/>
      <c r="C516" s="40"/>
      <c r="D516" s="52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468">
        <f ca="1">L517+L518</f>
        <v>0</v>
      </c>
      <c r="M516" s="224">
        <f ca="1">M517+M518</f>
        <v>0</v>
      </c>
      <c r="N516" s="224">
        <f ca="1">N517+N518</f>
        <v>0</v>
      </c>
      <c r="O516" s="224">
        <f t="shared" ca="1" si="127"/>
        <v>0</v>
      </c>
      <c r="P516" s="224">
        <f t="shared" ca="1" si="128"/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 t="shared" si="129"/>
        <v>0</v>
      </c>
      <c r="U516" s="224">
        <f t="shared" si="130"/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469">
        <v>0</v>
      </c>
      <c r="M517" s="83">
        <v>0</v>
      </c>
      <c r="N517" s="83">
        <v>0</v>
      </c>
      <c r="O517" s="83">
        <f t="shared" si="127"/>
        <v>0</v>
      </c>
      <c r="P517" s="83">
        <f t="shared" si="128"/>
        <v>0</v>
      </c>
      <c r="Q517" s="83">
        <v>0</v>
      </c>
      <c r="R517" s="83">
        <v>0</v>
      </c>
      <c r="S517" s="83">
        <v>0</v>
      </c>
      <c r="T517" s="83">
        <f t="shared" si="129"/>
        <v>0</v>
      </c>
      <c r="U517" s="83">
        <f t="shared" si="130"/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468">
        <f ca="1">IFERROR(__xludf.DUMMYFUNCTION("IMPORTRANGE(""https://docs.google.com/spreadsheets/d/1-uDff_7J0KD5mKrp0Vvzr7lt3OU09vwQwhkpOPPYv2Y/edit?usp=sharing"",""งบพรบ!FM16"")"),0)</f>
        <v>0</v>
      </c>
      <c r="M518" s="224">
        <f ca="1">IFERROR(__xludf.DUMMYFUNCTION("IMPORTRANGE(""https://docs.google.com/spreadsheets/d/1-uDff_7J0KD5mKrp0Vvzr7lt3OU09vwQwhkpOPPYv2Y/edit?usp=sharing"",""งบพรบ!FR16"")"),0)</f>
        <v>0</v>
      </c>
      <c r="N518" s="224">
        <f ca="1">IFERROR(__xludf.DUMMYFUNCTION("IMPORTRANGE(""https://docs.google.com/spreadsheets/d/1-uDff_7J0KD5mKrp0Vvzr7lt3OU09vwQwhkpOPPYv2Y/edit?usp=sharing"",""งบพรบ!FT16"")"),0)</f>
        <v>0</v>
      </c>
      <c r="O518" s="224">
        <f t="shared" ca="1" si="127"/>
        <v>0</v>
      </c>
      <c r="P518" s="224">
        <f t="shared" ca="1" si="128"/>
        <v>0</v>
      </c>
      <c r="Q518" s="224">
        <v>0</v>
      </c>
      <c r="R518" s="224">
        <v>0</v>
      </c>
      <c r="S518" s="224">
        <v>0</v>
      </c>
      <c r="T518" s="224">
        <f t="shared" si="129"/>
        <v>0</v>
      </c>
      <c r="U518" s="224">
        <f t="shared" si="130"/>
        <v>0</v>
      </c>
    </row>
    <row r="519" spans="1:21" ht="18.75" hidden="1" x14ac:dyDescent="0.25">
      <c r="A519" s="128"/>
      <c r="B519" s="40"/>
      <c r="C519" s="40"/>
      <c r="D519" s="528" t="s">
        <v>23</v>
      </c>
      <c r="E519" s="40"/>
      <c r="F519" s="40"/>
      <c r="G519" s="42"/>
      <c r="H519" s="375" t="s">
        <v>14</v>
      </c>
      <c r="I519" s="135"/>
      <c r="J519" s="135"/>
      <c r="K519" s="136"/>
      <c r="L519" s="468">
        <f ca="1">L520+L521</f>
        <v>0</v>
      </c>
      <c r="M519" s="224">
        <f ca="1">M520+M521</f>
        <v>0</v>
      </c>
      <c r="N519" s="224">
        <f ca="1">N520+N521</f>
        <v>0</v>
      </c>
      <c r="O519" s="224">
        <f t="shared" ca="1" si="127"/>
        <v>0</v>
      </c>
      <c r="P519" s="224">
        <f t="shared" ca="1" si="128"/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 t="shared" si="129"/>
        <v>0</v>
      </c>
      <c r="U519" s="224">
        <f t="shared" si="130"/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469">
        <v>0</v>
      </c>
      <c r="M520" s="83">
        <v>0</v>
      </c>
      <c r="N520" s="83">
        <v>0</v>
      </c>
      <c r="O520" s="83">
        <f t="shared" si="127"/>
        <v>0</v>
      </c>
      <c r="P520" s="83">
        <f t="shared" si="128"/>
        <v>0</v>
      </c>
      <c r="Q520" s="83">
        <v>0</v>
      </c>
      <c r="R520" s="83">
        <v>0</v>
      </c>
      <c r="S520" s="83">
        <v>0</v>
      </c>
      <c r="T520" s="83">
        <f t="shared" si="129"/>
        <v>0</v>
      </c>
      <c r="U520" s="83">
        <f t="shared" si="130"/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375" t="s">
        <v>14</v>
      </c>
      <c r="I521" s="135"/>
      <c r="J521" s="135"/>
      <c r="K521" s="136"/>
      <c r="L521" s="468">
        <f ca="1">IFERROR(__xludf.DUMMYFUNCTION("IMPORTRANGE(""https://docs.google.com/spreadsheets/d/1-uDff_7J0KD5mKrp0Vvzr7lt3OU09vwQwhkpOPPYv2Y/edit?usp=sharing"",""งบพรบ!FP16"")"),0)</f>
        <v>0</v>
      </c>
      <c r="M521" s="224">
        <f ca="1">IFERROR(__xludf.DUMMYFUNCTION("IMPORTRANGE(""https://docs.google.com/spreadsheets/d/1-uDff_7J0KD5mKrp0Vvzr7lt3OU09vwQwhkpOPPYv2Y/edit?usp=sharing"",""งบพรบ!FS16"")"),0)</f>
        <v>0</v>
      </c>
      <c r="N521" s="224">
        <f ca="1">IFERROR(__xludf.DUMMYFUNCTION("IMPORTRANGE(""https://docs.google.com/spreadsheets/d/1-uDff_7J0KD5mKrp0Vvzr7lt3OU09vwQwhkpOPPYv2Y/edit?usp=sharing"",""งบพรบ!FU16"")"),0)</f>
        <v>0</v>
      </c>
      <c r="O521" s="224">
        <f t="shared" ca="1" si="127"/>
        <v>0</v>
      </c>
      <c r="P521" s="224">
        <f t="shared" ca="1" si="128"/>
        <v>0</v>
      </c>
      <c r="Q521" s="224">
        <v>0</v>
      </c>
      <c r="R521" s="224">
        <v>0</v>
      </c>
      <c r="S521" s="224">
        <v>0</v>
      </c>
      <c r="T521" s="224">
        <f t="shared" si="129"/>
        <v>0</v>
      </c>
      <c r="U521" s="224">
        <f t="shared" si="130"/>
        <v>0</v>
      </c>
    </row>
    <row r="522" spans="1:21" ht="19.5" hidden="1" x14ac:dyDescent="0.3">
      <c r="A522" s="138"/>
      <c r="B522" s="139"/>
      <c r="C522" s="527" t="s">
        <v>18</v>
      </c>
      <c r="D522" s="509" t="s">
        <v>38</v>
      </c>
      <c r="E522" s="141"/>
      <c r="F522" s="141"/>
      <c r="G522" s="142"/>
      <c r="H522" s="143"/>
      <c r="I522" s="135"/>
      <c r="J522" s="44"/>
      <c r="K522" s="45"/>
      <c r="L522" s="465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208</v>
      </c>
      <c r="E523" s="139"/>
      <c r="F523" s="40"/>
      <c r="G523" s="42"/>
      <c r="H523" s="526" t="s">
        <v>11</v>
      </c>
      <c r="I523" s="430">
        <v>0</v>
      </c>
      <c r="J523" s="525">
        <v>0</v>
      </c>
      <c r="K523" s="83">
        <f>IF(I523&gt;0,J523*100/I523,0)</f>
        <v>0</v>
      </c>
      <c r="L523" s="465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29"/>
      <c r="B524" s="1"/>
      <c r="C524" s="2"/>
      <c r="D524" s="524" t="s">
        <v>209</v>
      </c>
      <c r="E524" s="250"/>
      <c r="F524" s="1"/>
      <c r="G524" s="52"/>
      <c r="H524" s="523" t="s">
        <v>61</v>
      </c>
      <c r="I524" s="433">
        <v>0</v>
      </c>
      <c r="J524" s="522">
        <v>0</v>
      </c>
      <c r="K524" s="521">
        <f>IF(I524&gt;0,J524*100/I524,0)</f>
        <v>0</v>
      </c>
      <c r="L524" s="465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520"/>
      <c r="B525" s="519"/>
      <c r="C525" s="519"/>
      <c r="D525" s="518"/>
      <c r="E525" s="518"/>
      <c r="F525" s="518"/>
      <c r="G525" s="517"/>
      <c r="H525" s="516"/>
      <c r="I525" s="515"/>
      <c r="J525" s="515"/>
      <c r="K525" s="514"/>
      <c r="L525" s="511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11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11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11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11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11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11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496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hidden="1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64">
        <f>I545</f>
        <v>0</v>
      </c>
      <c r="J533" s="364">
        <f>J545</f>
        <v>0</v>
      </c>
      <c r="K533" s="513">
        <f>IF(I533&gt;0,J533*100/I533,0)</f>
        <v>0</v>
      </c>
      <c r="L533" s="512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hidden="1" x14ac:dyDescent="0.3">
      <c r="A534" s="128"/>
      <c r="B534" s="40"/>
      <c r="C534" s="129" t="s">
        <v>18</v>
      </c>
      <c r="D534" s="472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471">
        <f>L535+L536</f>
        <v>0</v>
      </c>
      <c r="M534" s="470">
        <f>M535+M536</f>
        <v>0</v>
      </c>
      <c r="N534" s="470">
        <f>N535+N536</f>
        <v>0</v>
      </c>
      <c r="O534" s="470">
        <f t="shared" ref="O534:O542" si="133">IF(L534&gt;0,N534*100/L534,0)</f>
        <v>0</v>
      </c>
      <c r="P534" s="470">
        <f t="shared" ref="P534:P542" si="134">IF(M534&gt;0,N534*100/M534,0)</f>
        <v>0</v>
      </c>
      <c r="Q534" s="470">
        <f>Q535+Q536</f>
        <v>0</v>
      </c>
      <c r="R534" s="470">
        <f>R535+R536</f>
        <v>0</v>
      </c>
      <c r="S534" s="470">
        <f>S535+S536</f>
        <v>0</v>
      </c>
      <c r="T534" s="470">
        <f t="shared" ref="T534:T542" si="135">IF(Q534&gt;0,S534*100/Q534,0)</f>
        <v>0</v>
      </c>
      <c r="U534" s="470">
        <f t="shared" ref="U534:U542" si="136"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469">
        <f t="shared" ref="L535:N536" si="137">L538+L541</f>
        <v>0</v>
      </c>
      <c r="M535" s="83">
        <f t="shared" si="137"/>
        <v>0</v>
      </c>
      <c r="N535" s="83">
        <f t="shared" si="137"/>
        <v>0</v>
      </c>
      <c r="O535" s="83">
        <f t="shared" si="133"/>
        <v>0</v>
      </c>
      <c r="P535" s="83">
        <f t="shared" si="134"/>
        <v>0</v>
      </c>
      <c r="Q535" s="83">
        <f t="shared" ref="Q535:S536" si="138">Q538+Q541</f>
        <v>0</v>
      </c>
      <c r="R535" s="83">
        <f t="shared" si="138"/>
        <v>0</v>
      </c>
      <c r="S535" s="83">
        <f t="shared" si="138"/>
        <v>0</v>
      </c>
      <c r="T535" s="83">
        <f t="shared" si="135"/>
        <v>0</v>
      </c>
      <c r="U535" s="83">
        <f t="shared" si="136"/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468">
        <f t="shared" si="137"/>
        <v>0</v>
      </c>
      <c r="M536" s="224">
        <f t="shared" si="137"/>
        <v>0</v>
      </c>
      <c r="N536" s="224">
        <f t="shared" si="137"/>
        <v>0</v>
      </c>
      <c r="O536" s="224">
        <f t="shared" si="133"/>
        <v>0</v>
      </c>
      <c r="P536" s="224">
        <f t="shared" si="134"/>
        <v>0</v>
      </c>
      <c r="Q536" s="224">
        <f t="shared" si="138"/>
        <v>0</v>
      </c>
      <c r="R536" s="224">
        <f t="shared" si="138"/>
        <v>0</v>
      </c>
      <c r="S536" s="224">
        <f t="shared" si="138"/>
        <v>0</v>
      </c>
      <c r="T536" s="224">
        <f t="shared" si="135"/>
        <v>0</v>
      </c>
      <c r="U536" s="224">
        <f t="shared" si="136"/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468">
        <f>L538+L539</f>
        <v>0</v>
      </c>
      <c r="M537" s="224">
        <f>M538+M539</f>
        <v>0</v>
      </c>
      <c r="N537" s="224">
        <f>N538+N539</f>
        <v>0</v>
      </c>
      <c r="O537" s="224">
        <f t="shared" si="133"/>
        <v>0</v>
      </c>
      <c r="P537" s="224">
        <f t="shared" si="134"/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 t="shared" si="135"/>
        <v>0</v>
      </c>
      <c r="U537" s="224">
        <f t="shared" si="136"/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469">
        <v>0</v>
      </c>
      <c r="M538" s="83">
        <v>0</v>
      </c>
      <c r="N538" s="83">
        <v>0</v>
      </c>
      <c r="O538" s="83">
        <f t="shared" si="133"/>
        <v>0</v>
      </c>
      <c r="P538" s="83">
        <f t="shared" si="134"/>
        <v>0</v>
      </c>
      <c r="Q538" s="83">
        <v>0</v>
      </c>
      <c r="R538" s="83">
        <v>0</v>
      </c>
      <c r="S538" s="83">
        <v>0</v>
      </c>
      <c r="T538" s="83">
        <f t="shared" si="135"/>
        <v>0</v>
      </c>
      <c r="U538" s="83">
        <f t="shared" si="136"/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468">
        <v>0</v>
      </c>
      <c r="M539" s="224">
        <v>0</v>
      </c>
      <c r="N539" s="224">
        <v>0</v>
      </c>
      <c r="O539" s="224">
        <f t="shared" si="133"/>
        <v>0</v>
      </c>
      <c r="P539" s="224">
        <f t="shared" si="134"/>
        <v>0</v>
      </c>
      <c r="Q539" s="224">
        <v>0</v>
      </c>
      <c r="R539" s="224">
        <v>0</v>
      </c>
      <c r="S539" s="224">
        <v>0</v>
      </c>
      <c r="T539" s="224">
        <f t="shared" si="135"/>
        <v>0</v>
      </c>
      <c r="U539" s="224">
        <f t="shared" si="136"/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468">
        <f>L541+L542</f>
        <v>0</v>
      </c>
      <c r="M540" s="224">
        <f>M541+M542</f>
        <v>0</v>
      </c>
      <c r="N540" s="224">
        <f>N541+N542</f>
        <v>0</v>
      </c>
      <c r="O540" s="224">
        <f t="shared" si="133"/>
        <v>0</v>
      </c>
      <c r="P540" s="224">
        <f t="shared" si="134"/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 t="shared" si="135"/>
        <v>0</v>
      </c>
      <c r="U540" s="224">
        <f t="shared" si="136"/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469">
        <v>0</v>
      </c>
      <c r="M541" s="83">
        <v>0</v>
      </c>
      <c r="N541" s="83">
        <v>0</v>
      </c>
      <c r="O541" s="83">
        <f t="shared" si="133"/>
        <v>0</v>
      </c>
      <c r="P541" s="83">
        <f t="shared" si="134"/>
        <v>0</v>
      </c>
      <c r="Q541" s="83">
        <v>0</v>
      </c>
      <c r="R541" s="83">
        <v>0</v>
      </c>
      <c r="S541" s="83">
        <v>0</v>
      </c>
      <c r="T541" s="83">
        <f t="shared" si="135"/>
        <v>0</v>
      </c>
      <c r="U541" s="83">
        <f t="shared" si="136"/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468">
        <v>0</v>
      </c>
      <c r="M542" s="224">
        <v>0</v>
      </c>
      <c r="N542" s="224">
        <v>0</v>
      </c>
      <c r="O542" s="224">
        <f t="shared" si="133"/>
        <v>0</v>
      </c>
      <c r="P542" s="224">
        <f t="shared" si="134"/>
        <v>0</v>
      </c>
      <c r="Q542" s="224">
        <v>0</v>
      </c>
      <c r="R542" s="224">
        <v>0</v>
      </c>
      <c r="S542" s="224">
        <v>0</v>
      </c>
      <c r="T542" s="224">
        <f t="shared" si="135"/>
        <v>0</v>
      </c>
      <c r="U542" s="224">
        <f t="shared" si="136"/>
        <v>0</v>
      </c>
    </row>
    <row r="543" spans="1:21" ht="19.5" hidden="1" x14ac:dyDescent="0.3">
      <c r="A543" s="138"/>
      <c r="B543" s="139"/>
      <c r="C543" s="365" t="s">
        <v>18</v>
      </c>
      <c r="D543" s="498" t="s">
        <v>38</v>
      </c>
      <c r="E543" s="141"/>
      <c r="F543" s="141"/>
      <c r="G543" s="142"/>
      <c r="H543" s="143"/>
      <c r="I543" s="135"/>
      <c r="J543" s="44"/>
      <c r="K543" s="45"/>
      <c r="L543" s="465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11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11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11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11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11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11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11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11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11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496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hidden="1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64">
        <f>I566</f>
        <v>0</v>
      </c>
      <c r="J554" s="364">
        <f>J566</f>
        <v>0</v>
      </c>
      <c r="K554" s="513">
        <f>IF(I554&gt;0,J554*100/I554,0)</f>
        <v>0</v>
      </c>
      <c r="L554" s="512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hidden="1" x14ac:dyDescent="0.3">
      <c r="A555" s="128"/>
      <c r="B555" s="40"/>
      <c r="C555" s="129" t="s">
        <v>18</v>
      </c>
      <c r="D555" s="472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471">
        <f>L556+L557</f>
        <v>0</v>
      </c>
      <c r="M555" s="470">
        <f>M556+M557</f>
        <v>0</v>
      </c>
      <c r="N555" s="470">
        <f>N556+N557</f>
        <v>0</v>
      </c>
      <c r="O555" s="470">
        <f t="shared" ref="O555:O563" si="139">IF(L555&gt;0,N555*100/L555,0)</f>
        <v>0</v>
      </c>
      <c r="P555" s="470">
        <f t="shared" ref="P555:P563" si="140">IF(M555&gt;0,N555*100/M555,0)</f>
        <v>0</v>
      </c>
      <c r="Q555" s="470">
        <f>Q556+Q557</f>
        <v>0</v>
      </c>
      <c r="R555" s="470">
        <f>R556+R557</f>
        <v>0</v>
      </c>
      <c r="S555" s="470">
        <f>S556+S557</f>
        <v>0</v>
      </c>
      <c r="T555" s="470">
        <f t="shared" ref="T555:T563" si="141">IF(Q555&gt;0,S555*100/Q555,0)</f>
        <v>0</v>
      </c>
      <c r="U555" s="470">
        <f t="shared" ref="U555:U563" si="142"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469">
        <f t="shared" ref="L556:N557" si="143">L559+L562</f>
        <v>0</v>
      </c>
      <c r="M556" s="83">
        <f t="shared" si="143"/>
        <v>0</v>
      </c>
      <c r="N556" s="83">
        <f t="shared" si="143"/>
        <v>0</v>
      </c>
      <c r="O556" s="83">
        <f t="shared" si="139"/>
        <v>0</v>
      </c>
      <c r="P556" s="83">
        <f t="shared" si="140"/>
        <v>0</v>
      </c>
      <c r="Q556" s="83">
        <f t="shared" ref="Q556:S557" si="144">Q559+Q562</f>
        <v>0</v>
      </c>
      <c r="R556" s="83">
        <f t="shared" si="144"/>
        <v>0</v>
      </c>
      <c r="S556" s="83">
        <f t="shared" si="144"/>
        <v>0</v>
      </c>
      <c r="T556" s="83">
        <f t="shared" si="141"/>
        <v>0</v>
      </c>
      <c r="U556" s="83">
        <f t="shared" si="142"/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468">
        <f t="shared" si="143"/>
        <v>0</v>
      </c>
      <c r="M557" s="224">
        <f t="shared" si="143"/>
        <v>0</v>
      </c>
      <c r="N557" s="224">
        <f t="shared" si="143"/>
        <v>0</v>
      </c>
      <c r="O557" s="224">
        <f t="shared" si="139"/>
        <v>0</v>
      </c>
      <c r="P557" s="224">
        <f t="shared" si="140"/>
        <v>0</v>
      </c>
      <c r="Q557" s="224">
        <f t="shared" si="144"/>
        <v>0</v>
      </c>
      <c r="R557" s="224">
        <f t="shared" si="144"/>
        <v>0</v>
      </c>
      <c r="S557" s="224">
        <f t="shared" si="144"/>
        <v>0</v>
      </c>
      <c r="T557" s="224">
        <f t="shared" si="141"/>
        <v>0</v>
      </c>
      <c r="U557" s="224">
        <f t="shared" si="142"/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468">
        <f>L559+L560</f>
        <v>0</v>
      </c>
      <c r="M558" s="224">
        <f>M559+M560</f>
        <v>0</v>
      </c>
      <c r="N558" s="224">
        <f>N559+N560</f>
        <v>0</v>
      </c>
      <c r="O558" s="224">
        <f t="shared" si="139"/>
        <v>0</v>
      </c>
      <c r="P558" s="224">
        <f t="shared" si="140"/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 t="shared" si="141"/>
        <v>0</v>
      </c>
      <c r="U558" s="224">
        <f t="shared" si="142"/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469">
        <v>0</v>
      </c>
      <c r="M559" s="83">
        <v>0</v>
      </c>
      <c r="N559" s="83">
        <v>0</v>
      </c>
      <c r="O559" s="83">
        <f t="shared" si="139"/>
        <v>0</v>
      </c>
      <c r="P559" s="83">
        <f t="shared" si="140"/>
        <v>0</v>
      </c>
      <c r="Q559" s="83">
        <v>0</v>
      </c>
      <c r="R559" s="83">
        <v>0</v>
      </c>
      <c r="S559" s="83">
        <v>0</v>
      </c>
      <c r="T559" s="83">
        <f t="shared" si="141"/>
        <v>0</v>
      </c>
      <c r="U559" s="83">
        <f t="shared" si="142"/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468">
        <v>0</v>
      </c>
      <c r="M560" s="224">
        <v>0</v>
      </c>
      <c r="N560" s="224">
        <v>0</v>
      </c>
      <c r="O560" s="224">
        <f t="shared" si="139"/>
        <v>0</v>
      </c>
      <c r="P560" s="224">
        <f t="shared" si="140"/>
        <v>0</v>
      </c>
      <c r="Q560" s="224">
        <v>0</v>
      </c>
      <c r="R560" s="224">
        <v>0</v>
      </c>
      <c r="S560" s="224">
        <v>0</v>
      </c>
      <c r="T560" s="224">
        <f t="shared" si="141"/>
        <v>0</v>
      </c>
      <c r="U560" s="224">
        <f t="shared" si="142"/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468">
        <f>L562+L563</f>
        <v>0</v>
      </c>
      <c r="M561" s="224">
        <f>M562+M563</f>
        <v>0</v>
      </c>
      <c r="N561" s="224">
        <f>N562+N563</f>
        <v>0</v>
      </c>
      <c r="O561" s="224">
        <f t="shared" si="139"/>
        <v>0</v>
      </c>
      <c r="P561" s="224">
        <f t="shared" si="140"/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 t="shared" si="141"/>
        <v>0</v>
      </c>
      <c r="U561" s="224">
        <f t="shared" si="142"/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469">
        <v>0</v>
      </c>
      <c r="M562" s="83">
        <v>0</v>
      </c>
      <c r="N562" s="83">
        <v>0</v>
      </c>
      <c r="O562" s="83">
        <f t="shared" si="139"/>
        <v>0</v>
      </c>
      <c r="P562" s="83">
        <f t="shared" si="140"/>
        <v>0</v>
      </c>
      <c r="Q562" s="83">
        <v>0</v>
      </c>
      <c r="R562" s="83">
        <v>0</v>
      </c>
      <c r="S562" s="83">
        <v>0</v>
      </c>
      <c r="T562" s="83">
        <f t="shared" si="141"/>
        <v>0</v>
      </c>
      <c r="U562" s="83">
        <f t="shared" si="142"/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468">
        <v>0</v>
      </c>
      <c r="M563" s="224">
        <v>0</v>
      </c>
      <c r="N563" s="224">
        <v>0</v>
      </c>
      <c r="O563" s="224">
        <f t="shared" si="139"/>
        <v>0</v>
      </c>
      <c r="P563" s="224">
        <f t="shared" si="140"/>
        <v>0</v>
      </c>
      <c r="Q563" s="224">
        <v>0</v>
      </c>
      <c r="R563" s="224">
        <v>0</v>
      </c>
      <c r="S563" s="224">
        <v>0</v>
      </c>
      <c r="T563" s="224">
        <f t="shared" si="141"/>
        <v>0</v>
      </c>
      <c r="U563" s="224">
        <f t="shared" si="142"/>
        <v>0</v>
      </c>
    </row>
    <row r="564" spans="1:21" ht="19.5" hidden="1" x14ac:dyDescent="0.3">
      <c r="A564" s="138"/>
      <c r="B564" s="139"/>
      <c r="C564" s="365" t="s">
        <v>18</v>
      </c>
      <c r="D564" s="498" t="s">
        <v>38</v>
      </c>
      <c r="E564" s="141"/>
      <c r="F564" s="141"/>
      <c r="G564" s="142"/>
      <c r="H564" s="143"/>
      <c r="I564" s="135"/>
      <c r="J564" s="44"/>
      <c r="K564" s="45"/>
      <c r="L564" s="465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11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11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11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11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11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11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11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11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11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496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hidden="1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64">
        <f>I587</f>
        <v>0</v>
      </c>
      <c r="J575" s="364">
        <f>J587</f>
        <v>0</v>
      </c>
      <c r="K575" s="513">
        <f>IF(I575&gt;0,J575*100/I575,0)</f>
        <v>0</v>
      </c>
      <c r="L575" s="512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hidden="1" x14ac:dyDescent="0.3">
      <c r="A576" s="128"/>
      <c r="B576" s="40"/>
      <c r="C576" s="129" t="s">
        <v>18</v>
      </c>
      <c r="D576" s="472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471">
        <f>L577+L578</f>
        <v>0</v>
      </c>
      <c r="M576" s="470">
        <f>M577+M578</f>
        <v>0</v>
      </c>
      <c r="N576" s="470">
        <f>N577+N578</f>
        <v>0</v>
      </c>
      <c r="O576" s="470">
        <f t="shared" ref="O576:O584" si="145">IF(L576&gt;0,N576*100/L576,0)</f>
        <v>0</v>
      </c>
      <c r="P576" s="470">
        <f t="shared" ref="P576:P584" si="146">IF(M576&gt;0,N576*100/M576,0)</f>
        <v>0</v>
      </c>
      <c r="Q576" s="470">
        <f>Q577+Q578</f>
        <v>0</v>
      </c>
      <c r="R576" s="470">
        <f>R577+R578</f>
        <v>0</v>
      </c>
      <c r="S576" s="470">
        <f>S577+S578</f>
        <v>0</v>
      </c>
      <c r="T576" s="470">
        <f t="shared" ref="T576:T584" si="147">IF(Q576&gt;0,S576*100/Q576,0)</f>
        <v>0</v>
      </c>
      <c r="U576" s="470">
        <f t="shared" ref="U576:U584" si="148"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469">
        <f t="shared" ref="L577:N578" si="149">L580+L583</f>
        <v>0</v>
      </c>
      <c r="M577" s="83">
        <f t="shared" si="149"/>
        <v>0</v>
      </c>
      <c r="N577" s="83">
        <f t="shared" si="149"/>
        <v>0</v>
      </c>
      <c r="O577" s="83">
        <f t="shared" si="145"/>
        <v>0</v>
      </c>
      <c r="P577" s="83">
        <f t="shared" si="146"/>
        <v>0</v>
      </c>
      <c r="Q577" s="83">
        <f t="shared" ref="Q577:S578" si="150">Q580+Q583</f>
        <v>0</v>
      </c>
      <c r="R577" s="83">
        <f t="shared" si="150"/>
        <v>0</v>
      </c>
      <c r="S577" s="83">
        <f t="shared" si="150"/>
        <v>0</v>
      </c>
      <c r="T577" s="83">
        <f t="shared" si="147"/>
        <v>0</v>
      </c>
      <c r="U577" s="83">
        <f t="shared" si="148"/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468">
        <f t="shared" si="149"/>
        <v>0</v>
      </c>
      <c r="M578" s="224">
        <f t="shared" si="149"/>
        <v>0</v>
      </c>
      <c r="N578" s="224">
        <f t="shared" si="149"/>
        <v>0</v>
      </c>
      <c r="O578" s="224">
        <f t="shared" si="145"/>
        <v>0</v>
      </c>
      <c r="P578" s="224">
        <f t="shared" si="146"/>
        <v>0</v>
      </c>
      <c r="Q578" s="224">
        <f t="shared" si="150"/>
        <v>0</v>
      </c>
      <c r="R578" s="224">
        <f t="shared" si="150"/>
        <v>0</v>
      </c>
      <c r="S578" s="224">
        <f t="shared" si="150"/>
        <v>0</v>
      </c>
      <c r="T578" s="224">
        <f t="shared" si="147"/>
        <v>0</v>
      </c>
      <c r="U578" s="224">
        <f t="shared" si="148"/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468">
        <f>L580+L581</f>
        <v>0</v>
      </c>
      <c r="M579" s="224">
        <f>M580+M581</f>
        <v>0</v>
      </c>
      <c r="N579" s="224">
        <f>N580+N581</f>
        <v>0</v>
      </c>
      <c r="O579" s="224">
        <f t="shared" si="145"/>
        <v>0</v>
      </c>
      <c r="P579" s="224">
        <f t="shared" si="146"/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 t="shared" si="147"/>
        <v>0</v>
      </c>
      <c r="U579" s="224">
        <f t="shared" si="148"/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469">
        <v>0</v>
      </c>
      <c r="M580" s="83">
        <v>0</v>
      </c>
      <c r="N580" s="83">
        <v>0</v>
      </c>
      <c r="O580" s="83">
        <f t="shared" si="145"/>
        <v>0</v>
      </c>
      <c r="P580" s="83">
        <f t="shared" si="146"/>
        <v>0</v>
      </c>
      <c r="Q580" s="83">
        <v>0</v>
      </c>
      <c r="R580" s="83">
        <v>0</v>
      </c>
      <c r="S580" s="83">
        <v>0</v>
      </c>
      <c r="T580" s="83">
        <f t="shared" si="147"/>
        <v>0</v>
      </c>
      <c r="U580" s="83">
        <f t="shared" si="148"/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468">
        <v>0</v>
      </c>
      <c r="M581" s="224">
        <v>0</v>
      </c>
      <c r="N581" s="224">
        <v>0</v>
      </c>
      <c r="O581" s="224">
        <f t="shared" si="145"/>
        <v>0</v>
      </c>
      <c r="P581" s="224">
        <f t="shared" si="146"/>
        <v>0</v>
      </c>
      <c r="Q581" s="224">
        <v>0</v>
      </c>
      <c r="R581" s="224">
        <v>0</v>
      </c>
      <c r="S581" s="224">
        <v>0</v>
      </c>
      <c r="T581" s="224">
        <f t="shared" si="147"/>
        <v>0</v>
      </c>
      <c r="U581" s="224">
        <f t="shared" si="148"/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468">
        <f>L583+L584</f>
        <v>0</v>
      </c>
      <c r="M582" s="224">
        <f>M583+M584</f>
        <v>0</v>
      </c>
      <c r="N582" s="224">
        <f>N583+N584</f>
        <v>0</v>
      </c>
      <c r="O582" s="224">
        <f t="shared" si="145"/>
        <v>0</v>
      </c>
      <c r="P582" s="224">
        <f t="shared" si="146"/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 t="shared" si="147"/>
        <v>0</v>
      </c>
      <c r="U582" s="224">
        <f t="shared" si="148"/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469">
        <v>0</v>
      </c>
      <c r="M583" s="83">
        <v>0</v>
      </c>
      <c r="N583" s="83">
        <v>0</v>
      </c>
      <c r="O583" s="83">
        <f t="shared" si="145"/>
        <v>0</v>
      </c>
      <c r="P583" s="83">
        <f t="shared" si="146"/>
        <v>0</v>
      </c>
      <c r="Q583" s="83">
        <v>0</v>
      </c>
      <c r="R583" s="83">
        <v>0</v>
      </c>
      <c r="S583" s="83">
        <v>0</v>
      </c>
      <c r="T583" s="83">
        <f t="shared" si="147"/>
        <v>0</v>
      </c>
      <c r="U583" s="83">
        <f t="shared" si="148"/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468">
        <v>0</v>
      </c>
      <c r="M584" s="224">
        <v>0</v>
      </c>
      <c r="N584" s="224">
        <v>0</v>
      </c>
      <c r="O584" s="224">
        <f t="shared" si="145"/>
        <v>0</v>
      </c>
      <c r="P584" s="224">
        <f t="shared" si="146"/>
        <v>0</v>
      </c>
      <c r="Q584" s="224">
        <v>0</v>
      </c>
      <c r="R584" s="224">
        <v>0</v>
      </c>
      <c r="S584" s="224">
        <v>0</v>
      </c>
      <c r="T584" s="224">
        <f t="shared" si="147"/>
        <v>0</v>
      </c>
      <c r="U584" s="224">
        <f t="shared" si="148"/>
        <v>0</v>
      </c>
    </row>
    <row r="585" spans="1:21" ht="19.5" hidden="1" x14ac:dyDescent="0.3">
      <c r="A585" s="138"/>
      <c r="B585" s="139"/>
      <c r="C585" s="365" t="s">
        <v>18</v>
      </c>
      <c r="D585" s="498" t="s">
        <v>38</v>
      </c>
      <c r="E585" s="141"/>
      <c r="F585" s="141"/>
      <c r="G585" s="142"/>
      <c r="H585" s="143"/>
      <c r="I585" s="135"/>
      <c r="J585" s="44"/>
      <c r="K585" s="45"/>
      <c r="L585" s="465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11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11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11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11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11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11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11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11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11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496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hidden="1" x14ac:dyDescent="0.3">
      <c r="A596" s="366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67" t="s">
        <v>214</v>
      </c>
      <c r="C597" s="172"/>
      <c r="D597" s="125"/>
      <c r="E597" s="27"/>
      <c r="F597" s="27"/>
      <c r="G597" s="27"/>
      <c r="H597" s="368" t="s">
        <v>99</v>
      </c>
      <c r="I597" s="182"/>
      <c r="J597" s="32"/>
      <c r="K597" s="33"/>
      <c r="L597" s="510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369"/>
      <c r="B598" s="370" t="s">
        <v>215</v>
      </c>
      <c r="C598" s="125"/>
      <c r="D598" s="27"/>
      <c r="E598" s="27"/>
      <c r="F598" s="27"/>
      <c r="G598" s="30"/>
      <c r="H598" s="371" t="s">
        <v>35</v>
      </c>
      <c r="I598" s="32"/>
      <c r="J598" s="32"/>
      <c r="K598" s="33"/>
      <c r="L598" s="510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820" t="s">
        <v>19</v>
      </c>
      <c r="E599" s="793"/>
      <c r="F599" s="793"/>
      <c r="G599" s="794"/>
      <c r="H599" s="372" t="s">
        <v>14</v>
      </c>
      <c r="I599" s="44"/>
      <c r="J599" s="44"/>
      <c r="K599" s="45"/>
      <c r="L599" s="471">
        <f>L600+L601</f>
        <v>0</v>
      </c>
      <c r="M599" s="470">
        <f>M600+M601</f>
        <v>0</v>
      </c>
      <c r="N599" s="470">
        <f>N600+N601</f>
        <v>0</v>
      </c>
      <c r="O599" s="470">
        <f t="shared" ref="O599:O607" si="151">IF(L599&gt;0,N599*100/L599,0)</f>
        <v>0</v>
      </c>
      <c r="P599" s="470">
        <f t="shared" ref="P599:P607" si="152">IF(M599&gt;0,N599*100/M599,0)</f>
        <v>0</v>
      </c>
      <c r="Q599" s="470">
        <f>Q600+Q601</f>
        <v>0</v>
      </c>
      <c r="R599" s="470">
        <f>R600+R601</f>
        <v>0</v>
      </c>
      <c r="S599" s="470">
        <f>S600+S601</f>
        <v>0</v>
      </c>
      <c r="T599" s="470">
        <f t="shared" ref="T599:T607" si="153">IF(Q599&gt;0,S599*100/Q599,0)</f>
        <v>0</v>
      </c>
      <c r="U599" s="470">
        <f t="shared" ref="U599:U607" si="154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469">
        <f t="shared" ref="L600:N601" si="155">L603+L606</f>
        <v>0</v>
      </c>
      <c r="M600" s="83">
        <f t="shared" si="155"/>
        <v>0</v>
      </c>
      <c r="N600" s="83">
        <f t="shared" si="155"/>
        <v>0</v>
      </c>
      <c r="O600" s="83">
        <f t="shared" si="151"/>
        <v>0</v>
      </c>
      <c r="P600" s="83">
        <f t="shared" si="152"/>
        <v>0</v>
      </c>
      <c r="Q600" s="83">
        <f t="shared" ref="Q600:S601" si="156">Q603+Q606</f>
        <v>0</v>
      </c>
      <c r="R600" s="83">
        <f t="shared" si="156"/>
        <v>0</v>
      </c>
      <c r="S600" s="83">
        <f t="shared" si="156"/>
        <v>0</v>
      </c>
      <c r="T600" s="83">
        <f t="shared" si="153"/>
        <v>0</v>
      </c>
      <c r="U600" s="83">
        <f t="shared" si="154"/>
        <v>0</v>
      </c>
    </row>
    <row r="601" spans="1:21" ht="18.75" hidden="1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468">
        <f t="shared" si="155"/>
        <v>0</v>
      </c>
      <c r="M601" s="224">
        <f t="shared" si="155"/>
        <v>0</v>
      </c>
      <c r="N601" s="224">
        <f t="shared" si="155"/>
        <v>0</v>
      </c>
      <c r="O601" s="224">
        <f t="shared" si="151"/>
        <v>0</v>
      </c>
      <c r="P601" s="224">
        <f t="shared" si="152"/>
        <v>0</v>
      </c>
      <c r="Q601" s="224">
        <f t="shared" si="156"/>
        <v>0</v>
      </c>
      <c r="R601" s="224">
        <f t="shared" si="156"/>
        <v>0</v>
      </c>
      <c r="S601" s="224">
        <f t="shared" si="156"/>
        <v>0</v>
      </c>
      <c r="T601" s="224">
        <f t="shared" si="153"/>
        <v>0</v>
      </c>
      <c r="U601" s="224">
        <f t="shared" si="154"/>
        <v>0</v>
      </c>
    </row>
    <row r="602" spans="1:21" ht="19.5" hidden="1" x14ac:dyDescent="0.3">
      <c r="A602" s="128"/>
      <c r="B602" s="158"/>
      <c r="C602" s="158"/>
      <c r="D602" s="494" t="s">
        <v>22</v>
      </c>
      <c r="E602" s="40"/>
      <c r="F602" s="40"/>
      <c r="G602" s="42"/>
      <c r="H602" s="372" t="s">
        <v>14</v>
      </c>
      <c r="I602" s="135"/>
      <c r="J602" s="135"/>
      <c r="K602" s="136"/>
      <c r="L602" s="468">
        <f>L603+L604</f>
        <v>0</v>
      </c>
      <c r="M602" s="224">
        <f>M603+M604</f>
        <v>0</v>
      </c>
      <c r="N602" s="224">
        <f>N603+N604</f>
        <v>0</v>
      </c>
      <c r="O602" s="224">
        <f t="shared" si="151"/>
        <v>0</v>
      </c>
      <c r="P602" s="224">
        <f t="shared" si="152"/>
        <v>0</v>
      </c>
      <c r="Q602" s="224">
        <f>Q603+Q604</f>
        <v>0</v>
      </c>
      <c r="R602" s="224">
        <f>R603+R604</f>
        <v>0</v>
      </c>
      <c r="S602" s="224">
        <f>S603+S604</f>
        <v>0</v>
      </c>
      <c r="T602" s="224">
        <f t="shared" si="153"/>
        <v>0</v>
      </c>
      <c r="U602" s="224">
        <f t="shared" si="154"/>
        <v>0</v>
      </c>
    </row>
    <row r="603" spans="1:21" ht="18.75" hidden="1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469">
        <v>0</v>
      </c>
      <c r="M603" s="83">
        <v>0</v>
      </c>
      <c r="N603" s="83">
        <v>0</v>
      </c>
      <c r="O603" s="83">
        <f t="shared" si="151"/>
        <v>0</v>
      </c>
      <c r="P603" s="83">
        <f t="shared" si="152"/>
        <v>0</v>
      </c>
      <c r="Q603" s="83">
        <v>0</v>
      </c>
      <c r="R603" s="83">
        <v>0</v>
      </c>
      <c r="S603" s="83">
        <v>0</v>
      </c>
      <c r="T603" s="83">
        <f t="shared" si="153"/>
        <v>0</v>
      </c>
      <c r="U603" s="83">
        <f t="shared" si="154"/>
        <v>0</v>
      </c>
    </row>
    <row r="604" spans="1:21" ht="18.75" hidden="1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468">
        <v>0</v>
      </c>
      <c r="M604" s="224">
        <v>0</v>
      </c>
      <c r="N604" s="224">
        <v>0</v>
      </c>
      <c r="O604" s="224">
        <f t="shared" si="151"/>
        <v>0</v>
      </c>
      <c r="P604" s="224">
        <f t="shared" si="152"/>
        <v>0</v>
      </c>
      <c r="Q604" s="224">
        <v>0</v>
      </c>
      <c r="R604" s="224">
        <v>0</v>
      </c>
      <c r="S604" s="224">
        <v>0</v>
      </c>
      <c r="T604" s="224">
        <f t="shared" si="153"/>
        <v>0</v>
      </c>
      <c r="U604" s="224">
        <f t="shared" si="154"/>
        <v>0</v>
      </c>
    </row>
    <row r="605" spans="1:21" ht="19.5" hidden="1" x14ac:dyDescent="0.3">
      <c r="A605" s="128"/>
      <c r="B605" s="158"/>
      <c r="C605" s="158"/>
      <c r="D605" s="494" t="s">
        <v>23</v>
      </c>
      <c r="E605" s="158"/>
      <c r="F605" s="40"/>
      <c r="G605" s="42"/>
      <c r="H605" s="374" t="s">
        <v>14</v>
      </c>
      <c r="I605" s="135"/>
      <c r="J605" s="135"/>
      <c r="K605" s="136"/>
      <c r="L605" s="468">
        <f>L606+L607</f>
        <v>0</v>
      </c>
      <c r="M605" s="224">
        <f>M606+M607</f>
        <v>0</v>
      </c>
      <c r="N605" s="224">
        <f>N606+N607</f>
        <v>0</v>
      </c>
      <c r="O605" s="224">
        <f t="shared" si="151"/>
        <v>0</v>
      </c>
      <c r="P605" s="224">
        <f t="shared" si="152"/>
        <v>0</v>
      </c>
      <c r="Q605" s="224">
        <f>Q606+Q607</f>
        <v>0</v>
      </c>
      <c r="R605" s="224">
        <f>R606+R607</f>
        <v>0</v>
      </c>
      <c r="S605" s="224">
        <f>S606+S607</f>
        <v>0</v>
      </c>
      <c r="T605" s="224">
        <f t="shared" si="153"/>
        <v>0</v>
      </c>
      <c r="U605" s="224">
        <f t="shared" si="154"/>
        <v>0</v>
      </c>
    </row>
    <row r="606" spans="1:21" ht="18.75" hidden="1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469">
        <v>0</v>
      </c>
      <c r="M606" s="83">
        <v>0</v>
      </c>
      <c r="N606" s="83">
        <v>0</v>
      </c>
      <c r="O606" s="83">
        <f t="shared" si="151"/>
        <v>0</v>
      </c>
      <c r="P606" s="83">
        <f t="shared" si="152"/>
        <v>0</v>
      </c>
      <c r="Q606" s="83">
        <v>0</v>
      </c>
      <c r="R606" s="83">
        <v>0</v>
      </c>
      <c r="S606" s="83">
        <v>0</v>
      </c>
      <c r="T606" s="83">
        <f t="shared" si="153"/>
        <v>0</v>
      </c>
      <c r="U606" s="83">
        <f t="shared" si="154"/>
        <v>0</v>
      </c>
    </row>
    <row r="607" spans="1:21" ht="18.75" hidden="1" x14ac:dyDescent="0.25">
      <c r="A607" s="128"/>
      <c r="B607" s="158"/>
      <c r="C607" s="158"/>
      <c r="D607" s="40"/>
      <c r="E607" s="314" t="s">
        <v>21</v>
      </c>
      <c r="F607" s="40"/>
      <c r="G607" s="42"/>
      <c r="H607" s="375" t="s">
        <v>14</v>
      </c>
      <c r="I607" s="135"/>
      <c r="J607" s="135"/>
      <c r="K607" s="136"/>
      <c r="L607" s="468">
        <v>0</v>
      </c>
      <c r="M607" s="224">
        <v>0</v>
      </c>
      <c r="N607" s="224">
        <v>0</v>
      </c>
      <c r="O607" s="224">
        <f t="shared" si="151"/>
        <v>0</v>
      </c>
      <c r="P607" s="224">
        <f t="shared" si="152"/>
        <v>0</v>
      </c>
      <c r="Q607" s="224">
        <v>0</v>
      </c>
      <c r="R607" s="224">
        <v>0</v>
      </c>
      <c r="S607" s="224">
        <v>0</v>
      </c>
      <c r="T607" s="224">
        <f t="shared" si="153"/>
        <v>0</v>
      </c>
      <c r="U607" s="224">
        <f t="shared" si="154"/>
        <v>0</v>
      </c>
    </row>
    <row r="608" spans="1:21" ht="19.5" hidden="1" x14ac:dyDescent="0.3">
      <c r="A608" s="138"/>
      <c r="B608" s="139"/>
      <c r="C608" s="177" t="s">
        <v>18</v>
      </c>
      <c r="D608" s="509" t="s">
        <v>38</v>
      </c>
      <c r="E608" s="141"/>
      <c r="F608" s="141"/>
      <c r="G608" s="142"/>
      <c r="H608" s="178"/>
      <c r="I608" s="135"/>
      <c r="J608" s="135"/>
      <c r="K608" s="136"/>
      <c r="L608" s="465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377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465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377" t="s">
        <v>217</v>
      </c>
      <c r="E610" s="145"/>
      <c r="F610" s="145"/>
      <c r="G610" s="143"/>
      <c r="H610" s="372" t="s">
        <v>35</v>
      </c>
      <c r="I610" s="44"/>
      <c r="J610" s="44"/>
      <c r="K610" s="136"/>
      <c r="L610" s="465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377" t="s">
        <v>218</v>
      </c>
      <c r="F611" s="145"/>
      <c r="G611" s="143"/>
      <c r="H611" s="375" t="s">
        <v>35</v>
      </c>
      <c r="I611" s="44"/>
      <c r="J611" s="44"/>
      <c r="K611" s="136"/>
      <c r="L611" s="465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378"/>
      <c r="B612" s="379"/>
      <c r="C612" s="379"/>
      <c r="D612" s="379"/>
      <c r="E612" s="380" t="s">
        <v>219</v>
      </c>
      <c r="F612" s="381"/>
      <c r="G612" s="382"/>
      <c r="H612" s="383" t="s">
        <v>35</v>
      </c>
      <c r="I612" s="384"/>
      <c r="J612" s="384"/>
      <c r="K612" s="385"/>
      <c r="L612" s="508"/>
      <c r="M612" s="386"/>
      <c r="N612" s="386"/>
      <c r="O612" s="386"/>
      <c r="P612" s="386"/>
      <c r="Q612" s="386"/>
      <c r="R612" s="386"/>
      <c r="S612" s="386"/>
      <c r="T612" s="386"/>
      <c r="U612" s="386"/>
    </row>
    <row r="613" spans="1:21" ht="19.5" x14ac:dyDescent="0.3">
      <c r="A613" s="387" t="s">
        <v>220</v>
      </c>
      <c r="B613" s="388"/>
      <c r="C613" s="388"/>
      <c r="D613" s="389"/>
      <c r="E613" s="389"/>
      <c r="F613" s="389"/>
      <c r="G613" s="390"/>
      <c r="H613" s="391"/>
      <c r="I613" s="392"/>
      <c r="J613" s="392"/>
      <c r="K613" s="393"/>
      <c r="L613" s="507"/>
      <c r="M613" s="393"/>
      <c r="N613" s="393"/>
      <c r="O613" s="393"/>
      <c r="P613" s="393"/>
      <c r="Q613" s="393"/>
      <c r="R613" s="393"/>
      <c r="S613" s="393"/>
      <c r="T613" s="393"/>
      <c r="U613" s="393"/>
    </row>
    <row r="614" spans="1:21" ht="19.5" x14ac:dyDescent="0.3">
      <c r="A614" s="394"/>
      <c r="B614" s="395" t="s">
        <v>221</v>
      </c>
      <c r="C614" s="394"/>
      <c r="D614" s="396"/>
      <c r="E614" s="396"/>
      <c r="F614" s="396"/>
      <c r="G614" s="397"/>
      <c r="H614" s="398"/>
      <c r="I614" s="399"/>
      <c r="J614" s="399"/>
      <c r="K614" s="400"/>
      <c r="L614" s="473"/>
      <c r="M614" s="400"/>
      <c r="N614" s="400"/>
      <c r="O614" s="400"/>
      <c r="P614" s="400"/>
      <c r="Q614" s="400"/>
      <c r="R614" s="400"/>
      <c r="S614" s="400"/>
      <c r="T614" s="400"/>
      <c r="U614" s="400"/>
    </row>
    <row r="615" spans="1:21" ht="19.5" x14ac:dyDescent="0.3">
      <c r="A615" s="401"/>
      <c r="B615" s="402" t="s">
        <v>222</v>
      </c>
      <c r="C615" s="401"/>
      <c r="D615" s="403"/>
      <c r="E615" s="403"/>
      <c r="F615" s="403"/>
      <c r="G615" s="404"/>
      <c r="H615" s="405" t="s">
        <v>46</v>
      </c>
      <c r="I615" s="506">
        <f ca="1">I626</f>
        <v>0</v>
      </c>
      <c r="J615" s="506">
        <f>J626</f>
        <v>0</v>
      </c>
      <c r="K615" s="505">
        <f ca="1">IF(I615&gt;0,J615*100/I615,0)</f>
        <v>0</v>
      </c>
      <c r="L615" s="504"/>
      <c r="M615" s="408"/>
      <c r="N615" s="408"/>
      <c r="O615" s="408"/>
      <c r="P615" s="408"/>
      <c r="Q615" s="408"/>
      <c r="R615" s="408"/>
      <c r="S615" s="408"/>
      <c r="T615" s="408"/>
      <c r="U615" s="408"/>
    </row>
    <row r="616" spans="1:21" ht="19.5" x14ac:dyDescent="0.3">
      <c r="A616" s="128"/>
      <c r="B616" s="158"/>
      <c r="C616" s="177" t="s">
        <v>18</v>
      </c>
      <c r="D616" s="821" t="s">
        <v>19</v>
      </c>
      <c r="E616" s="793"/>
      <c r="F616" s="793"/>
      <c r="G616" s="794"/>
      <c r="H616" s="221" t="s">
        <v>14</v>
      </c>
      <c r="I616" s="44"/>
      <c r="J616" s="44"/>
      <c r="K616" s="45"/>
      <c r="L616" s="471">
        <f>L617+L618</f>
        <v>0</v>
      </c>
      <c r="M616" s="470">
        <f>M617+M618</f>
        <v>0</v>
      </c>
      <c r="N616" s="470">
        <f>N617+N618</f>
        <v>0</v>
      </c>
      <c r="O616" s="470">
        <f t="shared" ref="O616:O624" si="157">IF(L616&gt;0,N616*100/L616,0)</f>
        <v>0</v>
      </c>
      <c r="P616" s="470">
        <f t="shared" ref="P616:P624" si="158">IF(M616&gt;0,N616*100/M616,0)</f>
        <v>0</v>
      </c>
      <c r="Q616" s="470">
        <f ca="1">Q617+Q618</f>
        <v>1625</v>
      </c>
      <c r="R616" s="470">
        <f ca="1">R617+R618</f>
        <v>1625</v>
      </c>
      <c r="S616" s="470">
        <f ca="1">S617+S618</f>
        <v>1489</v>
      </c>
      <c r="T616" s="470">
        <f t="shared" ref="T616:T624" ca="1" si="159">IF(Q616&gt;0,S616*100/Q616,0)</f>
        <v>91.630769230769232</v>
      </c>
      <c r="U616" s="470">
        <f t="shared" ref="U616:U624" ca="1" si="160">IF(R616&gt;0,S616*100/R616,0)</f>
        <v>91.630769230769232</v>
      </c>
    </row>
    <row r="617" spans="1:21" ht="18.75" hidden="1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469">
        <f t="shared" ref="L617:N618" si="161">L620+L623</f>
        <v>0</v>
      </c>
      <c r="M617" s="83">
        <f t="shared" si="161"/>
        <v>0</v>
      </c>
      <c r="N617" s="83">
        <f t="shared" si="161"/>
        <v>0</v>
      </c>
      <c r="O617" s="83">
        <f t="shared" si="157"/>
        <v>0</v>
      </c>
      <c r="P617" s="83">
        <f t="shared" si="158"/>
        <v>0</v>
      </c>
      <c r="Q617" s="83">
        <f t="shared" ref="Q617:S618" si="162">Q620+Q623</f>
        <v>0</v>
      </c>
      <c r="R617" s="83">
        <f t="shared" si="162"/>
        <v>0</v>
      </c>
      <c r="S617" s="83">
        <f t="shared" si="162"/>
        <v>0</v>
      </c>
      <c r="T617" s="83">
        <f t="shared" si="159"/>
        <v>0</v>
      </c>
      <c r="U617" s="83">
        <f t="shared" si="160"/>
        <v>0</v>
      </c>
    </row>
    <row r="618" spans="1:21" ht="18.75" hidden="1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468">
        <f t="shared" si="161"/>
        <v>0</v>
      </c>
      <c r="M618" s="224">
        <f t="shared" si="161"/>
        <v>0</v>
      </c>
      <c r="N618" s="224">
        <f t="shared" si="161"/>
        <v>0</v>
      </c>
      <c r="O618" s="224">
        <f t="shared" si="157"/>
        <v>0</v>
      </c>
      <c r="P618" s="224">
        <f t="shared" si="158"/>
        <v>0</v>
      </c>
      <c r="Q618" s="224">
        <f t="shared" ca="1" si="162"/>
        <v>1625</v>
      </c>
      <c r="R618" s="224">
        <f t="shared" ca="1" si="162"/>
        <v>1625</v>
      </c>
      <c r="S618" s="224">
        <f t="shared" ca="1" si="162"/>
        <v>1489</v>
      </c>
      <c r="T618" s="224">
        <f t="shared" ca="1" si="159"/>
        <v>91.630769230769232</v>
      </c>
      <c r="U618" s="224">
        <f t="shared" ca="1" si="160"/>
        <v>91.630769230769232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468">
        <f>L620+L621</f>
        <v>0</v>
      </c>
      <c r="M619" s="224">
        <f>M620+M621</f>
        <v>0</v>
      </c>
      <c r="N619" s="224">
        <f>N620+N621</f>
        <v>0</v>
      </c>
      <c r="O619" s="224">
        <f t="shared" si="157"/>
        <v>0</v>
      </c>
      <c r="P619" s="224">
        <f t="shared" si="158"/>
        <v>0</v>
      </c>
      <c r="Q619" s="224">
        <f ca="1">Q620+Q621</f>
        <v>1625</v>
      </c>
      <c r="R619" s="224">
        <f ca="1">R620+R621</f>
        <v>1625</v>
      </c>
      <c r="S619" s="224">
        <f ca="1">S620+S621</f>
        <v>1489</v>
      </c>
      <c r="T619" s="224">
        <f t="shared" ca="1" si="159"/>
        <v>91.630769230769232</v>
      </c>
      <c r="U619" s="224">
        <f t="shared" ca="1" si="160"/>
        <v>91.630769230769232</v>
      </c>
    </row>
    <row r="620" spans="1:21" ht="18.75" hidden="1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469">
        <v>0</v>
      </c>
      <c r="M620" s="83">
        <v>0</v>
      </c>
      <c r="N620" s="83">
        <v>0</v>
      </c>
      <c r="O620" s="83">
        <f t="shared" si="157"/>
        <v>0</v>
      </c>
      <c r="P620" s="83">
        <f t="shared" si="158"/>
        <v>0</v>
      </c>
      <c r="Q620" s="83">
        <v>0</v>
      </c>
      <c r="R620" s="83">
        <v>0</v>
      </c>
      <c r="S620" s="83">
        <v>0</v>
      </c>
      <c r="T620" s="83">
        <f t="shared" si="159"/>
        <v>0</v>
      </c>
      <c r="U620" s="83">
        <f t="shared" si="160"/>
        <v>0</v>
      </c>
    </row>
    <row r="621" spans="1:21" ht="18.75" hidden="1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468">
        <v>0</v>
      </c>
      <c r="M621" s="224">
        <v>0</v>
      </c>
      <c r="N621" s="224">
        <v>0</v>
      </c>
      <c r="O621" s="224">
        <f t="shared" si="157"/>
        <v>0</v>
      </c>
      <c r="P621" s="224">
        <f t="shared" si="158"/>
        <v>0</v>
      </c>
      <c r="Q621" s="224">
        <f ca="1">IFERROR(__xludf.DUMMYFUNCTION("IMPORTRANGE(""https://docs.google.com/spreadsheets/d/1ItG2mGa2ceCfYo0BwxsXqNm01IGEUdYcSSLTEv9YCik/edit?usp=sharing"",""เบิกจ่ายกองทุน!F16"")"),1625)</f>
        <v>1625</v>
      </c>
      <c r="R621" s="224">
        <f ca="1">IFERROR(__xludf.DUMMYFUNCTION("IMPORTRANGE(""https://docs.google.com/spreadsheets/d/1ItG2mGa2ceCfYo0BwxsXqNm01IGEUdYcSSLTEv9YCik/edit?usp=sharing"",""เบิกจ่ายกองทุน!G16"")"),1625)</f>
        <v>1625</v>
      </c>
      <c r="S621" s="224">
        <f ca="1">IFERROR(__xludf.DUMMYFUNCTION("IMPORTRANGE(""https://docs.google.com/spreadsheets/d/1ItG2mGa2ceCfYo0BwxsXqNm01IGEUdYcSSLTEv9YCik/edit?usp=sharing"",""เบิกจ่ายกองทุน!H16"")"),1489)</f>
        <v>1489</v>
      </c>
      <c r="T621" s="224">
        <f t="shared" ca="1" si="159"/>
        <v>91.630769230769232</v>
      </c>
      <c r="U621" s="224">
        <f t="shared" ca="1" si="160"/>
        <v>91.630769230769232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468">
        <f>L623+L624</f>
        <v>0</v>
      </c>
      <c r="M622" s="224">
        <f>M623+M624</f>
        <v>0</v>
      </c>
      <c r="N622" s="224">
        <f>N623+N624</f>
        <v>0</v>
      </c>
      <c r="O622" s="224">
        <f t="shared" si="157"/>
        <v>0</v>
      </c>
      <c r="P622" s="224">
        <f t="shared" si="158"/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 t="shared" si="159"/>
        <v>0</v>
      </c>
      <c r="U622" s="224">
        <f t="shared" si="160"/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469">
        <v>0</v>
      </c>
      <c r="M623" s="83">
        <v>0</v>
      </c>
      <c r="N623" s="83">
        <v>0</v>
      </c>
      <c r="O623" s="83">
        <f t="shared" si="157"/>
        <v>0</v>
      </c>
      <c r="P623" s="83">
        <f t="shared" si="158"/>
        <v>0</v>
      </c>
      <c r="Q623" s="83">
        <v>0</v>
      </c>
      <c r="R623" s="83">
        <v>0</v>
      </c>
      <c r="S623" s="83">
        <v>0</v>
      </c>
      <c r="T623" s="83">
        <f t="shared" si="159"/>
        <v>0</v>
      </c>
      <c r="U623" s="83">
        <f t="shared" si="160"/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468">
        <v>0</v>
      </c>
      <c r="M624" s="224">
        <v>0</v>
      </c>
      <c r="N624" s="224">
        <v>0</v>
      </c>
      <c r="O624" s="224">
        <f t="shared" si="157"/>
        <v>0</v>
      </c>
      <c r="P624" s="224">
        <f t="shared" si="158"/>
        <v>0</v>
      </c>
      <c r="Q624" s="224">
        <v>0</v>
      </c>
      <c r="R624" s="224">
        <v>0</v>
      </c>
      <c r="S624" s="224">
        <v>0</v>
      </c>
      <c r="T624" s="224">
        <f t="shared" si="159"/>
        <v>0</v>
      </c>
      <c r="U624" s="224">
        <f t="shared" si="160"/>
        <v>0</v>
      </c>
    </row>
    <row r="625" spans="1:21" ht="19.5" x14ac:dyDescent="0.3">
      <c r="A625" s="138"/>
      <c r="B625" s="139"/>
      <c r="C625" s="177" t="s">
        <v>18</v>
      </c>
      <c r="D625" s="467" t="s">
        <v>38</v>
      </c>
      <c r="E625" s="141"/>
      <c r="F625" s="141"/>
      <c r="G625" s="142"/>
      <c r="H625" s="178"/>
      <c r="I625" s="135"/>
      <c r="J625" s="135"/>
      <c r="K625" s="136"/>
      <c r="L625" s="4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10" t="s">
        <v>223</v>
      </c>
      <c r="E626" s="145"/>
      <c r="F626" s="145"/>
      <c r="G626" s="143"/>
      <c r="H626" s="411" t="s">
        <v>46</v>
      </c>
      <c r="I626" s="328">
        <f ca="1">IFERROR(__xludf.DUMMYFUNCTION("IMPORTRANGE(""https://docs.google.com/spreadsheets/d/1eHaY18a8A9IcSdp1K8H6x8fbOy06t2VsZHhMHf-1x7Y/edit?usp=sharing"",""แผน!ID16"")"),0)</f>
        <v>0</v>
      </c>
      <c r="J626" s="328">
        <f>J632</f>
        <v>0</v>
      </c>
      <c r="K626" s="470">
        <f ca="1">IF(I626&gt;0,J626*100/I626,0)</f>
        <v>0</v>
      </c>
      <c r="L626" s="4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IFERROR(__xludf.DUMMYFUNCTION("IMPORTRANGE(""https://docs.google.com/spreadsheets/d/1eHaY18a8A9IcSdp1K8H6x8fbOy06t2VsZHhMHf-1x7Y/edit?usp=sharing"",""แผน!IC16"")"),0)</f>
        <v>0</v>
      </c>
      <c r="J627" s="466">
        <v>0</v>
      </c>
      <c r="K627" s="224">
        <f ca="1">IF(I627&gt;0,(J627*100)/I627,0)</f>
        <v>0</v>
      </c>
      <c r="L627" s="4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IFERROR(__xludf.DUMMYFUNCTION("IMPORTRANGE(""https://docs.google.com/spreadsheets/d/1eHaY18a8A9IcSdp1K8H6x8fbOy06t2VsZHhMHf-1x7Y/edit?usp=sharing"",""แผน!IC16"")"),0)</f>
        <v>0</v>
      </c>
      <c r="J628" s="466">
        <v>0</v>
      </c>
      <c r="K628" s="224">
        <f ca="1">IF(I628&gt;0,(J628*100)/I628,0)</f>
        <v>0</v>
      </c>
      <c r="L628" s="4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466">
        <v>0</v>
      </c>
      <c r="K629" s="224">
        <f ca="1">IF(I$626&gt;0,J629*100/I$626,0)</f>
        <v>0</v>
      </c>
      <c r="L629" s="4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466">
        <v>0</v>
      </c>
      <c r="K630" s="224">
        <f ca="1">IF(I$626&gt;0,J630*100/I$626,0)</f>
        <v>0</v>
      </c>
      <c r="L630" s="4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466">
        <v>0</v>
      </c>
      <c r="K631" s="224">
        <f ca="1">IF(I$626&gt;0,J631*100/I$626,0)</f>
        <v>0</v>
      </c>
      <c r="L631" s="4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470">
        <f ca="1">IF(I626&gt;0,J632*100/I626,0)</f>
        <v>0</v>
      </c>
      <c r="L632" s="4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466">
        <v>0</v>
      </c>
      <c r="K633" s="45"/>
      <c r="L633" s="4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466">
        <v>0</v>
      </c>
      <c r="K634" s="45"/>
      <c r="L634" s="4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10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IFERROR(__xludf.DUMMYFUNCTION("IMPORTRANGE(""https://docs.google.com/spreadsheets/d/1eHaY18a8A9IcSdp1K8H6x8fbOy06t2VsZHhMHf-1x7Y/edit?usp=sharing"",""แผน!IE16"")"),0)</f>
        <v>0</v>
      </c>
      <c r="J635" s="328">
        <f>J636</f>
        <v>0</v>
      </c>
      <c r="K635" s="470">
        <f ca="1">IF(I635&gt;0,J635*100/I635,0)</f>
        <v>0</v>
      </c>
      <c r="L635" s="4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4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466">
        <v>0</v>
      </c>
      <c r="K637" s="45"/>
      <c r="L637" s="4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466">
        <v>0</v>
      </c>
      <c r="K638" s="45"/>
      <c r="L638" s="4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466">
        <v>0</v>
      </c>
      <c r="K639" s="45"/>
      <c r="L639" s="4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466">
        <v>0</v>
      </c>
      <c r="K640" s="45"/>
      <c r="L640" s="4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01"/>
      <c r="B641" s="402" t="s">
        <v>236</v>
      </c>
      <c r="C641" s="401"/>
      <c r="D641" s="403"/>
      <c r="E641" s="403"/>
      <c r="F641" s="403"/>
      <c r="G641" s="404"/>
      <c r="H641" s="412"/>
      <c r="I641" s="413"/>
      <c r="J641" s="413"/>
      <c r="K641" s="408"/>
      <c r="L641" s="504"/>
      <c r="M641" s="408"/>
      <c r="N641" s="408"/>
      <c r="O641" s="408"/>
      <c r="P641" s="408"/>
      <c r="Q641" s="408"/>
      <c r="R641" s="408"/>
      <c r="S641" s="408"/>
      <c r="T641" s="408"/>
      <c r="U641" s="408"/>
    </row>
    <row r="642" spans="1:21" ht="19.5" x14ac:dyDescent="0.3">
      <c r="A642" s="128"/>
      <c r="B642" s="158"/>
      <c r="C642" s="209" t="s">
        <v>18</v>
      </c>
      <c r="D642" s="821" t="s">
        <v>19</v>
      </c>
      <c r="E642" s="793"/>
      <c r="F642" s="793"/>
      <c r="G642" s="794"/>
      <c r="H642" s="221" t="s">
        <v>14</v>
      </c>
      <c r="I642" s="44"/>
      <c r="J642" s="44"/>
      <c r="K642" s="45"/>
      <c r="L642" s="471">
        <f>L643+L644</f>
        <v>0</v>
      </c>
      <c r="M642" s="470">
        <f>M643+M644</f>
        <v>0</v>
      </c>
      <c r="N642" s="470">
        <f>N643+N644</f>
        <v>0</v>
      </c>
      <c r="O642" s="470">
        <f t="shared" ref="O642:O650" si="163">IF(L642&gt;0,N642*100/L642,0)</f>
        <v>0</v>
      </c>
      <c r="P642" s="470">
        <f t="shared" ref="P642:P650" si="164">IF(M642&gt;0,N642*100/M642,0)</f>
        <v>0</v>
      </c>
      <c r="Q642" s="470">
        <f ca="1">Q643+Q644</f>
        <v>7060</v>
      </c>
      <c r="R642" s="470">
        <f ca="1">R643+R644</f>
        <v>7060</v>
      </c>
      <c r="S642" s="470">
        <f ca="1">S643+S644</f>
        <v>2680</v>
      </c>
      <c r="T642" s="470">
        <f t="shared" ref="T642:T650" ca="1" si="165">IF(Q642&gt;0,S642*100/Q642,0)</f>
        <v>37.960339943342774</v>
      </c>
      <c r="U642" s="470">
        <f t="shared" ref="U642:U650" ca="1" si="166">IF(R642&gt;0,S642*100/R642,0)</f>
        <v>37.960339943342774</v>
      </c>
    </row>
    <row r="643" spans="1:21" ht="18.75" hidden="1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469">
        <f t="shared" ref="L643:N644" si="167">L646+L649</f>
        <v>0</v>
      </c>
      <c r="M643" s="83">
        <f t="shared" si="167"/>
        <v>0</v>
      </c>
      <c r="N643" s="83">
        <f t="shared" si="167"/>
        <v>0</v>
      </c>
      <c r="O643" s="83">
        <f t="shared" si="163"/>
        <v>0</v>
      </c>
      <c r="P643" s="83">
        <f t="shared" si="164"/>
        <v>0</v>
      </c>
      <c r="Q643" s="83">
        <f t="shared" ref="Q643:S644" si="168">Q646+Q649</f>
        <v>0</v>
      </c>
      <c r="R643" s="83">
        <f t="shared" si="168"/>
        <v>0</v>
      </c>
      <c r="S643" s="83">
        <f t="shared" si="168"/>
        <v>0</v>
      </c>
      <c r="T643" s="83">
        <f t="shared" si="165"/>
        <v>0</v>
      </c>
      <c r="U643" s="83">
        <f t="shared" si="166"/>
        <v>0</v>
      </c>
    </row>
    <row r="644" spans="1:21" ht="18.75" hidden="1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468">
        <f t="shared" si="167"/>
        <v>0</v>
      </c>
      <c r="M644" s="224">
        <f t="shared" si="167"/>
        <v>0</v>
      </c>
      <c r="N644" s="224">
        <f t="shared" si="167"/>
        <v>0</v>
      </c>
      <c r="O644" s="224">
        <f t="shared" si="163"/>
        <v>0</v>
      </c>
      <c r="P644" s="224">
        <f t="shared" si="164"/>
        <v>0</v>
      </c>
      <c r="Q644" s="224">
        <f t="shared" ca="1" si="168"/>
        <v>7060</v>
      </c>
      <c r="R644" s="224">
        <f t="shared" ca="1" si="168"/>
        <v>7060</v>
      </c>
      <c r="S644" s="224">
        <f t="shared" ca="1" si="168"/>
        <v>2680</v>
      </c>
      <c r="T644" s="224">
        <f t="shared" ca="1" si="165"/>
        <v>37.960339943342774</v>
      </c>
      <c r="U644" s="224">
        <f t="shared" ca="1" si="166"/>
        <v>37.960339943342774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468">
        <f>L646+L647</f>
        <v>0</v>
      </c>
      <c r="M645" s="224">
        <f>M646+M647</f>
        <v>0</v>
      </c>
      <c r="N645" s="224">
        <f>N646+N647</f>
        <v>0</v>
      </c>
      <c r="O645" s="224">
        <f t="shared" si="163"/>
        <v>0</v>
      </c>
      <c r="P645" s="224">
        <f t="shared" si="164"/>
        <v>0</v>
      </c>
      <c r="Q645" s="224">
        <f ca="1">Q646+Q647</f>
        <v>7060</v>
      </c>
      <c r="R645" s="224">
        <f ca="1">R646+R647</f>
        <v>7060</v>
      </c>
      <c r="S645" s="224">
        <f ca="1">S646+S647</f>
        <v>2680</v>
      </c>
      <c r="T645" s="224">
        <f t="shared" ca="1" si="165"/>
        <v>37.960339943342774</v>
      </c>
      <c r="U645" s="224">
        <f t="shared" ca="1" si="166"/>
        <v>37.960339943342774</v>
      </c>
    </row>
    <row r="646" spans="1:21" ht="18.75" hidden="1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469">
        <v>0</v>
      </c>
      <c r="M646" s="83">
        <v>0</v>
      </c>
      <c r="N646" s="83">
        <v>0</v>
      </c>
      <c r="O646" s="83">
        <f t="shared" si="163"/>
        <v>0</v>
      </c>
      <c r="P646" s="83">
        <f t="shared" si="164"/>
        <v>0</v>
      </c>
      <c r="Q646" s="83">
        <v>0</v>
      </c>
      <c r="R646" s="83">
        <v>0</v>
      </c>
      <c r="S646" s="83">
        <v>0</v>
      </c>
      <c r="T646" s="83">
        <f t="shared" si="165"/>
        <v>0</v>
      </c>
      <c r="U646" s="83">
        <f t="shared" si="166"/>
        <v>0</v>
      </c>
    </row>
    <row r="647" spans="1:21" ht="18.75" hidden="1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468">
        <v>0</v>
      </c>
      <c r="M647" s="224">
        <v>0</v>
      </c>
      <c r="N647" s="224">
        <v>0</v>
      </c>
      <c r="O647" s="224">
        <f t="shared" si="163"/>
        <v>0</v>
      </c>
      <c r="P647" s="224">
        <f t="shared" si="164"/>
        <v>0</v>
      </c>
      <c r="Q647" s="224">
        <f ca="1">IFERROR(__xludf.DUMMYFUNCTION("IMPORTRANGE(""https://docs.google.com/spreadsheets/d/1ItG2mGa2ceCfYo0BwxsXqNm01IGEUdYcSSLTEv9YCik/edit?usp=sharing"",""เบิกจ่ายกองทุน!I16"")"),7060)</f>
        <v>7060</v>
      </c>
      <c r="R647" s="224">
        <f ca="1">IFERROR(__xludf.DUMMYFUNCTION("IMPORTRANGE(""https://docs.google.com/spreadsheets/d/1ItG2mGa2ceCfYo0BwxsXqNm01IGEUdYcSSLTEv9YCik/edit?usp=sharing"",""เบิกจ่ายกองทุน!J16"")"),7060)</f>
        <v>7060</v>
      </c>
      <c r="S647" s="224">
        <f ca="1">IFERROR(__xludf.DUMMYFUNCTION("IMPORTRANGE(""https://docs.google.com/spreadsheets/d/1ItG2mGa2ceCfYo0BwxsXqNm01IGEUdYcSSLTEv9YCik/edit?usp=sharing"",""เบิกจ่ายกองทุน!K16"")"),2680)</f>
        <v>2680</v>
      </c>
      <c r="T647" s="224">
        <f t="shared" ca="1" si="165"/>
        <v>37.960339943342774</v>
      </c>
      <c r="U647" s="224">
        <f t="shared" ca="1" si="166"/>
        <v>37.960339943342774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468">
        <f>L649+L650</f>
        <v>0</v>
      </c>
      <c r="M648" s="224">
        <f>M649+M650</f>
        <v>0</v>
      </c>
      <c r="N648" s="224">
        <f>N649+N650</f>
        <v>0</v>
      </c>
      <c r="O648" s="224">
        <f t="shared" si="163"/>
        <v>0</v>
      </c>
      <c r="P648" s="224">
        <f t="shared" si="164"/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 t="shared" si="165"/>
        <v>0</v>
      </c>
      <c r="U648" s="224">
        <f t="shared" si="166"/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469">
        <v>0</v>
      </c>
      <c r="M649" s="83">
        <v>0</v>
      </c>
      <c r="N649" s="83">
        <v>0</v>
      </c>
      <c r="O649" s="83">
        <f t="shared" si="163"/>
        <v>0</v>
      </c>
      <c r="P649" s="83">
        <f t="shared" si="164"/>
        <v>0</v>
      </c>
      <c r="Q649" s="83">
        <v>0</v>
      </c>
      <c r="R649" s="83">
        <v>0</v>
      </c>
      <c r="S649" s="83">
        <v>0</v>
      </c>
      <c r="T649" s="83">
        <f t="shared" si="165"/>
        <v>0</v>
      </c>
      <c r="U649" s="83">
        <f t="shared" si="166"/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468">
        <v>0</v>
      </c>
      <c r="M650" s="224">
        <v>0</v>
      </c>
      <c r="N650" s="224">
        <v>0</v>
      </c>
      <c r="O650" s="224">
        <f t="shared" si="163"/>
        <v>0</v>
      </c>
      <c r="P650" s="224">
        <f t="shared" si="164"/>
        <v>0</v>
      </c>
      <c r="Q650" s="224">
        <v>0</v>
      </c>
      <c r="R650" s="224">
        <v>0</v>
      </c>
      <c r="S650" s="224">
        <v>0</v>
      </c>
      <c r="T650" s="224">
        <f t="shared" si="165"/>
        <v>0</v>
      </c>
      <c r="U650" s="224">
        <f t="shared" si="166"/>
        <v>0</v>
      </c>
    </row>
    <row r="651" spans="1:21" ht="19.5" x14ac:dyDescent="0.3">
      <c r="A651" s="138"/>
      <c r="B651" s="139"/>
      <c r="C651" s="209" t="s">
        <v>18</v>
      </c>
      <c r="D651" s="503" t="s">
        <v>38</v>
      </c>
      <c r="E651" s="141"/>
      <c r="F651" s="141"/>
      <c r="G651" s="142"/>
      <c r="H651" s="178"/>
      <c r="I651" s="135"/>
      <c r="J651" s="135"/>
      <c r="K651" s="136"/>
      <c r="L651" s="4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502">
        <f ca="1">IFERROR(__xludf.DUMMYFUNCTION("IMPORTRANGE(""https://docs.google.com/spreadsheets/d/1eHaY18a8A9IcSdp1K8H6x8fbOy06t2VsZHhMHf-1x7Y/edit?usp=sharing"",""แผน!IF16"")"),0)</f>
        <v>0</v>
      </c>
      <c r="J652" s="184">
        <f ca="1">IFERROR(__xludf.DUMMYFUNCTION("IMPORTRANGE(""https://docs.google.com/spreadsheets/d/1tdoBKaGub7dwA3U6UFTqxio9LNnvDCQjHKmttSEBsFQ/edit?usp=sharing"",""จัดที่ดิน!AU16"")"),0)</f>
        <v>0</v>
      </c>
      <c r="K652" s="224">
        <f ca="1">IF(I652&gt;0,J652*100/I652,0)</f>
        <v>0</v>
      </c>
      <c r="L652" s="465"/>
      <c r="M652" s="45"/>
      <c r="N652" s="416"/>
      <c r="O652" s="45"/>
      <c r="P652" s="45"/>
      <c r="Q652" s="45"/>
      <c r="R652" s="45"/>
      <c r="S652" s="416"/>
      <c r="T652" s="45"/>
      <c r="U652" s="45"/>
    </row>
    <row r="653" spans="1:21" ht="18.75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502">
        <f ca="1">IFERROR(__xludf.DUMMYFUNCTION("IMPORTRANGE(""https://docs.google.com/spreadsheets/d/1eHaY18a8A9IcSdp1K8H6x8fbOy06t2VsZHhMHf-1x7Y/edit?usp=sharing"",""แผน!IG16"")"),43)</f>
        <v>43</v>
      </c>
      <c r="J653" s="184">
        <f ca="1">IFERROR(__xludf.DUMMYFUNCTION("IMPORTRANGE(""https://docs.google.com/spreadsheets/d/1tdoBKaGub7dwA3U6UFTqxio9LNnvDCQjHKmttSEBsFQ/edit?usp=sharing"",""จัดที่ดิน!AW16"")"),0)</f>
        <v>0</v>
      </c>
      <c r="K653" s="224">
        <f ca="1">IF(I653&gt;0,J653*100/I653,0)</f>
        <v>0</v>
      </c>
      <c r="L653" s="465"/>
      <c r="M653" s="45"/>
      <c r="N653" s="416"/>
      <c r="O653" s="45"/>
      <c r="P653" s="45"/>
      <c r="Q653" s="45"/>
      <c r="R653" s="45"/>
      <c r="S653" s="416"/>
      <c r="T653" s="45"/>
      <c r="U653" s="45"/>
    </row>
    <row r="654" spans="1:21" ht="19.5" hidden="1" x14ac:dyDescent="0.3">
      <c r="A654" s="208"/>
      <c r="B654" s="158"/>
      <c r="C654" s="158"/>
      <c r="D654" s="47" t="s">
        <v>239</v>
      </c>
      <c r="E654" s="40"/>
      <c r="F654" s="40"/>
      <c r="G654" s="42"/>
      <c r="H654" s="411" t="s">
        <v>46</v>
      </c>
      <c r="I654" s="501">
        <f ca="1">IFERROR(__xludf.DUMMYFUNCTION("IMPORTRANGE(""https://docs.google.com/spreadsheets/d/1eHaY18a8A9IcSdp1K8H6x8fbOy06t2VsZHhMHf-1x7Y/edit?usp=sharing"",""แผน!IH16"")"),0)</f>
        <v>0</v>
      </c>
      <c r="J654" s="328">
        <f>J657+J660</f>
        <v>0</v>
      </c>
      <c r="K654" s="470">
        <f ca="1">IF(I654&gt;0,J654*100/I654,0)</f>
        <v>0</v>
      </c>
      <c r="L654" s="465"/>
      <c r="M654" s="45"/>
      <c r="N654" s="416"/>
      <c r="O654" s="45"/>
      <c r="P654" s="45"/>
      <c r="Q654" s="45"/>
      <c r="R654" s="45"/>
      <c r="S654" s="416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466">
        <v>0</v>
      </c>
      <c r="K655" s="45"/>
      <c r="L655" s="465"/>
      <c r="M655" s="45"/>
      <c r="N655" s="416"/>
      <c r="O655" s="45"/>
      <c r="P655" s="45"/>
      <c r="Q655" s="45"/>
      <c r="R655" s="45"/>
      <c r="S655" s="416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466">
        <v>0</v>
      </c>
      <c r="K656" s="45"/>
      <c r="L656" s="465"/>
      <c r="M656" s="45"/>
      <c r="N656" s="416"/>
      <c r="O656" s="45"/>
      <c r="P656" s="45"/>
      <c r="Q656" s="45"/>
      <c r="R656" s="45"/>
      <c r="S656" s="416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02">
        <f ca="1">IFERROR(__xludf.DUMMYFUNCTION("IMPORTRANGE(""https://docs.google.com/spreadsheets/d/1eHaY18a8A9IcSdp1K8H6x8fbOy06t2VsZHhMHf-1x7Y/edit?usp=sharing"",""แผน!II16"")"),0)</f>
        <v>0</v>
      </c>
      <c r="J657" s="466">
        <v>0</v>
      </c>
      <c r="K657" s="45"/>
      <c r="L657" s="465"/>
      <c r="M657" s="45"/>
      <c r="N657" s="416"/>
      <c r="O657" s="45"/>
      <c r="P657" s="45"/>
      <c r="Q657" s="45"/>
      <c r="R657" s="45"/>
      <c r="S657" s="416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466">
        <v>0</v>
      </c>
      <c r="K658" s="45"/>
      <c r="L658" s="465"/>
      <c r="M658" s="45"/>
      <c r="N658" s="416"/>
      <c r="O658" s="45"/>
      <c r="P658" s="45"/>
      <c r="Q658" s="45"/>
      <c r="R658" s="45"/>
      <c r="S658" s="416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466">
        <v>0</v>
      </c>
      <c r="K659" s="45"/>
      <c r="L659" s="465"/>
      <c r="M659" s="45"/>
      <c r="N659" s="416"/>
      <c r="O659" s="45"/>
      <c r="P659" s="45"/>
      <c r="Q659" s="45"/>
      <c r="R659" s="45"/>
      <c r="S659" s="416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02">
        <f ca="1">IFERROR(__xludf.DUMMYFUNCTION("IMPORTRANGE(""https://docs.google.com/spreadsheets/d/1eHaY18a8A9IcSdp1K8H6x8fbOy06t2VsZHhMHf-1x7Y/edit?usp=sharing"",""แผน!IJ16"")"),0)</f>
        <v>0</v>
      </c>
      <c r="J660" s="466">
        <v>0</v>
      </c>
      <c r="K660" s="45"/>
      <c r="L660" s="465"/>
      <c r="M660" s="45"/>
      <c r="N660" s="416"/>
      <c r="O660" s="45"/>
      <c r="P660" s="45"/>
      <c r="Q660" s="45"/>
      <c r="R660" s="45"/>
      <c r="S660" s="416"/>
      <c r="T660" s="45"/>
      <c r="U660" s="45"/>
    </row>
    <row r="661" spans="1:21" ht="19.5" hidden="1" x14ac:dyDescent="0.3">
      <c r="A661" s="208"/>
      <c r="B661" s="158"/>
      <c r="C661" s="158"/>
      <c r="D661" s="332" t="s">
        <v>242</v>
      </c>
      <c r="E661" s="40"/>
      <c r="F661" s="40"/>
      <c r="G661" s="42"/>
      <c r="H661" s="411" t="s">
        <v>46</v>
      </c>
      <c r="I661" s="501">
        <f ca="1">IFERROR(__xludf.DUMMYFUNCTION("IMPORTRANGE(""https://docs.google.com/spreadsheets/d/1eHaY18a8A9IcSdp1K8H6x8fbOy06t2VsZHhMHf-1x7Y/edit?usp=sharing"",""แผน!IK16"")"),0)</f>
        <v>0</v>
      </c>
      <c r="J661" s="328">
        <f>J667+J670</f>
        <v>0</v>
      </c>
      <c r="K661" s="470">
        <f ca="1">IF(I661&gt;0,J661*100/I661,0)</f>
        <v>0</v>
      </c>
      <c r="L661" s="465"/>
      <c r="M661" s="45"/>
      <c r="N661" s="416"/>
      <c r="O661" s="45"/>
      <c r="P661" s="45"/>
      <c r="Q661" s="45"/>
      <c r="R661" s="45"/>
      <c r="S661" s="416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466">
        <v>0</v>
      </c>
      <c r="K662" s="45"/>
      <c r="L662" s="500"/>
      <c r="M662" s="45"/>
      <c r="N662" s="416"/>
      <c r="O662" s="45"/>
      <c r="P662" s="45"/>
      <c r="Q662" s="416"/>
      <c r="R662" s="45"/>
      <c r="S662" s="416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466">
        <v>0</v>
      </c>
      <c r="K663" s="45"/>
      <c r="L663" s="500"/>
      <c r="M663" s="45"/>
      <c r="N663" s="416"/>
      <c r="O663" s="45"/>
      <c r="P663" s="45"/>
      <c r="Q663" s="416"/>
      <c r="R663" s="45"/>
      <c r="S663" s="416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500"/>
      <c r="M664" s="45"/>
      <c r="N664" s="416"/>
      <c r="O664" s="45"/>
      <c r="P664" s="45"/>
      <c r="Q664" s="416"/>
      <c r="R664" s="45"/>
      <c r="S664" s="416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466">
        <v>0</v>
      </c>
      <c r="K665" s="45"/>
      <c r="L665" s="500"/>
      <c r="M665" s="45"/>
      <c r="N665" s="416"/>
      <c r="O665" s="45"/>
      <c r="P665" s="45"/>
      <c r="Q665" s="416"/>
      <c r="R665" s="45"/>
      <c r="S665" s="416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466">
        <v>0</v>
      </c>
      <c r="K666" s="45"/>
      <c r="L666" s="500"/>
      <c r="M666" s="45"/>
      <c r="N666" s="416"/>
      <c r="O666" s="45"/>
      <c r="P666" s="45"/>
      <c r="Q666" s="416"/>
      <c r="R666" s="45"/>
      <c r="S666" s="416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466">
        <v>0</v>
      </c>
      <c r="K667" s="45"/>
      <c r="L667" s="500"/>
      <c r="M667" s="45"/>
      <c r="N667" s="416"/>
      <c r="O667" s="45"/>
      <c r="P667" s="45"/>
      <c r="Q667" s="416"/>
      <c r="R667" s="45"/>
      <c r="S667" s="416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466">
        <v>0</v>
      </c>
      <c r="K668" s="45"/>
      <c r="L668" s="500"/>
      <c r="M668" s="45"/>
      <c r="N668" s="416"/>
      <c r="O668" s="45"/>
      <c r="P668" s="45"/>
      <c r="Q668" s="416"/>
      <c r="R668" s="45"/>
      <c r="S668" s="416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466">
        <v>0</v>
      </c>
      <c r="K669" s="45"/>
      <c r="L669" s="500"/>
      <c r="M669" s="45"/>
      <c r="N669" s="416"/>
      <c r="O669" s="45"/>
      <c r="P669" s="45"/>
      <c r="Q669" s="416"/>
      <c r="R669" s="45"/>
      <c r="S669" s="416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466">
        <v>0</v>
      </c>
      <c r="K670" s="45"/>
      <c r="L670" s="500"/>
      <c r="M670" s="45"/>
      <c r="N670" s="416"/>
      <c r="O670" s="45"/>
      <c r="P670" s="45"/>
      <c r="Q670" s="416"/>
      <c r="R670" s="45"/>
      <c r="S670" s="416"/>
      <c r="T670" s="45"/>
      <c r="U670" s="45"/>
    </row>
    <row r="671" spans="1:21" ht="18.75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IFERROR(__xludf.DUMMYFUNCTION("IMPORTRANGE(""https://docs.google.com/spreadsheets/d/1tdoBKaGub7dwA3U6UFTqxio9LNnvDCQjHKmttSEBsFQ/edit?usp=sharing"",""จัดที่ดิน!AY16"")"),2)</f>
        <v>2</v>
      </c>
      <c r="K671" s="45"/>
      <c r="L671" s="465"/>
      <c r="M671" s="45"/>
      <c r="N671" s="416"/>
      <c r="O671" s="45"/>
      <c r="P671" s="45"/>
      <c r="Q671" s="45"/>
      <c r="R671" s="45"/>
      <c r="S671" s="416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IFERROR(__xludf.DUMMYFUNCTION("IMPORTRANGE(""https://docs.google.com/spreadsheets/d/1tdoBKaGub7dwA3U6UFTqxio9LNnvDCQjHKmttSEBsFQ/edit?usp=sharing"",""จัดที่ดิน!AZ16"")"),2)</f>
        <v>2</v>
      </c>
      <c r="K672" s="45"/>
      <c r="L672" s="500"/>
      <c r="M672" s="45"/>
      <c r="N672" s="416"/>
      <c r="O672" s="45"/>
      <c r="P672" s="45"/>
      <c r="Q672" s="416"/>
      <c r="R672" s="45"/>
      <c r="S672" s="416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02">
        <f ca="1">IFERROR(__xludf.DUMMYFUNCTION("IMPORTRANGE(""https://docs.google.com/spreadsheets/d/1eHaY18a8A9IcSdp1K8H6x8fbOy06t2VsZHhMHf-1x7Y/edit?usp=sharing"",""แผน!IL16"")"),15)</f>
        <v>15</v>
      </c>
      <c r="J673" s="184">
        <f ca="1">IFERROR(__xludf.DUMMYFUNCTION("IMPORTRANGE(""https://docs.google.com/spreadsheets/d/1tdoBKaGub7dwA3U6UFTqxio9LNnvDCQjHKmttSEBsFQ/edit?usp=sharing"",""จัดที่ดิน!BA16"")"),6.92)</f>
        <v>6.92</v>
      </c>
      <c r="K673" s="224">
        <f ca="1">IF(I673&gt;0,J673*100/I673,0)</f>
        <v>46.133333333333333</v>
      </c>
      <c r="L673" s="500"/>
      <c r="M673" s="45"/>
      <c r="N673" s="416"/>
      <c r="O673" s="45"/>
      <c r="P673" s="45"/>
      <c r="Q673" s="416"/>
      <c r="R673" s="45"/>
      <c r="S673" s="416"/>
      <c r="T673" s="45"/>
      <c r="U673" s="45"/>
    </row>
    <row r="674" spans="1:21" ht="19.5" hidden="1" x14ac:dyDescent="0.3">
      <c r="A674" s="208"/>
      <c r="B674" s="158"/>
      <c r="C674" s="158"/>
      <c r="D674" s="47" t="s">
        <v>248</v>
      </c>
      <c r="E674" s="40"/>
      <c r="F674" s="40"/>
      <c r="G674" s="42"/>
      <c r="H674" s="411" t="s">
        <v>35</v>
      </c>
      <c r="I674" s="501">
        <f ca="1">IFERROR(__xludf.DUMMYFUNCTION("IMPORTRANGE(""https://docs.google.com/spreadsheets/d/1eHaY18a8A9IcSdp1K8H6x8fbOy06t2VsZHhMHf-1x7Y/edit?usp=sharing"",""แผน!IM16"")"),0)</f>
        <v>0</v>
      </c>
      <c r="J674" s="328">
        <f ca="1">J676+J679</f>
        <v>0</v>
      </c>
      <c r="K674" s="470">
        <f ca="1">IF(I674&gt;0,J674*100/I674,0)</f>
        <v>0</v>
      </c>
      <c r="L674" s="500"/>
      <c r="M674" s="45"/>
      <c r="N674" s="416"/>
      <c r="O674" s="45"/>
      <c r="P674" s="45"/>
      <c r="Q674" s="416"/>
      <c r="R674" s="45"/>
      <c r="S674" s="416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11" t="s">
        <v>46</v>
      </c>
      <c r="I675" s="501">
        <f ca="1">IFERROR(__xludf.DUMMYFUNCTION("IMPORTRANGE(""https://docs.google.com/spreadsheets/d/1eHaY18a8A9IcSdp1K8H6x8fbOy06t2VsZHhMHf-1x7Y/edit?usp=sharing"",""แผน!IN16"")"),0)</f>
        <v>0</v>
      </c>
      <c r="J675" s="328">
        <f ca="1">J678+J681</f>
        <v>0</v>
      </c>
      <c r="K675" s="470">
        <f ca="1">IF(I675&gt;0,J675*100/I675,0)</f>
        <v>0</v>
      </c>
      <c r="L675" s="465"/>
      <c r="M675" s="45"/>
      <c r="N675" s="416"/>
      <c r="O675" s="45"/>
      <c r="P675" s="45"/>
      <c r="Q675" s="45"/>
      <c r="R675" s="45"/>
      <c r="S675" s="416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502">
        <f ca="1">IFERROR(__xludf.DUMMYFUNCTION("IMPORTRANGE(""https://docs.google.com/spreadsheets/d/1eHaY18a8A9IcSdp1K8H6x8fbOy06t2VsZHhMHf-1x7Y/edit?usp=sharing"",""แผน!IO16"")"),0)</f>
        <v>0</v>
      </c>
      <c r="J676" s="184">
        <f ca="1">IFERROR(__xludf.DUMMYFUNCTION("IMPORTRANGE(""https://docs.google.com/spreadsheets/d/1tdoBKaGub7dwA3U6UFTqxio9LNnvDCQjHKmttSEBsFQ/edit?usp=sharing"",""จัดที่ดิน!BF16"")"),0)</f>
        <v>0</v>
      </c>
      <c r="K676" s="224">
        <f ca="1">IF(I676&gt;0,J676*100/I676,0)</f>
        <v>0</v>
      </c>
      <c r="L676" s="465"/>
      <c r="M676" s="45"/>
      <c r="N676" s="416"/>
      <c r="O676" s="45"/>
      <c r="P676" s="45"/>
      <c r="Q676" s="45"/>
      <c r="R676" s="45"/>
      <c r="S676" s="416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IFERROR(__xludf.DUMMYFUNCTION("IMPORTRANGE(""https://docs.google.com/spreadsheets/d/1tdoBKaGub7dwA3U6UFTqxio9LNnvDCQjHKmttSEBsFQ/edit?usp=sharing"",""จัดที่ดิน!BG16"")"),0)</f>
        <v>0</v>
      </c>
      <c r="K677" s="45"/>
      <c r="L677" s="500"/>
      <c r="M677" s="45"/>
      <c r="N677" s="416"/>
      <c r="O677" s="45"/>
      <c r="P677" s="45"/>
      <c r="Q677" s="416"/>
      <c r="R677" s="45"/>
      <c r="S677" s="416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02">
        <f ca="1">IFERROR(__xludf.DUMMYFUNCTION("IMPORTRANGE(""https://docs.google.com/spreadsheets/d/1eHaY18a8A9IcSdp1K8H6x8fbOy06t2VsZHhMHf-1x7Y/edit?usp=sharing"",""แผน!IP16"")"),0)</f>
        <v>0</v>
      </c>
      <c r="J678" s="184">
        <f ca="1">IFERROR(__xludf.DUMMYFUNCTION("IMPORTRANGE(""https://docs.google.com/spreadsheets/d/1tdoBKaGub7dwA3U6UFTqxio9LNnvDCQjHKmttSEBsFQ/edit?usp=sharing"",""จัดที่ดิน!BH16"")"),0)</f>
        <v>0</v>
      </c>
      <c r="K678" s="224">
        <f ca="1">IF(I678&gt;0,J678*100/I678,0)</f>
        <v>0</v>
      </c>
      <c r="L678" s="500"/>
      <c r="M678" s="45"/>
      <c r="N678" s="416"/>
      <c r="O678" s="45"/>
      <c r="P678" s="45"/>
      <c r="Q678" s="416"/>
      <c r="R678" s="45"/>
      <c r="S678" s="416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502">
        <f ca="1">IFERROR(__xludf.DUMMYFUNCTION("IMPORTRANGE(""https://docs.google.com/spreadsheets/d/1eHaY18a8A9IcSdp1K8H6x8fbOy06t2VsZHhMHf-1x7Y/edit?usp=sharing"",""แผน!IQ16"")"),0)</f>
        <v>0</v>
      </c>
      <c r="J679" s="184">
        <f ca="1">IFERROR(__xludf.DUMMYFUNCTION("IMPORTRANGE(""https://docs.google.com/spreadsheets/d/1tdoBKaGub7dwA3U6UFTqxio9LNnvDCQjHKmttSEBsFQ/edit?usp=sharing"",""จัดที่ดิน!BK16"")"),0)</f>
        <v>0</v>
      </c>
      <c r="K679" s="224">
        <f ca="1">IF(I679&gt;0,J679*100/I679,0)</f>
        <v>0</v>
      </c>
      <c r="L679" s="465"/>
      <c r="M679" s="45"/>
      <c r="N679" s="416"/>
      <c r="O679" s="45"/>
      <c r="P679" s="45"/>
      <c r="Q679" s="45"/>
      <c r="R679" s="45"/>
      <c r="S679" s="416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IFERROR(__xludf.DUMMYFUNCTION("IMPORTRANGE(""https://docs.google.com/spreadsheets/d/1tdoBKaGub7dwA3U6UFTqxio9LNnvDCQjHKmttSEBsFQ/edit?usp=sharing"",""จัดที่ดิน!BL16"")"),0)</f>
        <v>0</v>
      </c>
      <c r="K680" s="45"/>
      <c r="L680" s="500"/>
      <c r="M680" s="45"/>
      <c r="N680" s="416"/>
      <c r="O680" s="45"/>
      <c r="P680" s="45"/>
      <c r="Q680" s="416"/>
      <c r="R680" s="45"/>
      <c r="S680" s="416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02">
        <f ca="1">IFERROR(__xludf.DUMMYFUNCTION("IMPORTRANGE(""https://docs.google.com/spreadsheets/d/1eHaY18a8A9IcSdp1K8H6x8fbOy06t2VsZHhMHf-1x7Y/edit?usp=sharing"",""แผน!IR16"")"),0)</f>
        <v>0</v>
      </c>
      <c r="J681" s="184">
        <f ca="1">IFERROR(__xludf.DUMMYFUNCTION("IMPORTRANGE(""https://docs.google.com/spreadsheets/d/1tdoBKaGub7dwA3U6UFTqxio9LNnvDCQjHKmttSEBsFQ/edit?usp=sharing"",""จัดที่ดิน!BM16"")"),0)</f>
        <v>0</v>
      </c>
      <c r="K681" s="224">
        <f ca="1">IF(I681&gt;0,J681*100/I681,0)</f>
        <v>0</v>
      </c>
      <c r="L681" s="500"/>
      <c r="M681" s="45"/>
      <c r="N681" s="416"/>
      <c r="O681" s="45"/>
      <c r="P681" s="45"/>
      <c r="Q681" s="416"/>
      <c r="R681" s="45"/>
      <c r="S681" s="416"/>
      <c r="T681" s="45"/>
      <c r="U681" s="45"/>
    </row>
    <row r="682" spans="1:21" ht="19.5" hidden="1" x14ac:dyDescent="0.3">
      <c r="A682" s="208"/>
      <c r="B682" s="158"/>
      <c r="C682" s="158"/>
      <c r="D682" s="47" t="s">
        <v>251</v>
      </c>
      <c r="E682" s="40"/>
      <c r="F682" s="40"/>
      <c r="G682" s="42"/>
      <c r="H682" s="411" t="s">
        <v>46</v>
      </c>
      <c r="I682" s="501">
        <f ca="1">IFERROR(__xludf.DUMMYFUNCTION("IMPORTRANGE(""https://docs.google.com/spreadsheets/d/1eHaY18a8A9IcSdp1K8H6x8fbOy06t2VsZHhMHf-1x7Y/edit?usp=sharing"",""แผน!IS16"")"),0)</f>
        <v>0</v>
      </c>
      <c r="J682" s="328">
        <f>J685+J688</f>
        <v>0</v>
      </c>
      <c r="K682" s="470">
        <f ca="1">IF(I682&gt;0,J682*100/I682,0)</f>
        <v>0</v>
      </c>
      <c r="L682" s="465"/>
      <c r="M682" s="45"/>
      <c r="N682" s="416"/>
      <c r="O682" s="45"/>
      <c r="P682" s="45"/>
      <c r="Q682" s="45"/>
      <c r="R682" s="45"/>
      <c r="S682" s="416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466">
        <v>0</v>
      </c>
      <c r="K683" s="45"/>
      <c r="L683" s="500"/>
      <c r="M683" s="45"/>
      <c r="N683" s="416"/>
      <c r="O683" s="45"/>
      <c r="P683" s="45"/>
      <c r="Q683" s="416"/>
      <c r="R683" s="45"/>
      <c r="S683" s="416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466">
        <v>0</v>
      </c>
      <c r="K684" s="45"/>
      <c r="L684" s="500"/>
      <c r="M684" s="45"/>
      <c r="N684" s="416"/>
      <c r="O684" s="45"/>
      <c r="P684" s="45"/>
      <c r="Q684" s="416"/>
      <c r="R684" s="45"/>
      <c r="S684" s="416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466">
        <v>0</v>
      </c>
      <c r="K685" s="45"/>
      <c r="L685" s="500"/>
      <c r="M685" s="45"/>
      <c r="N685" s="416"/>
      <c r="O685" s="45"/>
      <c r="P685" s="45"/>
      <c r="Q685" s="416"/>
      <c r="R685" s="45"/>
      <c r="S685" s="416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466">
        <v>0</v>
      </c>
      <c r="K686" s="45"/>
      <c r="L686" s="500"/>
      <c r="M686" s="45"/>
      <c r="N686" s="416"/>
      <c r="O686" s="45"/>
      <c r="P686" s="45"/>
      <c r="Q686" s="416"/>
      <c r="R686" s="45"/>
      <c r="S686" s="416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466">
        <v>0</v>
      </c>
      <c r="K687" s="45"/>
      <c r="L687" s="500"/>
      <c r="M687" s="45"/>
      <c r="N687" s="416"/>
      <c r="O687" s="45"/>
      <c r="P687" s="45"/>
      <c r="Q687" s="416"/>
      <c r="R687" s="45"/>
      <c r="S687" s="416"/>
      <c r="T687" s="45"/>
      <c r="U687" s="45"/>
    </row>
    <row r="688" spans="1:21" ht="19.5" hidden="1" x14ac:dyDescent="0.3">
      <c r="A688" s="249"/>
      <c r="B688" s="419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464">
        <v>0</v>
      </c>
      <c r="K688" s="3"/>
      <c r="L688" s="499"/>
      <c r="M688" s="3"/>
      <c r="N688" s="420"/>
      <c r="O688" s="3"/>
      <c r="P688" s="3"/>
      <c r="Q688" s="420"/>
      <c r="R688" s="3"/>
      <c r="S688" s="420"/>
      <c r="T688" s="3"/>
      <c r="U688" s="3"/>
    </row>
    <row r="689" spans="1:21" ht="19.5" x14ac:dyDescent="0.3">
      <c r="A689" s="394"/>
      <c r="B689" s="395" t="s">
        <v>255</v>
      </c>
      <c r="C689" s="394"/>
      <c r="D689" s="396"/>
      <c r="E689" s="396"/>
      <c r="F689" s="396"/>
      <c r="G689" s="397"/>
      <c r="H689" s="434" t="s">
        <v>35</v>
      </c>
      <c r="I689" s="475">
        <f ca="1">I707</f>
        <v>40</v>
      </c>
      <c r="J689" s="475">
        <f ca="1">J707</f>
        <v>0</v>
      </c>
      <c r="K689" s="474">
        <f ca="1">IF(I689&gt;0,J689*100/I689,0)</f>
        <v>0</v>
      </c>
      <c r="L689" s="473"/>
      <c r="M689" s="400"/>
      <c r="N689" s="400"/>
      <c r="O689" s="400"/>
      <c r="P689" s="400"/>
      <c r="Q689" s="400"/>
      <c r="R689" s="400"/>
      <c r="S689" s="400"/>
      <c r="T689" s="400"/>
      <c r="U689" s="400"/>
    </row>
    <row r="690" spans="1:21" ht="19.5" x14ac:dyDescent="0.3">
      <c r="A690" s="128"/>
      <c r="B690" s="158"/>
      <c r="C690" s="177" t="s">
        <v>18</v>
      </c>
      <c r="D690" s="821" t="s">
        <v>19</v>
      </c>
      <c r="E690" s="793"/>
      <c r="F690" s="793"/>
      <c r="G690" s="794"/>
      <c r="H690" s="221" t="s">
        <v>14</v>
      </c>
      <c r="I690" s="44"/>
      <c r="J690" s="44"/>
      <c r="K690" s="45"/>
      <c r="L690" s="471">
        <f>L691+L692</f>
        <v>0</v>
      </c>
      <c r="M690" s="470">
        <f>M691+M692</f>
        <v>0</v>
      </c>
      <c r="N690" s="470">
        <f>N691+N692</f>
        <v>0</v>
      </c>
      <c r="O690" s="470">
        <f t="shared" ref="O690:O698" si="169">IF(L690&gt;0,N690*100/L690,0)</f>
        <v>0</v>
      </c>
      <c r="P690" s="470">
        <f t="shared" ref="P690:P698" si="170">IF(M690&gt;0,N690*100/M690,0)</f>
        <v>0</v>
      </c>
      <c r="Q690" s="470">
        <f ca="1">Q691+Q692</f>
        <v>194110</v>
      </c>
      <c r="R690" s="470">
        <f ca="1">R691+R692</f>
        <v>194110</v>
      </c>
      <c r="S690" s="470">
        <f ca="1">S691+S692</f>
        <v>0</v>
      </c>
      <c r="T690" s="470">
        <f t="shared" ref="T690:T698" ca="1" si="171">IF(Q690&gt;0,S690*100/Q690,0)</f>
        <v>0</v>
      </c>
      <c r="U690" s="470">
        <f t="shared" ref="U690:U698" ca="1" si="172">IF(R690&gt;0,S690*100/R690,0)</f>
        <v>0</v>
      </c>
    </row>
    <row r="691" spans="1:21" ht="18.75" hidden="1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469">
        <f t="shared" ref="L691:N692" si="173">L694+L697</f>
        <v>0</v>
      </c>
      <c r="M691" s="83">
        <f t="shared" si="173"/>
        <v>0</v>
      </c>
      <c r="N691" s="83">
        <f t="shared" si="173"/>
        <v>0</v>
      </c>
      <c r="O691" s="83">
        <f t="shared" si="169"/>
        <v>0</v>
      </c>
      <c r="P691" s="83">
        <f t="shared" si="170"/>
        <v>0</v>
      </c>
      <c r="Q691" s="83">
        <f t="shared" ref="Q691:S692" si="174">Q694+Q697</f>
        <v>0</v>
      </c>
      <c r="R691" s="83">
        <f t="shared" si="174"/>
        <v>0</v>
      </c>
      <c r="S691" s="83">
        <f t="shared" si="174"/>
        <v>0</v>
      </c>
      <c r="T691" s="83">
        <f t="shared" si="171"/>
        <v>0</v>
      </c>
      <c r="U691" s="83">
        <f t="shared" si="172"/>
        <v>0</v>
      </c>
    </row>
    <row r="692" spans="1:21" ht="18.75" hidden="1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468">
        <f t="shared" si="173"/>
        <v>0</v>
      </c>
      <c r="M692" s="224">
        <f t="shared" si="173"/>
        <v>0</v>
      </c>
      <c r="N692" s="224">
        <f t="shared" si="173"/>
        <v>0</v>
      </c>
      <c r="O692" s="224">
        <f t="shared" si="169"/>
        <v>0</v>
      </c>
      <c r="P692" s="224">
        <f t="shared" si="170"/>
        <v>0</v>
      </c>
      <c r="Q692" s="224">
        <f t="shared" ca="1" si="174"/>
        <v>194110</v>
      </c>
      <c r="R692" s="224">
        <f t="shared" ca="1" si="174"/>
        <v>194110</v>
      </c>
      <c r="S692" s="224">
        <f t="shared" ca="1" si="174"/>
        <v>0</v>
      </c>
      <c r="T692" s="224">
        <f t="shared" ca="1" si="171"/>
        <v>0</v>
      </c>
      <c r="U692" s="224">
        <f t="shared" ca="1" si="172"/>
        <v>0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468">
        <f>L694+L695</f>
        <v>0</v>
      </c>
      <c r="M693" s="224">
        <f>M694+M695</f>
        <v>0</v>
      </c>
      <c r="N693" s="224">
        <f>N694+N695</f>
        <v>0</v>
      </c>
      <c r="O693" s="224">
        <f t="shared" si="169"/>
        <v>0</v>
      </c>
      <c r="P693" s="224">
        <f t="shared" si="170"/>
        <v>0</v>
      </c>
      <c r="Q693" s="224">
        <f ca="1">Q694+Q695</f>
        <v>194110</v>
      </c>
      <c r="R693" s="224">
        <f ca="1">R694+R695</f>
        <v>194110</v>
      </c>
      <c r="S693" s="224">
        <f ca="1">S694+S695</f>
        <v>0</v>
      </c>
      <c r="T693" s="224">
        <f t="shared" ca="1" si="171"/>
        <v>0</v>
      </c>
      <c r="U693" s="224">
        <f t="shared" ca="1" si="172"/>
        <v>0</v>
      </c>
    </row>
    <row r="694" spans="1:21" ht="18.75" hidden="1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469">
        <v>0</v>
      </c>
      <c r="M694" s="83">
        <v>0</v>
      </c>
      <c r="N694" s="83">
        <v>0</v>
      </c>
      <c r="O694" s="83">
        <f t="shared" si="169"/>
        <v>0</v>
      </c>
      <c r="P694" s="83">
        <f t="shared" si="170"/>
        <v>0</v>
      </c>
      <c r="Q694" s="83">
        <v>0</v>
      </c>
      <c r="R694" s="83">
        <v>0</v>
      </c>
      <c r="S694" s="83">
        <v>0</v>
      </c>
      <c r="T694" s="83">
        <f t="shared" si="171"/>
        <v>0</v>
      </c>
      <c r="U694" s="83">
        <f t="shared" si="172"/>
        <v>0</v>
      </c>
    </row>
    <row r="695" spans="1:21" ht="18.75" hidden="1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468">
        <v>0</v>
      </c>
      <c r="M695" s="224">
        <v>0</v>
      </c>
      <c r="N695" s="224">
        <v>0</v>
      </c>
      <c r="O695" s="224">
        <f t="shared" si="169"/>
        <v>0</v>
      </c>
      <c r="P695" s="224">
        <f t="shared" si="170"/>
        <v>0</v>
      </c>
      <c r="Q695" s="224">
        <f ca="1">IFERROR(__xludf.DUMMYFUNCTION("IMPORTRANGE(""https://docs.google.com/spreadsheets/d/1ItG2mGa2ceCfYo0BwxsXqNm01IGEUdYcSSLTEv9YCik/edit?usp=sharing"",""เบิกจ่ายกองทุน!L16"")"),194110)</f>
        <v>194110</v>
      </c>
      <c r="R695" s="224">
        <f ca="1">IFERROR(__xludf.DUMMYFUNCTION("IMPORTRANGE(""https://docs.google.com/spreadsheets/d/1ItG2mGa2ceCfYo0BwxsXqNm01IGEUdYcSSLTEv9YCik/edit?usp=sharing"",""เบิกจ่ายกองทุน!M16"")"),194110)</f>
        <v>194110</v>
      </c>
      <c r="S695" s="224">
        <f ca="1">IFERROR(__xludf.DUMMYFUNCTION("IMPORTRANGE(""https://docs.google.com/spreadsheets/d/1ItG2mGa2ceCfYo0BwxsXqNm01IGEUdYcSSLTEv9YCik/edit?usp=sharing"",""เบิกจ่ายกองทุน!N16"")"),0)</f>
        <v>0</v>
      </c>
      <c r="T695" s="224">
        <f t="shared" ca="1" si="171"/>
        <v>0</v>
      </c>
      <c r="U695" s="224">
        <f t="shared" ca="1" si="172"/>
        <v>0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468">
        <f>L697+L698</f>
        <v>0</v>
      </c>
      <c r="M696" s="224">
        <f>M697+M698</f>
        <v>0</v>
      </c>
      <c r="N696" s="224">
        <f>N697+N698</f>
        <v>0</v>
      </c>
      <c r="O696" s="224">
        <f t="shared" si="169"/>
        <v>0</v>
      </c>
      <c r="P696" s="224">
        <f t="shared" si="170"/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 t="shared" si="171"/>
        <v>0</v>
      </c>
      <c r="U696" s="224">
        <f t="shared" si="172"/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469">
        <v>0</v>
      </c>
      <c r="M697" s="83">
        <v>0</v>
      </c>
      <c r="N697" s="83">
        <v>0</v>
      </c>
      <c r="O697" s="83">
        <f t="shared" si="169"/>
        <v>0</v>
      </c>
      <c r="P697" s="83">
        <f t="shared" si="170"/>
        <v>0</v>
      </c>
      <c r="Q697" s="83">
        <v>0</v>
      </c>
      <c r="R697" s="83">
        <v>0</v>
      </c>
      <c r="S697" s="83">
        <v>0</v>
      </c>
      <c r="T697" s="83">
        <f t="shared" si="171"/>
        <v>0</v>
      </c>
      <c r="U697" s="83">
        <f t="shared" si="172"/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468">
        <v>0</v>
      </c>
      <c r="M698" s="224">
        <v>0</v>
      </c>
      <c r="N698" s="224">
        <v>0</v>
      </c>
      <c r="O698" s="224">
        <f t="shared" si="169"/>
        <v>0</v>
      </c>
      <c r="P698" s="224">
        <f t="shared" si="170"/>
        <v>0</v>
      </c>
      <c r="Q698" s="224">
        <v>0</v>
      </c>
      <c r="R698" s="224">
        <v>0</v>
      </c>
      <c r="S698" s="224">
        <v>0</v>
      </c>
      <c r="T698" s="224">
        <f t="shared" si="171"/>
        <v>0</v>
      </c>
      <c r="U698" s="224">
        <f t="shared" si="172"/>
        <v>0</v>
      </c>
    </row>
    <row r="699" spans="1:21" ht="19.5" x14ac:dyDescent="0.3">
      <c r="A699" s="138"/>
      <c r="B699" s="139"/>
      <c r="C699" s="177" t="s">
        <v>18</v>
      </c>
      <c r="D699" s="498" t="s">
        <v>38</v>
      </c>
      <c r="E699" s="141"/>
      <c r="F699" s="141"/>
      <c r="G699" s="141"/>
      <c r="H699" s="178"/>
      <c r="I699" s="135"/>
      <c r="J699" s="135"/>
      <c r="K699" s="136"/>
      <c r="L699" s="465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IFERROR(__xludf.DUMMYFUNCTION("IMPORTRANGE(""https://docs.google.com/spreadsheets/d/1eHaY18a8A9IcSdp1K8H6x8fbOy06t2VsZHhMHf-1x7Y/edit?usp=sharing"",""แผน!LC16"")"),1)</f>
        <v>1</v>
      </c>
      <c r="J700" s="466">
        <v>0</v>
      </c>
      <c r="K700" s="497">
        <f t="shared" ref="K700:K710" ca="1" si="175">IF(I700&gt;0,J700*100/I700,0)</f>
        <v>0</v>
      </c>
      <c r="L700" s="4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24" t="s">
        <v>258</v>
      </c>
      <c r="F701" s="145"/>
      <c r="G701" s="143"/>
      <c r="H701" s="131" t="s">
        <v>35</v>
      </c>
      <c r="I701" s="328">
        <f ca="1">I703+I705</f>
        <v>44</v>
      </c>
      <c r="J701" s="328">
        <f ca="1">J703+J705</f>
        <v>0</v>
      </c>
      <c r="K701" s="470">
        <f t="shared" ca="1" si="175"/>
        <v>0</v>
      </c>
      <c r="L701" s="4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0</v>
      </c>
      <c r="K702" s="470">
        <f t="shared" si="175"/>
        <v>0</v>
      </c>
      <c r="L702" s="4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IFERROR(__xludf.DUMMYFUNCTION("IMPORTRANGE(""https://docs.google.com/spreadsheets/d/1eHaY18a8A9IcSdp1K8H6x8fbOy06t2VsZHhMHf-1x7Y/edit?usp=sharing"",""แผน!LJ16"")"),40)</f>
        <v>40</v>
      </c>
      <c r="J703" s="184">
        <f ca="1">IFERROR(__xludf.DUMMYFUNCTION("IMPORTRANGE(""https://docs.google.com/spreadsheets/d/1tdoBKaGub7dwA3U6UFTqxio9LNnvDCQjHKmttSEBsFQ/edit?usp=sharing"",""จัดที่ดิน!AP16"")"),0)</f>
        <v>0</v>
      </c>
      <c r="K703" s="224">
        <f t="shared" ca="1" si="175"/>
        <v>0</v>
      </c>
      <c r="L703" s="4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IFERROR(__xludf.DUMMYFUNCTION("IMPORTRANGE(""https://docs.google.com/spreadsheets/d/1tdoBKaGub7dwA3U6UFTqxio9LNnvDCQjHKmttSEBsFQ/edit?usp=sharing"",""จัดที่ดิน!AQ16"")"),0)</f>
        <v>0</v>
      </c>
      <c r="K704" s="224">
        <f t="shared" si="175"/>
        <v>0</v>
      </c>
      <c r="L704" s="4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IFERROR(__xludf.DUMMYFUNCTION("IMPORTRANGE(""https://docs.google.com/spreadsheets/d/1eHaY18a8A9IcSdp1K8H6x8fbOy06t2VsZHhMHf-1x7Y/edit?usp=sharing"",""แผน!LK16"")"),4)</f>
        <v>4</v>
      </c>
      <c r="J705" s="184">
        <f ca="1">IFERROR(__xludf.DUMMYFUNCTION("IMPORTRANGE(""https://docs.google.com/spreadsheets/d/1tdoBKaGub7dwA3U6UFTqxio9LNnvDCQjHKmttSEBsFQ/edit?usp=sharing"",""จัดที่ดิน!AR16"")"),0)</f>
        <v>0</v>
      </c>
      <c r="K705" s="497">
        <f t="shared" ca="1" si="175"/>
        <v>0</v>
      </c>
      <c r="L705" s="4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IFERROR(__xludf.DUMMYFUNCTION("IMPORTRANGE(""https://docs.google.com/spreadsheets/d/1tdoBKaGub7dwA3U6UFTqxio9LNnvDCQjHKmttSEBsFQ/edit?usp=sharing"",""จัดที่ดิน!AS16"")"),0)</f>
        <v>0</v>
      </c>
      <c r="K706" s="224">
        <f t="shared" si="175"/>
        <v>0</v>
      </c>
      <c r="L706" s="4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IFERROR(__xludf.DUMMYFUNCTION("IMPORTRANGE(""https://docs.google.com/spreadsheets/d/1eHaY18a8A9IcSdp1K8H6x8fbOy06t2VsZHhMHf-1x7Y/edit?usp=sharing"",""แผน!LJ16"")"),40)</f>
        <v>40</v>
      </c>
      <c r="J707" s="184">
        <f ca="1">IFERROR(__xludf.DUMMYFUNCTION("IMPORTRANGE(""https://docs.google.com/spreadsheets/d/1tdoBKaGub7dwA3U6UFTqxio9LNnvDCQjHKmttSEBsFQ/edit?usp=sharing"",""จัดที่ดิน!BN16"")"),0)</f>
        <v>0</v>
      </c>
      <c r="K707" s="224">
        <f t="shared" ca="1" si="175"/>
        <v>0</v>
      </c>
      <c r="L707" s="4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25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IFERROR(__xludf.DUMMYFUNCTION("IMPORTRANGE(""https://docs.google.com/spreadsheets/d/1tdoBKaGub7dwA3U6UFTqxio9LNnvDCQjHKmttSEBsFQ/edit?usp=sharing"",""จัดที่ดิน!BO16"")"),0)</f>
        <v>0</v>
      </c>
      <c r="K708" s="224">
        <f t="shared" si="175"/>
        <v>0</v>
      </c>
      <c r="L708" s="4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IFERROR(__xludf.DUMMYFUNCTION("IMPORTRANGE(""https://docs.google.com/spreadsheets/d/1eHaY18a8A9IcSdp1K8H6x8fbOy06t2VsZHhMHf-1x7Y/edit?usp=sharing"",""แผน!LK16"")"),4)</f>
        <v>4</v>
      </c>
      <c r="J709" s="184">
        <f ca="1">IFERROR(__xludf.DUMMYFUNCTION("IMPORTRANGE(""https://docs.google.com/spreadsheets/d/1tdoBKaGub7dwA3U6UFTqxio9LNnvDCQjHKmttSEBsFQ/edit?usp=sharing"",""จัดที่ดิน!BP16"")"),0)</f>
        <v>0</v>
      </c>
      <c r="K709" s="224">
        <f t="shared" ca="1" si="175"/>
        <v>0</v>
      </c>
      <c r="L709" s="465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25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IFERROR(__xludf.DUMMYFUNCTION("IMPORTRANGE(""https://docs.google.com/spreadsheets/d/1tdoBKaGub7dwA3U6UFTqxio9LNnvDCQjHKmttSEBsFQ/edit?usp=sharing"",""จัดที่ดิน!BQ16"")"),0)</f>
        <v>0</v>
      </c>
      <c r="K710" s="224">
        <f t="shared" si="175"/>
        <v>0</v>
      </c>
      <c r="L710" s="465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496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hidden="1" x14ac:dyDescent="0.3">
      <c r="A712" s="394"/>
      <c r="B712" s="426" t="s">
        <v>265</v>
      </c>
      <c r="C712" s="394"/>
      <c r="D712" s="396"/>
      <c r="E712" s="396"/>
      <c r="F712" s="396"/>
      <c r="G712" s="397"/>
      <c r="H712" s="427" t="s">
        <v>46</v>
      </c>
      <c r="I712" s="399"/>
      <c r="J712" s="399">
        <f>J724</f>
        <v>0</v>
      </c>
      <c r="K712" s="495">
        <f>IF(I712&gt;0,J712*100/I712,0)</f>
        <v>0</v>
      </c>
      <c r="L712" s="473"/>
      <c r="M712" s="400"/>
      <c r="N712" s="400"/>
      <c r="O712" s="400"/>
      <c r="P712" s="400"/>
      <c r="Q712" s="400"/>
      <c r="R712" s="400"/>
      <c r="S712" s="400"/>
      <c r="T712" s="400"/>
      <c r="U712" s="400"/>
    </row>
    <row r="713" spans="1:21" ht="19.5" hidden="1" x14ac:dyDescent="0.3">
      <c r="A713" s="394"/>
      <c r="B713" s="426" t="s">
        <v>266</v>
      </c>
      <c r="C713" s="394"/>
      <c r="D713" s="396"/>
      <c r="E713" s="396"/>
      <c r="F713" s="396"/>
      <c r="G713" s="397"/>
      <c r="H713" s="398"/>
      <c r="I713" s="399"/>
      <c r="J713" s="399"/>
      <c r="K713" s="400"/>
      <c r="L713" s="47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128"/>
      <c r="B714" s="158"/>
      <c r="C714" s="314" t="s">
        <v>18</v>
      </c>
      <c r="D714" s="820" t="s">
        <v>19</v>
      </c>
      <c r="E714" s="793"/>
      <c r="F714" s="793"/>
      <c r="G714" s="794"/>
      <c r="H714" s="372" t="s">
        <v>14</v>
      </c>
      <c r="I714" s="44"/>
      <c r="J714" s="44"/>
      <c r="K714" s="45"/>
      <c r="L714" s="471">
        <f>L715+L716</f>
        <v>0</v>
      </c>
      <c r="M714" s="470">
        <f>M715+M716</f>
        <v>0</v>
      </c>
      <c r="N714" s="470">
        <f>N715+N716</f>
        <v>0</v>
      </c>
      <c r="O714" s="470">
        <f t="shared" ref="O714:O722" si="176">IF(L714&gt;0,N714*100/L714,0)</f>
        <v>0</v>
      </c>
      <c r="P714" s="470">
        <f t="shared" ref="P714:P722" si="177">IF(M714&gt;0,N714*100/M714,0)</f>
        <v>0</v>
      </c>
      <c r="Q714" s="470">
        <f>Q715+Q716</f>
        <v>0</v>
      </c>
      <c r="R714" s="470">
        <f>R715+R716</f>
        <v>0</v>
      </c>
      <c r="S714" s="470">
        <f>S715+S716</f>
        <v>0</v>
      </c>
      <c r="T714" s="470">
        <f t="shared" ref="T714:T722" si="178">IF(Q714&gt;0,S714*100/Q714,0)</f>
        <v>0</v>
      </c>
      <c r="U714" s="470">
        <f t="shared" ref="U714:U722" si="179"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469">
        <f t="shared" ref="L715:N716" si="180">L718+L721</f>
        <v>0</v>
      </c>
      <c r="M715" s="83">
        <f t="shared" si="180"/>
        <v>0</v>
      </c>
      <c r="N715" s="83">
        <f t="shared" si="180"/>
        <v>0</v>
      </c>
      <c r="O715" s="83">
        <f t="shared" si="176"/>
        <v>0</v>
      </c>
      <c r="P715" s="83">
        <f t="shared" si="177"/>
        <v>0</v>
      </c>
      <c r="Q715" s="83">
        <f t="shared" ref="Q715:S716" si="181">Q718+Q721</f>
        <v>0</v>
      </c>
      <c r="R715" s="83">
        <f t="shared" si="181"/>
        <v>0</v>
      </c>
      <c r="S715" s="83">
        <f t="shared" si="181"/>
        <v>0</v>
      </c>
      <c r="T715" s="83">
        <f t="shared" si="178"/>
        <v>0</v>
      </c>
      <c r="U715" s="83">
        <f t="shared" si="179"/>
        <v>0</v>
      </c>
    </row>
    <row r="716" spans="1:21" ht="18.75" hidden="1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468">
        <f t="shared" si="180"/>
        <v>0</v>
      </c>
      <c r="M716" s="224">
        <f t="shared" si="180"/>
        <v>0</v>
      </c>
      <c r="N716" s="224">
        <f t="shared" si="180"/>
        <v>0</v>
      </c>
      <c r="O716" s="224">
        <f t="shared" si="176"/>
        <v>0</v>
      </c>
      <c r="P716" s="224">
        <f t="shared" si="177"/>
        <v>0</v>
      </c>
      <c r="Q716" s="224">
        <f t="shared" si="181"/>
        <v>0</v>
      </c>
      <c r="R716" s="224">
        <f t="shared" si="181"/>
        <v>0</v>
      </c>
      <c r="S716" s="224">
        <f t="shared" si="181"/>
        <v>0</v>
      </c>
      <c r="T716" s="224">
        <f t="shared" si="178"/>
        <v>0</v>
      </c>
      <c r="U716" s="224">
        <f t="shared" si="179"/>
        <v>0</v>
      </c>
    </row>
    <row r="717" spans="1:21" ht="19.5" hidden="1" x14ac:dyDescent="0.3">
      <c r="A717" s="128"/>
      <c r="B717" s="158"/>
      <c r="C717" s="158"/>
      <c r="D717" s="494" t="s">
        <v>22</v>
      </c>
      <c r="E717" s="40"/>
      <c r="F717" s="40"/>
      <c r="G717" s="42"/>
      <c r="H717" s="372" t="s">
        <v>14</v>
      </c>
      <c r="I717" s="135"/>
      <c r="J717" s="135"/>
      <c r="K717" s="136"/>
      <c r="L717" s="468">
        <f>L718+L719</f>
        <v>0</v>
      </c>
      <c r="M717" s="224">
        <f>M718+M719</f>
        <v>0</v>
      </c>
      <c r="N717" s="224">
        <f>N718+N719</f>
        <v>0</v>
      </c>
      <c r="O717" s="224">
        <f t="shared" si="176"/>
        <v>0</v>
      </c>
      <c r="P717" s="224">
        <f t="shared" si="177"/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 t="shared" si="178"/>
        <v>0</v>
      </c>
      <c r="U717" s="224">
        <f t="shared" si="179"/>
        <v>0</v>
      </c>
    </row>
    <row r="718" spans="1:21" ht="18.75" hidden="1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469">
        <v>0</v>
      </c>
      <c r="M718" s="83">
        <v>0</v>
      </c>
      <c r="N718" s="83">
        <v>0</v>
      </c>
      <c r="O718" s="83">
        <f t="shared" si="176"/>
        <v>0</v>
      </c>
      <c r="P718" s="83">
        <f t="shared" si="177"/>
        <v>0</v>
      </c>
      <c r="Q718" s="83">
        <v>0</v>
      </c>
      <c r="R718" s="83">
        <v>0</v>
      </c>
      <c r="S718" s="83">
        <v>0</v>
      </c>
      <c r="T718" s="83">
        <f t="shared" si="178"/>
        <v>0</v>
      </c>
      <c r="U718" s="83">
        <f t="shared" si="179"/>
        <v>0</v>
      </c>
    </row>
    <row r="719" spans="1:21" ht="18.75" hidden="1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468">
        <v>0</v>
      </c>
      <c r="M719" s="224">
        <v>0</v>
      </c>
      <c r="N719" s="224">
        <v>0</v>
      </c>
      <c r="O719" s="224">
        <f t="shared" si="176"/>
        <v>0</v>
      </c>
      <c r="P719" s="224">
        <f t="shared" si="177"/>
        <v>0</v>
      </c>
      <c r="Q719" s="224">
        <v>0</v>
      </c>
      <c r="R719" s="224">
        <v>0</v>
      </c>
      <c r="S719" s="224">
        <v>0</v>
      </c>
      <c r="T719" s="224">
        <f t="shared" si="178"/>
        <v>0</v>
      </c>
      <c r="U719" s="224">
        <f t="shared" si="179"/>
        <v>0</v>
      </c>
    </row>
    <row r="720" spans="1:21" ht="19.5" hidden="1" x14ac:dyDescent="0.3">
      <c r="A720" s="128"/>
      <c r="B720" s="158"/>
      <c r="C720" s="158"/>
      <c r="D720" s="494" t="s">
        <v>23</v>
      </c>
      <c r="E720" s="40"/>
      <c r="F720" s="40"/>
      <c r="G720" s="42"/>
      <c r="H720" s="374" t="s">
        <v>14</v>
      </c>
      <c r="I720" s="135"/>
      <c r="J720" s="135"/>
      <c r="K720" s="136"/>
      <c r="L720" s="468">
        <f>L721+L722</f>
        <v>0</v>
      </c>
      <c r="M720" s="224">
        <f>M721+M722</f>
        <v>0</v>
      </c>
      <c r="N720" s="224">
        <f>N721+N722</f>
        <v>0</v>
      </c>
      <c r="O720" s="224">
        <f t="shared" si="176"/>
        <v>0</v>
      </c>
      <c r="P720" s="224">
        <f t="shared" si="177"/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 t="shared" si="178"/>
        <v>0</v>
      </c>
      <c r="U720" s="224">
        <f t="shared" si="179"/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469">
        <v>0</v>
      </c>
      <c r="M721" s="83">
        <v>0</v>
      </c>
      <c r="N721" s="83">
        <v>0</v>
      </c>
      <c r="O721" s="83">
        <f t="shared" si="176"/>
        <v>0</v>
      </c>
      <c r="P721" s="83">
        <f t="shared" si="177"/>
        <v>0</v>
      </c>
      <c r="Q721" s="83">
        <v>0</v>
      </c>
      <c r="R721" s="83">
        <v>0</v>
      </c>
      <c r="S721" s="83">
        <v>0</v>
      </c>
      <c r="T721" s="83">
        <f t="shared" si="178"/>
        <v>0</v>
      </c>
      <c r="U721" s="83">
        <f t="shared" si="179"/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375" t="s">
        <v>14</v>
      </c>
      <c r="I722" s="135"/>
      <c r="J722" s="135"/>
      <c r="K722" s="136"/>
      <c r="L722" s="468">
        <v>0</v>
      </c>
      <c r="M722" s="224">
        <v>0</v>
      </c>
      <c r="N722" s="224">
        <v>0</v>
      </c>
      <c r="O722" s="224">
        <f t="shared" si="176"/>
        <v>0</v>
      </c>
      <c r="P722" s="224">
        <f t="shared" si="177"/>
        <v>0</v>
      </c>
      <c r="Q722" s="224">
        <v>0</v>
      </c>
      <c r="R722" s="224">
        <v>0</v>
      </c>
      <c r="S722" s="224">
        <v>0</v>
      </c>
      <c r="T722" s="224">
        <f t="shared" si="178"/>
        <v>0</v>
      </c>
      <c r="U722" s="224">
        <f t="shared" si="179"/>
        <v>0</v>
      </c>
    </row>
    <row r="723" spans="1:21" ht="19.5" hidden="1" x14ac:dyDescent="0.3">
      <c r="A723" s="138"/>
      <c r="B723" s="139"/>
      <c r="C723" s="314" t="s">
        <v>18</v>
      </c>
      <c r="D723" s="493" t="s">
        <v>38</v>
      </c>
      <c r="E723" s="141"/>
      <c r="F723" s="141"/>
      <c r="G723" s="142"/>
      <c r="H723" s="178"/>
      <c r="I723" s="135"/>
      <c r="J723" s="135"/>
      <c r="K723" s="136"/>
      <c r="L723" s="4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30">
        <v>0</v>
      </c>
      <c r="J724" s="44"/>
      <c r="K724" s="45"/>
      <c r="L724" s="465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29"/>
      <c r="B725" s="2"/>
      <c r="C725" s="2"/>
      <c r="D725" s="1"/>
      <c r="E725" s="431" t="s">
        <v>268</v>
      </c>
      <c r="F725" s="1"/>
      <c r="G725" s="52"/>
      <c r="H725" s="432" t="s">
        <v>46</v>
      </c>
      <c r="I725" s="433">
        <v>0</v>
      </c>
      <c r="J725" s="54"/>
      <c r="K725" s="3"/>
      <c r="L725" s="46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94"/>
      <c r="B726" s="395" t="s">
        <v>269</v>
      </c>
      <c r="C726" s="394"/>
      <c r="D726" s="396"/>
      <c r="E726" s="396"/>
      <c r="F726" s="396"/>
      <c r="G726" s="397"/>
      <c r="H726" s="434" t="s">
        <v>35</v>
      </c>
      <c r="I726" s="475">
        <f ca="1">IFERROR(__xludf.DUMMYFUNCTION("IMPORTRANGE(""https://docs.google.com/spreadsheets/d/1eHaY18a8A9IcSdp1K8H6x8fbOy06t2VsZHhMHf-1x7Y/edit?usp=sharing"",""แผน!GA16"")"),128)</f>
        <v>128</v>
      </c>
      <c r="J726" s="475">
        <f>J742+J746+J749</f>
        <v>128</v>
      </c>
      <c r="K726" s="474">
        <f ca="1">IF(I726&gt;0,J726*100/I726,0)</f>
        <v>100</v>
      </c>
      <c r="L726" s="473"/>
      <c r="M726" s="400"/>
      <c r="N726" s="400"/>
      <c r="O726" s="400"/>
      <c r="P726" s="400"/>
      <c r="Q726" s="400"/>
      <c r="R726" s="400"/>
      <c r="S726" s="400"/>
      <c r="T726" s="400"/>
      <c r="U726" s="400"/>
    </row>
    <row r="727" spans="1:21" ht="19.5" x14ac:dyDescent="0.3">
      <c r="A727" s="436"/>
      <c r="B727" s="394"/>
      <c r="C727" s="394"/>
      <c r="D727" s="396"/>
      <c r="E727" s="396"/>
      <c r="F727" s="396"/>
      <c r="G727" s="397"/>
      <c r="H727" s="434" t="s">
        <v>46</v>
      </c>
      <c r="I727" s="475">
        <f ca="1">IFERROR(__xludf.DUMMYFUNCTION("IMPORTRANGE(""https://docs.google.com/spreadsheets/d/1eHaY18a8A9IcSdp1K8H6x8fbOy06t2VsZHhMHf-1x7Y/edit?usp=sharing"",""แผน!FZ16"")"),1250)</f>
        <v>1250</v>
      </c>
      <c r="J727" s="475">
        <f>J752+J755</f>
        <v>0</v>
      </c>
      <c r="K727" s="474">
        <f ca="1">IF(I727&gt;0,J727*100/I727,0)</f>
        <v>0</v>
      </c>
      <c r="L727" s="47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128"/>
      <c r="B728" s="158"/>
      <c r="C728" s="177" t="s">
        <v>18</v>
      </c>
      <c r="D728" s="821" t="s">
        <v>19</v>
      </c>
      <c r="E728" s="793"/>
      <c r="F728" s="793"/>
      <c r="G728" s="794"/>
      <c r="H728" s="221" t="s">
        <v>14</v>
      </c>
      <c r="I728" s="44"/>
      <c r="J728" s="44"/>
      <c r="K728" s="45"/>
      <c r="L728" s="471">
        <f>L729+L730</f>
        <v>0</v>
      </c>
      <c r="M728" s="470">
        <f>M729+M730</f>
        <v>0</v>
      </c>
      <c r="N728" s="470">
        <f>N729+N730</f>
        <v>0</v>
      </c>
      <c r="O728" s="470">
        <f t="shared" ref="O728:O736" si="182">IF(L728&gt;0,N728*100/L728,0)</f>
        <v>0</v>
      </c>
      <c r="P728" s="470">
        <f t="shared" ref="P728:P736" si="183">IF(M728&gt;0,N728*100/M728,0)</f>
        <v>0</v>
      </c>
      <c r="Q728" s="470">
        <f ca="1">Q729+Q730</f>
        <v>1008470</v>
      </c>
      <c r="R728" s="470">
        <f ca="1">R729+R730</f>
        <v>1008470</v>
      </c>
      <c r="S728" s="470">
        <f ca="1">S729+S730</f>
        <v>150093</v>
      </c>
      <c r="T728" s="470">
        <f t="shared" ref="T728:T736" ca="1" si="184">IF(Q728&gt;0,S728*100/Q728,0)</f>
        <v>14.883238965958332</v>
      </c>
      <c r="U728" s="470">
        <f t="shared" ref="U728:U736" ca="1" si="185">IF(R728&gt;0,S728*100/R728,0)</f>
        <v>14.883238965958332</v>
      </c>
    </row>
    <row r="729" spans="1:21" ht="18.75" hidden="1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469">
        <f t="shared" ref="L729:N730" si="186">L732+L735</f>
        <v>0</v>
      </c>
      <c r="M729" s="83">
        <f t="shared" si="186"/>
        <v>0</v>
      </c>
      <c r="N729" s="83">
        <f t="shared" si="186"/>
        <v>0</v>
      </c>
      <c r="O729" s="83">
        <f t="shared" si="182"/>
        <v>0</v>
      </c>
      <c r="P729" s="83">
        <f t="shared" si="183"/>
        <v>0</v>
      </c>
      <c r="Q729" s="83">
        <f t="shared" ref="Q729:S730" si="187">Q732+Q735</f>
        <v>0</v>
      </c>
      <c r="R729" s="83">
        <f t="shared" si="187"/>
        <v>0</v>
      </c>
      <c r="S729" s="83">
        <f t="shared" si="187"/>
        <v>0</v>
      </c>
      <c r="T729" s="83">
        <f t="shared" si="184"/>
        <v>0</v>
      </c>
      <c r="U729" s="83">
        <f t="shared" si="185"/>
        <v>0</v>
      </c>
    </row>
    <row r="730" spans="1:21" ht="18.75" hidden="1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468">
        <f t="shared" si="186"/>
        <v>0</v>
      </c>
      <c r="M730" s="224">
        <f t="shared" si="186"/>
        <v>0</v>
      </c>
      <c r="N730" s="224">
        <f t="shared" si="186"/>
        <v>0</v>
      </c>
      <c r="O730" s="224">
        <f t="shared" si="182"/>
        <v>0</v>
      </c>
      <c r="P730" s="224">
        <f t="shared" si="183"/>
        <v>0</v>
      </c>
      <c r="Q730" s="224">
        <f t="shared" ca="1" si="187"/>
        <v>1008470</v>
      </c>
      <c r="R730" s="224">
        <f t="shared" ca="1" si="187"/>
        <v>1008470</v>
      </c>
      <c r="S730" s="224">
        <f t="shared" ca="1" si="187"/>
        <v>150093</v>
      </c>
      <c r="T730" s="224">
        <f t="shared" ca="1" si="184"/>
        <v>14.883238965958332</v>
      </c>
      <c r="U730" s="224">
        <f t="shared" ca="1" si="185"/>
        <v>14.883238965958332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468">
        <f>L732+L733</f>
        <v>0</v>
      </c>
      <c r="M731" s="224">
        <f>M732+M733</f>
        <v>0</v>
      </c>
      <c r="N731" s="224">
        <f>N732+N733</f>
        <v>0</v>
      </c>
      <c r="O731" s="224">
        <f t="shared" si="182"/>
        <v>0</v>
      </c>
      <c r="P731" s="224">
        <f t="shared" si="183"/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150093</v>
      </c>
      <c r="T731" s="224">
        <f t="shared" ca="1" si="184"/>
        <v>14.883238965958332</v>
      </c>
      <c r="U731" s="224">
        <f t="shared" ca="1" si="185"/>
        <v>14.883238965958332</v>
      </c>
    </row>
    <row r="732" spans="1:21" ht="18.75" hidden="1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469">
        <v>0</v>
      </c>
      <c r="M732" s="83">
        <v>0</v>
      </c>
      <c r="N732" s="83">
        <v>0</v>
      </c>
      <c r="O732" s="83">
        <f t="shared" si="182"/>
        <v>0</v>
      </c>
      <c r="P732" s="83">
        <f t="shared" si="183"/>
        <v>0</v>
      </c>
      <c r="Q732" s="83">
        <v>0</v>
      </c>
      <c r="R732" s="83">
        <v>0</v>
      </c>
      <c r="S732" s="83">
        <v>0</v>
      </c>
      <c r="T732" s="83">
        <f t="shared" si="184"/>
        <v>0</v>
      </c>
      <c r="U732" s="83">
        <f t="shared" si="185"/>
        <v>0</v>
      </c>
    </row>
    <row r="733" spans="1:21" ht="18.75" hidden="1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468">
        <v>0</v>
      </c>
      <c r="M733" s="224">
        <v>0</v>
      </c>
      <c r="N733" s="224">
        <v>0</v>
      </c>
      <c r="O733" s="224">
        <f t="shared" si="182"/>
        <v>0</v>
      </c>
      <c r="P733" s="224">
        <f t="shared" si="183"/>
        <v>0</v>
      </c>
      <c r="Q733" s="224">
        <f ca="1">IFERROR(__xludf.DUMMYFUNCTION("IMPORTRANGE(""https://docs.google.com/spreadsheets/d/1ItG2mGa2ceCfYo0BwxsXqNm01IGEUdYcSSLTEv9YCik/edit?usp=sharing"",""เบิกจ่ายกองทุน!O16"")"),1008470)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IFERROR(__xludf.DUMMYFUNCTION("IMPORTRANGE(""https://docs.google.com/spreadsheets/d/1ItG2mGa2ceCfYo0BwxsXqNm01IGEUdYcSSLTEv9YCik/edit?usp=sharing"",""เบิกจ่ายกองทุน!P16"")"),1008470)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IFERROR(__xludf.DUMMYFUNCTION("IMPORTRANGE(""https://docs.google.com/spreadsheets/d/1ItG2mGa2ceCfYo0BwxsXqNm01IGEUdYcSSLTEv9YCik/edit?usp=sharing"",""เบิกจ่ายกองทุน!Q16"")"),150093)</f>
        <v>150093</v>
      </c>
      <c r="T733" s="224">
        <f t="shared" ca="1" si="184"/>
        <v>14.883238965958332</v>
      </c>
      <c r="U733" s="224">
        <f t="shared" ca="1" si="185"/>
        <v>14.883238965958332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468">
        <f>L735+L736</f>
        <v>0</v>
      </c>
      <c r="M734" s="224">
        <f>M735+M736</f>
        <v>0</v>
      </c>
      <c r="N734" s="224">
        <f>N735+N736</f>
        <v>0</v>
      </c>
      <c r="O734" s="224">
        <f t="shared" si="182"/>
        <v>0</v>
      </c>
      <c r="P734" s="224">
        <f t="shared" si="183"/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 t="shared" si="184"/>
        <v>0</v>
      </c>
      <c r="U734" s="224">
        <f t="shared" si="185"/>
        <v>0</v>
      </c>
    </row>
    <row r="735" spans="1:21" ht="18.75" hidden="1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469">
        <v>0</v>
      </c>
      <c r="M735" s="83">
        <v>0</v>
      </c>
      <c r="N735" s="83">
        <v>0</v>
      </c>
      <c r="O735" s="83">
        <f t="shared" si="182"/>
        <v>0</v>
      </c>
      <c r="P735" s="83">
        <f t="shared" si="183"/>
        <v>0</v>
      </c>
      <c r="Q735" s="83">
        <v>0</v>
      </c>
      <c r="R735" s="83">
        <v>0</v>
      </c>
      <c r="S735" s="83">
        <v>0</v>
      </c>
      <c r="T735" s="83">
        <f t="shared" si="184"/>
        <v>0</v>
      </c>
      <c r="U735" s="83">
        <f t="shared" si="185"/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468">
        <v>0</v>
      </c>
      <c r="M736" s="224">
        <v>0</v>
      </c>
      <c r="N736" s="224">
        <v>0</v>
      </c>
      <c r="O736" s="224">
        <f t="shared" si="182"/>
        <v>0</v>
      </c>
      <c r="P736" s="224">
        <f t="shared" si="183"/>
        <v>0</v>
      </c>
      <c r="Q736" s="224">
        <v>0</v>
      </c>
      <c r="R736" s="224">
        <v>0</v>
      </c>
      <c r="S736" s="224">
        <v>0</v>
      </c>
      <c r="T736" s="224">
        <f t="shared" si="184"/>
        <v>0</v>
      </c>
      <c r="U736" s="224">
        <f t="shared" si="185"/>
        <v>0</v>
      </c>
    </row>
    <row r="737" spans="1:21" ht="19.5" x14ac:dyDescent="0.3">
      <c r="A737" s="138"/>
      <c r="B737" s="139"/>
      <c r="C737" s="177" t="s">
        <v>18</v>
      </c>
      <c r="D737" s="491" t="s">
        <v>38</v>
      </c>
      <c r="E737" s="203"/>
      <c r="F737" s="141"/>
      <c r="G737" s="142"/>
      <c r="H737" s="178"/>
      <c r="I737" s="44"/>
      <c r="J737" s="44"/>
      <c r="K737" s="45"/>
      <c r="L737" s="465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7" t="s">
        <v>121</v>
      </c>
      <c r="E738" s="139"/>
      <c r="F738" s="139"/>
      <c r="G738" s="143"/>
      <c r="H738" s="180"/>
      <c r="I738" s="44"/>
      <c r="J738" s="44"/>
      <c r="K738" s="45"/>
      <c r="L738" s="465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485"/>
      <c r="B739" s="484"/>
      <c r="C739" s="484"/>
      <c r="D739" s="484"/>
      <c r="E739" s="489" t="s">
        <v>270</v>
      </c>
      <c r="F739" s="484"/>
      <c r="G739" s="481"/>
      <c r="H739" s="488"/>
      <c r="I739" s="479"/>
      <c r="J739" s="479"/>
      <c r="K739" s="476"/>
      <c r="L739" s="477"/>
      <c r="M739" s="476"/>
      <c r="N739" s="476"/>
      <c r="O739" s="476"/>
      <c r="P739" s="476"/>
      <c r="Q739" s="476"/>
      <c r="R739" s="476"/>
      <c r="S739" s="476"/>
      <c r="T739" s="476"/>
      <c r="U739" s="476"/>
    </row>
    <row r="740" spans="1:21" ht="18.75" x14ac:dyDescent="0.25">
      <c r="A740" s="485"/>
      <c r="B740" s="484"/>
      <c r="C740" s="484"/>
      <c r="D740" s="484"/>
      <c r="E740" s="484"/>
      <c r="F740" s="489" t="s">
        <v>271</v>
      </c>
      <c r="G740" s="481"/>
      <c r="H740" s="480" t="s">
        <v>46</v>
      </c>
      <c r="I740" s="487">
        <f ca="1">IFERROR(__xludf.DUMMYFUNCTION("IMPORTRANGE(""https://docs.google.com/spreadsheets/d/1eHaY18a8A9IcSdp1K8H6x8fbOy06t2VsZHhMHf-1x7Y/edit?usp=sharing"",""แผน!GB16"")"),1000)</f>
        <v>1000</v>
      </c>
      <c r="J740" s="478">
        <v>0</v>
      </c>
      <c r="K740" s="486">
        <f ca="1">IF(I740&gt;0,J740*100/I740,0)</f>
        <v>0</v>
      </c>
      <c r="L740" s="477"/>
      <c r="M740" s="476"/>
      <c r="N740" s="476"/>
      <c r="O740" s="476"/>
      <c r="P740" s="476"/>
      <c r="Q740" s="476"/>
      <c r="R740" s="476"/>
      <c r="S740" s="476"/>
      <c r="T740" s="476"/>
      <c r="U740" s="476"/>
    </row>
    <row r="741" spans="1:21" ht="18.75" x14ac:dyDescent="0.25">
      <c r="A741" s="485"/>
      <c r="B741" s="484"/>
      <c r="C741" s="484"/>
      <c r="D741" s="484"/>
      <c r="E741" s="484"/>
      <c r="F741" s="489" t="s">
        <v>306</v>
      </c>
      <c r="G741" s="481"/>
      <c r="H741" s="480" t="s">
        <v>35</v>
      </c>
      <c r="I741" s="479"/>
      <c r="J741" s="478">
        <v>0</v>
      </c>
      <c r="K741" s="476"/>
      <c r="L741" s="477"/>
      <c r="M741" s="476"/>
      <c r="N741" s="476"/>
      <c r="O741" s="476"/>
      <c r="P741" s="476"/>
      <c r="Q741" s="476"/>
      <c r="R741" s="476"/>
      <c r="S741" s="476"/>
      <c r="T741" s="476"/>
      <c r="U741" s="476"/>
    </row>
    <row r="742" spans="1:21" ht="18.75" x14ac:dyDescent="0.25">
      <c r="A742" s="485"/>
      <c r="B742" s="484"/>
      <c r="C742" s="484"/>
      <c r="D742" s="484"/>
      <c r="E742" s="484"/>
      <c r="F742" s="489" t="s">
        <v>305</v>
      </c>
      <c r="G742" s="481"/>
      <c r="H742" s="480" t="s">
        <v>35</v>
      </c>
      <c r="I742" s="487">
        <f ca="1">IFERROR(__xludf.DUMMYFUNCTION("IMPORTRANGE(""https://docs.google.com/spreadsheets/d/1eHaY18a8A9IcSdp1K8H6x8fbOy06t2VsZHhMHf-1x7Y/edit?usp=sharing"",""แผน!GC16"")"),100)</f>
        <v>100</v>
      </c>
      <c r="J742" s="478">
        <v>100</v>
      </c>
      <c r="K742" s="486">
        <f ca="1">IF(I742&gt;0,J742*100/I742,0)</f>
        <v>100</v>
      </c>
      <c r="L742" s="477"/>
      <c r="M742" s="476"/>
      <c r="N742" s="476"/>
      <c r="O742" s="476"/>
      <c r="P742" s="476"/>
      <c r="Q742" s="476"/>
      <c r="R742" s="476"/>
      <c r="S742" s="476"/>
      <c r="T742" s="476"/>
      <c r="U742" s="476"/>
    </row>
    <row r="743" spans="1:21" ht="18.75" x14ac:dyDescent="0.25">
      <c r="A743" s="485"/>
      <c r="B743" s="484"/>
      <c r="C743" s="484"/>
      <c r="D743" s="484"/>
      <c r="E743" s="489" t="s">
        <v>274</v>
      </c>
      <c r="F743" s="484"/>
      <c r="G743" s="481"/>
      <c r="H743" s="488"/>
      <c r="I743" s="479"/>
      <c r="J743" s="479"/>
      <c r="K743" s="476"/>
      <c r="L743" s="477"/>
      <c r="M743" s="476"/>
      <c r="N743" s="476"/>
      <c r="O743" s="476"/>
      <c r="P743" s="476"/>
      <c r="Q743" s="476"/>
      <c r="R743" s="476"/>
      <c r="S743" s="476"/>
      <c r="T743" s="476"/>
      <c r="U743" s="476"/>
    </row>
    <row r="744" spans="1:21" ht="18.75" x14ac:dyDescent="0.25">
      <c r="A744" s="485"/>
      <c r="B744" s="484"/>
      <c r="C744" s="484"/>
      <c r="D744" s="484"/>
      <c r="E744" s="484"/>
      <c r="F744" s="489" t="s">
        <v>271</v>
      </c>
      <c r="G744" s="481"/>
      <c r="H744" s="480" t="s">
        <v>46</v>
      </c>
      <c r="I744" s="487">
        <f ca="1">IFERROR(__xludf.DUMMYFUNCTION("IMPORTRANGE(""https://docs.google.com/spreadsheets/d/1eHaY18a8A9IcSdp1K8H6x8fbOy06t2VsZHhMHf-1x7Y/edit?usp=sharing"",""แผน!GD16"")"),250)</f>
        <v>250</v>
      </c>
      <c r="J744" s="478">
        <v>0</v>
      </c>
      <c r="K744" s="486">
        <f ca="1">IF(I744&gt;0,J744*100/I744,0)</f>
        <v>0</v>
      </c>
      <c r="L744" s="477"/>
      <c r="M744" s="476"/>
      <c r="N744" s="476"/>
      <c r="O744" s="476"/>
      <c r="P744" s="476"/>
      <c r="Q744" s="476"/>
      <c r="R744" s="476"/>
      <c r="S744" s="476"/>
      <c r="T744" s="476"/>
      <c r="U744" s="476"/>
    </row>
    <row r="745" spans="1:21" ht="18.75" x14ac:dyDescent="0.25">
      <c r="A745" s="485"/>
      <c r="B745" s="484"/>
      <c r="C745" s="484"/>
      <c r="D745" s="484"/>
      <c r="E745" s="484"/>
      <c r="F745" s="489" t="s">
        <v>304</v>
      </c>
      <c r="G745" s="481"/>
      <c r="H745" s="480" t="s">
        <v>35</v>
      </c>
      <c r="I745" s="479"/>
      <c r="J745" s="478">
        <v>0</v>
      </c>
      <c r="K745" s="476"/>
      <c r="L745" s="477"/>
      <c r="M745" s="476"/>
      <c r="N745" s="476"/>
      <c r="O745" s="476"/>
      <c r="P745" s="476"/>
      <c r="Q745" s="476"/>
      <c r="R745" s="476"/>
      <c r="S745" s="476"/>
      <c r="T745" s="476"/>
      <c r="U745" s="476"/>
    </row>
    <row r="746" spans="1:21" ht="18.75" x14ac:dyDescent="0.25">
      <c r="A746" s="485"/>
      <c r="B746" s="484"/>
      <c r="C746" s="484"/>
      <c r="D746" s="484"/>
      <c r="E746" s="484"/>
      <c r="F746" s="489" t="s">
        <v>303</v>
      </c>
      <c r="G746" s="481"/>
      <c r="H746" s="480" t="s">
        <v>35</v>
      </c>
      <c r="I746" s="487">
        <f ca="1">IFERROR(__xludf.DUMMYFUNCTION("IMPORTRANGE(""https://docs.google.com/spreadsheets/d/1eHaY18a8A9IcSdp1K8H6x8fbOy06t2VsZHhMHf-1x7Y/edit?usp=sharing"",""แผน!GE16"")"),25)</f>
        <v>25</v>
      </c>
      <c r="J746" s="478">
        <v>25</v>
      </c>
      <c r="K746" s="486">
        <f ca="1">IF(I746&gt;0,J746*100/I746,0)</f>
        <v>100</v>
      </c>
      <c r="L746" s="477"/>
      <c r="M746" s="476"/>
      <c r="N746" s="476"/>
      <c r="O746" s="476"/>
      <c r="P746" s="476"/>
      <c r="Q746" s="476"/>
      <c r="R746" s="476"/>
      <c r="S746" s="476"/>
      <c r="T746" s="476"/>
      <c r="U746" s="476"/>
    </row>
    <row r="747" spans="1:21" ht="18.75" x14ac:dyDescent="0.25">
      <c r="A747" s="485"/>
      <c r="B747" s="484"/>
      <c r="C747" s="484"/>
      <c r="D747" s="484"/>
      <c r="E747" s="489" t="s">
        <v>277</v>
      </c>
      <c r="F747" s="483"/>
      <c r="G747" s="481"/>
      <c r="H747" s="488"/>
      <c r="I747" s="479"/>
      <c r="J747" s="479"/>
      <c r="K747" s="476"/>
      <c r="L747" s="477"/>
      <c r="M747" s="476"/>
      <c r="N747" s="476"/>
      <c r="O747" s="476"/>
      <c r="P747" s="476"/>
      <c r="Q747" s="476"/>
      <c r="R747" s="476"/>
      <c r="S747" s="476"/>
      <c r="T747" s="476"/>
      <c r="U747" s="476"/>
    </row>
    <row r="748" spans="1:21" ht="18.75" x14ac:dyDescent="0.25">
      <c r="A748" s="485"/>
      <c r="B748" s="484"/>
      <c r="C748" s="484"/>
      <c r="D748" s="484"/>
      <c r="E748" s="484"/>
      <c r="F748" s="489" t="s">
        <v>302</v>
      </c>
      <c r="G748" s="481"/>
      <c r="H748" s="480" t="s">
        <v>35</v>
      </c>
      <c r="I748" s="479"/>
      <c r="J748" s="478">
        <v>0</v>
      </c>
      <c r="K748" s="476"/>
      <c r="L748" s="477"/>
      <c r="M748" s="476"/>
      <c r="N748" s="476"/>
      <c r="O748" s="476"/>
      <c r="P748" s="476"/>
      <c r="Q748" s="476"/>
      <c r="R748" s="476"/>
      <c r="S748" s="476"/>
      <c r="T748" s="476"/>
      <c r="U748" s="476"/>
    </row>
    <row r="749" spans="1:21" ht="18.75" x14ac:dyDescent="0.25">
      <c r="A749" s="485"/>
      <c r="B749" s="484"/>
      <c r="C749" s="484"/>
      <c r="D749" s="484"/>
      <c r="E749" s="484"/>
      <c r="F749" s="489" t="s">
        <v>301</v>
      </c>
      <c r="G749" s="481"/>
      <c r="H749" s="480" t="s">
        <v>35</v>
      </c>
      <c r="I749" s="487">
        <f ca="1">IFERROR(__xludf.DUMMYFUNCTION("IMPORTRANGE(""https://docs.google.com/spreadsheets/d/1eHaY18a8A9IcSdp1K8H6x8fbOy06t2VsZHhMHf-1x7Y/edit?usp=sharing"",""แผน!GF16"")"),3)</f>
        <v>3</v>
      </c>
      <c r="J749" s="478">
        <v>3</v>
      </c>
      <c r="K749" s="486">
        <f ca="1">IF(I749&gt;0,J749*100/I749,0)</f>
        <v>100</v>
      </c>
      <c r="L749" s="477"/>
      <c r="M749" s="476"/>
      <c r="N749" s="476"/>
      <c r="O749" s="476"/>
      <c r="P749" s="476"/>
      <c r="Q749" s="476"/>
      <c r="R749" s="476"/>
      <c r="S749" s="476"/>
      <c r="T749" s="476"/>
      <c r="U749" s="476"/>
    </row>
    <row r="750" spans="1:21" ht="19.5" x14ac:dyDescent="0.3">
      <c r="A750" s="485"/>
      <c r="B750" s="484"/>
      <c r="C750" s="484"/>
      <c r="D750" s="490" t="s">
        <v>50</v>
      </c>
      <c r="E750" s="484"/>
      <c r="F750" s="483"/>
      <c r="G750" s="481"/>
      <c r="H750" s="488"/>
      <c r="I750" s="479"/>
      <c r="J750" s="479"/>
      <c r="K750" s="476"/>
      <c r="L750" s="477"/>
      <c r="M750" s="476"/>
      <c r="N750" s="476"/>
      <c r="O750" s="476"/>
      <c r="P750" s="476"/>
      <c r="Q750" s="476"/>
      <c r="R750" s="476"/>
      <c r="S750" s="476"/>
      <c r="T750" s="476"/>
      <c r="U750" s="476"/>
    </row>
    <row r="751" spans="1:21" ht="18.75" x14ac:dyDescent="0.25">
      <c r="A751" s="485"/>
      <c r="B751" s="484"/>
      <c r="C751" s="484"/>
      <c r="D751" s="484"/>
      <c r="E751" s="489" t="s">
        <v>270</v>
      </c>
      <c r="F751" s="483"/>
      <c r="G751" s="481"/>
      <c r="H751" s="488"/>
      <c r="I751" s="479"/>
      <c r="J751" s="479"/>
      <c r="K751" s="476"/>
      <c r="L751" s="477"/>
      <c r="M751" s="476"/>
      <c r="N751" s="476"/>
      <c r="O751" s="476"/>
      <c r="P751" s="476"/>
      <c r="Q751" s="476"/>
      <c r="R751" s="476"/>
      <c r="S751" s="476"/>
      <c r="T751" s="476"/>
      <c r="U751" s="476"/>
    </row>
    <row r="752" spans="1:21" ht="18.75" x14ac:dyDescent="0.25">
      <c r="A752" s="485"/>
      <c r="B752" s="484"/>
      <c r="C752" s="484"/>
      <c r="D752" s="484"/>
      <c r="E752" s="484"/>
      <c r="F752" s="482" t="s">
        <v>300</v>
      </c>
      <c r="G752" s="481"/>
      <c r="H752" s="480" t="s">
        <v>46</v>
      </c>
      <c r="I752" s="487">
        <f ca="1">IFERROR(__xludf.DUMMYFUNCTION("IMPORTRANGE(""https://docs.google.com/spreadsheets/d/1eHaY18a8A9IcSdp1K8H6x8fbOy06t2VsZHhMHf-1x7Y/edit?usp=sharing"",""แผน!GB16"")"),1000)</f>
        <v>1000</v>
      </c>
      <c r="J752" s="478">
        <v>0</v>
      </c>
      <c r="K752" s="486">
        <f ca="1">IF(I752&gt;0,J752*100/I752,0)</f>
        <v>0</v>
      </c>
      <c r="L752" s="477"/>
      <c r="M752" s="476"/>
      <c r="N752" s="476"/>
      <c r="O752" s="476"/>
      <c r="P752" s="476"/>
      <c r="Q752" s="476"/>
      <c r="R752" s="476"/>
      <c r="S752" s="476"/>
      <c r="T752" s="476"/>
      <c r="U752" s="476"/>
    </row>
    <row r="753" spans="1:21" ht="18.75" x14ac:dyDescent="0.25">
      <c r="A753" s="485"/>
      <c r="B753" s="484"/>
      <c r="C753" s="484"/>
      <c r="D753" s="484"/>
      <c r="E753" s="484"/>
      <c r="F753" s="482" t="s">
        <v>299</v>
      </c>
      <c r="G753" s="481"/>
      <c r="H753" s="480" t="s">
        <v>46</v>
      </c>
      <c r="I753" s="479"/>
      <c r="J753" s="478">
        <v>0</v>
      </c>
      <c r="K753" s="476"/>
      <c r="L753" s="477"/>
      <c r="M753" s="476"/>
      <c r="N753" s="476"/>
      <c r="O753" s="476"/>
      <c r="P753" s="476"/>
      <c r="Q753" s="476"/>
      <c r="R753" s="476"/>
      <c r="S753" s="476"/>
      <c r="T753" s="476"/>
      <c r="U753" s="476"/>
    </row>
    <row r="754" spans="1:21" ht="18.75" x14ac:dyDescent="0.25">
      <c r="A754" s="485"/>
      <c r="B754" s="484"/>
      <c r="C754" s="484"/>
      <c r="D754" s="484"/>
      <c r="E754" s="489" t="s">
        <v>274</v>
      </c>
      <c r="F754" s="483"/>
      <c r="G754" s="481"/>
      <c r="H754" s="488"/>
      <c r="I754" s="479"/>
      <c r="J754" s="479"/>
      <c r="K754" s="476"/>
      <c r="L754" s="477"/>
      <c r="M754" s="476"/>
      <c r="N754" s="476"/>
      <c r="O754" s="476"/>
      <c r="P754" s="476"/>
      <c r="Q754" s="476"/>
      <c r="R754" s="476"/>
      <c r="S754" s="476"/>
      <c r="T754" s="476"/>
      <c r="U754" s="476"/>
    </row>
    <row r="755" spans="1:21" ht="18.75" x14ac:dyDescent="0.25">
      <c r="A755" s="485"/>
      <c r="B755" s="484"/>
      <c r="C755" s="484"/>
      <c r="D755" s="484"/>
      <c r="E755" s="483"/>
      <c r="F755" s="482" t="s">
        <v>298</v>
      </c>
      <c r="G755" s="481"/>
      <c r="H755" s="480" t="s">
        <v>46</v>
      </c>
      <c r="I755" s="487">
        <f ca="1">IFERROR(__xludf.DUMMYFUNCTION("IMPORTRANGE(""https://docs.google.com/spreadsheets/d/1eHaY18a8A9IcSdp1K8H6x8fbOy06t2VsZHhMHf-1x7Y/edit?usp=sharing"",""แผน!GD16"")"),250)</f>
        <v>250</v>
      </c>
      <c r="J755" s="478">
        <v>0</v>
      </c>
      <c r="K755" s="486">
        <f ca="1">IF(I755&gt;0,J755*100/I755,0)</f>
        <v>0</v>
      </c>
      <c r="L755" s="477"/>
      <c r="M755" s="476"/>
      <c r="N755" s="476"/>
      <c r="O755" s="476"/>
      <c r="P755" s="476"/>
      <c r="Q755" s="476"/>
      <c r="R755" s="476"/>
      <c r="S755" s="476"/>
      <c r="T755" s="476"/>
      <c r="U755" s="476"/>
    </row>
    <row r="756" spans="1:21" ht="18.75" x14ac:dyDescent="0.25">
      <c r="A756" s="485"/>
      <c r="B756" s="484"/>
      <c r="C756" s="484"/>
      <c r="D756" s="484"/>
      <c r="E756" s="483"/>
      <c r="F756" s="482" t="s">
        <v>297</v>
      </c>
      <c r="G756" s="481"/>
      <c r="H756" s="480" t="s">
        <v>46</v>
      </c>
      <c r="I756" s="479"/>
      <c r="J756" s="478">
        <v>0</v>
      </c>
      <c r="K756" s="476"/>
      <c r="L756" s="477"/>
      <c r="M756" s="476"/>
      <c r="N756" s="476"/>
      <c r="O756" s="476"/>
      <c r="P756" s="476"/>
      <c r="Q756" s="476"/>
      <c r="R756" s="476"/>
      <c r="S756" s="476"/>
      <c r="T756" s="476"/>
      <c r="U756" s="476"/>
    </row>
    <row r="757" spans="1:21" ht="18.75" x14ac:dyDescent="0.25">
      <c r="A757" s="438"/>
      <c r="B757" s="438"/>
      <c r="C757" s="438"/>
      <c r="D757" s="438"/>
      <c r="E757" s="439" t="s">
        <v>284</v>
      </c>
      <c r="F757" s="440"/>
      <c r="G757" s="441"/>
      <c r="H757" s="442" t="s">
        <v>35</v>
      </c>
      <c r="I757" s="443"/>
      <c r="J757" s="444">
        <v>0</v>
      </c>
      <c r="K757" s="445"/>
      <c r="L757" s="445"/>
      <c r="M757" s="445"/>
      <c r="N757" s="445"/>
      <c r="O757" s="445"/>
      <c r="P757" s="445"/>
      <c r="Q757" s="445"/>
      <c r="R757" s="445"/>
      <c r="S757" s="445"/>
      <c r="T757" s="445"/>
      <c r="U757" s="445"/>
    </row>
    <row r="758" spans="1:21" ht="19.5" x14ac:dyDescent="0.3">
      <c r="A758" s="394"/>
      <c r="B758" s="395" t="s">
        <v>285</v>
      </c>
      <c r="C758" s="394"/>
      <c r="D758" s="396"/>
      <c r="E758" s="396"/>
      <c r="F758" s="396"/>
      <c r="G758" s="397"/>
      <c r="H758" s="434" t="s">
        <v>35</v>
      </c>
      <c r="I758" s="475">
        <f ca="1">I772</f>
        <v>60</v>
      </c>
      <c r="J758" s="475">
        <f>J772</f>
        <v>40</v>
      </c>
      <c r="K758" s="474">
        <f ca="1">IF(I758&gt;0,J758*100/I758,0)</f>
        <v>66.666666666666671</v>
      </c>
      <c r="L758" s="47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6"/>
      <c r="B759" s="394"/>
      <c r="C759" s="394"/>
      <c r="D759" s="396"/>
      <c r="E759" s="396"/>
      <c r="F759" s="396"/>
      <c r="G759" s="397"/>
      <c r="H759" s="434" t="s">
        <v>46</v>
      </c>
      <c r="I759" s="475">
        <f ca="1">I774</f>
        <v>110</v>
      </c>
      <c r="J759" s="475">
        <f>J774</f>
        <v>78</v>
      </c>
      <c r="K759" s="474">
        <f ca="1">IF(I759&gt;0,J759*100/I759,0)</f>
        <v>70.909090909090907</v>
      </c>
      <c r="L759" s="47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8"/>
      <c r="C760" s="177" t="s">
        <v>18</v>
      </c>
      <c r="D760" s="821" t="s">
        <v>19</v>
      </c>
      <c r="E760" s="793"/>
      <c r="F760" s="793"/>
      <c r="G760" s="794"/>
      <c r="H760" s="221" t="s">
        <v>14</v>
      </c>
      <c r="I760" s="44"/>
      <c r="J760" s="44"/>
      <c r="K760" s="45"/>
      <c r="L760" s="471">
        <f>L761+L762</f>
        <v>0</v>
      </c>
      <c r="M760" s="470">
        <f>M761+M762</f>
        <v>0</v>
      </c>
      <c r="N760" s="470">
        <f>N761+N762</f>
        <v>0</v>
      </c>
      <c r="O760" s="470">
        <f t="shared" ref="O760:O768" si="188">IF(L760&gt;0,N760*100/L760,0)</f>
        <v>0</v>
      </c>
      <c r="P760" s="470">
        <f t="shared" ref="P760:P768" si="189">IF(M760&gt;0,N760*100/M760,0)</f>
        <v>0</v>
      </c>
      <c r="Q760" s="470">
        <f ca="1">Q761+Q762</f>
        <v>416100</v>
      </c>
      <c r="R760" s="470">
        <f ca="1">R761+R762</f>
        <v>416100</v>
      </c>
      <c r="S760" s="470">
        <f ca="1">S761+S762</f>
        <v>143557.29</v>
      </c>
      <c r="T760" s="470">
        <f t="shared" ref="T760:T768" ca="1" si="190">IF(Q760&gt;0,S760*100/Q760,0)</f>
        <v>34.500670511896182</v>
      </c>
      <c r="U760" s="470">
        <f t="shared" ref="U760:U768" ca="1" si="191">IF(R760&gt;0,S760*100/R760,0)</f>
        <v>34.500670511896182</v>
      </c>
    </row>
    <row r="761" spans="1:21" ht="18.75" hidden="1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469">
        <f t="shared" ref="L761:N762" si="192">L764+L767</f>
        <v>0</v>
      </c>
      <c r="M761" s="83">
        <f t="shared" si="192"/>
        <v>0</v>
      </c>
      <c r="N761" s="83">
        <f t="shared" si="192"/>
        <v>0</v>
      </c>
      <c r="O761" s="83">
        <f t="shared" si="188"/>
        <v>0</v>
      </c>
      <c r="P761" s="83">
        <f t="shared" si="189"/>
        <v>0</v>
      </c>
      <c r="Q761" s="83">
        <f t="shared" ref="Q761:S762" si="193">Q764+Q767</f>
        <v>0</v>
      </c>
      <c r="R761" s="83">
        <f t="shared" si="193"/>
        <v>0</v>
      </c>
      <c r="S761" s="83">
        <f t="shared" si="193"/>
        <v>0</v>
      </c>
      <c r="T761" s="83">
        <f t="shared" si="190"/>
        <v>0</v>
      </c>
      <c r="U761" s="83">
        <f t="shared" si="191"/>
        <v>0</v>
      </c>
    </row>
    <row r="762" spans="1:21" ht="18.75" hidden="1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468">
        <f t="shared" si="192"/>
        <v>0</v>
      </c>
      <c r="M762" s="224">
        <f t="shared" si="192"/>
        <v>0</v>
      </c>
      <c r="N762" s="224">
        <f t="shared" si="192"/>
        <v>0</v>
      </c>
      <c r="O762" s="224">
        <f t="shared" si="188"/>
        <v>0</v>
      </c>
      <c r="P762" s="224">
        <f t="shared" si="189"/>
        <v>0</v>
      </c>
      <c r="Q762" s="224">
        <f t="shared" ca="1" si="193"/>
        <v>416100</v>
      </c>
      <c r="R762" s="224">
        <f t="shared" ca="1" si="193"/>
        <v>416100</v>
      </c>
      <c r="S762" s="224">
        <f t="shared" ca="1" si="193"/>
        <v>143557.29</v>
      </c>
      <c r="T762" s="224">
        <f t="shared" ca="1" si="190"/>
        <v>34.500670511896182</v>
      </c>
      <c r="U762" s="224">
        <f t="shared" ca="1" si="191"/>
        <v>34.500670511896182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468">
        <f>L764+L765</f>
        <v>0</v>
      </c>
      <c r="M763" s="224">
        <f>M764+M765</f>
        <v>0</v>
      </c>
      <c r="N763" s="224">
        <f>N764+N765</f>
        <v>0</v>
      </c>
      <c r="O763" s="224">
        <f t="shared" si="188"/>
        <v>0</v>
      </c>
      <c r="P763" s="224">
        <f t="shared" si="189"/>
        <v>0</v>
      </c>
      <c r="Q763" s="224">
        <f ca="1">Q764+Q765</f>
        <v>416100</v>
      </c>
      <c r="R763" s="224">
        <f ca="1">R764+R765</f>
        <v>416100</v>
      </c>
      <c r="S763" s="224">
        <f ca="1">S764+S765</f>
        <v>143557.29</v>
      </c>
      <c r="T763" s="224">
        <f t="shared" ca="1" si="190"/>
        <v>34.500670511896182</v>
      </c>
      <c r="U763" s="224">
        <f t="shared" ca="1" si="191"/>
        <v>34.500670511896182</v>
      </c>
    </row>
    <row r="764" spans="1:21" ht="18.75" hidden="1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469">
        <v>0</v>
      </c>
      <c r="M764" s="83">
        <v>0</v>
      </c>
      <c r="N764" s="83">
        <v>0</v>
      </c>
      <c r="O764" s="83">
        <f t="shared" si="188"/>
        <v>0</v>
      </c>
      <c r="P764" s="83">
        <f t="shared" si="189"/>
        <v>0</v>
      </c>
      <c r="Q764" s="83">
        <v>0</v>
      </c>
      <c r="R764" s="83">
        <v>0</v>
      </c>
      <c r="S764" s="83">
        <v>0</v>
      </c>
      <c r="T764" s="83">
        <f t="shared" si="190"/>
        <v>0</v>
      </c>
      <c r="U764" s="83">
        <f t="shared" si="191"/>
        <v>0</v>
      </c>
    </row>
    <row r="765" spans="1:21" ht="18.75" hidden="1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468">
        <v>0</v>
      </c>
      <c r="M765" s="224">
        <v>0</v>
      </c>
      <c r="N765" s="224">
        <v>0</v>
      </c>
      <c r="O765" s="224">
        <f t="shared" si="188"/>
        <v>0</v>
      </c>
      <c r="P765" s="224">
        <f t="shared" si="189"/>
        <v>0</v>
      </c>
      <c r="Q765" s="224">
        <f ca="1">IFERROR(__xludf.DUMMYFUNCTION("IMPORTRANGE(""https://docs.google.com/spreadsheets/d/1ItG2mGa2ceCfYo0BwxsXqNm01IGEUdYcSSLTEv9YCik/edit?usp=sharing"",""เบิกจ่ายกองทุน!U16"")"),416100)</f>
        <v>416100</v>
      </c>
      <c r="R765" s="224">
        <f ca="1">IFERROR(__xludf.DUMMYFUNCTION("IMPORTRANGE(""https://docs.google.com/spreadsheets/d/1ItG2mGa2ceCfYo0BwxsXqNm01IGEUdYcSSLTEv9YCik/edit?usp=sharing"",""เบิกจ่ายกองทุน!V16"")"),416100)</f>
        <v>416100</v>
      </c>
      <c r="S765" s="224">
        <f ca="1">IFERROR(__xludf.DUMMYFUNCTION("IMPORTRANGE(""https://docs.google.com/spreadsheets/d/1ItG2mGa2ceCfYo0BwxsXqNm01IGEUdYcSSLTEv9YCik/edit?usp=sharing"",""เบิกจ่ายกองทุน!W16"")"),143557.29)</f>
        <v>143557.29</v>
      </c>
      <c r="T765" s="224">
        <f t="shared" ca="1" si="190"/>
        <v>34.500670511896182</v>
      </c>
      <c r="U765" s="224">
        <f t="shared" ca="1" si="191"/>
        <v>34.500670511896182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468">
        <f>L767+L768</f>
        <v>0</v>
      </c>
      <c r="M766" s="224">
        <f>M767+M768</f>
        <v>0</v>
      </c>
      <c r="N766" s="224">
        <f>N767+N768</f>
        <v>0</v>
      </c>
      <c r="O766" s="224">
        <f t="shared" si="188"/>
        <v>0</v>
      </c>
      <c r="P766" s="224">
        <f t="shared" si="189"/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 t="shared" si="190"/>
        <v>0</v>
      </c>
      <c r="U766" s="224">
        <f t="shared" si="191"/>
        <v>0</v>
      </c>
    </row>
    <row r="767" spans="1:21" ht="18.75" hidden="1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469">
        <v>0</v>
      </c>
      <c r="M767" s="83">
        <v>0</v>
      </c>
      <c r="N767" s="83">
        <v>0</v>
      </c>
      <c r="O767" s="83">
        <f t="shared" si="188"/>
        <v>0</v>
      </c>
      <c r="P767" s="83">
        <f t="shared" si="189"/>
        <v>0</v>
      </c>
      <c r="Q767" s="83">
        <v>0</v>
      </c>
      <c r="R767" s="83">
        <v>0</v>
      </c>
      <c r="S767" s="83">
        <v>0</v>
      </c>
      <c r="T767" s="83">
        <f t="shared" si="190"/>
        <v>0</v>
      </c>
      <c r="U767" s="83">
        <f t="shared" si="191"/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468">
        <v>0</v>
      </c>
      <c r="M768" s="224">
        <v>0</v>
      </c>
      <c r="N768" s="224">
        <v>0</v>
      </c>
      <c r="O768" s="224">
        <f t="shared" si="188"/>
        <v>0</v>
      </c>
      <c r="P768" s="224">
        <f t="shared" si="189"/>
        <v>0</v>
      </c>
      <c r="Q768" s="224">
        <v>0</v>
      </c>
      <c r="R768" s="224">
        <v>0</v>
      </c>
      <c r="S768" s="224">
        <v>0</v>
      </c>
      <c r="T768" s="224">
        <f t="shared" si="190"/>
        <v>0</v>
      </c>
      <c r="U768" s="224">
        <f t="shared" si="191"/>
        <v>0</v>
      </c>
    </row>
    <row r="769" spans="1:21" ht="19.5" x14ac:dyDescent="0.3">
      <c r="A769" s="138"/>
      <c r="B769" s="139"/>
      <c r="C769" s="446" t="s">
        <v>18</v>
      </c>
      <c r="D769" s="467" t="s">
        <v>38</v>
      </c>
      <c r="E769" s="203"/>
      <c r="F769" s="141"/>
      <c r="G769" s="142"/>
      <c r="H769" s="178"/>
      <c r="I769" s="44"/>
      <c r="J769" s="44"/>
      <c r="K769" s="45"/>
      <c r="L769" s="465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377" t="s">
        <v>286</v>
      </c>
      <c r="E770" s="139"/>
      <c r="F770" s="145"/>
      <c r="G770" s="143"/>
      <c r="H770" s="375" t="s">
        <v>35</v>
      </c>
      <c r="I770" s="430">
        <f ca="1">IFERROR(__xludf.DUMMYFUNCTION("IMPORTRANGE(""https://docs.google.com/spreadsheets/d/1eHaY18a8A9IcSdp1K8H6x8fbOy06t2VsZHhMHf-1x7Y/edit?usp=sharing"",""แผน!FI16"")"),0)</f>
        <v>0</v>
      </c>
      <c r="J770" s="430">
        <v>0</v>
      </c>
      <c r="K770" s="83">
        <f ca="1">IF(I770&gt;0,J770*100/I770,0)</f>
        <v>0</v>
      </c>
      <c r="L770" s="465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377" t="s">
        <v>287</v>
      </c>
      <c r="E771" s="139"/>
      <c r="F771" s="145"/>
      <c r="G771" s="143"/>
      <c r="H771" s="178"/>
      <c r="I771" s="44"/>
      <c r="J771" s="44"/>
      <c r="K771" s="45"/>
      <c r="L771" s="465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10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IFERROR(__xludf.DUMMYFUNCTION("IMPORTRANGE(""https://docs.google.com/spreadsheets/d/1eHaY18a8A9IcSdp1K8H6x8fbOy06t2VsZHhMHf-1x7Y/edit?usp=sharing"",""แผน!FQ16"")"),60)</f>
        <v>60</v>
      </c>
      <c r="J772" s="466">
        <v>40</v>
      </c>
      <c r="K772" s="224">
        <f ca="1">IF(I772&gt;0,J772*100/I772,0)</f>
        <v>66.666666666666671</v>
      </c>
      <c r="L772" s="465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10" t="s">
        <v>289</v>
      </c>
      <c r="E773" s="139"/>
      <c r="F773" s="145"/>
      <c r="G773" s="143"/>
      <c r="H773" s="178"/>
      <c r="I773" s="44"/>
      <c r="J773" s="44"/>
      <c r="K773" s="45"/>
      <c r="L773" s="465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10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IFERROR(__xludf.DUMMYFUNCTION("IMPORTRANGE(""https://docs.google.com/spreadsheets/d/1eHaY18a8A9IcSdp1K8H6x8fbOy06t2VsZHhMHf-1x7Y/edit?usp=sharing"",""แผน!FR16"")"),110)</f>
        <v>110</v>
      </c>
      <c r="J774" s="466">
        <v>78</v>
      </c>
      <c r="K774" s="224">
        <f ca="1">IF(I774&gt;0,J774*100/I774,0)</f>
        <v>70.909090909090907</v>
      </c>
      <c r="L774" s="465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10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IFERROR(__xludf.DUMMYFUNCTION("IMPORTRANGE(""https://docs.google.com/spreadsheets/d/1eHaY18a8A9IcSdp1K8H6x8fbOy06t2VsZHhMHf-1x7Y/edit?usp=sharing"",""แผน!FS16"")"),110)</f>
        <v>110</v>
      </c>
      <c r="J775" s="466">
        <v>0</v>
      </c>
      <c r="K775" s="45"/>
      <c r="L775" s="465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IFERROR(__xludf.DUMMYFUNCTION("IMPORTRANGE(""https://docs.google.com/spreadsheets/d/1eHaY18a8A9IcSdp1K8H6x8fbOy06t2VsZHhMHf-1x7Y/edit?usp=sharing"",""แผน!FT16"")"),60)</f>
        <v>60</v>
      </c>
      <c r="J776" s="464">
        <v>0</v>
      </c>
      <c r="K776" s="3"/>
      <c r="L776" s="46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462" t="s">
        <v>291</v>
      </c>
      <c r="B777" s="449"/>
      <c r="C777" s="449"/>
      <c r="D777" s="448"/>
      <c r="E777" s="449"/>
      <c r="F777" s="449"/>
      <c r="G777" s="450"/>
      <c r="H777" s="461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2"/>
      <c r="J777" s="453"/>
      <c r="K777" s="454"/>
      <c r="L777" s="454"/>
      <c r="M777" s="454"/>
      <c r="N777" s="454"/>
      <c r="O777" s="454"/>
      <c r="P777" s="454"/>
      <c r="Q777" s="454"/>
      <c r="R777" s="454"/>
      <c r="S777" s="454"/>
      <c r="T777" s="454"/>
      <c r="U777" s="454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IFERROR(__xludf.DUMMYFUNCTION("IMPORTRANGE(""https://docs.google.com/spreadsheets/d/10OvvATaaLtwErnr3qtWFcTmtbfpFEt5Bsqel9sXx0uE/edit?usp=sharing"",""งานกองทุน!D16"")"),2769562.15)</f>
        <v>2769562.15</v>
      </c>
      <c r="J778" s="184">
        <f ca="1">IFERROR(__xludf.DUMMYFUNCTION("IMPORTRANGE(""https://docs.google.com/spreadsheets/d/10OvvATaaLtwErnr3qtWFcTmtbfpFEt5Bsqel9sXx0uE/edit?usp=sharing"",""งานกองทุน!F16"")"),269901.61)</f>
        <v>269901.61</v>
      </c>
      <c r="K778" s="224">
        <f t="shared" ref="K778:K785" ca="1" si="194">IF(I778&gt;0,J778*100/I778,0)</f>
        <v>9.7452808560371178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IFERROR(__xludf.DUMMYFUNCTION("IMPORTRANGE(""https://docs.google.com/spreadsheets/d/10OvvATaaLtwErnr3qtWFcTmtbfpFEt5Bsqel9sXx0uE/edit?usp=sharing"",""งานกองทุน!C16"")"),122)</f>
        <v>122</v>
      </c>
      <c r="J779" s="184">
        <f ca="1">IFERROR(__xludf.DUMMYFUNCTION("IMPORTRANGE(""https://docs.google.com/spreadsheets/d/10OvvATaaLtwErnr3qtWFcTmtbfpFEt5Bsqel9sXx0uE/edit?usp=sharing"",""งานกองทุน!E16"")"),15)</f>
        <v>15</v>
      </c>
      <c r="K779" s="224">
        <f t="shared" ca="1" si="194"/>
        <v>12.295081967213115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IFERROR(__xludf.DUMMYFUNCTION("IMPORTRANGE(""https://docs.google.com/spreadsheets/d/10OvvATaaLtwErnr3qtWFcTmtbfpFEt5Bsqel9sXx0uE/edit?usp=sharing"",""งานกองทุน!I16"")"),757037.79)</f>
        <v>757037.79</v>
      </c>
      <c r="J780" s="184">
        <f ca="1">IFERROR(__xludf.DUMMYFUNCTION("IMPORTRANGE(""https://docs.google.com/spreadsheets/d/10OvvATaaLtwErnr3qtWFcTmtbfpFEt5Bsqel9sXx0uE/edit?usp=sharing"",""งานกองทุน!K16"")"),84719.67)</f>
        <v>84719.67</v>
      </c>
      <c r="K780" s="224">
        <f t="shared" ca="1" si="194"/>
        <v>11.190943321336706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IFERROR(__xludf.DUMMYFUNCTION("IMPORTRANGE(""https://docs.google.com/spreadsheets/d/10OvvATaaLtwErnr3qtWFcTmtbfpFEt5Bsqel9sXx0uE/edit?usp=sharing"",""งานกองทุน!H16"")"),51)</f>
        <v>51</v>
      </c>
      <c r="J781" s="184">
        <f ca="1">IFERROR(__xludf.DUMMYFUNCTION("IMPORTRANGE(""https://docs.google.com/spreadsheets/d/10OvvATaaLtwErnr3qtWFcTmtbfpFEt5Bsqel9sXx0uE/edit?usp=sharing"",""งานกองทุน!J16"")"),22)</f>
        <v>22</v>
      </c>
      <c r="K781" s="224">
        <f t="shared" ca="1" si="194"/>
        <v>43.137254901960787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IFERROR(__xludf.DUMMYFUNCTION("IMPORTRANGE(""https://docs.google.com/spreadsheets/d/10OvvATaaLtwErnr3qtWFcTmtbfpFEt5Bsqel9sXx0uE/edit?usp=sharing"",""งานกองทุน!N16"")"),39168.37)</f>
        <v>39168.370000000003</v>
      </c>
      <c r="J782" s="184">
        <f ca="1">IFERROR(__xludf.DUMMYFUNCTION("IMPORTRANGE(""https://docs.google.com/spreadsheets/d/10OvvATaaLtwErnr3qtWFcTmtbfpFEt5Bsqel9sXx0uE/edit?usp=sharing"",""งานกองทุน!P16"")"),5418.45)</f>
        <v>5418.45</v>
      </c>
      <c r="K782" s="224">
        <f t="shared" ca="1" si="194"/>
        <v>13.833738805061328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IFERROR(__xludf.DUMMYFUNCTION("IMPORTRANGE(""https://docs.google.com/spreadsheets/d/10OvvATaaLtwErnr3qtWFcTmtbfpFEt5Bsqel9sXx0uE/edit?usp=sharing"",""งานกองทุน!M16"")"),20)</f>
        <v>20</v>
      </c>
      <c r="J783" s="184">
        <f ca="1">IFERROR(__xludf.DUMMYFUNCTION("IMPORTRANGE(""https://docs.google.com/spreadsheets/d/10OvvATaaLtwErnr3qtWFcTmtbfpFEt5Bsqel9sXx0uE/edit?usp=sharing"",""งานกองทุน!O16"")"),2)</f>
        <v>2</v>
      </c>
      <c r="K783" s="224">
        <f t="shared" ca="1" si="194"/>
        <v>10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IFERROR(__xludf.DUMMYFUNCTION("IMPORTRANGE(""https://docs.google.com/spreadsheets/d/10OvvATaaLtwErnr3qtWFcTmtbfpFEt5Bsqel9sXx0uE/edit?usp=sharing"",""งานกองทุน!S16"")"),3696000)</f>
        <v>3696000</v>
      </c>
      <c r="J784" s="184">
        <f ca="1">IFERROR(__xludf.DUMMYFUNCTION("IMPORTRANGE(""https://docs.google.com/spreadsheets/d/10OvvATaaLtwErnr3qtWFcTmtbfpFEt5Bsqel9sXx0uE/edit?usp=sharing"",""งานกองทุน!U16"")"),0)</f>
        <v>0</v>
      </c>
      <c r="K784" s="224">
        <f t="shared" ca="1" si="194"/>
        <v>0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IFERROR(__xludf.DUMMYFUNCTION("IMPORTRANGE(""https://docs.google.com/spreadsheets/d/10OvvATaaLtwErnr3qtWFcTmtbfpFEt5Bsqel9sXx0uE/edit?usp=sharing"",""งานกองทุน!R16"")"),132)</f>
        <v>132</v>
      </c>
      <c r="J785" s="188">
        <f ca="1">IFERROR(__xludf.DUMMYFUNCTION("IMPORTRANGE(""https://docs.google.com/spreadsheets/d/10OvvATaaLtwErnr3qtWFcTmtbfpFEt5Bsqel9sXx0uE/edit?usp=sharing"",""งานกองทุน!T16"")"),0)</f>
        <v>0</v>
      </c>
      <c r="K785" s="455">
        <f t="shared" ca="1" si="194"/>
        <v>0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460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4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4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horizontalDpi="4294967293" verticalDpi="4294967293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A1FC5-8949-43E1-81B4-89678387461D}">
  <sheetPr>
    <outlinePr summaryBelow="0" summaryRight="0"/>
  </sheetPr>
  <dimension ref="A1:U789"/>
  <sheetViews>
    <sheetView view="pageBreakPreview" zoomScale="60" zoomScaleNormal="70" workbookViewId="0">
      <pane xSplit="8" ySplit="6" topLeftCell="I7" activePane="bottomRight" state="frozen"/>
      <selection activeCell="N28" sqref="N28"/>
      <selection pane="topRight" activeCell="N28" sqref="N28"/>
      <selection pane="bottomLeft" activeCell="N28" sqref="N28"/>
      <selection pane="bottomRight" activeCell="N28" sqref="N2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7109375" bestFit="1" customWidth="1"/>
    <col min="10" max="10" width="15" bestFit="1" customWidth="1"/>
    <col min="11" max="11" width="12.42578125" bestFit="1" customWidth="1"/>
    <col min="12" max="14" width="21" bestFit="1" customWidth="1"/>
    <col min="15" max="15" width="20.140625" bestFit="1" customWidth="1"/>
    <col min="16" max="16" width="22" bestFit="1" customWidth="1"/>
    <col min="17" max="19" width="18.57031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815" t="s">
        <v>0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5"/>
      <c r="T1" s="815"/>
      <c r="U1" s="815"/>
    </row>
    <row r="2" spans="1:21" ht="19.5" x14ac:dyDescent="0.3">
      <c r="A2" s="815" t="s">
        <v>315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</row>
    <row r="3" spans="1:21" ht="19.5" x14ac:dyDescent="0.3">
      <c r="A3" s="815" t="s">
        <v>335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709"/>
      <c r="L4" s="816" t="s">
        <v>2</v>
      </c>
      <c r="M4" s="800"/>
      <c r="N4" s="800"/>
      <c r="O4" s="800"/>
      <c r="P4" s="801"/>
      <c r="Q4" s="817" t="s">
        <v>3</v>
      </c>
      <c r="R4" s="800"/>
      <c r="S4" s="800"/>
      <c r="T4" s="800"/>
      <c r="U4" s="801"/>
    </row>
    <row r="5" spans="1:21" ht="19.5" x14ac:dyDescent="0.3">
      <c r="A5" s="822" t="s">
        <v>4</v>
      </c>
      <c r="B5" s="797"/>
      <c r="C5" s="797"/>
      <c r="D5" s="797"/>
      <c r="E5" s="797"/>
      <c r="F5" s="797"/>
      <c r="G5" s="798"/>
      <c r="H5" s="708" t="s">
        <v>5</v>
      </c>
      <c r="I5" s="814" t="s">
        <v>6</v>
      </c>
      <c r="J5" s="800"/>
      <c r="K5" s="801"/>
      <c r="L5" s="818" t="s">
        <v>7</v>
      </c>
      <c r="M5" s="801"/>
      <c r="N5" s="807" t="s">
        <v>8</v>
      </c>
      <c r="O5" s="800"/>
      <c r="P5" s="801"/>
      <c r="Q5" s="808" t="s">
        <v>7</v>
      </c>
      <c r="R5" s="801"/>
      <c r="S5" s="807" t="s">
        <v>8</v>
      </c>
      <c r="T5" s="800"/>
      <c r="U5" s="801"/>
    </row>
    <row r="6" spans="1:21" ht="19.5" x14ac:dyDescent="0.3">
      <c r="A6" s="799"/>
      <c r="B6" s="800"/>
      <c r="C6" s="800"/>
      <c r="D6" s="800"/>
      <c r="E6" s="800"/>
      <c r="F6" s="800"/>
      <c r="G6" s="801"/>
      <c r="H6" s="707"/>
      <c r="I6" s="6" t="s">
        <v>9</v>
      </c>
      <c r="J6" s="7" t="s">
        <v>10</v>
      </c>
      <c r="K6" s="6" t="s">
        <v>11</v>
      </c>
      <c r="L6" s="706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823"/>
      <c r="B7" s="800"/>
      <c r="C7" s="800"/>
      <c r="D7" s="800"/>
      <c r="E7" s="800"/>
      <c r="F7" s="800"/>
      <c r="G7" s="801"/>
      <c r="H7" s="14"/>
      <c r="I7" s="15"/>
      <c r="J7" s="15"/>
      <c r="K7" s="16"/>
      <c r="L7" s="580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571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71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71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71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71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71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71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71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580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803" t="s">
        <v>309</v>
      </c>
      <c r="B17" s="800"/>
      <c r="C17" s="800"/>
      <c r="D17" s="800"/>
      <c r="E17" s="800"/>
      <c r="F17" s="800"/>
      <c r="G17" s="801"/>
      <c r="H17" s="23"/>
      <c r="I17" s="24"/>
      <c r="J17" s="24"/>
      <c r="K17" s="25"/>
      <c r="L17" s="705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704">
        <f ca="1">L19+L20</f>
        <v>1857370</v>
      </c>
      <c r="M18" s="664">
        <f ca="1">M19+M20</f>
        <v>2002324</v>
      </c>
      <c r="N18" s="664">
        <f ca="1">N19+N20</f>
        <v>1443217.03</v>
      </c>
      <c r="O18" s="664">
        <f t="shared" ref="O18:O26" ca="1" si="0">IF(L18&gt;0,N18*100/L18,0)</f>
        <v>77.702182656121295</v>
      </c>
      <c r="P18" s="664">
        <f t="shared" ref="P18:P26" ca="1" si="1">IF(M18&gt;0,N18*100/M18,0)</f>
        <v>72.077097912225994</v>
      </c>
      <c r="Q18" s="664">
        <f ca="1">Q19+Q20</f>
        <v>823900.24</v>
      </c>
      <c r="R18" s="664">
        <f ca="1">R19+R20</f>
        <v>829900</v>
      </c>
      <c r="S18" s="664">
        <f ca="1">S19+S20</f>
        <v>138049.14000000001</v>
      </c>
      <c r="T18" s="664">
        <f t="shared" ref="T18:T26" ca="1" si="2">IF(Q18&gt;0,S18*100/Q18,0)</f>
        <v>16.75556496985606</v>
      </c>
      <c r="U18" s="664">
        <f t="shared" ref="U18:U26" ca="1" si="3">IF(R18&gt;0,S18*100/R18,0)</f>
        <v>16.634430654295702</v>
      </c>
    </row>
    <row r="19" spans="1:21" ht="18.75" hidden="1" x14ac:dyDescent="0.25">
      <c r="A19" s="26"/>
      <c r="B19" s="27"/>
      <c r="C19" s="27"/>
      <c r="D19" s="27"/>
      <c r="E19" s="703" t="s">
        <v>20</v>
      </c>
      <c r="F19" s="27"/>
      <c r="G19" s="30"/>
      <c r="H19" s="702" t="s">
        <v>14</v>
      </c>
      <c r="I19" s="32"/>
      <c r="J19" s="32"/>
      <c r="K19" s="33"/>
      <c r="L19" s="701">
        <f t="shared" ref="L19:N20" si="4">L22+L25</f>
        <v>0</v>
      </c>
      <c r="M19" s="700">
        <f t="shared" si="4"/>
        <v>0</v>
      </c>
      <c r="N19" s="700">
        <f t="shared" si="4"/>
        <v>0</v>
      </c>
      <c r="O19" s="700">
        <f t="shared" si="0"/>
        <v>0</v>
      </c>
      <c r="P19" s="700">
        <f t="shared" si="1"/>
        <v>0</v>
      </c>
      <c r="Q19" s="700">
        <f t="shared" ref="Q19:S20" si="5">Q22+Q25</f>
        <v>0</v>
      </c>
      <c r="R19" s="700">
        <f t="shared" si="5"/>
        <v>0</v>
      </c>
      <c r="S19" s="700">
        <f t="shared" si="5"/>
        <v>0</v>
      </c>
      <c r="T19" s="700">
        <f t="shared" si="2"/>
        <v>0</v>
      </c>
      <c r="U19" s="700">
        <f t="shared" si="3"/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699">
        <f t="shared" ca="1" si="4"/>
        <v>1857370</v>
      </c>
      <c r="M20" s="698">
        <f t="shared" ca="1" si="4"/>
        <v>2002324</v>
      </c>
      <c r="N20" s="698">
        <f t="shared" ca="1" si="4"/>
        <v>1443217.03</v>
      </c>
      <c r="O20" s="698">
        <f t="shared" ca="1" si="0"/>
        <v>77.702182656121295</v>
      </c>
      <c r="P20" s="698">
        <f t="shared" ca="1" si="1"/>
        <v>72.077097912225994</v>
      </c>
      <c r="Q20" s="698">
        <f t="shared" ca="1" si="5"/>
        <v>823900.24</v>
      </c>
      <c r="R20" s="698">
        <f t="shared" ca="1" si="5"/>
        <v>829900</v>
      </c>
      <c r="S20" s="698">
        <f t="shared" ca="1" si="5"/>
        <v>138049.14000000001</v>
      </c>
      <c r="T20" s="698">
        <f t="shared" ca="1" si="2"/>
        <v>16.75556496985606</v>
      </c>
      <c r="U20" s="698">
        <f t="shared" ca="1" si="3"/>
        <v>16.634430654295702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468">
        <f ca="1">L22+L23</f>
        <v>1857370</v>
      </c>
      <c r="M21" s="224">
        <f ca="1">M22+M23</f>
        <v>2002324</v>
      </c>
      <c r="N21" s="224">
        <f ca="1">N22+N23</f>
        <v>1443217.03</v>
      </c>
      <c r="O21" s="224">
        <f t="shared" ca="1" si="0"/>
        <v>77.702182656121295</v>
      </c>
      <c r="P21" s="224">
        <f t="shared" ca="1" si="1"/>
        <v>72.077097912225994</v>
      </c>
      <c r="Q21" s="224">
        <f ca="1">Q22+Q23</f>
        <v>823900.24</v>
      </c>
      <c r="R21" s="224">
        <f ca="1">R22+R23</f>
        <v>829900</v>
      </c>
      <c r="S21" s="224">
        <f ca="1">S22+S23</f>
        <v>138049.14000000001</v>
      </c>
      <c r="T21" s="224">
        <f t="shared" ca="1" si="2"/>
        <v>16.75556496985606</v>
      </c>
      <c r="U21" s="224">
        <f t="shared" ca="1" si="3"/>
        <v>16.634430654295702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674" t="s">
        <v>14</v>
      </c>
      <c r="I22" s="44"/>
      <c r="J22" s="44"/>
      <c r="K22" s="45"/>
      <c r="L22" s="469">
        <f t="shared" ref="L22:N23" si="6">L48+L63+L76+L98+L129+L143+L161+L190+L177+L270+L286+L307+L324+L337+L360+L517</f>
        <v>0</v>
      </c>
      <c r="M22" s="83">
        <f t="shared" si="6"/>
        <v>0</v>
      </c>
      <c r="N22" s="83">
        <f t="shared" si="6"/>
        <v>0</v>
      </c>
      <c r="O22" s="83">
        <f t="shared" si="0"/>
        <v>0</v>
      </c>
      <c r="P22" s="83">
        <f t="shared" si="1"/>
        <v>0</v>
      </c>
      <c r="Q22" s="83">
        <f t="shared" ref="Q22:S23" si="7">Q76+Q98+Q121+Q143+Q161+Q177+Q190+Q270+Q286+Q307+Q337+Q379+Q396+Q417+Q497+Q603+Q620+Q646+Q694+Q718+Q732+Q764</f>
        <v>0</v>
      </c>
      <c r="R22" s="83">
        <f t="shared" si="7"/>
        <v>0</v>
      </c>
      <c r="S22" s="83">
        <f t="shared" si="7"/>
        <v>0</v>
      </c>
      <c r="T22" s="83">
        <f t="shared" si="2"/>
        <v>0</v>
      </c>
      <c r="U22" s="83">
        <f t="shared" si="3"/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468">
        <f t="shared" ca="1" si="6"/>
        <v>1857370</v>
      </c>
      <c r="M23" s="224">
        <f t="shared" ca="1" si="6"/>
        <v>2002324</v>
      </c>
      <c r="N23" s="224">
        <f t="shared" ca="1" si="6"/>
        <v>1443217.03</v>
      </c>
      <c r="O23" s="224">
        <f t="shared" ca="1" si="0"/>
        <v>77.702182656121295</v>
      </c>
      <c r="P23" s="224">
        <f t="shared" ca="1" si="1"/>
        <v>72.077097912225994</v>
      </c>
      <c r="Q23" s="224">
        <f t="shared" ca="1" si="7"/>
        <v>823900.24</v>
      </c>
      <c r="R23" s="224">
        <f t="shared" ca="1" si="7"/>
        <v>829900</v>
      </c>
      <c r="S23" s="224">
        <f t="shared" ca="1" si="7"/>
        <v>138049.14000000001</v>
      </c>
      <c r="T23" s="224">
        <f t="shared" ca="1" si="2"/>
        <v>16.75556496985606</v>
      </c>
      <c r="U23" s="224">
        <f t="shared" ca="1" si="3"/>
        <v>16.634430654295702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468">
        <f ca="1">L25+L26</f>
        <v>0</v>
      </c>
      <c r="M24" s="224">
        <f ca="1">M25+M26</f>
        <v>0</v>
      </c>
      <c r="N24" s="224">
        <f ca="1">N25+N26</f>
        <v>0</v>
      </c>
      <c r="O24" s="224">
        <f t="shared" ca="1" si="0"/>
        <v>0</v>
      </c>
      <c r="P24" s="224">
        <f t="shared" ca="1" si="1"/>
        <v>0</v>
      </c>
      <c r="Q24" s="224">
        <f>Q25+Q26</f>
        <v>0</v>
      </c>
      <c r="R24" s="224">
        <f>R25+R26</f>
        <v>0</v>
      </c>
      <c r="S24" s="224">
        <f>S25+S26</f>
        <v>0</v>
      </c>
      <c r="T24" s="224">
        <f t="shared" si="2"/>
        <v>0</v>
      </c>
      <c r="U24" s="224">
        <f t="shared" si="3"/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674" t="s">
        <v>14</v>
      </c>
      <c r="I25" s="44"/>
      <c r="J25" s="44"/>
      <c r="K25" s="45"/>
      <c r="L25" s="469">
        <f t="shared" ref="L25:N26" si="8">L51+L66+L79+L101+L132+L146+L164+L193+L180+L273+L289+L310+L327+L340+L363+L520</f>
        <v>0</v>
      </c>
      <c r="M25" s="83">
        <f t="shared" si="8"/>
        <v>0</v>
      </c>
      <c r="N25" s="83">
        <f t="shared" si="8"/>
        <v>0</v>
      </c>
      <c r="O25" s="83">
        <f t="shared" si="0"/>
        <v>0</v>
      </c>
      <c r="P25" s="83">
        <f t="shared" si="1"/>
        <v>0</v>
      </c>
      <c r="Q25" s="83">
        <f t="shared" ref="Q25:S26" si="9">Q79+Q101+Q124+Q146+Q164+Q180+Q193+Q273+Q289+Q310+Q340+Q382+Q399+Q420+Q500+Q606+Q623+Q649+Q697+Q721+Q735+Q767</f>
        <v>0</v>
      </c>
      <c r="R25" s="83">
        <f t="shared" si="9"/>
        <v>0</v>
      </c>
      <c r="S25" s="83">
        <f t="shared" si="9"/>
        <v>0</v>
      </c>
      <c r="T25" s="83">
        <f t="shared" si="2"/>
        <v>0</v>
      </c>
      <c r="U25" s="83">
        <f t="shared" si="3"/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468">
        <f t="shared" ca="1" si="8"/>
        <v>0</v>
      </c>
      <c r="M26" s="224">
        <f t="shared" ca="1" si="8"/>
        <v>0</v>
      </c>
      <c r="N26" s="224">
        <f t="shared" ca="1" si="8"/>
        <v>0</v>
      </c>
      <c r="O26" s="224">
        <f t="shared" ca="1" si="0"/>
        <v>0</v>
      </c>
      <c r="P26" s="224">
        <f t="shared" ca="1" si="1"/>
        <v>0</v>
      </c>
      <c r="Q26" s="83">
        <f t="shared" si="9"/>
        <v>0</v>
      </c>
      <c r="R26" s="83">
        <f t="shared" si="9"/>
        <v>0</v>
      </c>
      <c r="S26" s="83">
        <f t="shared" si="9"/>
        <v>0</v>
      </c>
      <c r="T26" s="224">
        <f t="shared" si="2"/>
        <v>0</v>
      </c>
      <c r="U26" s="224">
        <f t="shared" si="3"/>
        <v>0</v>
      </c>
    </row>
    <row r="27" spans="1:21" ht="18.75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465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674" t="s">
        <v>14</v>
      </c>
      <c r="I28" s="44"/>
      <c r="J28" s="44"/>
      <c r="K28" s="45"/>
      <c r="L28" s="465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463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823"/>
      <c r="B30" s="800"/>
      <c r="C30" s="800"/>
      <c r="D30" s="800"/>
      <c r="E30" s="800"/>
      <c r="F30" s="800"/>
      <c r="G30" s="801"/>
      <c r="H30" s="14"/>
      <c r="I30" s="15"/>
      <c r="J30" s="15"/>
      <c r="K30" s="16"/>
      <c r="L30" s="580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571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7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71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7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7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7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7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71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580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697">
        <f ca="1">L44+L59+L72+L94+L125+L139+L157+L173+L186+L266+L282+L303+L320+L333+L356</f>
        <v>1857370</v>
      </c>
      <c r="M40" s="696">
        <f ca="1">M44+M59+M72+M94+M125+M139+M157+M173+M186+M266+M282+M303+M320+M333+M356</f>
        <v>2002324</v>
      </c>
      <c r="N40" s="696">
        <f ca="1">N44+N59+N72+N94+N125+N139+N157+N173+N186+N266+N282+N303+N320+N333+N356</f>
        <v>1443217.03</v>
      </c>
      <c r="O40" s="696">
        <f ca="1">IF(L40&gt;0,N40*100/L40,0)</f>
        <v>77.702182656121295</v>
      </c>
      <c r="P40" s="696">
        <f ca="1">IF(M40&gt;0,N40*100/M40,0)</f>
        <v>72.077097912225994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695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571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694" t="s">
        <v>19</v>
      </c>
      <c r="E44" s="71"/>
      <c r="F44" s="71"/>
      <c r="G44" s="74"/>
      <c r="H44" s="75" t="s">
        <v>14</v>
      </c>
      <c r="I44" s="76"/>
      <c r="J44" s="76"/>
      <c r="K44" s="77"/>
      <c r="L44" s="693">
        <f ca="1">L45+L46</f>
        <v>275600</v>
      </c>
      <c r="M44" s="692">
        <f ca="1">M45+M46</f>
        <v>396474</v>
      </c>
      <c r="N44" s="692">
        <f ca="1">N45+N46</f>
        <v>302674</v>
      </c>
      <c r="O44" s="692">
        <f t="shared" ref="O44:O52" ca="1" si="10">IF(L44&gt;0,N44*100/L44,0)</f>
        <v>109.82365747460086</v>
      </c>
      <c r="P44" s="692">
        <f t="shared" ref="P44:P52" ca="1" si="11">IF(M44&gt;0,N44*100/M44,0)</f>
        <v>76.341449880698363</v>
      </c>
      <c r="Q44" s="692">
        <f>Q45+Q46</f>
        <v>0</v>
      </c>
      <c r="R44" s="692">
        <f>R45+R46</f>
        <v>0</v>
      </c>
      <c r="S44" s="692">
        <f>S45+S46</f>
        <v>0</v>
      </c>
      <c r="T44" s="692">
        <f t="shared" ref="T44:T52" si="12">IF(Q44&gt;0,S44*100/Q44,0)</f>
        <v>0</v>
      </c>
      <c r="U44" s="692">
        <f t="shared" ref="U44:U52" si="13">IF(R44&gt;0,S44*100/R44,0)</f>
        <v>0</v>
      </c>
    </row>
    <row r="45" spans="1:21" ht="18.75" hidden="1" x14ac:dyDescent="0.25">
      <c r="A45" s="70"/>
      <c r="B45" s="71"/>
      <c r="C45" s="71"/>
      <c r="D45" s="71"/>
      <c r="E45" s="691" t="s">
        <v>20</v>
      </c>
      <c r="F45" s="71"/>
      <c r="G45" s="74"/>
      <c r="H45" s="690" t="s">
        <v>14</v>
      </c>
      <c r="I45" s="76"/>
      <c r="J45" s="76"/>
      <c r="K45" s="77"/>
      <c r="L45" s="689">
        <f t="shared" ref="L45:N46" si="14">L48+L51</f>
        <v>0</v>
      </c>
      <c r="M45" s="688">
        <f t="shared" si="14"/>
        <v>0</v>
      </c>
      <c r="N45" s="688">
        <f t="shared" si="14"/>
        <v>0</v>
      </c>
      <c r="O45" s="688">
        <f t="shared" si="10"/>
        <v>0</v>
      </c>
      <c r="P45" s="688">
        <f t="shared" si="11"/>
        <v>0</v>
      </c>
      <c r="Q45" s="688">
        <f t="shared" ref="Q45:S46" si="15">Q48+Q51</f>
        <v>0</v>
      </c>
      <c r="R45" s="688">
        <f t="shared" si="15"/>
        <v>0</v>
      </c>
      <c r="S45" s="688">
        <f t="shared" si="15"/>
        <v>0</v>
      </c>
      <c r="T45" s="688">
        <f t="shared" si="12"/>
        <v>0</v>
      </c>
      <c r="U45" s="688">
        <f t="shared" si="13"/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687">
        <f t="shared" ca="1" si="14"/>
        <v>275600</v>
      </c>
      <c r="M46" s="686">
        <f t="shared" ca="1" si="14"/>
        <v>396474</v>
      </c>
      <c r="N46" s="686">
        <f t="shared" ca="1" si="14"/>
        <v>302674</v>
      </c>
      <c r="O46" s="686">
        <f t="shared" ca="1" si="10"/>
        <v>109.82365747460086</v>
      </c>
      <c r="P46" s="686">
        <f t="shared" ca="1" si="11"/>
        <v>76.341449880698363</v>
      </c>
      <c r="Q46" s="686">
        <f t="shared" si="15"/>
        <v>0</v>
      </c>
      <c r="R46" s="686">
        <f t="shared" si="15"/>
        <v>0</v>
      </c>
      <c r="S46" s="686">
        <f t="shared" si="15"/>
        <v>0</v>
      </c>
      <c r="T46" s="686">
        <f t="shared" si="12"/>
        <v>0</v>
      </c>
      <c r="U46" s="686">
        <f t="shared" si="13"/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468">
        <f ca="1">L48+L49</f>
        <v>275600</v>
      </c>
      <c r="M47" s="224">
        <f ca="1">M48+M49</f>
        <v>396474</v>
      </c>
      <c r="N47" s="224">
        <f ca="1">N48+N49</f>
        <v>302674</v>
      </c>
      <c r="O47" s="224">
        <f t="shared" ca="1" si="10"/>
        <v>109.82365747460086</v>
      </c>
      <c r="P47" s="224">
        <f t="shared" ca="1" si="11"/>
        <v>76.341449880698363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 t="shared" si="12"/>
        <v>0</v>
      </c>
      <c r="U47" s="224">
        <f t="shared" si="13"/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674" t="s">
        <v>14</v>
      </c>
      <c r="I48" s="44"/>
      <c r="J48" s="44"/>
      <c r="K48" s="45"/>
      <c r="L48" s="469">
        <v>0</v>
      </c>
      <c r="M48" s="83">
        <v>0</v>
      </c>
      <c r="N48" s="83">
        <v>0</v>
      </c>
      <c r="O48" s="83">
        <f t="shared" si="10"/>
        <v>0</v>
      </c>
      <c r="P48" s="83">
        <f t="shared" si="11"/>
        <v>0</v>
      </c>
      <c r="Q48" s="83">
        <v>0</v>
      </c>
      <c r="R48" s="83">
        <v>0</v>
      </c>
      <c r="S48" s="83">
        <v>0</v>
      </c>
      <c r="T48" s="83">
        <f t="shared" si="12"/>
        <v>0</v>
      </c>
      <c r="U48" s="83">
        <f t="shared" si="13"/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468">
        <f ca="1">IFERROR(__xludf.DUMMYFUNCTION("IMPORTRANGE(""https://docs.google.com/spreadsheets/d/1-uDff_7J0KD5mKrp0Vvzr7lt3OU09vwQwhkpOPPYv2Y/edit?usp=sharing"",""งบพรบ!P17"")"),275600)</f>
        <v>275600</v>
      </c>
      <c r="M49" s="224">
        <f ca="1">IFERROR(__xludf.DUMMYFUNCTION("IMPORTRANGE(""https://docs.google.com/spreadsheets/d/1-uDff_7J0KD5mKrp0Vvzr7lt3OU09vwQwhkpOPPYv2Y/edit?usp=sharing"",""งบพรบ!V17"")"),396474)</f>
        <v>396474</v>
      </c>
      <c r="N49" s="224">
        <f ca="1">IFERROR(__xludf.DUMMYFUNCTION("IMPORTRANGE(""https://docs.google.com/spreadsheets/d/1-uDff_7J0KD5mKrp0Vvzr7lt3OU09vwQwhkpOPPYv2Y/edit?usp=sharing"",""งบพรบ!Y17"")"),302674)</f>
        <v>302674</v>
      </c>
      <c r="O49" s="224">
        <f t="shared" ca="1" si="10"/>
        <v>109.82365747460086</v>
      </c>
      <c r="P49" s="224">
        <f t="shared" ca="1" si="11"/>
        <v>76.341449880698363</v>
      </c>
      <c r="Q49" s="224">
        <v>0</v>
      </c>
      <c r="R49" s="224">
        <v>0</v>
      </c>
      <c r="S49" s="224">
        <v>0</v>
      </c>
      <c r="T49" s="224">
        <f t="shared" si="12"/>
        <v>0</v>
      </c>
      <c r="U49" s="224">
        <f t="shared" si="13"/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468">
        <f ca="1">L51+L52</f>
        <v>0</v>
      </c>
      <c r="M50" s="224">
        <f ca="1">M51+M52</f>
        <v>0</v>
      </c>
      <c r="N50" s="224">
        <f ca="1">N51+N52</f>
        <v>0</v>
      </c>
      <c r="O50" s="224">
        <f t="shared" ca="1" si="10"/>
        <v>0</v>
      </c>
      <c r="P50" s="224">
        <f t="shared" ca="1" si="11"/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 t="shared" si="12"/>
        <v>0</v>
      </c>
      <c r="U50" s="224">
        <f t="shared" si="13"/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674" t="s">
        <v>14</v>
      </c>
      <c r="I51" s="44"/>
      <c r="J51" s="44"/>
      <c r="K51" s="45"/>
      <c r="L51" s="469">
        <v>0</v>
      </c>
      <c r="M51" s="83">
        <v>0</v>
      </c>
      <c r="N51" s="83">
        <v>0</v>
      </c>
      <c r="O51" s="83">
        <f t="shared" si="10"/>
        <v>0</v>
      </c>
      <c r="P51" s="83">
        <f t="shared" si="11"/>
        <v>0</v>
      </c>
      <c r="Q51" s="83">
        <v>0</v>
      </c>
      <c r="R51" s="83">
        <v>0</v>
      </c>
      <c r="S51" s="83">
        <v>0</v>
      </c>
      <c r="T51" s="83">
        <f t="shared" si="12"/>
        <v>0</v>
      </c>
      <c r="U51" s="83">
        <f t="shared" si="13"/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468">
        <f ca="1">IFERROR(__xludf.DUMMYFUNCTION("IMPORTRANGE(""https://docs.google.com/spreadsheets/d/1-uDff_7J0KD5mKrp0Vvzr7lt3OU09vwQwhkpOPPYv2Y/edit?usp=sharing"",""งบพรบ!S17"")"),0)</f>
        <v>0</v>
      </c>
      <c r="M52" s="224">
        <f ca="1">IFERROR(__xludf.DUMMYFUNCTION("IMPORTRANGE(""https://docs.google.com/spreadsheets/d/1-uDff_7J0KD5mKrp0Vvzr7lt3OU09vwQwhkpOPPYv2Y/edit?usp=sharing"",""งบพรบ!W17"")"),0)</f>
        <v>0</v>
      </c>
      <c r="N52" s="224">
        <f ca="1">IFERROR(__xludf.DUMMYFUNCTION("IMPORTRANGE(""https://docs.google.com/spreadsheets/d/1-uDff_7J0KD5mKrp0Vvzr7lt3OU09vwQwhkpOPPYv2Y/edit?usp=sharing"",""งบพรบ!Z17"")"),0)</f>
        <v>0</v>
      </c>
      <c r="O52" s="224">
        <f t="shared" ca="1" si="10"/>
        <v>0</v>
      </c>
      <c r="P52" s="224">
        <f t="shared" ca="1" si="11"/>
        <v>0</v>
      </c>
      <c r="Q52" s="224">
        <v>0</v>
      </c>
      <c r="R52" s="224">
        <v>0</v>
      </c>
      <c r="S52" s="224">
        <v>0</v>
      </c>
      <c r="T52" s="224">
        <f t="shared" si="12"/>
        <v>0</v>
      </c>
      <c r="U52" s="224">
        <f t="shared" si="13"/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465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674" t="s">
        <v>14</v>
      </c>
      <c r="I54" s="44"/>
      <c r="J54" s="44"/>
      <c r="K54" s="45"/>
      <c r="L54" s="465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463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804" t="s">
        <v>28</v>
      </c>
      <c r="B56" s="800"/>
      <c r="C56" s="800"/>
      <c r="D56" s="800"/>
      <c r="E56" s="800"/>
      <c r="F56" s="800"/>
      <c r="G56" s="80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805" t="s">
        <v>29</v>
      </c>
      <c r="C57" s="793"/>
      <c r="D57" s="793"/>
      <c r="E57" s="793"/>
      <c r="F57" s="793"/>
      <c r="G57" s="794"/>
      <c r="H57" s="89"/>
      <c r="I57" s="90"/>
      <c r="J57" s="90"/>
      <c r="K57" s="91"/>
      <c r="L57" s="68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8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8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82">
        <f ca="1">L60+L61</f>
        <v>472900</v>
      </c>
      <c r="M59" s="681">
        <f ca="1">M60+M61</f>
        <v>472900</v>
      </c>
      <c r="N59" s="681">
        <f ca="1">N60+N61</f>
        <v>396227.03</v>
      </c>
      <c r="O59" s="681">
        <f t="shared" ref="O59:O67" ca="1" si="16">IF(L59&gt;0,N59*100/L59,0)</f>
        <v>83.786641996193694</v>
      </c>
      <c r="P59" s="681">
        <f t="shared" ref="P59:P67" ca="1" si="17">IF(M59&gt;0,N59*100/M59,0)</f>
        <v>83.786641996193694</v>
      </c>
      <c r="Q59" s="681">
        <f>Q60+Q61</f>
        <v>0</v>
      </c>
      <c r="R59" s="681">
        <f>R60+R61</f>
        <v>0</v>
      </c>
      <c r="S59" s="681">
        <f>S60+S61</f>
        <v>0</v>
      </c>
      <c r="T59" s="681">
        <f t="shared" ref="T59:T67" si="18">IF(Q59&gt;0,S59*100/Q59,0)</f>
        <v>0</v>
      </c>
      <c r="U59" s="681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80" t="s">
        <v>20</v>
      </c>
      <c r="F60" s="99"/>
      <c r="G60" s="102"/>
      <c r="H60" s="679" t="s">
        <v>14</v>
      </c>
      <c r="I60" s="104"/>
      <c r="J60" s="104"/>
      <c r="K60" s="105"/>
      <c r="L60" s="678">
        <f t="shared" ref="L60:N61" si="20">L63+L66</f>
        <v>0</v>
      </c>
      <c r="M60" s="677">
        <f t="shared" si="20"/>
        <v>0</v>
      </c>
      <c r="N60" s="677">
        <f t="shared" si="20"/>
        <v>0</v>
      </c>
      <c r="O60" s="677">
        <f t="shared" si="16"/>
        <v>0</v>
      </c>
      <c r="P60" s="677">
        <f t="shared" si="17"/>
        <v>0</v>
      </c>
      <c r="Q60" s="677">
        <f t="shared" ref="Q60:S61" si="21">Q63+Q66</f>
        <v>0</v>
      </c>
      <c r="R60" s="677">
        <f t="shared" si="21"/>
        <v>0</v>
      </c>
      <c r="S60" s="677">
        <f t="shared" si="21"/>
        <v>0</v>
      </c>
      <c r="T60" s="677">
        <f t="shared" si="18"/>
        <v>0</v>
      </c>
      <c r="U60" s="677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76">
        <f t="shared" ca="1" si="20"/>
        <v>472900</v>
      </c>
      <c r="M61" s="675">
        <f t="shared" ca="1" si="20"/>
        <v>472900</v>
      </c>
      <c r="N61" s="675">
        <f t="shared" ca="1" si="20"/>
        <v>396227.03</v>
      </c>
      <c r="O61" s="675">
        <f t="shared" ca="1" si="16"/>
        <v>83.786641996193694</v>
      </c>
      <c r="P61" s="675">
        <f t="shared" ca="1" si="17"/>
        <v>83.786641996193694</v>
      </c>
      <c r="Q61" s="675">
        <f t="shared" si="21"/>
        <v>0</v>
      </c>
      <c r="R61" s="675">
        <f t="shared" si="21"/>
        <v>0</v>
      </c>
      <c r="S61" s="675">
        <f t="shared" si="21"/>
        <v>0</v>
      </c>
      <c r="T61" s="675">
        <f t="shared" si="18"/>
        <v>0</v>
      </c>
      <c r="U61" s="675">
        <f t="shared" si="19"/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468">
        <f ca="1">L63+L64</f>
        <v>472900</v>
      </c>
      <c r="M62" s="224">
        <f ca="1">M63+M64</f>
        <v>472900</v>
      </c>
      <c r="N62" s="224">
        <f ca="1">N63+N64</f>
        <v>396227.03</v>
      </c>
      <c r="O62" s="224">
        <f t="shared" ca="1" si="16"/>
        <v>83.786641996193694</v>
      </c>
      <c r="P62" s="224">
        <f t="shared" ca="1" si="17"/>
        <v>83.786641996193694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 t="shared" si="18"/>
        <v>0</v>
      </c>
      <c r="U62" s="224">
        <f t="shared" si="19"/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674" t="s">
        <v>14</v>
      </c>
      <c r="I63" s="44"/>
      <c r="J63" s="44"/>
      <c r="K63" s="45"/>
      <c r="L63" s="469">
        <v>0</v>
      </c>
      <c r="M63" s="83">
        <v>0</v>
      </c>
      <c r="N63" s="83">
        <v>0</v>
      </c>
      <c r="O63" s="83">
        <f t="shared" si="16"/>
        <v>0</v>
      </c>
      <c r="P63" s="83">
        <f t="shared" si="17"/>
        <v>0</v>
      </c>
      <c r="Q63" s="83">
        <v>0</v>
      </c>
      <c r="R63" s="83">
        <v>0</v>
      </c>
      <c r="S63" s="83">
        <v>0</v>
      </c>
      <c r="T63" s="83">
        <f t="shared" si="18"/>
        <v>0</v>
      </c>
      <c r="U63" s="83">
        <f t="shared" si="19"/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468">
        <f ca="1">IFERROR(__xludf.DUMMYFUNCTION("IMPORTRANGE(""https://docs.google.com/spreadsheets/d/1-uDff_7J0KD5mKrp0Vvzr7lt3OU09vwQwhkpOPPYv2Y/edit?usp=sharing"",""งบพรบ!AC17"")"),472900)</f>
        <v>472900</v>
      </c>
      <c r="M64" s="224">
        <f ca="1">IFERROR(__xludf.DUMMYFUNCTION("IMPORTRANGE(""https://docs.google.com/spreadsheets/d/1-uDff_7J0KD5mKrp0Vvzr7lt3OU09vwQwhkpOPPYv2Y/edit?usp=sharing"",""งบพรบ!AH17"")"),472900)</f>
        <v>472900</v>
      </c>
      <c r="N64" s="224">
        <f ca="1">IFERROR(__xludf.DUMMYFUNCTION("IMPORTRANGE(""https://docs.google.com/spreadsheets/d/1-uDff_7J0KD5mKrp0Vvzr7lt3OU09vwQwhkpOPPYv2Y/edit?usp=sharing"",""งบพรบ!AJ17"")"),396227.03)</f>
        <v>396227.03</v>
      </c>
      <c r="O64" s="224">
        <f t="shared" ca="1" si="16"/>
        <v>83.786641996193694</v>
      </c>
      <c r="P64" s="224">
        <f t="shared" ca="1" si="17"/>
        <v>83.786641996193694</v>
      </c>
      <c r="Q64" s="224">
        <v>0</v>
      </c>
      <c r="R64" s="224">
        <v>0</v>
      </c>
      <c r="S64" s="224">
        <v>0</v>
      </c>
      <c r="T64" s="224">
        <f t="shared" si="18"/>
        <v>0</v>
      </c>
      <c r="U64" s="224">
        <f t="shared" si="19"/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468">
        <f ca="1">L66+L67</f>
        <v>0</v>
      </c>
      <c r="M65" s="224">
        <f ca="1">M66+M67</f>
        <v>0</v>
      </c>
      <c r="N65" s="224">
        <f ca="1">N66+N67</f>
        <v>0</v>
      </c>
      <c r="O65" s="224">
        <f t="shared" ca="1" si="16"/>
        <v>0</v>
      </c>
      <c r="P65" s="224">
        <f t="shared" ca="1" si="17"/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 t="shared" si="18"/>
        <v>0</v>
      </c>
      <c r="U65" s="224">
        <f t="shared" si="19"/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674" t="s">
        <v>14</v>
      </c>
      <c r="I66" s="44"/>
      <c r="J66" s="44"/>
      <c r="K66" s="45"/>
      <c r="L66" s="469">
        <v>0</v>
      </c>
      <c r="M66" s="83">
        <v>0</v>
      </c>
      <c r="N66" s="83">
        <v>0</v>
      </c>
      <c r="O66" s="83">
        <f t="shared" si="16"/>
        <v>0</v>
      </c>
      <c r="P66" s="83">
        <f t="shared" si="17"/>
        <v>0</v>
      </c>
      <c r="Q66" s="83">
        <v>0</v>
      </c>
      <c r="R66" s="83">
        <v>0</v>
      </c>
      <c r="S66" s="83">
        <v>0</v>
      </c>
      <c r="T66" s="83">
        <f t="shared" si="18"/>
        <v>0</v>
      </c>
      <c r="U66" s="83">
        <f t="shared" si="19"/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673">
        <f ca="1">IFERROR(__xludf.DUMMYFUNCTION("IMPORTRANGE(""https://docs.google.com/spreadsheets/d/1-uDff_7J0KD5mKrp0Vvzr7lt3OU09vwQwhkpOPPYv2Y/edit?usp=sharing"",""งบพรบ!AF17"")"),0)</f>
        <v>0</v>
      </c>
      <c r="M67" s="455">
        <f ca="1">IFERROR(__xludf.DUMMYFUNCTION("IMPORTRANGE(""https://docs.google.com/spreadsheets/d/1-uDff_7J0KD5mKrp0Vvzr7lt3OU09vwQwhkpOPPYv2Y/edit?usp=sharing"",""งบพรบ!AI17"")"),0)</f>
        <v>0</v>
      </c>
      <c r="N67" s="455">
        <f ca="1">IFERROR(__xludf.DUMMYFUNCTION("IMPORTRANGE(""https://docs.google.com/spreadsheets/d/1-uDff_7J0KD5mKrp0Vvzr7lt3OU09vwQwhkpOPPYv2Y/edit?usp=sharing"",""งบพรบ!AK17"")"),0)</f>
        <v>0</v>
      </c>
      <c r="O67" s="455">
        <f t="shared" ca="1" si="16"/>
        <v>0</v>
      </c>
      <c r="P67" s="455">
        <f t="shared" ca="1" si="17"/>
        <v>0</v>
      </c>
      <c r="Q67" s="455">
        <v>0</v>
      </c>
      <c r="R67" s="455">
        <v>0</v>
      </c>
      <c r="S67" s="455">
        <v>0</v>
      </c>
      <c r="T67" s="455">
        <f t="shared" si="18"/>
        <v>0</v>
      </c>
      <c r="U67" s="455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7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665">
        <f ca="1">I82</f>
        <v>0</v>
      </c>
      <c r="J70" s="665">
        <f>J82</f>
        <v>0</v>
      </c>
      <c r="K70" s="664">
        <f ca="1">IF(I70&gt;0,J70*100/I70,0)</f>
        <v>0</v>
      </c>
      <c r="L70" s="510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hidden="1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665">
        <f ca="1">I83</f>
        <v>0</v>
      </c>
      <c r="J71" s="665">
        <f>J83</f>
        <v>0</v>
      </c>
      <c r="K71" s="664">
        <f ca="1">IF(I71&gt;0,J71*100/I71,0)</f>
        <v>0</v>
      </c>
      <c r="L71" s="510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8"/>
      <c r="B72" s="40"/>
      <c r="C72" s="129" t="s">
        <v>18</v>
      </c>
      <c r="D72" s="472" t="s">
        <v>19</v>
      </c>
      <c r="E72" s="40"/>
      <c r="F72" s="40"/>
      <c r="G72" s="42"/>
      <c r="H72" s="131" t="s">
        <v>14</v>
      </c>
      <c r="I72" s="44"/>
      <c r="J72" s="44"/>
      <c r="K72" s="45"/>
      <c r="L72" s="471">
        <f ca="1">L73+L74</f>
        <v>0</v>
      </c>
      <c r="M72" s="470">
        <f ca="1">M73+M74</f>
        <v>0</v>
      </c>
      <c r="N72" s="470">
        <f ca="1">N73+N74</f>
        <v>0</v>
      </c>
      <c r="O72" s="470">
        <f t="shared" ref="O72:O80" ca="1" si="22">IF(L72&gt;0,N72*100/L72,0)</f>
        <v>0</v>
      </c>
      <c r="P72" s="470">
        <f t="shared" ref="P72:P80" ca="1" si="23">IF(M72&gt;0,N72*100/M72,0)</f>
        <v>0</v>
      </c>
      <c r="Q72" s="470">
        <f ca="1">Q73+Q74</f>
        <v>0</v>
      </c>
      <c r="R72" s="470">
        <f ca="1">R73+R74</f>
        <v>0</v>
      </c>
      <c r="S72" s="470">
        <f ca="1">S73+S74</f>
        <v>0</v>
      </c>
      <c r="T72" s="470">
        <f t="shared" ref="T72:T80" ca="1" si="24">IF(Q72&gt;0,S72*100/Q72,0)</f>
        <v>0</v>
      </c>
      <c r="U72" s="470">
        <f t="shared" ref="U72:U80" ca="1" si="25">IF(R72&gt;0,S72*100/R72,0)</f>
        <v>0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469">
        <f t="shared" ref="L73:N74" si="26">L76+L79</f>
        <v>0</v>
      </c>
      <c r="M73" s="83">
        <f t="shared" si="26"/>
        <v>0</v>
      </c>
      <c r="N73" s="83">
        <f t="shared" si="26"/>
        <v>0</v>
      </c>
      <c r="O73" s="83">
        <f t="shared" si="22"/>
        <v>0</v>
      </c>
      <c r="P73" s="83">
        <f t="shared" si="23"/>
        <v>0</v>
      </c>
      <c r="Q73" s="83">
        <f t="shared" ref="Q73:S74" si="27">Q76+Q79</f>
        <v>0</v>
      </c>
      <c r="R73" s="83">
        <f t="shared" si="27"/>
        <v>0</v>
      </c>
      <c r="S73" s="83">
        <f t="shared" si="27"/>
        <v>0</v>
      </c>
      <c r="T73" s="83">
        <f t="shared" si="24"/>
        <v>0</v>
      </c>
      <c r="U73" s="83">
        <f t="shared" si="25"/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468">
        <f t="shared" ca="1" si="26"/>
        <v>0</v>
      </c>
      <c r="M74" s="224">
        <f t="shared" ca="1" si="26"/>
        <v>0</v>
      </c>
      <c r="N74" s="224">
        <f t="shared" ca="1" si="26"/>
        <v>0</v>
      </c>
      <c r="O74" s="224">
        <f t="shared" ca="1" si="22"/>
        <v>0</v>
      </c>
      <c r="P74" s="224">
        <f t="shared" ca="1" si="23"/>
        <v>0</v>
      </c>
      <c r="Q74" s="224">
        <f t="shared" ca="1" si="27"/>
        <v>0</v>
      </c>
      <c r="R74" s="224">
        <f t="shared" ca="1" si="27"/>
        <v>0</v>
      </c>
      <c r="S74" s="224">
        <f t="shared" ca="1" si="27"/>
        <v>0</v>
      </c>
      <c r="T74" s="224">
        <f t="shared" ca="1" si="24"/>
        <v>0</v>
      </c>
      <c r="U74" s="224">
        <f t="shared" ca="1" si="25"/>
        <v>0</v>
      </c>
    </row>
    <row r="75" spans="1:21" ht="18.75" hidden="1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468">
        <f ca="1">L76+L77</f>
        <v>0</v>
      </c>
      <c r="M75" s="224">
        <f ca="1">M76+M77</f>
        <v>0</v>
      </c>
      <c r="N75" s="224">
        <f ca="1">N76+N77</f>
        <v>0</v>
      </c>
      <c r="O75" s="224">
        <f t="shared" ca="1" si="22"/>
        <v>0</v>
      </c>
      <c r="P75" s="224">
        <f t="shared" ca="1" si="23"/>
        <v>0</v>
      </c>
      <c r="Q75" s="224">
        <f ca="1">Q76+Q77</f>
        <v>0</v>
      </c>
      <c r="R75" s="224">
        <f ca="1">R76+R77</f>
        <v>0</v>
      </c>
      <c r="S75" s="224">
        <f ca="1">S76+S77</f>
        <v>0</v>
      </c>
      <c r="T75" s="224">
        <f t="shared" ca="1" si="24"/>
        <v>0</v>
      </c>
      <c r="U75" s="224">
        <f t="shared" ca="1" si="25"/>
        <v>0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469">
        <v>0</v>
      </c>
      <c r="M76" s="83">
        <v>0</v>
      </c>
      <c r="N76" s="83">
        <v>0</v>
      </c>
      <c r="O76" s="83">
        <f t="shared" si="22"/>
        <v>0</v>
      </c>
      <c r="P76" s="83">
        <f t="shared" si="23"/>
        <v>0</v>
      </c>
      <c r="Q76" s="83">
        <v>0</v>
      </c>
      <c r="R76" s="83">
        <v>0</v>
      </c>
      <c r="S76" s="83">
        <v>0</v>
      </c>
      <c r="T76" s="83">
        <f t="shared" si="24"/>
        <v>0</v>
      </c>
      <c r="U76" s="83">
        <f t="shared" si="25"/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468">
        <f ca="1">IFERROR(__xludf.DUMMYFUNCTION("IMPORTRANGE(""https://docs.google.com/spreadsheets/d/1-uDff_7J0KD5mKrp0Vvzr7lt3OU09vwQwhkpOPPYv2Y/edit?usp=sharing"",""งบพรบ!AM17"")"),0)</f>
        <v>0</v>
      </c>
      <c r="M77" s="224">
        <f ca="1">IFERROR(__xludf.DUMMYFUNCTION("IMPORTRANGE(""https://docs.google.com/spreadsheets/d/1-uDff_7J0KD5mKrp0Vvzr7lt3OU09vwQwhkpOPPYv2Y/edit?usp=sharing"",""งบพรบ!AR17"")"),0)</f>
        <v>0</v>
      </c>
      <c r="N77" s="224">
        <f ca="1">IFERROR(__xludf.DUMMYFUNCTION("IMPORTRANGE(""https://docs.google.com/spreadsheets/d/1-uDff_7J0KD5mKrp0Vvzr7lt3OU09vwQwhkpOPPYv2Y/edit?usp=sharing"",""งบพรบ!AT17"")"),0)</f>
        <v>0</v>
      </c>
      <c r="O77" s="224">
        <f t="shared" ca="1" si="22"/>
        <v>0</v>
      </c>
      <c r="P77" s="224">
        <f t="shared" ca="1" si="23"/>
        <v>0</v>
      </c>
      <c r="Q77" s="224">
        <f ca="1">IFERROR(__xludf.DUMMYFUNCTION("IMPORTRANGE(""https://docs.google.com/spreadsheets/d/1ItG2mGa2ceCfYo0BwxsXqNm01IGEUdYcSSLTEv9YCik/edit?usp=sharing"",""เบิกจ่ายกองทุน!AS17"")"),0)</f>
        <v>0</v>
      </c>
      <c r="R77" s="224">
        <f ca="1">IFERROR(__xludf.DUMMYFUNCTION("IMPORTRANGE(""https://docs.google.com/spreadsheets/d/1ItG2mGa2ceCfYo0BwxsXqNm01IGEUdYcSSLTEv9YCik/edit?usp=sharing"",""เบิกจ่ายกองทุน!AT17"")"),0)</f>
        <v>0</v>
      </c>
      <c r="S77" s="224">
        <f ca="1">IFERROR(__xludf.DUMMYFUNCTION("IMPORTRANGE(""https://docs.google.com/spreadsheets/d/1ItG2mGa2ceCfYo0BwxsXqNm01IGEUdYcSSLTEv9YCik/edit?usp=sharing"",""เบิกจ่ายกองทุน!AU17"")"),0)</f>
        <v>0</v>
      </c>
      <c r="T77" s="224">
        <f t="shared" ca="1" si="24"/>
        <v>0</v>
      </c>
      <c r="U77" s="224">
        <f t="shared" ca="1" si="25"/>
        <v>0</v>
      </c>
    </row>
    <row r="78" spans="1:21" ht="18.75" hidden="1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468">
        <f ca="1">L79+L80</f>
        <v>0</v>
      </c>
      <c r="M78" s="224">
        <f ca="1">M79+M80</f>
        <v>0</v>
      </c>
      <c r="N78" s="224">
        <f ca="1">N79+N80</f>
        <v>0</v>
      </c>
      <c r="O78" s="224">
        <f t="shared" ca="1" si="22"/>
        <v>0</v>
      </c>
      <c r="P78" s="224">
        <f t="shared" ca="1" si="23"/>
        <v>0</v>
      </c>
      <c r="Q78" s="224">
        <f>Q79+Q80</f>
        <v>0</v>
      </c>
      <c r="R78" s="224">
        <f>R79+R80</f>
        <v>0</v>
      </c>
      <c r="S78" s="224">
        <f>S79+S80</f>
        <v>0</v>
      </c>
      <c r="T78" s="224">
        <f t="shared" si="24"/>
        <v>0</v>
      </c>
      <c r="U78" s="224">
        <f t="shared" si="25"/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469">
        <v>0</v>
      </c>
      <c r="M79" s="224">
        <v>0</v>
      </c>
      <c r="N79" s="224">
        <v>0</v>
      </c>
      <c r="O79" s="83">
        <f t="shared" si="22"/>
        <v>0</v>
      </c>
      <c r="P79" s="83">
        <f t="shared" si="23"/>
        <v>0</v>
      </c>
      <c r="Q79" s="83">
        <v>0</v>
      </c>
      <c r="R79" s="224">
        <v>0</v>
      </c>
      <c r="S79" s="224">
        <v>0</v>
      </c>
      <c r="T79" s="83">
        <f t="shared" si="24"/>
        <v>0</v>
      </c>
      <c r="U79" s="83">
        <f t="shared" si="25"/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468">
        <f ca="1">IFERROR(__xludf.DUMMYFUNCTION("IMPORTRANGE(""https://docs.google.com/spreadsheets/d/1-uDff_7J0KD5mKrp0Vvzr7lt3OU09vwQwhkpOPPYv2Y/edit?usp=sharing"",""งบพรบ!AP17"")"),0)</f>
        <v>0</v>
      </c>
      <c r="M80" s="224">
        <f ca="1">IFERROR(__xludf.DUMMYFUNCTION("IMPORTRANGE(""https://docs.google.com/spreadsheets/d/1-uDff_7J0KD5mKrp0Vvzr7lt3OU09vwQwhkpOPPYv2Y/edit?usp=sharing"",""งบพรบ!AS17"")"),0)</f>
        <v>0</v>
      </c>
      <c r="N80" s="224">
        <f ca="1">IFERROR(__xludf.DUMMYFUNCTION("IMPORTRANGE(""https://docs.google.com/spreadsheets/d/1-uDff_7J0KD5mKrp0Vvzr7lt3OU09vwQwhkpOPPYv2Y/edit?usp=sharing"",""งบพรบ!AU17"")"),0)</f>
        <v>0</v>
      </c>
      <c r="O80" s="224">
        <f t="shared" ca="1" si="22"/>
        <v>0</v>
      </c>
      <c r="P80" s="224">
        <f t="shared" ca="1" si="23"/>
        <v>0</v>
      </c>
      <c r="Q80" s="224">
        <v>0</v>
      </c>
      <c r="R80" s="224">
        <v>0</v>
      </c>
      <c r="S80" s="224">
        <v>0</v>
      </c>
      <c r="T80" s="224">
        <f t="shared" si="24"/>
        <v>0</v>
      </c>
      <c r="U80" s="224">
        <f t="shared" si="25"/>
        <v>0</v>
      </c>
    </row>
    <row r="81" spans="1:21" ht="19.5" hidden="1" x14ac:dyDescent="0.3">
      <c r="A81" s="138"/>
      <c r="B81" s="139"/>
      <c r="C81" s="129" t="s">
        <v>18</v>
      </c>
      <c r="D81" s="498" t="s">
        <v>38</v>
      </c>
      <c r="E81" s="141"/>
      <c r="F81" s="141"/>
      <c r="G81" s="142"/>
      <c r="H81" s="143"/>
      <c r="I81" s="135"/>
      <c r="J81" s="135"/>
      <c r="K81" s="136"/>
      <c r="L81" s="4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ca="1">I84+I86+I88</f>
        <v>0</v>
      </c>
      <c r="J82" s="328">
        <f>J84+J86+J88</f>
        <v>0</v>
      </c>
      <c r="K82" s="582">
        <f t="shared" ref="K82:K90" ca="1" si="28">IF(I82&gt;0,J82*100/I82,0)</f>
        <v>0</v>
      </c>
      <c r="L82" s="4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ca="1">I85+I87+I89</f>
        <v>0</v>
      </c>
      <c r="J83" s="328">
        <f>J85+J87+J89</f>
        <v>0</v>
      </c>
      <c r="K83" s="582">
        <f t="shared" ca="1" si="28"/>
        <v>0</v>
      </c>
      <c r="L83" s="4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581">
        <f ca="1">IFERROR(__xludf.DUMMYFUNCTION("IMPORTRANGE(""https://docs.google.com/spreadsheets/d/1eHaY18a8A9IcSdp1K8H6x8fbOy06t2VsZHhMHf-1x7Y/edit?usp=sharing"",""แผน!H17"")"),0)</f>
        <v>0</v>
      </c>
      <c r="J84" s="466">
        <v>0</v>
      </c>
      <c r="K84" s="497">
        <f t="shared" ca="1" si="28"/>
        <v>0</v>
      </c>
      <c r="L84" s="4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581">
        <f ca="1">IFERROR(__xludf.DUMMYFUNCTION("IMPORTRANGE(""https://docs.google.com/spreadsheets/d/1eHaY18a8A9IcSdp1K8H6x8fbOy06t2VsZHhMHf-1x7Y/edit?usp=sharing"",""แผน!I17"")"),0)</f>
        <v>0</v>
      </c>
      <c r="J85" s="466">
        <v>0</v>
      </c>
      <c r="K85" s="497">
        <f t="shared" ca="1" si="28"/>
        <v>0</v>
      </c>
      <c r="L85" s="4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581">
        <f ca="1">IFERROR(__xludf.DUMMYFUNCTION("IMPORTRANGE(""https://docs.google.com/spreadsheets/d/1eHaY18a8A9IcSdp1K8H6x8fbOy06t2VsZHhMHf-1x7Y/edit?usp=sharing"",""แผน!F17"")"),0)</f>
        <v>0</v>
      </c>
      <c r="J86" s="466">
        <v>0</v>
      </c>
      <c r="K86" s="497">
        <f t="shared" ca="1" si="28"/>
        <v>0</v>
      </c>
      <c r="L86" s="4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581">
        <f ca="1">IFERROR(__xludf.DUMMYFUNCTION("IMPORTRANGE(""https://docs.google.com/spreadsheets/d/1eHaY18a8A9IcSdp1K8H6x8fbOy06t2VsZHhMHf-1x7Y/edit?usp=sharing"",""แผน!G17"")"),0)</f>
        <v>0</v>
      </c>
      <c r="J87" s="466">
        <v>0</v>
      </c>
      <c r="K87" s="497">
        <f t="shared" ca="1" si="28"/>
        <v>0</v>
      </c>
      <c r="L87" s="4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581">
        <f ca="1">IFERROR(__xludf.DUMMYFUNCTION("IMPORTRANGE(""https://docs.google.com/spreadsheets/d/1eHaY18a8A9IcSdp1K8H6x8fbOy06t2VsZHhMHf-1x7Y/edit?usp=sharing"",""แผน!D17"")"),0)</f>
        <v>0</v>
      </c>
      <c r="J88" s="466">
        <v>0</v>
      </c>
      <c r="K88" s="497">
        <f t="shared" ca="1" si="28"/>
        <v>0</v>
      </c>
      <c r="L88" s="4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581">
        <f ca="1">IFERROR(__xludf.DUMMYFUNCTION("IMPORTRANGE(""https://docs.google.com/spreadsheets/d/1eHaY18a8A9IcSdp1K8H6x8fbOy06t2VsZHhMHf-1x7Y/edit?usp=sharing"",""แผน!E17"")"),0)</f>
        <v>0</v>
      </c>
      <c r="J89" s="466">
        <v>0</v>
      </c>
      <c r="K89" s="497">
        <f t="shared" ca="1" si="28"/>
        <v>0</v>
      </c>
      <c r="L89" s="4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581">
        <f ca="1">IFERROR(__xludf.DUMMYFUNCTION("IMPORTRANGE(""https://docs.google.com/spreadsheets/d/1eHaY18a8A9IcSdp1K8H6x8fbOy06t2VsZHhMHf-1x7Y/edit?usp=sharing"",""แผน!J17"")"),0)</f>
        <v>0</v>
      </c>
      <c r="J90" s="466">
        <v>0</v>
      </c>
      <c r="K90" s="497">
        <f t="shared" ca="1" si="28"/>
        <v>0</v>
      </c>
      <c r="L90" s="4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7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665">
        <f ca="1">I108</f>
        <v>0</v>
      </c>
      <c r="J92" s="665">
        <f>J108</f>
        <v>0</v>
      </c>
      <c r="K92" s="664">
        <f ca="1">IF(I92&gt;0,J92*100/I92,0)</f>
        <v>0</v>
      </c>
      <c r="L92" s="510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665">
        <f ca="1">I109</f>
        <v>0</v>
      </c>
      <c r="J93" s="665">
        <f>J109</f>
        <v>0</v>
      </c>
      <c r="K93" s="664">
        <f ca="1">IF(I93&gt;0,J93*100/I93,0)</f>
        <v>0</v>
      </c>
      <c r="L93" s="510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472" t="s">
        <v>19</v>
      </c>
      <c r="E94" s="40"/>
      <c r="F94" s="40"/>
      <c r="G94" s="42"/>
      <c r="H94" s="131" t="s">
        <v>14</v>
      </c>
      <c r="I94" s="44"/>
      <c r="J94" s="44"/>
      <c r="K94" s="45"/>
      <c r="L94" s="471">
        <f ca="1">L95+L96</f>
        <v>0</v>
      </c>
      <c r="M94" s="470">
        <f ca="1">M95+M96</f>
        <v>0</v>
      </c>
      <c r="N94" s="470">
        <f ca="1">N95+N96</f>
        <v>0</v>
      </c>
      <c r="O94" s="470">
        <f t="shared" ref="O94:O102" ca="1" si="29">IF(L94&gt;0,N94*100/L94,0)</f>
        <v>0</v>
      </c>
      <c r="P94" s="470">
        <f t="shared" ref="P94:P102" ca="1" si="30">IF(M94&gt;0,N94*100/M94,0)</f>
        <v>0</v>
      </c>
      <c r="Q94" s="470">
        <f ca="1">Q95+Q96</f>
        <v>0</v>
      </c>
      <c r="R94" s="470">
        <f ca="1">R95+R96</f>
        <v>0</v>
      </c>
      <c r="S94" s="470">
        <f ca="1">S95+S96</f>
        <v>0</v>
      </c>
      <c r="T94" s="470">
        <f t="shared" ref="T94:T102" ca="1" si="31">IF(Q94&gt;0,S94*100/Q94,0)</f>
        <v>0</v>
      </c>
      <c r="U94" s="470">
        <f t="shared" ref="U94:U102" ca="1" si="32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469">
        <f t="shared" ref="L95:N96" si="33">L98+L101</f>
        <v>0</v>
      </c>
      <c r="M95" s="83">
        <f t="shared" si="33"/>
        <v>0</v>
      </c>
      <c r="N95" s="83">
        <f t="shared" si="33"/>
        <v>0</v>
      </c>
      <c r="O95" s="83">
        <f t="shared" si="29"/>
        <v>0</v>
      </c>
      <c r="P95" s="83">
        <f t="shared" si="30"/>
        <v>0</v>
      </c>
      <c r="Q95" s="83">
        <f t="shared" ref="Q95:S96" si="34">Q98+Q101</f>
        <v>0</v>
      </c>
      <c r="R95" s="83">
        <f t="shared" si="34"/>
        <v>0</v>
      </c>
      <c r="S95" s="83">
        <f t="shared" si="34"/>
        <v>0</v>
      </c>
      <c r="T95" s="83">
        <f t="shared" si="31"/>
        <v>0</v>
      </c>
      <c r="U95" s="83">
        <f t="shared" si="32"/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468">
        <f t="shared" ca="1" si="33"/>
        <v>0</v>
      </c>
      <c r="M96" s="224">
        <f t="shared" ca="1" si="33"/>
        <v>0</v>
      </c>
      <c r="N96" s="224">
        <f t="shared" ca="1" si="33"/>
        <v>0</v>
      </c>
      <c r="O96" s="224">
        <f t="shared" ca="1" si="29"/>
        <v>0</v>
      </c>
      <c r="P96" s="224">
        <f t="shared" ca="1" si="30"/>
        <v>0</v>
      </c>
      <c r="Q96" s="224">
        <f t="shared" ca="1" si="34"/>
        <v>0</v>
      </c>
      <c r="R96" s="224">
        <f t="shared" ca="1" si="34"/>
        <v>0</v>
      </c>
      <c r="S96" s="224">
        <f t="shared" ca="1" si="34"/>
        <v>0</v>
      </c>
      <c r="T96" s="224">
        <f t="shared" ca="1" si="31"/>
        <v>0</v>
      </c>
      <c r="U96" s="224">
        <f t="shared" ca="1" si="32"/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468">
        <f ca="1">L98+L99</f>
        <v>0</v>
      </c>
      <c r="M97" s="224">
        <f ca="1">M98+M99</f>
        <v>0</v>
      </c>
      <c r="N97" s="224">
        <f ca="1">N98+N99</f>
        <v>0</v>
      </c>
      <c r="O97" s="224">
        <f t="shared" ca="1" si="29"/>
        <v>0</v>
      </c>
      <c r="P97" s="224">
        <f t="shared" ca="1" si="30"/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t="shared" ca="1" si="31"/>
        <v>0</v>
      </c>
      <c r="U97" s="224">
        <f t="shared" ca="1" si="32"/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469">
        <v>0</v>
      </c>
      <c r="M98" s="83">
        <v>0</v>
      </c>
      <c r="N98" s="83">
        <v>0</v>
      </c>
      <c r="O98" s="83">
        <f t="shared" si="29"/>
        <v>0</v>
      </c>
      <c r="P98" s="83">
        <f t="shared" si="30"/>
        <v>0</v>
      </c>
      <c r="Q98" s="83">
        <v>0</v>
      </c>
      <c r="R98" s="83">
        <v>0</v>
      </c>
      <c r="S98" s="83">
        <v>0</v>
      </c>
      <c r="T98" s="83">
        <f t="shared" si="31"/>
        <v>0</v>
      </c>
      <c r="U98" s="83">
        <f t="shared" si="32"/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468">
        <f ca="1">IFERROR(__xludf.DUMMYFUNCTION("IMPORTRANGE(""https://docs.google.com/spreadsheets/d/1-uDff_7J0KD5mKrp0Vvzr7lt3OU09vwQwhkpOPPYv2Y/edit?usp=sharing"",""งบพรบ!AW17"")"),0)</f>
        <v>0</v>
      </c>
      <c r="M99" s="224">
        <f ca="1">IFERROR(__xludf.DUMMYFUNCTION("IMPORTRANGE(""https://docs.google.com/spreadsheets/d/1-uDff_7J0KD5mKrp0Vvzr7lt3OU09vwQwhkpOPPYv2Y/edit?usp=sharing"",""งบพรบ!BB17"")"),0)</f>
        <v>0</v>
      </c>
      <c r="N99" s="224">
        <f ca="1">IFERROR(__xludf.DUMMYFUNCTION("IMPORTRANGE(""https://docs.google.com/spreadsheets/d/1-uDff_7J0KD5mKrp0Vvzr7lt3OU09vwQwhkpOPPYv2Y/edit?usp=sharing"",""งบพรบ!BD17"")"),0)</f>
        <v>0</v>
      </c>
      <c r="O99" s="224">
        <f t="shared" ca="1" si="29"/>
        <v>0</v>
      </c>
      <c r="P99" s="224">
        <f t="shared" ca="1" si="30"/>
        <v>0</v>
      </c>
      <c r="Q99" s="224">
        <f ca="1">IFERROR(__xludf.DUMMYFUNCTION("IMPORTRANGE(""https://docs.google.com/spreadsheets/d/1ItG2mGa2ceCfYo0BwxsXqNm01IGEUdYcSSLTEv9YCik/edit?usp=sharing"",""เบิกจ่ายกองทุน!AD17"")"),0)</f>
        <v>0</v>
      </c>
      <c r="R99" s="224">
        <f ca="1">IFERROR(__xludf.DUMMYFUNCTION("IMPORTRANGE(""https://docs.google.com/spreadsheets/d/1ItG2mGa2ceCfYo0BwxsXqNm01IGEUdYcSSLTEv9YCik/edit?usp=sharing"",""เบิกจ่ายกองทุน!AE17"")"),0)</f>
        <v>0</v>
      </c>
      <c r="S99" s="224">
        <f ca="1">IFERROR(__xludf.DUMMYFUNCTION("IMPORTRANGE(""https://docs.google.com/spreadsheets/d/1ItG2mGa2ceCfYo0BwxsXqNm01IGEUdYcSSLTEv9YCik/edit?usp=sharing"",""เบิกจ่ายกองทุน!AF17"")"),0)</f>
        <v>0</v>
      </c>
      <c r="T99" s="224">
        <f t="shared" ca="1" si="31"/>
        <v>0</v>
      </c>
      <c r="U99" s="224">
        <f t="shared" ca="1" si="32"/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468">
        <f ca="1">L101+L102</f>
        <v>0</v>
      </c>
      <c r="M100" s="224">
        <f ca="1">M101+M102</f>
        <v>0</v>
      </c>
      <c r="N100" s="224">
        <f ca="1">N101+N102</f>
        <v>0</v>
      </c>
      <c r="O100" s="224">
        <f t="shared" ca="1" si="29"/>
        <v>0</v>
      </c>
      <c r="P100" s="224">
        <f t="shared" ca="1" si="30"/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 t="shared" si="31"/>
        <v>0</v>
      </c>
      <c r="U100" s="224">
        <f t="shared" si="32"/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469">
        <v>0</v>
      </c>
      <c r="M101" s="83">
        <v>0</v>
      </c>
      <c r="N101" s="83">
        <v>0</v>
      </c>
      <c r="O101" s="83">
        <f t="shared" si="29"/>
        <v>0</v>
      </c>
      <c r="P101" s="83">
        <f t="shared" si="30"/>
        <v>0</v>
      </c>
      <c r="Q101" s="83">
        <v>0</v>
      </c>
      <c r="R101" s="83">
        <v>0</v>
      </c>
      <c r="S101" s="83">
        <v>0</v>
      </c>
      <c r="T101" s="83">
        <f t="shared" si="31"/>
        <v>0</v>
      </c>
      <c r="U101" s="83">
        <f t="shared" si="32"/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468">
        <f ca="1">IFERROR(__xludf.DUMMYFUNCTION("IMPORTRANGE(""https://docs.google.com/spreadsheets/d/1-uDff_7J0KD5mKrp0Vvzr7lt3OU09vwQwhkpOPPYv2Y/edit?usp=sharing"",""งบพรบ!AZ17"")"),0)</f>
        <v>0</v>
      </c>
      <c r="M102" s="224">
        <f ca="1">IFERROR(__xludf.DUMMYFUNCTION("IMPORTRANGE(""https://docs.google.com/spreadsheets/d/1-uDff_7J0KD5mKrp0Vvzr7lt3OU09vwQwhkpOPPYv2Y/edit?usp=sharing"",""งบพรบ!BC17"")"),0)</f>
        <v>0</v>
      </c>
      <c r="N102" s="224">
        <f ca="1">IFERROR(__xludf.DUMMYFUNCTION("IMPORTRANGE(""https://docs.google.com/spreadsheets/d/1-uDff_7J0KD5mKrp0Vvzr7lt3OU09vwQwhkpOPPYv2Y/edit?usp=sharing"",""งบพรบ!BE17"")"),0)</f>
        <v>0</v>
      </c>
      <c r="O102" s="224">
        <f t="shared" ca="1" si="29"/>
        <v>0</v>
      </c>
      <c r="P102" s="224">
        <f t="shared" ca="1" si="30"/>
        <v>0</v>
      </c>
      <c r="Q102" s="224">
        <v>0</v>
      </c>
      <c r="R102" s="224">
        <v>0</v>
      </c>
      <c r="S102" s="224">
        <v>0</v>
      </c>
      <c r="T102" s="224">
        <f t="shared" si="31"/>
        <v>0</v>
      </c>
      <c r="U102" s="224">
        <f t="shared" si="32"/>
        <v>0</v>
      </c>
    </row>
    <row r="103" spans="1:21" ht="19.5" hidden="1" x14ac:dyDescent="0.3">
      <c r="A103" s="138"/>
      <c r="B103" s="139"/>
      <c r="C103" s="129" t="s">
        <v>18</v>
      </c>
      <c r="D103" s="498" t="s">
        <v>38</v>
      </c>
      <c r="E103" s="141"/>
      <c r="F103" s="141"/>
      <c r="G103" s="142"/>
      <c r="H103" s="143"/>
      <c r="I103" s="135"/>
      <c r="J103" s="44"/>
      <c r="K103" s="45"/>
      <c r="L103" s="465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571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571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571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465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IFERROR(__xludf.DUMMYFUNCTION("IMPORTRANGE(""https://docs.google.com/spreadsheets/d/1eHaY18a8A9IcSdp1K8H6x8fbOy06t2VsZHhMHf-1x7Y/edit?usp=sharing"",""แผน!N17"")"),0)</f>
        <v>0</v>
      </c>
      <c r="J108" s="466">
        <v>0</v>
      </c>
      <c r="K108" s="224">
        <f ca="1">IF(I108&gt;0,J108*100/I108,0)</f>
        <v>0</v>
      </c>
      <c r="L108" s="465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IFERROR(__xludf.DUMMYFUNCTION("IMPORTRANGE(""https://docs.google.com/spreadsheets/d/1eHaY18a8A9IcSdp1K8H6x8fbOy06t2VsZHhMHf-1x7Y/edit?usp=sharing"",""แผน!O17"")"),0)</f>
        <v>0</v>
      </c>
      <c r="J109" s="466">
        <v>0</v>
      </c>
      <c r="K109" s="224">
        <f ca="1">IF(I109&gt;0,J109*100/I109,0)</f>
        <v>0</v>
      </c>
      <c r="L109" s="465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571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571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571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571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581">
        <f ca="1">IFERROR(__xludf.DUMMYFUNCTION("IMPORTRANGE(""https://docs.google.com/spreadsheets/d/1eHaY18a8A9IcSdp1K8H6x8fbOy06t2VsZHhMHf-1x7Y/edit?usp=sharing"",""แผน!R17"")"),0)</f>
        <v>0</v>
      </c>
      <c r="J114" s="466">
        <v>0</v>
      </c>
      <c r="K114" s="224">
        <f ca="1">IF(I114&gt;0,J114*100/I114,0)</f>
        <v>0</v>
      </c>
      <c r="L114" s="46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671" t="s">
        <v>51</v>
      </c>
      <c r="B115" s="668"/>
      <c r="C115" s="670"/>
      <c r="D115" s="669"/>
      <c r="E115" s="669"/>
      <c r="F115" s="669"/>
      <c r="G115" s="669"/>
      <c r="H115" s="668"/>
      <c r="I115" s="667"/>
      <c r="J115" s="667"/>
      <c r="K115" s="66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665">
        <f ca="1">I127</f>
        <v>20</v>
      </c>
      <c r="J116" s="665">
        <f>J127</f>
        <v>20</v>
      </c>
      <c r="K116" s="664">
        <f ca="1">IF(I116&gt;0,J116*100/I116,0)</f>
        <v>100</v>
      </c>
      <c r="L116" s="510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472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471">
        <f ca="1">L118+L119</f>
        <v>0</v>
      </c>
      <c r="M117" s="470">
        <f ca="1">M118+M119</f>
        <v>0</v>
      </c>
      <c r="N117" s="470">
        <f ca="1">N118+N119</f>
        <v>0</v>
      </c>
      <c r="O117" s="470">
        <f t="shared" ref="O117:O125" ca="1" si="35">IF(L117&gt;0,N117*100/L117,0)</f>
        <v>0</v>
      </c>
      <c r="P117" s="470">
        <f t="shared" ref="P117:P125" ca="1" si="36">IF(M117&gt;0,N117*100/M117,0)</f>
        <v>0</v>
      </c>
      <c r="Q117" s="470">
        <f ca="1">Q118+Q119</f>
        <v>211520</v>
      </c>
      <c r="R117" s="470">
        <f ca="1">R118+R119</f>
        <v>211520</v>
      </c>
      <c r="S117" s="470">
        <f ca="1">S118+S119</f>
        <v>63903.14</v>
      </c>
      <c r="T117" s="470">
        <f t="shared" ref="T117:T125" ca="1" si="37">IF(Q117&gt;0,S117*100/Q117,0)</f>
        <v>30.21139372163389</v>
      </c>
      <c r="U117" s="470">
        <f t="shared" ref="U117:U125" ca="1" si="38">IF(R117&gt;0,S117*100/R117,0)</f>
        <v>30.21139372163389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469">
        <f t="shared" ref="L118:N119" si="39">L121+L124</f>
        <v>0</v>
      </c>
      <c r="M118" s="83">
        <f t="shared" si="39"/>
        <v>0</v>
      </c>
      <c r="N118" s="83">
        <f t="shared" si="39"/>
        <v>0</v>
      </c>
      <c r="O118" s="83">
        <f t="shared" si="35"/>
        <v>0</v>
      </c>
      <c r="P118" s="83">
        <f t="shared" si="36"/>
        <v>0</v>
      </c>
      <c r="Q118" s="83">
        <f t="shared" ref="Q118:S119" si="40">Q121+Q124</f>
        <v>0</v>
      </c>
      <c r="R118" s="83">
        <f t="shared" si="40"/>
        <v>0</v>
      </c>
      <c r="S118" s="83">
        <f t="shared" si="40"/>
        <v>0</v>
      </c>
      <c r="T118" s="83">
        <f t="shared" si="37"/>
        <v>0</v>
      </c>
      <c r="U118" s="83">
        <f t="shared" si="38"/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468">
        <f t="shared" ca="1" si="39"/>
        <v>0</v>
      </c>
      <c r="M119" s="224">
        <f t="shared" ca="1" si="39"/>
        <v>0</v>
      </c>
      <c r="N119" s="224">
        <f t="shared" ca="1" si="39"/>
        <v>0</v>
      </c>
      <c r="O119" s="224">
        <f t="shared" ca="1" si="35"/>
        <v>0</v>
      </c>
      <c r="P119" s="224">
        <f t="shared" ca="1" si="36"/>
        <v>0</v>
      </c>
      <c r="Q119" s="224">
        <f t="shared" ca="1" si="40"/>
        <v>211520</v>
      </c>
      <c r="R119" s="224">
        <f t="shared" ca="1" si="40"/>
        <v>211520</v>
      </c>
      <c r="S119" s="224">
        <f t="shared" ca="1" si="40"/>
        <v>63903.14</v>
      </c>
      <c r="T119" s="224">
        <f t="shared" ca="1" si="37"/>
        <v>30.21139372163389</v>
      </c>
      <c r="U119" s="224">
        <f t="shared" ca="1" si="38"/>
        <v>30.21139372163389</v>
      </c>
    </row>
    <row r="120" spans="1:21" ht="18.75" x14ac:dyDescent="0.25">
      <c r="A120" s="128"/>
      <c r="B120" s="158"/>
      <c r="C120" s="174"/>
      <c r="D120" s="53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468">
        <f ca="1">L121+L122</f>
        <v>0</v>
      </c>
      <c r="M120" s="224">
        <f ca="1">M121+M122</f>
        <v>0</v>
      </c>
      <c r="N120" s="224">
        <f ca="1">N121+N122</f>
        <v>0</v>
      </c>
      <c r="O120" s="224">
        <f t="shared" ca="1" si="35"/>
        <v>0</v>
      </c>
      <c r="P120" s="224">
        <f t="shared" ca="1" si="36"/>
        <v>0</v>
      </c>
      <c r="Q120" s="224">
        <f ca="1">Q121+Q122</f>
        <v>211520</v>
      </c>
      <c r="R120" s="224">
        <f ca="1">R121+R122</f>
        <v>211520</v>
      </c>
      <c r="S120" s="224">
        <f ca="1">S121+S122</f>
        <v>63903.14</v>
      </c>
      <c r="T120" s="224">
        <f t="shared" ca="1" si="37"/>
        <v>30.21139372163389</v>
      </c>
      <c r="U120" s="224">
        <f t="shared" ca="1" si="38"/>
        <v>30.21139372163389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469">
        <v>0</v>
      </c>
      <c r="M121" s="83">
        <v>0</v>
      </c>
      <c r="N121" s="83">
        <v>0</v>
      </c>
      <c r="O121" s="83">
        <f t="shared" si="35"/>
        <v>0</v>
      </c>
      <c r="P121" s="83">
        <f t="shared" si="36"/>
        <v>0</v>
      </c>
      <c r="Q121" s="83">
        <v>0</v>
      </c>
      <c r="R121" s="83">
        <v>0</v>
      </c>
      <c r="S121" s="83">
        <v>0</v>
      </c>
      <c r="T121" s="83">
        <f t="shared" si="37"/>
        <v>0</v>
      </c>
      <c r="U121" s="83">
        <f t="shared" si="38"/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468">
        <f ca="1">IFERROR(__xludf.DUMMYFUNCTION("IMPORTRANGE(""https://docs.google.com/spreadsheets/d/1-uDff_7J0KD5mKrp0Vvzr7lt3OU09vwQwhkpOPPYv2Y/edit?usp=sharing"",""งบพรบ!BG17"")"),0)</f>
        <v>0</v>
      </c>
      <c r="M122" s="224">
        <f ca="1">IFERROR(__xludf.DUMMYFUNCTION("IMPORTRANGE(""https://docs.google.com/spreadsheets/d/1-uDff_7J0KD5mKrp0Vvzr7lt3OU09vwQwhkpOPPYv2Y/edit?usp=sharing"",""งบพรบ!BL17"")"),0)</f>
        <v>0</v>
      </c>
      <c r="N122" s="224">
        <f ca="1">IFERROR(__xludf.DUMMYFUNCTION("IMPORTRANGE(""https://docs.google.com/spreadsheets/d/1-uDff_7J0KD5mKrp0Vvzr7lt3OU09vwQwhkpOPPYv2Y/edit?usp=sharing"",""งบพรบ!BN17"")"),0)</f>
        <v>0</v>
      </c>
      <c r="O122" s="224">
        <f t="shared" ca="1" si="35"/>
        <v>0</v>
      </c>
      <c r="P122" s="224">
        <f t="shared" ca="1" si="36"/>
        <v>0</v>
      </c>
      <c r="Q122" s="224">
        <f ca="1">IFERROR(__xludf.DUMMYFUNCTION("IMPORTRANGE(""https://docs.google.com/spreadsheets/d/1ItG2mGa2ceCfYo0BwxsXqNm01IGEUdYcSSLTEv9YCik/edit?usp=sharing"",""เบิกจ่ายกองทุน!R17"")"),211520)</f>
        <v>211520</v>
      </c>
      <c r="R122" s="224">
        <f ca="1">IFERROR(__xludf.DUMMYFUNCTION("IMPORTRANGE(""https://docs.google.com/spreadsheets/d/1ItG2mGa2ceCfYo0BwxsXqNm01IGEUdYcSSLTEv9YCik/edit?usp=sharing"",""เบิกจ่ายกองทุน!S17"")"),211520)</f>
        <v>211520</v>
      </c>
      <c r="S122" s="224">
        <f ca="1">IFERROR(__xludf.DUMMYFUNCTION("IMPORTRANGE(""https://docs.google.com/spreadsheets/d/1ItG2mGa2ceCfYo0BwxsXqNm01IGEUdYcSSLTEv9YCik/edit?usp=sharing"",""เบิกจ่ายกองทุน!T17"")"),63903.14)</f>
        <v>63903.14</v>
      </c>
      <c r="T122" s="224">
        <f t="shared" ca="1" si="37"/>
        <v>30.21139372163389</v>
      </c>
      <c r="U122" s="224">
        <f t="shared" ca="1" si="38"/>
        <v>30.21139372163389</v>
      </c>
    </row>
    <row r="123" spans="1:21" ht="18.75" x14ac:dyDescent="0.25">
      <c r="A123" s="128"/>
      <c r="B123" s="40"/>
      <c r="C123" s="174"/>
      <c r="D123" s="53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468">
        <f ca="1">L124+L125</f>
        <v>0</v>
      </c>
      <c r="M123" s="224">
        <f ca="1">M124+M125</f>
        <v>0</v>
      </c>
      <c r="N123" s="224">
        <f ca="1">N124+N125</f>
        <v>0</v>
      </c>
      <c r="O123" s="224">
        <f t="shared" ca="1" si="35"/>
        <v>0</v>
      </c>
      <c r="P123" s="224">
        <f t="shared" ca="1" si="36"/>
        <v>0</v>
      </c>
      <c r="Q123" s="224">
        <f>Q124+Q125</f>
        <v>0</v>
      </c>
      <c r="R123" s="224">
        <f>R124+R125</f>
        <v>0</v>
      </c>
      <c r="S123" s="224">
        <f>S124+S125</f>
        <v>0</v>
      </c>
      <c r="T123" s="224">
        <f t="shared" si="37"/>
        <v>0</v>
      </c>
      <c r="U123" s="224">
        <f t="shared" si="38"/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469">
        <v>0</v>
      </c>
      <c r="M124" s="83">
        <v>0</v>
      </c>
      <c r="N124" s="83">
        <v>0</v>
      </c>
      <c r="O124" s="83">
        <f t="shared" si="35"/>
        <v>0</v>
      </c>
      <c r="P124" s="83">
        <f t="shared" si="36"/>
        <v>0</v>
      </c>
      <c r="Q124" s="83">
        <v>0</v>
      </c>
      <c r="R124" s="83">
        <v>0</v>
      </c>
      <c r="S124" s="83">
        <v>0</v>
      </c>
      <c r="T124" s="83">
        <f t="shared" si="37"/>
        <v>0</v>
      </c>
      <c r="U124" s="83">
        <f t="shared" si="38"/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468">
        <f ca="1">IFERROR(__xludf.DUMMYFUNCTION("IMPORTRANGE(""https://docs.google.com/spreadsheets/d/1-uDff_7J0KD5mKrp0Vvzr7lt3OU09vwQwhkpOPPYv2Y/edit?usp=sharing"",""งบพรบ!BJ17"")"),0)</f>
        <v>0</v>
      </c>
      <c r="M125" s="224">
        <f ca="1">IFERROR(__xludf.DUMMYFUNCTION("IMPORTRANGE(""https://docs.google.com/spreadsheets/d/1-uDff_7J0KD5mKrp0Vvzr7lt3OU09vwQwhkpOPPYv2Y/edit?usp=sharing"",""งบพรบ!BM17"")"),0)</f>
        <v>0</v>
      </c>
      <c r="N125" s="224">
        <f ca="1">IFERROR(__xludf.DUMMYFUNCTION("IMPORTRANGE(""https://docs.google.com/spreadsheets/d/1-uDff_7J0KD5mKrp0Vvzr7lt3OU09vwQwhkpOPPYv2Y/edit?usp=sharing"",""งบพรบ!BO17"")"),0)</f>
        <v>0</v>
      </c>
      <c r="O125" s="224">
        <f t="shared" ca="1" si="35"/>
        <v>0</v>
      </c>
      <c r="P125" s="224">
        <f t="shared" ca="1" si="36"/>
        <v>0</v>
      </c>
      <c r="Q125" s="224">
        <v>0</v>
      </c>
      <c r="R125" s="224">
        <v>0</v>
      </c>
      <c r="S125" s="224">
        <v>0</v>
      </c>
      <c r="T125" s="224">
        <f t="shared" si="37"/>
        <v>0</v>
      </c>
      <c r="U125" s="224">
        <f t="shared" si="38"/>
        <v>0</v>
      </c>
    </row>
    <row r="126" spans="1:21" ht="19.5" x14ac:dyDescent="0.3">
      <c r="A126" s="138"/>
      <c r="B126" s="139"/>
      <c r="C126" s="177" t="s">
        <v>18</v>
      </c>
      <c r="D126" s="498" t="s">
        <v>38</v>
      </c>
      <c r="E126" s="141"/>
      <c r="F126" s="141"/>
      <c r="G126" s="142"/>
      <c r="H126" s="178"/>
      <c r="I126" s="44"/>
      <c r="J126" s="44"/>
      <c r="K126" s="45"/>
      <c r="L126" s="465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IFERROR(__xludf.DUMMYFUNCTION("IMPORTRANGE(""https://docs.google.com/spreadsheets/d/1eHaY18a8A9IcSdp1K8H6x8fbOy06t2VsZHhMHf-1x7Y/edit?usp=sharing"",""แผน!FF17"")"),20)</f>
        <v>20</v>
      </c>
      <c r="J127" s="466">
        <v>20</v>
      </c>
      <c r="K127" s="224">
        <f ca="1">IF(I127&gt;0,J127*100/I127,0)</f>
        <v>100</v>
      </c>
      <c r="L127" s="465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IFERROR(__xludf.DUMMYFUNCTION("IMPORTRANGE(""https://docs.google.com/spreadsheets/d/1eHaY18a8A9IcSdp1K8H6x8fbOy06t2VsZHhMHf-1x7Y/edit?usp=sharing"",""แผน!FG17"")"),0)</f>
        <v>0</v>
      </c>
      <c r="J128" s="466">
        <v>2</v>
      </c>
      <c r="K128" s="224">
        <f ca="1">IF(I128&gt;0,J128*100/I128,0)</f>
        <v>0</v>
      </c>
      <c r="L128" s="465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IFERROR(__xludf.DUMMYFUNCTION("IMPORTRANGE(""https://docs.google.com/spreadsheets/d/1eHaY18a8A9IcSdp1K8H6x8fbOy06t2VsZHhMHf-1x7Y/edit?usp=sharing"",""แผน!FH17"")"),20)</f>
        <v>20</v>
      </c>
      <c r="J129" s="466">
        <v>20</v>
      </c>
      <c r="K129" s="224">
        <f ca="1">IF(I129&gt;0,J129*100/I129,0)</f>
        <v>100</v>
      </c>
      <c r="L129" s="465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IFERROR(__xludf.DUMMYFUNCTION("IMPORTRANGE(""https://docs.google.com/spreadsheets/d/1eHaY18a8A9IcSdp1K8H6x8fbOy06t2VsZHhMHf-1x7Y/edit?usp=sharing"",""แผน!FI17"")"),0)</f>
        <v>0</v>
      </c>
      <c r="J130" s="466">
        <v>2</v>
      </c>
      <c r="K130" s="224">
        <f ca="1">IF(I130&gt;0,J130*100/I130,0)</f>
        <v>0</v>
      </c>
      <c r="L130" s="465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465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465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57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10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665">
        <f ca="1">I154</f>
        <v>0</v>
      </c>
      <c r="J136" s="665">
        <f>J154</f>
        <v>0</v>
      </c>
      <c r="K136" s="664">
        <f ca="1">IF(I136&gt;0,J136*100/I136,0)</f>
        <v>0</v>
      </c>
      <c r="L136" s="510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665">
        <f ca="1">I152</f>
        <v>20</v>
      </c>
      <c r="J137" s="665">
        <f>J152</f>
        <v>20</v>
      </c>
      <c r="K137" s="664">
        <f ca="1">IF(I137&gt;0,J137*100/I137,0)</f>
        <v>100</v>
      </c>
      <c r="L137" s="510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665">
        <f ca="1">I153</f>
        <v>2</v>
      </c>
      <c r="J138" s="665">
        <f>J153</f>
        <v>2</v>
      </c>
      <c r="K138" s="664">
        <f ca="1">IF(I138&gt;0,J138*100/I138,0)</f>
        <v>100</v>
      </c>
      <c r="L138" s="510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129" t="s">
        <v>18</v>
      </c>
      <c r="D139" s="472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471">
        <f ca="1">L140+L141</f>
        <v>115700</v>
      </c>
      <c r="M139" s="470">
        <f ca="1">M140+M141</f>
        <v>110700</v>
      </c>
      <c r="N139" s="470">
        <f ca="1">N140+N141</f>
        <v>108327</v>
      </c>
      <c r="O139" s="470">
        <f t="shared" ref="O139:O147" ca="1" si="41">IF(L139&gt;0,N139*100/L139,0)</f>
        <v>93.627484874675886</v>
      </c>
      <c r="P139" s="470">
        <f t="shared" ref="P139:P147" ca="1" si="42">IF(M139&gt;0,N139*100/M139,0)</f>
        <v>97.856368563685635</v>
      </c>
      <c r="Q139" s="470">
        <f ca="1">Q140+Q141</f>
        <v>0</v>
      </c>
      <c r="R139" s="470">
        <f ca="1">R140+R141</f>
        <v>0</v>
      </c>
      <c r="S139" s="470">
        <f ca="1">S140+S141</f>
        <v>0</v>
      </c>
      <c r="T139" s="470">
        <f t="shared" ref="T139:T147" ca="1" si="43">IF(Q139&gt;0,S139*100/Q139,0)</f>
        <v>0</v>
      </c>
      <c r="U139" s="470">
        <f t="shared" ref="U139:U147" ca="1" si="44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469">
        <f t="shared" ref="L140:N141" si="45">L143+L146</f>
        <v>0</v>
      </c>
      <c r="M140" s="83">
        <f t="shared" si="45"/>
        <v>0</v>
      </c>
      <c r="N140" s="83">
        <f t="shared" si="45"/>
        <v>0</v>
      </c>
      <c r="O140" s="83">
        <f t="shared" si="41"/>
        <v>0</v>
      </c>
      <c r="P140" s="83">
        <f t="shared" si="42"/>
        <v>0</v>
      </c>
      <c r="Q140" s="83">
        <f t="shared" ref="Q140:S141" si="46">Q143+Q146</f>
        <v>0</v>
      </c>
      <c r="R140" s="83">
        <f t="shared" si="46"/>
        <v>0</v>
      </c>
      <c r="S140" s="83">
        <f t="shared" si="46"/>
        <v>0</v>
      </c>
      <c r="T140" s="83">
        <f t="shared" si="43"/>
        <v>0</v>
      </c>
      <c r="U140" s="83">
        <f t="shared" si="44"/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468">
        <f t="shared" ca="1" si="45"/>
        <v>115700</v>
      </c>
      <c r="M141" s="224">
        <f t="shared" ca="1" si="45"/>
        <v>110700</v>
      </c>
      <c r="N141" s="224">
        <f t="shared" ca="1" si="45"/>
        <v>108327</v>
      </c>
      <c r="O141" s="224">
        <f t="shared" ca="1" si="41"/>
        <v>93.627484874675886</v>
      </c>
      <c r="P141" s="224">
        <f t="shared" ca="1" si="42"/>
        <v>97.856368563685635</v>
      </c>
      <c r="Q141" s="224">
        <f t="shared" ca="1" si="46"/>
        <v>0</v>
      </c>
      <c r="R141" s="224">
        <f t="shared" ca="1" si="46"/>
        <v>0</v>
      </c>
      <c r="S141" s="224">
        <f t="shared" ca="1" si="46"/>
        <v>0</v>
      </c>
      <c r="T141" s="224">
        <f t="shared" ca="1" si="43"/>
        <v>0</v>
      </c>
      <c r="U141" s="224">
        <f t="shared" ca="1" si="44"/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468">
        <f ca="1">L143+L144</f>
        <v>115700</v>
      </c>
      <c r="M142" s="224">
        <f ca="1">M143+M144</f>
        <v>110700</v>
      </c>
      <c r="N142" s="224">
        <f ca="1">N143+N144</f>
        <v>108327</v>
      </c>
      <c r="O142" s="224">
        <f t="shared" ca="1" si="41"/>
        <v>93.627484874675886</v>
      </c>
      <c r="P142" s="224">
        <f t="shared" ca="1" si="42"/>
        <v>97.856368563685635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t="shared" ca="1" si="43"/>
        <v>0</v>
      </c>
      <c r="U142" s="224">
        <f t="shared" ca="1" si="44"/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469">
        <v>0</v>
      </c>
      <c r="M143" s="83">
        <v>0</v>
      </c>
      <c r="N143" s="83">
        <v>0</v>
      </c>
      <c r="O143" s="83">
        <f t="shared" si="41"/>
        <v>0</v>
      </c>
      <c r="P143" s="83">
        <f t="shared" si="42"/>
        <v>0</v>
      </c>
      <c r="Q143" s="83">
        <v>0</v>
      </c>
      <c r="R143" s="83">
        <v>0</v>
      </c>
      <c r="S143" s="83">
        <v>0</v>
      </c>
      <c r="T143" s="83">
        <f t="shared" si="43"/>
        <v>0</v>
      </c>
      <c r="U143" s="83">
        <f t="shared" si="44"/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468">
        <f ca="1">IFERROR(__xludf.DUMMYFUNCTION("IMPORTRANGE(""https://docs.google.com/spreadsheets/d/1-uDff_7J0KD5mKrp0Vvzr7lt3OU09vwQwhkpOPPYv2Y/edit?usp=sharing"",""งบพรบ!BQ17"")"),115700)</f>
        <v>115700</v>
      </c>
      <c r="M144" s="224">
        <f ca="1">IFERROR(__xludf.DUMMYFUNCTION("IMPORTRANGE(""https://docs.google.com/spreadsheets/d/1-uDff_7J0KD5mKrp0Vvzr7lt3OU09vwQwhkpOPPYv2Y/edit?usp=sharing"",""งบพรบ!BV17"")"),110700)</f>
        <v>110700</v>
      </c>
      <c r="N144" s="224">
        <f ca="1">IFERROR(__xludf.DUMMYFUNCTION("IMPORTRANGE(""https://docs.google.com/spreadsheets/d/1-uDff_7J0KD5mKrp0Vvzr7lt3OU09vwQwhkpOPPYv2Y/edit?usp=sharing"",""งบพรบ!BX17"")"),108327)</f>
        <v>108327</v>
      </c>
      <c r="O144" s="224">
        <f t="shared" ca="1" si="41"/>
        <v>93.627484874675886</v>
      </c>
      <c r="P144" s="224">
        <f t="shared" ca="1" si="42"/>
        <v>97.856368563685635</v>
      </c>
      <c r="Q144" s="224">
        <f ca="1">IFERROR(__xludf.DUMMYFUNCTION("IMPORTRANGE(""https://docs.google.com/spreadsheets/d/1ItG2mGa2ceCfYo0BwxsXqNm01IGEUdYcSSLTEv9YCik/edit?usp=sharing"",""เบิกจ่ายกองทุน!BB17"")"),0)</f>
        <v>0</v>
      </c>
      <c r="R144" s="224">
        <f ca="1">IFERROR(__xludf.DUMMYFUNCTION("IMPORTRANGE(""https://docs.google.com/spreadsheets/d/1ItG2mGa2ceCfYo0BwxsXqNm01IGEUdYcSSLTEv9YCik/edit?usp=sharing"",""เบิกจ่ายกองทุน!BC17"")"),0)</f>
        <v>0</v>
      </c>
      <c r="S144" s="224">
        <f ca="1">IFERROR(__xludf.DUMMYFUNCTION("IMPORTRANGE(""https://docs.google.com/spreadsheets/d/1ItG2mGa2ceCfYo0BwxsXqNm01IGEUdYcSSLTEv9YCik/edit?usp=sharing"",""เบิกจ่ายกองทุน!BD17"")"),0)</f>
        <v>0</v>
      </c>
      <c r="T144" s="224">
        <f t="shared" ca="1" si="43"/>
        <v>0</v>
      </c>
      <c r="U144" s="224">
        <f t="shared" ca="1" si="44"/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468">
        <f ca="1">L146+L147</f>
        <v>0</v>
      </c>
      <c r="M145" s="224">
        <f ca="1">M146+M147</f>
        <v>0</v>
      </c>
      <c r="N145" s="224">
        <f ca="1">N146+N147</f>
        <v>0</v>
      </c>
      <c r="O145" s="224">
        <f t="shared" ca="1" si="41"/>
        <v>0</v>
      </c>
      <c r="P145" s="224">
        <f t="shared" ca="1" si="42"/>
        <v>0</v>
      </c>
      <c r="Q145" s="224">
        <f>Q146+Q147</f>
        <v>0</v>
      </c>
      <c r="R145" s="224">
        <f>R146+R147</f>
        <v>0</v>
      </c>
      <c r="S145" s="224">
        <f>S146+S147</f>
        <v>0</v>
      </c>
      <c r="T145" s="224">
        <f t="shared" si="43"/>
        <v>0</v>
      </c>
      <c r="U145" s="224">
        <f t="shared" si="44"/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469">
        <v>0</v>
      </c>
      <c r="M146" s="83">
        <v>0</v>
      </c>
      <c r="N146" s="83">
        <v>0</v>
      </c>
      <c r="O146" s="83">
        <f t="shared" si="41"/>
        <v>0</v>
      </c>
      <c r="P146" s="83">
        <f t="shared" si="42"/>
        <v>0</v>
      </c>
      <c r="Q146" s="83">
        <v>0</v>
      </c>
      <c r="R146" s="83">
        <v>0</v>
      </c>
      <c r="S146" s="83">
        <v>0</v>
      </c>
      <c r="T146" s="83">
        <f t="shared" si="43"/>
        <v>0</v>
      </c>
      <c r="U146" s="83">
        <f t="shared" si="44"/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468">
        <f ca="1">IFERROR(__xludf.DUMMYFUNCTION("IMPORTRANGE(""https://docs.google.com/spreadsheets/d/1-uDff_7J0KD5mKrp0Vvzr7lt3OU09vwQwhkpOPPYv2Y/edit?usp=sharing"",""งบพรบ!BT17"")"),0)</f>
        <v>0</v>
      </c>
      <c r="M147" s="224">
        <f ca="1">IFERROR(__xludf.DUMMYFUNCTION("IMPORTRANGE(""https://docs.google.com/spreadsheets/d/1-uDff_7J0KD5mKrp0Vvzr7lt3OU09vwQwhkpOPPYv2Y/edit?usp=sharing"",""งบพรบ!BW17"")"),0)</f>
        <v>0</v>
      </c>
      <c r="N147" s="224">
        <f ca="1">IFERROR(__xludf.DUMMYFUNCTION("IMPORTRANGE(""https://docs.google.com/spreadsheets/d/1-uDff_7J0KD5mKrp0Vvzr7lt3OU09vwQwhkpOPPYv2Y/edit?usp=sharing"",""งบพรบ!BY17"")"),0)</f>
        <v>0</v>
      </c>
      <c r="O147" s="224">
        <f t="shared" ca="1" si="41"/>
        <v>0</v>
      </c>
      <c r="P147" s="224">
        <f t="shared" ca="1" si="42"/>
        <v>0</v>
      </c>
      <c r="Q147" s="224">
        <v>0</v>
      </c>
      <c r="R147" s="224">
        <v>0</v>
      </c>
      <c r="S147" s="224">
        <v>0</v>
      </c>
      <c r="T147" s="224">
        <f t="shared" si="43"/>
        <v>0</v>
      </c>
      <c r="U147" s="224">
        <f t="shared" si="44"/>
        <v>0</v>
      </c>
    </row>
    <row r="148" spans="1:21" ht="19.5" x14ac:dyDescent="0.3">
      <c r="A148" s="138"/>
      <c r="B148" s="139"/>
      <c r="C148" s="129" t="s">
        <v>18</v>
      </c>
      <c r="D148" s="498" t="s">
        <v>38</v>
      </c>
      <c r="E148" s="141"/>
      <c r="F148" s="141"/>
      <c r="G148" s="142"/>
      <c r="H148" s="178"/>
      <c r="I148" s="44"/>
      <c r="J148" s="44"/>
      <c r="K148" s="45"/>
      <c r="L148" s="465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466">
        <v>0</v>
      </c>
      <c r="K149" s="45"/>
      <c r="L149" s="465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IFERROR(__xludf.DUMMYFUNCTION("IMPORTRANGE(""https://docs.google.com/spreadsheets/d/1eHaY18a8A9IcSdp1K8H6x8fbOy06t2VsZHhMHf-1x7Y/edit?usp=sharing"",""แผน!U17"")"),0)</f>
        <v>0</v>
      </c>
      <c r="J150" s="466">
        <v>0</v>
      </c>
      <c r="K150" s="224">
        <f ca="1">IF(I150&gt;0,J150*100/I150,0)</f>
        <v>0</v>
      </c>
      <c r="L150" s="465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IFERROR(__xludf.DUMMYFUNCTION("IMPORTRANGE(""https://docs.google.com/spreadsheets/d/1eHaY18a8A9IcSdp1K8H6x8fbOy06t2VsZHhMHf-1x7Y/edit?usp=sharing"",""แผน!V17"")"),0)</f>
        <v>0</v>
      </c>
      <c r="J151" s="466">
        <v>0</v>
      </c>
      <c r="K151" s="224">
        <f ca="1">IF(I151&gt;0,J151*100/I151,0)</f>
        <v>0</v>
      </c>
      <c r="L151" s="465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IFERROR(__xludf.DUMMYFUNCTION("IMPORTRANGE(""https://docs.google.com/spreadsheets/d/1eHaY18a8A9IcSdp1K8H6x8fbOy06t2VsZHhMHf-1x7Y/edit?usp=sharing"",""แผน!W17"")"),20)</f>
        <v>20</v>
      </c>
      <c r="J152" s="466">
        <v>20</v>
      </c>
      <c r="K152" s="224">
        <f ca="1">IF(I152&gt;0,J152*100/I152,0)</f>
        <v>100</v>
      </c>
      <c r="L152" s="465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IFERROR(__xludf.DUMMYFUNCTION("IMPORTRANGE(""https://docs.google.com/spreadsheets/d/1eHaY18a8A9IcSdp1K8H6x8fbOy06t2VsZHhMHf-1x7Y/edit?usp=sharing"",""แผน!X17"")"),2)</f>
        <v>2</v>
      </c>
      <c r="J153" s="466">
        <v>2</v>
      </c>
      <c r="K153" s="224">
        <f ca="1">IF(I153&gt;0,J153*100/I153,0)</f>
        <v>100</v>
      </c>
      <c r="L153" s="465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IFERROR(__xludf.DUMMYFUNCTION("IMPORTRANGE(""https://docs.google.com/spreadsheets/d/1eHaY18a8A9IcSdp1K8H6x8fbOy06t2VsZHhMHf-1x7Y/edit?usp=sharing"",""แผน!Y17"")"),0)</f>
        <v>0</v>
      </c>
      <c r="J154" s="466">
        <v>0</v>
      </c>
      <c r="K154" s="224">
        <f ca="1">IF(I154&gt;0,J154*100/I154,0)</f>
        <v>0</v>
      </c>
      <c r="L154" s="465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665">
        <f ca="1">I167</f>
        <v>15</v>
      </c>
      <c r="J156" s="665">
        <f>J167</f>
        <v>24</v>
      </c>
      <c r="K156" s="664">
        <f ca="1">IF(I156&gt;0,J156*100/I156,0)</f>
        <v>160</v>
      </c>
      <c r="L156" s="510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129" t="s">
        <v>18</v>
      </c>
      <c r="D157" s="472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471">
        <f ca="1">L158+L159</f>
        <v>3000</v>
      </c>
      <c r="M157" s="470">
        <f ca="1">M158+M159</f>
        <v>3450</v>
      </c>
      <c r="N157" s="470">
        <f ca="1">N158+N159</f>
        <v>480</v>
      </c>
      <c r="O157" s="470">
        <f t="shared" ref="O157:O165" ca="1" si="47">IF(L157&gt;0,N157*100/L157,0)</f>
        <v>16</v>
      </c>
      <c r="P157" s="470">
        <f t="shared" ref="P157:P165" ca="1" si="48">IF(M157&gt;0,N157*100/M157,0)</f>
        <v>13.913043478260869</v>
      </c>
      <c r="Q157" s="470">
        <f ca="1">Q158+Q159</f>
        <v>0</v>
      </c>
      <c r="R157" s="470">
        <f ca="1">R158+R159</f>
        <v>0</v>
      </c>
      <c r="S157" s="470">
        <f ca="1">S158+S159</f>
        <v>0</v>
      </c>
      <c r="T157" s="470">
        <f t="shared" ref="T157:T165" ca="1" si="49">IF(Q157&gt;0,S157*100/Q157,0)</f>
        <v>0</v>
      </c>
      <c r="U157" s="470">
        <f t="shared" ref="U157:U165" ca="1" si="50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469">
        <f t="shared" ref="L158:N159" si="51">L161+L164</f>
        <v>0</v>
      </c>
      <c r="M158" s="83">
        <f t="shared" si="51"/>
        <v>0</v>
      </c>
      <c r="N158" s="83">
        <f t="shared" si="51"/>
        <v>0</v>
      </c>
      <c r="O158" s="83">
        <f t="shared" si="47"/>
        <v>0</v>
      </c>
      <c r="P158" s="83">
        <f t="shared" si="48"/>
        <v>0</v>
      </c>
      <c r="Q158" s="83">
        <f t="shared" ref="Q158:S159" si="52">Q161+Q164</f>
        <v>0</v>
      </c>
      <c r="R158" s="83">
        <f t="shared" si="52"/>
        <v>0</v>
      </c>
      <c r="S158" s="83">
        <f t="shared" si="52"/>
        <v>0</v>
      </c>
      <c r="T158" s="83">
        <f t="shared" si="49"/>
        <v>0</v>
      </c>
      <c r="U158" s="83">
        <f t="shared" si="50"/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468">
        <f t="shared" ca="1" si="51"/>
        <v>3000</v>
      </c>
      <c r="M159" s="224">
        <f t="shared" ca="1" si="51"/>
        <v>3450</v>
      </c>
      <c r="N159" s="224">
        <f t="shared" ca="1" si="51"/>
        <v>480</v>
      </c>
      <c r="O159" s="224">
        <f t="shared" ca="1" si="47"/>
        <v>16</v>
      </c>
      <c r="P159" s="224">
        <f t="shared" ca="1" si="48"/>
        <v>13.913043478260869</v>
      </c>
      <c r="Q159" s="224">
        <f t="shared" ca="1" si="52"/>
        <v>0</v>
      </c>
      <c r="R159" s="224">
        <f t="shared" ca="1" si="52"/>
        <v>0</v>
      </c>
      <c r="S159" s="224">
        <f t="shared" ca="1" si="52"/>
        <v>0</v>
      </c>
      <c r="T159" s="224">
        <f t="shared" ca="1" si="49"/>
        <v>0</v>
      </c>
      <c r="U159" s="224">
        <f t="shared" ca="1" si="50"/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468">
        <f ca="1">L161+L162</f>
        <v>3000</v>
      </c>
      <c r="M160" s="224">
        <f ca="1">M161+M162</f>
        <v>3450</v>
      </c>
      <c r="N160" s="224">
        <f ca="1">N161+N162</f>
        <v>480</v>
      </c>
      <c r="O160" s="224">
        <f t="shared" ca="1" si="47"/>
        <v>16</v>
      </c>
      <c r="P160" s="224">
        <f t="shared" ca="1" si="48"/>
        <v>13.913043478260869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t="shared" ca="1" si="49"/>
        <v>0</v>
      </c>
      <c r="U160" s="224">
        <f t="shared" ca="1" si="50"/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469">
        <v>0</v>
      </c>
      <c r="M161" s="83">
        <v>0</v>
      </c>
      <c r="N161" s="83">
        <v>0</v>
      </c>
      <c r="O161" s="83">
        <f t="shared" si="47"/>
        <v>0</v>
      </c>
      <c r="P161" s="83">
        <f t="shared" si="48"/>
        <v>0</v>
      </c>
      <c r="Q161" s="83">
        <v>0</v>
      </c>
      <c r="R161" s="83">
        <v>0</v>
      </c>
      <c r="S161" s="83">
        <v>0</v>
      </c>
      <c r="T161" s="83">
        <f t="shared" si="49"/>
        <v>0</v>
      </c>
      <c r="U161" s="83">
        <f t="shared" si="50"/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468">
        <f ca="1">IFERROR(__xludf.DUMMYFUNCTION("IMPORTRANGE(""https://docs.google.com/spreadsheets/d/1-uDff_7J0KD5mKrp0Vvzr7lt3OU09vwQwhkpOPPYv2Y/edit?usp=sharing"",""งบพรบ!CA17"")"),3000)</f>
        <v>3000</v>
      </c>
      <c r="M162" s="224">
        <f ca="1">IFERROR(__xludf.DUMMYFUNCTION("IMPORTRANGE(""https://docs.google.com/spreadsheets/d/1-uDff_7J0KD5mKrp0Vvzr7lt3OU09vwQwhkpOPPYv2Y/edit?usp=sharing"",""งบพรบ!CF17"")"),3450)</f>
        <v>3450</v>
      </c>
      <c r="N162" s="224">
        <f ca="1">IFERROR(__xludf.DUMMYFUNCTION("IMPORTRANGE(""https://docs.google.com/spreadsheets/d/1-uDff_7J0KD5mKrp0Vvzr7lt3OU09vwQwhkpOPPYv2Y/edit?usp=sharing"",""งบพรบ!CH17"")"),480)</f>
        <v>480</v>
      </c>
      <c r="O162" s="224">
        <f t="shared" ca="1" si="47"/>
        <v>16</v>
      </c>
      <c r="P162" s="224">
        <f t="shared" ca="1" si="48"/>
        <v>13.913043478260869</v>
      </c>
      <c r="Q162" s="224">
        <f ca="1">IFERROR(__xludf.DUMMYFUNCTION("IMPORTRANGE(""https://docs.google.com/spreadsheets/d/1ItG2mGa2ceCfYo0BwxsXqNm01IGEUdYcSSLTEv9YCik/edit?usp=sharing"",""เบิกจ่ายกองทุน!AG17"")"),0)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IFERROR(__xludf.DUMMYFUNCTION("IMPORTRANGE(""https://docs.google.com/spreadsheets/d/1ItG2mGa2ceCfYo0BwxsXqNm01IGEUdYcSSLTEv9YCik/edit?usp=sharing"",""เบิกจ่ายกองทุน!AH17"")"),0)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IFERROR(__xludf.DUMMYFUNCTION("IMPORTRANGE(""https://docs.google.com/spreadsheets/d/1ItG2mGa2ceCfYo0BwxsXqNm01IGEUdYcSSLTEv9YCik/edit?usp=sharing"",""เบิกจ่ายกองทุน!AI17"")"),0)</f>
        <v>0</v>
      </c>
      <c r="T162" s="224">
        <f t="shared" ca="1" si="49"/>
        <v>0</v>
      </c>
      <c r="U162" s="224">
        <f t="shared" ca="1" si="50"/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468">
        <f ca="1">L164+L165</f>
        <v>0</v>
      </c>
      <c r="M163" s="224">
        <f ca="1">M164+M165</f>
        <v>0</v>
      </c>
      <c r="N163" s="224">
        <f ca="1">N164+N165</f>
        <v>0</v>
      </c>
      <c r="O163" s="224">
        <f t="shared" ca="1" si="47"/>
        <v>0</v>
      </c>
      <c r="P163" s="224">
        <f t="shared" ca="1" si="48"/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 t="shared" si="49"/>
        <v>0</v>
      </c>
      <c r="U163" s="224">
        <f t="shared" si="50"/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469">
        <v>0</v>
      </c>
      <c r="M164" s="83">
        <v>0</v>
      </c>
      <c r="N164" s="83">
        <v>0</v>
      </c>
      <c r="O164" s="83">
        <f t="shared" si="47"/>
        <v>0</v>
      </c>
      <c r="P164" s="83">
        <f t="shared" si="48"/>
        <v>0</v>
      </c>
      <c r="Q164" s="83">
        <v>0</v>
      </c>
      <c r="R164" s="83">
        <v>0</v>
      </c>
      <c r="S164" s="83">
        <v>0</v>
      </c>
      <c r="T164" s="83">
        <f t="shared" si="49"/>
        <v>0</v>
      </c>
      <c r="U164" s="83">
        <f t="shared" si="50"/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468">
        <f ca="1">IFERROR(__xludf.DUMMYFUNCTION("IMPORTRANGE(""https://docs.google.com/spreadsheets/d/1-uDff_7J0KD5mKrp0Vvzr7lt3OU09vwQwhkpOPPYv2Y/edit?usp=sharing"",""งบพรบ!CD17"")"),0)</f>
        <v>0</v>
      </c>
      <c r="M165" s="224">
        <f ca="1">IFERROR(__xludf.DUMMYFUNCTION("IMPORTRANGE(""https://docs.google.com/spreadsheets/d/1-uDff_7J0KD5mKrp0Vvzr7lt3OU09vwQwhkpOPPYv2Y/edit?usp=sharing"",""งบพรบ!CG17"")"),0)</f>
        <v>0</v>
      </c>
      <c r="N165" s="224">
        <f ca="1">IFERROR(__xludf.DUMMYFUNCTION("IMPORTRANGE(""https://docs.google.com/spreadsheets/d/1-uDff_7J0KD5mKrp0Vvzr7lt3OU09vwQwhkpOPPYv2Y/edit?usp=sharing"",""งบพรบ!CI17"")"),0)</f>
        <v>0</v>
      </c>
      <c r="O165" s="224">
        <f t="shared" ca="1" si="47"/>
        <v>0</v>
      </c>
      <c r="P165" s="224">
        <f t="shared" ca="1" si="48"/>
        <v>0</v>
      </c>
      <c r="Q165" s="224">
        <v>0</v>
      </c>
      <c r="R165" s="224">
        <v>0</v>
      </c>
      <c r="S165" s="224">
        <v>0</v>
      </c>
      <c r="T165" s="224">
        <f t="shared" si="49"/>
        <v>0</v>
      </c>
      <c r="U165" s="224">
        <f t="shared" si="50"/>
        <v>0</v>
      </c>
    </row>
    <row r="166" spans="1:21" ht="19.5" x14ac:dyDescent="0.3">
      <c r="A166" s="138"/>
      <c r="B166" s="139"/>
      <c r="C166" s="129" t="s">
        <v>18</v>
      </c>
      <c r="D166" s="498" t="s">
        <v>38</v>
      </c>
      <c r="E166" s="141"/>
      <c r="F166" s="141"/>
      <c r="G166" s="142"/>
      <c r="H166" s="178"/>
      <c r="I166" s="44"/>
      <c r="J166" s="44"/>
      <c r="K166" s="45"/>
      <c r="L166" s="465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IFERROR(__xludf.DUMMYFUNCTION("IMPORTRANGE(""https://docs.google.com/spreadsheets/d/1eHaY18a8A9IcSdp1K8H6x8fbOy06t2VsZHhMHf-1x7Y/edit?usp=sharing"",""แผน!Z17"")"),15)</f>
        <v>15</v>
      </c>
      <c r="J167" s="466">
        <v>24</v>
      </c>
      <c r="K167" s="224">
        <f ca="1">IF(I167&gt;0,J167*100/I167,0)</f>
        <v>160</v>
      </c>
      <c r="L167" s="465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375" t="s">
        <v>35</v>
      </c>
      <c r="I168" s="430">
        <f ca="1">I167</f>
        <v>15</v>
      </c>
      <c r="J168" s="525">
        <v>0</v>
      </c>
      <c r="K168" s="83">
        <f ca="1">IF(I168&gt;0,J168*100/I168,0)</f>
        <v>0</v>
      </c>
      <c r="L168" s="465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31" t="s">
        <v>71</v>
      </c>
      <c r="E169" s="1"/>
      <c r="F169" s="1"/>
      <c r="G169" s="52"/>
      <c r="H169" s="663" t="s">
        <v>35</v>
      </c>
      <c r="I169" s="433">
        <f ca="1">I167</f>
        <v>15</v>
      </c>
      <c r="J169" s="522">
        <v>0</v>
      </c>
      <c r="K169" s="521">
        <f ca="1">IF(I169&gt;0,J169*100/I169,0)</f>
        <v>0</v>
      </c>
      <c r="L169" s="46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662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661">
        <f ca="1">I183+I184</f>
        <v>7</v>
      </c>
      <c r="J172" s="661">
        <f>J183+J184</f>
        <v>7</v>
      </c>
      <c r="K172" s="660">
        <f ca="1">IF(I172&gt;0,J172*100/I172,0)</f>
        <v>100</v>
      </c>
      <c r="L172" s="659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472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471">
        <f ca="1">L174+L175</f>
        <v>19590</v>
      </c>
      <c r="M173" s="470">
        <f ca="1">M174+M175</f>
        <v>38220</v>
      </c>
      <c r="N173" s="470">
        <f ca="1">N174+N175</f>
        <v>38220</v>
      </c>
      <c r="O173" s="470">
        <f t="shared" ref="O173:O181" ca="1" si="53">IF(L173&gt;0,N173*100/L173,0)</f>
        <v>195.09954058192955</v>
      </c>
      <c r="P173" s="470">
        <f t="shared" ref="P173:P181" ca="1" si="54">IF(M173&gt;0,N173*100/M173,0)</f>
        <v>100</v>
      </c>
      <c r="Q173" s="470">
        <f ca="1">Q174+Q175</f>
        <v>0</v>
      </c>
      <c r="R173" s="470">
        <f ca="1">R174+R175</f>
        <v>0</v>
      </c>
      <c r="S173" s="470">
        <f ca="1">S174+S175</f>
        <v>0</v>
      </c>
      <c r="T173" s="470">
        <f t="shared" ref="T173:T181" ca="1" si="55">IF(Q173&gt;0,S173*100/Q173,0)</f>
        <v>0</v>
      </c>
      <c r="U173" s="470">
        <f t="shared" ref="U173:U181" ca="1" si="56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469">
        <f t="shared" ref="L174:N175" si="57">L177+L180</f>
        <v>0</v>
      </c>
      <c r="M174" s="83">
        <f t="shared" si="57"/>
        <v>0</v>
      </c>
      <c r="N174" s="83">
        <f t="shared" si="57"/>
        <v>0</v>
      </c>
      <c r="O174" s="83">
        <f t="shared" si="53"/>
        <v>0</v>
      </c>
      <c r="P174" s="83">
        <f t="shared" si="54"/>
        <v>0</v>
      </c>
      <c r="Q174" s="83">
        <f t="shared" ref="Q174:S175" si="58">Q177+Q180</f>
        <v>0</v>
      </c>
      <c r="R174" s="83">
        <f t="shared" si="58"/>
        <v>0</v>
      </c>
      <c r="S174" s="83">
        <f t="shared" si="58"/>
        <v>0</v>
      </c>
      <c r="T174" s="83">
        <f t="shared" si="55"/>
        <v>0</v>
      </c>
      <c r="U174" s="83">
        <f t="shared" si="56"/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468">
        <f t="shared" ca="1" si="57"/>
        <v>19590</v>
      </c>
      <c r="M175" s="224">
        <f t="shared" ca="1" si="57"/>
        <v>38220</v>
      </c>
      <c r="N175" s="224">
        <f t="shared" ca="1" si="57"/>
        <v>38220</v>
      </c>
      <c r="O175" s="224">
        <f t="shared" ca="1" si="53"/>
        <v>195.09954058192955</v>
      </c>
      <c r="P175" s="224">
        <f t="shared" ca="1" si="54"/>
        <v>100</v>
      </c>
      <c r="Q175" s="224">
        <f t="shared" ca="1" si="58"/>
        <v>0</v>
      </c>
      <c r="R175" s="224">
        <f t="shared" ca="1" si="58"/>
        <v>0</v>
      </c>
      <c r="S175" s="224">
        <f t="shared" ca="1" si="58"/>
        <v>0</v>
      </c>
      <c r="T175" s="224">
        <f t="shared" ca="1" si="55"/>
        <v>0</v>
      </c>
      <c r="U175" s="224">
        <f t="shared" ca="1" si="56"/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468">
        <f ca="1">L177+L178</f>
        <v>19590</v>
      </c>
      <c r="M176" s="224">
        <f ca="1">M177+M178</f>
        <v>38220</v>
      </c>
      <c r="N176" s="224">
        <f ca="1">N177+N178</f>
        <v>38220</v>
      </c>
      <c r="O176" s="224">
        <f t="shared" ca="1" si="53"/>
        <v>195.09954058192955</v>
      </c>
      <c r="P176" s="224">
        <f t="shared" ca="1" si="54"/>
        <v>100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t="shared" ca="1" si="55"/>
        <v>0</v>
      </c>
      <c r="U176" s="224">
        <f t="shared" ca="1" si="56"/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469">
        <v>0</v>
      </c>
      <c r="M177" s="83">
        <v>0</v>
      </c>
      <c r="N177" s="83">
        <v>0</v>
      </c>
      <c r="O177" s="83">
        <f t="shared" si="53"/>
        <v>0</v>
      </c>
      <c r="P177" s="83">
        <f t="shared" si="54"/>
        <v>0</v>
      </c>
      <c r="Q177" s="83">
        <v>0</v>
      </c>
      <c r="R177" s="83">
        <v>0</v>
      </c>
      <c r="S177" s="83">
        <v>0</v>
      </c>
      <c r="T177" s="83">
        <f t="shared" si="55"/>
        <v>0</v>
      </c>
      <c r="U177" s="83">
        <f t="shared" si="56"/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468">
        <f ca="1">IFERROR(__xludf.DUMMYFUNCTION("IMPORTRANGE(""https://docs.google.com/spreadsheets/d/1-uDff_7J0KD5mKrp0Vvzr7lt3OU09vwQwhkpOPPYv2Y/edit?usp=sharing"",""งบพรบ!CK17"")"),19590)</f>
        <v>19590</v>
      </c>
      <c r="M178" s="224">
        <f ca="1">IFERROR(__xludf.DUMMYFUNCTION("IMPORTRANGE(""https://docs.google.com/spreadsheets/d/1-uDff_7J0KD5mKrp0Vvzr7lt3OU09vwQwhkpOPPYv2Y/edit?usp=sharing"",""งบพรบ!CP17"")"),38220)</f>
        <v>38220</v>
      </c>
      <c r="N178" s="224">
        <f ca="1">IFERROR(__xludf.DUMMYFUNCTION("IMPORTRANGE(""https://docs.google.com/spreadsheets/d/1-uDff_7J0KD5mKrp0Vvzr7lt3OU09vwQwhkpOPPYv2Y/edit?usp=sharing"",""งบพรบ!CR17"")"),38220)</f>
        <v>38220</v>
      </c>
      <c r="O178" s="224">
        <f t="shared" ca="1" si="53"/>
        <v>195.09954058192955</v>
      </c>
      <c r="P178" s="224">
        <f t="shared" ca="1" si="54"/>
        <v>100</v>
      </c>
      <c r="Q178" s="224">
        <f ca="1">IFERROR(__xludf.DUMMYFUNCTION("IMPORTRANGE(""https://docs.google.com/spreadsheets/d/1ItG2mGa2ceCfYo0BwxsXqNm01IGEUdYcSSLTEv9YCik/edit?usp=sharing"",""เบิกจ่ายกองทุน!BE17"")"),0)</f>
        <v>0</v>
      </c>
      <c r="R178" s="224">
        <f ca="1">IFERROR(__xludf.DUMMYFUNCTION("IMPORTRANGE(""https://docs.google.com/spreadsheets/d/1ItG2mGa2ceCfYo0BwxsXqNm01IGEUdYcSSLTEv9YCik/edit?usp=sharing"",""เบิกจ่ายกองทุน!BF17"")"),0)</f>
        <v>0</v>
      </c>
      <c r="S178" s="224">
        <f ca="1">IFERROR(__xludf.DUMMYFUNCTION("IMPORTRANGE(""https://docs.google.com/spreadsheets/d/1ItG2mGa2ceCfYo0BwxsXqNm01IGEUdYcSSLTEv9YCik/edit?usp=sharing"",""เบิกจ่ายกองทุน!BG17"")"),0)</f>
        <v>0</v>
      </c>
      <c r="T178" s="224">
        <f t="shared" ca="1" si="55"/>
        <v>0</v>
      </c>
      <c r="U178" s="224">
        <f t="shared" ca="1" si="56"/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468">
        <f ca="1">L180+L181</f>
        <v>0</v>
      </c>
      <c r="M179" s="224">
        <f ca="1">M180+M181</f>
        <v>0</v>
      </c>
      <c r="N179" s="224">
        <f ca="1">N180+N181</f>
        <v>0</v>
      </c>
      <c r="O179" s="224">
        <f t="shared" ca="1" si="53"/>
        <v>0</v>
      </c>
      <c r="P179" s="224">
        <f t="shared" ca="1" si="54"/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 t="shared" si="55"/>
        <v>0</v>
      </c>
      <c r="U179" s="224">
        <f t="shared" si="56"/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469">
        <v>0</v>
      </c>
      <c r="M180" s="83">
        <v>0</v>
      </c>
      <c r="N180" s="83">
        <v>0</v>
      </c>
      <c r="O180" s="83">
        <f t="shared" si="53"/>
        <v>0</v>
      </c>
      <c r="P180" s="83">
        <f t="shared" si="54"/>
        <v>0</v>
      </c>
      <c r="Q180" s="83">
        <v>0</v>
      </c>
      <c r="R180" s="83">
        <v>0</v>
      </c>
      <c r="S180" s="83">
        <v>0</v>
      </c>
      <c r="T180" s="83">
        <f t="shared" si="55"/>
        <v>0</v>
      </c>
      <c r="U180" s="83">
        <f t="shared" si="56"/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468">
        <f ca="1">IFERROR(__xludf.DUMMYFUNCTION("IMPORTRANGE(""https://docs.google.com/spreadsheets/d/1-uDff_7J0KD5mKrp0Vvzr7lt3OU09vwQwhkpOPPYv2Y/edit?usp=sharing"",""งบพรบ!CN17"")"),0)</f>
        <v>0</v>
      </c>
      <c r="M181" s="224">
        <f ca="1">IFERROR(__xludf.DUMMYFUNCTION("IMPORTRANGE(""https://docs.google.com/spreadsheets/d/1-uDff_7J0KD5mKrp0Vvzr7lt3OU09vwQwhkpOPPYv2Y/edit?usp=sharing"",""งบพรบ!CQ17"")"),0)</f>
        <v>0</v>
      </c>
      <c r="N181" s="224">
        <f ca="1">IFERROR(__xludf.DUMMYFUNCTION("IMPORTRANGE(""https://docs.google.com/spreadsheets/d/1-uDff_7J0KD5mKrp0Vvzr7lt3OU09vwQwhkpOPPYv2Y/edit?usp=sharing"",""งบพรบ!CS17"")"),0)</f>
        <v>0</v>
      </c>
      <c r="O181" s="224">
        <f t="shared" ca="1" si="53"/>
        <v>0</v>
      </c>
      <c r="P181" s="224">
        <f t="shared" ca="1" si="54"/>
        <v>0</v>
      </c>
      <c r="Q181" s="224">
        <v>0</v>
      </c>
      <c r="R181" s="224">
        <v>0</v>
      </c>
      <c r="S181" s="224">
        <v>0</v>
      </c>
      <c r="T181" s="224">
        <f t="shared" si="55"/>
        <v>0</v>
      </c>
      <c r="U181" s="224">
        <f t="shared" si="56"/>
        <v>0</v>
      </c>
    </row>
    <row r="182" spans="1:21" ht="19.5" x14ac:dyDescent="0.3">
      <c r="A182" s="138"/>
      <c r="B182" s="139"/>
      <c r="C182" s="129" t="s">
        <v>18</v>
      </c>
      <c r="D182" s="498" t="s">
        <v>38</v>
      </c>
      <c r="E182" s="141"/>
      <c r="F182" s="141"/>
      <c r="G182" s="142"/>
      <c r="H182" s="178"/>
      <c r="I182" s="44"/>
      <c r="J182" s="44"/>
      <c r="K182" s="45"/>
      <c r="L182" s="465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IFERROR(__xludf.DUMMYFUNCTION("IMPORTRANGE(""https://docs.google.com/spreadsheets/d/1eHaY18a8A9IcSdp1K8H6x8fbOy06t2VsZHhMHf-1x7Y/edit?usp=sharing"",""แผน!AA17"")"),7)</f>
        <v>7</v>
      </c>
      <c r="J183" s="466">
        <v>7</v>
      </c>
      <c r="K183" s="224">
        <f ca="1">IF(I183&gt;0,J183*100/I183,0)</f>
        <v>100</v>
      </c>
      <c r="L183" s="465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14" t="s">
        <v>76</v>
      </c>
      <c r="E184" s="40"/>
      <c r="F184" s="40"/>
      <c r="G184" s="42"/>
      <c r="H184" s="526" t="s">
        <v>35</v>
      </c>
      <c r="I184" s="430">
        <v>0</v>
      </c>
      <c r="J184" s="430">
        <v>0</v>
      </c>
      <c r="K184" s="83">
        <f>IF(I184&gt;0,J184*100/I184,0)</f>
        <v>0</v>
      </c>
      <c r="L184" s="465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661">
        <f ca="1">I230+I231</f>
        <v>0</v>
      </c>
      <c r="J185" s="661">
        <f>J230+J231</f>
        <v>0</v>
      </c>
      <c r="K185" s="660">
        <f ca="1">IF(I185&gt;0,J185*100/I185,0)</f>
        <v>0</v>
      </c>
      <c r="L185" s="659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472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471">
        <f ca="1">L187+L188</f>
        <v>214500</v>
      </c>
      <c r="M186" s="470">
        <f ca="1">M187+M188</f>
        <v>214500</v>
      </c>
      <c r="N186" s="470">
        <f ca="1">N187+N188</f>
        <v>140360</v>
      </c>
      <c r="O186" s="470">
        <f t="shared" ref="O186:O194" ca="1" si="59">IF(L186&gt;0,N186*100/L186,0)</f>
        <v>65.435897435897431</v>
      </c>
      <c r="P186" s="470">
        <f t="shared" ref="P186:P194" ca="1" si="60">IF(M186&gt;0,N186*100/M186,0)</f>
        <v>65.435897435897431</v>
      </c>
      <c r="Q186" s="470">
        <f ca="1">Q187+Q188</f>
        <v>28000</v>
      </c>
      <c r="R186" s="470">
        <f ca="1">R187+R188</f>
        <v>34000</v>
      </c>
      <c r="S186" s="470">
        <f ca="1">S187+S188</f>
        <v>0</v>
      </c>
      <c r="T186" s="470">
        <f t="shared" ref="T186:T194" ca="1" si="61">IF(Q186&gt;0,S186*100/Q186,0)</f>
        <v>0</v>
      </c>
      <c r="U186" s="470">
        <f t="shared" ref="U186:U194" ca="1" si="62">IF(R186&gt;0,S186*100/R186,0)</f>
        <v>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469">
        <f t="shared" ref="L187:N188" si="63">L190+L193</f>
        <v>0</v>
      </c>
      <c r="M187" s="83">
        <f t="shared" si="63"/>
        <v>0</v>
      </c>
      <c r="N187" s="83">
        <f t="shared" si="63"/>
        <v>0</v>
      </c>
      <c r="O187" s="83">
        <f t="shared" si="59"/>
        <v>0</v>
      </c>
      <c r="P187" s="83">
        <f t="shared" si="60"/>
        <v>0</v>
      </c>
      <c r="Q187" s="83">
        <f t="shared" ref="Q187:S188" si="64">Q190+Q193</f>
        <v>0</v>
      </c>
      <c r="R187" s="83">
        <f t="shared" si="64"/>
        <v>0</v>
      </c>
      <c r="S187" s="83">
        <f t="shared" si="64"/>
        <v>0</v>
      </c>
      <c r="T187" s="83">
        <f t="shared" si="61"/>
        <v>0</v>
      </c>
      <c r="U187" s="83">
        <f t="shared" si="62"/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468">
        <f t="shared" ca="1" si="63"/>
        <v>214500</v>
      </c>
      <c r="M188" s="224">
        <f t="shared" ca="1" si="63"/>
        <v>214500</v>
      </c>
      <c r="N188" s="224">
        <f t="shared" ca="1" si="63"/>
        <v>140360</v>
      </c>
      <c r="O188" s="224">
        <f t="shared" ca="1" si="59"/>
        <v>65.435897435897431</v>
      </c>
      <c r="P188" s="224">
        <f t="shared" ca="1" si="60"/>
        <v>65.435897435897431</v>
      </c>
      <c r="Q188" s="224">
        <f t="shared" ca="1" si="64"/>
        <v>28000</v>
      </c>
      <c r="R188" s="224">
        <f t="shared" ca="1" si="64"/>
        <v>34000</v>
      </c>
      <c r="S188" s="224">
        <f t="shared" ca="1" si="64"/>
        <v>0</v>
      </c>
      <c r="T188" s="224">
        <f t="shared" ca="1" si="61"/>
        <v>0</v>
      </c>
      <c r="U188" s="224">
        <f t="shared" ca="1" si="62"/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468">
        <f ca="1">L190+L191</f>
        <v>214500</v>
      </c>
      <c r="M189" s="224">
        <f ca="1">M190+M191</f>
        <v>214500</v>
      </c>
      <c r="N189" s="224">
        <f ca="1">N190+N191</f>
        <v>140360</v>
      </c>
      <c r="O189" s="224">
        <f t="shared" ca="1" si="59"/>
        <v>65.435897435897431</v>
      </c>
      <c r="P189" s="224">
        <f t="shared" ca="1" si="60"/>
        <v>65.435897435897431</v>
      </c>
      <c r="Q189" s="224">
        <f ca="1">Q190+Q191</f>
        <v>28000</v>
      </c>
      <c r="R189" s="224">
        <f ca="1">R190+R191</f>
        <v>34000</v>
      </c>
      <c r="S189" s="224">
        <f ca="1">S190+S191</f>
        <v>0</v>
      </c>
      <c r="T189" s="224">
        <f t="shared" ca="1" si="61"/>
        <v>0</v>
      </c>
      <c r="U189" s="224">
        <f t="shared" ca="1" si="62"/>
        <v>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469">
        <v>0</v>
      </c>
      <c r="M190" s="83">
        <v>0</v>
      </c>
      <c r="N190" s="83">
        <v>0</v>
      </c>
      <c r="O190" s="83">
        <f t="shared" si="59"/>
        <v>0</v>
      </c>
      <c r="P190" s="83">
        <f t="shared" si="60"/>
        <v>0</v>
      </c>
      <c r="Q190" s="83">
        <v>0</v>
      </c>
      <c r="R190" s="83">
        <v>0</v>
      </c>
      <c r="S190" s="83">
        <v>0</v>
      </c>
      <c r="T190" s="83">
        <f t="shared" si="61"/>
        <v>0</v>
      </c>
      <c r="U190" s="83">
        <f t="shared" si="62"/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468">
        <f ca="1">IFERROR(__xludf.DUMMYFUNCTION("IMPORTRANGE(""https://docs.google.com/spreadsheets/d/1-uDff_7J0KD5mKrp0Vvzr7lt3OU09vwQwhkpOPPYv2Y/edit?usp=sharing"",""งบพรบ!CU17"")"),214500)</f>
        <v>214500</v>
      </c>
      <c r="M191" s="224">
        <f ca="1">IFERROR(__xludf.DUMMYFUNCTION("IMPORTRANGE(""https://docs.google.com/spreadsheets/d/1-uDff_7J0KD5mKrp0Vvzr7lt3OU09vwQwhkpOPPYv2Y/edit?usp=sharing"",""งบพรบ!CZ17"")"),214500)</f>
        <v>214500</v>
      </c>
      <c r="N191" s="224">
        <f ca="1">IFERROR(__xludf.DUMMYFUNCTION("IMPORTRANGE(""https://docs.google.com/spreadsheets/d/1-uDff_7J0KD5mKrp0Vvzr7lt3OU09vwQwhkpOPPYv2Y/edit?usp=sharing"",""งบพรบ!DB17"")"),140360)</f>
        <v>140360</v>
      </c>
      <c r="O191" s="224">
        <f t="shared" ca="1" si="59"/>
        <v>65.435897435897431</v>
      </c>
      <c r="P191" s="224">
        <f t="shared" ca="1" si="60"/>
        <v>65.435897435897431</v>
      </c>
      <c r="Q191" s="224">
        <f ca="1">IFERROR(__xludf.DUMMYFUNCTION("IMPORTRANGE(""https://docs.google.com/spreadsheets/d/1ItG2mGa2ceCfYo0BwxsXqNm01IGEUdYcSSLTEv9YCik/edit?usp=sharing"",""เบิกจ่ายกองทุน!AV17"")"),28000)</f>
        <v>28000</v>
      </c>
      <c r="R191" s="224">
        <f ca="1">IFERROR(__xludf.DUMMYFUNCTION("IMPORTRANGE(""https://docs.google.com/spreadsheets/d/1ItG2mGa2ceCfYo0BwxsXqNm01IGEUdYcSSLTEv9YCik/edit?usp=sharing"",""เบิกจ่ายกองทุน!AW17"")"),34000)</f>
        <v>34000</v>
      </c>
      <c r="S191" s="224">
        <f ca="1">IFERROR(__xludf.DUMMYFUNCTION("IMPORTRANGE(""https://docs.google.com/spreadsheets/d/1ItG2mGa2ceCfYo0BwxsXqNm01IGEUdYcSSLTEv9YCik/edit?usp=sharing"",""เบิกจ่ายกองทุน!AX17"")"),0)</f>
        <v>0</v>
      </c>
      <c r="T191" s="224">
        <f t="shared" ca="1" si="61"/>
        <v>0</v>
      </c>
      <c r="U191" s="224">
        <f t="shared" ca="1" si="62"/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468">
        <f ca="1">L193+L194</f>
        <v>0</v>
      </c>
      <c r="M192" s="224">
        <f ca="1">M193+M194</f>
        <v>0</v>
      </c>
      <c r="N192" s="224">
        <f ca="1">N193+N194</f>
        <v>0</v>
      </c>
      <c r="O192" s="224">
        <f t="shared" ca="1" si="59"/>
        <v>0</v>
      </c>
      <c r="P192" s="224">
        <f t="shared" ca="1" si="60"/>
        <v>0</v>
      </c>
      <c r="Q192" s="224">
        <f>Q193+Q194</f>
        <v>0</v>
      </c>
      <c r="R192" s="224">
        <f>R193+R194</f>
        <v>0</v>
      </c>
      <c r="S192" s="224">
        <f>S193+S194</f>
        <v>0</v>
      </c>
      <c r="T192" s="224">
        <f t="shared" si="61"/>
        <v>0</v>
      </c>
      <c r="U192" s="224">
        <f t="shared" si="62"/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469">
        <v>0</v>
      </c>
      <c r="M193" s="83">
        <v>0</v>
      </c>
      <c r="N193" s="83">
        <v>0</v>
      </c>
      <c r="O193" s="83">
        <f t="shared" si="59"/>
        <v>0</v>
      </c>
      <c r="P193" s="83">
        <f t="shared" si="60"/>
        <v>0</v>
      </c>
      <c r="Q193" s="83">
        <v>0</v>
      </c>
      <c r="R193" s="83">
        <v>0</v>
      </c>
      <c r="S193" s="83">
        <v>0</v>
      </c>
      <c r="T193" s="83">
        <f t="shared" si="61"/>
        <v>0</v>
      </c>
      <c r="U193" s="83">
        <f t="shared" si="62"/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468">
        <f ca="1">IFERROR(__xludf.DUMMYFUNCTION("IMPORTRANGE(""https://docs.google.com/spreadsheets/d/1-uDff_7J0KD5mKrp0Vvzr7lt3OU09vwQwhkpOPPYv2Y/edit?usp=sharing"",""งบพรบ!CX17"")"),0)</f>
        <v>0</v>
      </c>
      <c r="M194" s="224">
        <f ca="1">IFERROR(__xludf.DUMMYFUNCTION("IMPORTRANGE(""https://docs.google.com/spreadsheets/d/1-uDff_7J0KD5mKrp0Vvzr7lt3OU09vwQwhkpOPPYv2Y/edit?usp=sharing"",""งบพรบ!DA17"")"),0)</f>
        <v>0</v>
      </c>
      <c r="N194" s="224">
        <f ca="1">IFERROR(__xludf.DUMMYFUNCTION("IMPORTRANGE(""https://docs.google.com/spreadsheets/d/1-uDff_7J0KD5mKrp0Vvzr7lt3OU09vwQwhkpOPPYv2Y/edit?usp=sharing"",""งบพรบ!DC17"")"),0)</f>
        <v>0</v>
      </c>
      <c r="O194" s="224">
        <f t="shared" ca="1" si="59"/>
        <v>0</v>
      </c>
      <c r="P194" s="224">
        <f t="shared" ca="1" si="60"/>
        <v>0</v>
      </c>
      <c r="Q194" s="224">
        <v>0</v>
      </c>
      <c r="R194" s="224">
        <v>0</v>
      </c>
      <c r="S194" s="224">
        <v>0</v>
      </c>
      <c r="T194" s="224">
        <f t="shared" si="61"/>
        <v>0</v>
      </c>
      <c r="U194" s="224">
        <f t="shared" si="62"/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ca="1">I198</f>
        <v>4</v>
      </c>
      <c r="J195" s="303">
        <f>J198</f>
        <v>2</v>
      </c>
      <c r="K195" s="304">
        <f ca="1">IF(I195&gt;0,J195*100/I195,0)</f>
        <v>50</v>
      </c>
      <c r="L195" s="557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654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471">
        <f ca="1">IFERROR(__xludf.DUMMYFUNCTION("IMPORTRANGE(""https://docs.google.com/spreadsheets/d/1eHaY18a8A9IcSdp1K8H6x8fbOy06t2VsZHhMHf-1x7Y/edit?usp=sharing"",""แผน!AB17"")"),6000)</f>
        <v>6000</v>
      </c>
      <c r="M196" s="45"/>
      <c r="N196" s="658">
        <v>0</v>
      </c>
      <c r="O196" s="470">
        <f ca="1">IF(L196&gt;0,N196*100/L196,0)</f>
        <v>0</v>
      </c>
      <c r="P196" s="47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498" t="s">
        <v>38</v>
      </c>
      <c r="E197" s="141"/>
      <c r="F197" s="141"/>
      <c r="G197" s="142"/>
      <c r="H197" s="143"/>
      <c r="I197" s="44"/>
      <c r="J197" s="44"/>
      <c r="K197" s="45"/>
      <c r="L197" s="465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IFERROR(__xludf.DUMMYFUNCTION("IMPORTRANGE(""https://docs.google.com/spreadsheets/d/1eHaY18a8A9IcSdp1K8H6x8fbOy06t2VsZHhMHf-1x7Y/edit?usp=sharing"",""แผน!AE17"")"),4)</f>
        <v>4</v>
      </c>
      <c r="J198" s="466">
        <v>2</v>
      </c>
      <c r="K198" s="224">
        <f ca="1">IF(I198&gt;0,J198*100/I198,0)</f>
        <v>50</v>
      </c>
      <c r="L198" s="465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30</v>
      </c>
      <c r="K199" s="45"/>
      <c r="L199" s="465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466">
        <v>30</v>
      </c>
      <c r="K200" s="45"/>
      <c r="L200" s="465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466">
        <v>0</v>
      </c>
      <c r="K201" s="45"/>
      <c r="L201" s="465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ca="1">I209</f>
        <v>3</v>
      </c>
      <c r="J202" s="303">
        <f>J209</f>
        <v>1</v>
      </c>
      <c r="K202" s="304">
        <f ca="1">IF(I202&gt;0,J202*100/I202,0)</f>
        <v>33.333333333333336</v>
      </c>
      <c r="L202" s="557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654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471">
        <f ca="1">L204+L205+L206+L207</f>
        <v>18000</v>
      </c>
      <c r="M203" s="45"/>
      <c r="N203" s="470">
        <f>N204+N205+N206+N207</f>
        <v>0</v>
      </c>
      <c r="O203" s="470">
        <f ca="1">IF(L203&gt;0,N203*100/L203,0)</f>
        <v>0</v>
      </c>
      <c r="P203" s="470">
        <f>IF(M203&gt;0,N203*100/M203,0)</f>
        <v>0</v>
      </c>
      <c r="Q203" s="657">
        <f ca="1">Q204+Q205+Q206+Q207</f>
        <v>28000</v>
      </c>
      <c r="R203" s="656"/>
      <c r="S203" s="655">
        <f>S204+S205+S206+S207</f>
        <v>0</v>
      </c>
      <c r="T203" s="655">
        <f ca="1">IF(Q203&gt;0,S203*100/Q203,0)</f>
        <v>0</v>
      </c>
      <c r="U203" s="655">
        <f>IF(R203&gt;0,S203*100/R203,0)</f>
        <v>0</v>
      </c>
    </row>
    <row r="204" spans="1:21" ht="18.75" x14ac:dyDescent="0.25">
      <c r="A204" s="128"/>
      <c r="B204" s="158"/>
      <c r="C204" s="40"/>
      <c r="D204" s="653" t="s">
        <v>311</v>
      </c>
      <c r="E204" s="40"/>
      <c r="F204" s="40"/>
      <c r="G204" s="42"/>
      <c r="H204" s="134" t="s">
        <v>14</v>
      </c>
      <c r="I204" s="135"/>
      <c r="J204" s="135"/>
      <c r="K204" s="136"/>
      <c r="L204" s="468">
        <f ca="1">IFERROR(__xludf.DUMMYFUNCTION("IMPORTRANGE(""https://docs.google.com/spreadsheets/d/1eHaY18a8A9IcSdp1K8H6x8fbOy06t2VsZHhMHf-1x7Y/edit?usp=sharing"",""แผน!AG17"")"),1000)</f>
        <v>1000</v>
      </c>
      <c r="M204" s="45"/>
      <c r="N204" s="644">
        <v>0</v>
      </c>
      <c r="O204" s="136"/>
      <c r="P204" s="45"/>
      <c r="Q204" s="468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307</v>
      </c>
      <c r="E205" s="40"/>
      <c r="F205" s="40"/>
      <c r="G205" s="42"/>
      <c r="H205" s="43" t="s">
        <v>14</v>
      </c>
      <c r="I205" s="44"/>
      <c r="J205" s="44"/>
      <c r="K205" s="45"/>
      <c r="L205" s="468">
        <f ca="1">IFERROR(__xludf.DUMMYFUNCTION("IMPORTRANGE(""https://docs.google.com/spreadsheets/d/1eHaY18a8A9IcSdp1K8H6x8fbOy06t2VsZHhMHf-1x7Y/edit?usp=sharing"",""แผน!AH17"")"),0)</f>
        <v>0</v>
      </c>
      <c r="M205" s="45"/>
      <c r="N205" s="644">
        <v>0</v>
      </c>
      <c r="O205" s="136"/>
      <c r="P205" s="45"/>
      <c r="Q205" s="468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468">
        <f ca="1">IFERROR(__xludf.DUMMYFUNCTION("IMPORTRANGE(""https://docs.google.com/spreadsheets/d/1eHaY18a8A9IcSdp1K8H6x8fbOy06t2VsZHhMHf-1x7Y/edit?usp=sharing"",""แผน!AI17"")"),8000)</f>
        <v>8000</v>
      </c>
      <c r="M206" s="45"/>
      <c r="N206" s="644">
        <v>0</v>
      </c>
      <c r="O206" s="136"/>
      <c r="P206" s="45"/>
      <c r="Q206" s="468">
        <f ca="1">IFERROR(__xludf.DUMMYFUNCTION("IMPORTRANGE(""https://docs.google.com/spreadsheets/d/1eHaY18a8A9IcSdp1K8H6x8fbOy06t2VsZHhMHf-1x7Y/edit?usp=sharing"",""แผน!LV17"")"),28000)</f>
        <v>28000</v>
      </c>
      <c r="R206" s="45"/>
      <c r="S206" s="644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468">
        <f ca="1">IFERROR(__xludf.DUMMYFUNCTION("IMPORTRANGE(""https://docs.google.com/spreadsheets/d/1eHaY18a8A9IcSdp1K8H6x8fbOy06t2VsZHhMHf-1x7Y/edit?usp=sharing"",""แผน!AJ17"")"),9000)</f>
        <v>9000</v>
      </c>
      <c r="M207" s="45"/>
      <c r="N207" s="644">
        <v>0</v>
      </c>
      <c r="O207" s="136"/>
      <c r="P207" s="45"/>
      <c r="Q207" s="468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498" t="s">
        <v>38</v>
      </c>
      <c r="E208" s="141"/>
      <c r="F208" s="141"/>
      <c r="G208" s="142"/>
      <c r="H208" s="143"/>
      <c r="I208" s="135"/>
      <c r="J208" s="135"/>
      <c r="K208" s="136"/>
      <c r="L208" s="492"/>
      <c r="M208" s="136"/>
      <c r="N208" s="136"/>
      <c r="O208" s="136"/>
      <c r="P208" s="136"/>
      <c r="Q208" s="4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IFERROR(__xludf.DUMMYFUNCTION("IMPORTRANGE(""https://docs.google.com/spreadsheets/d/1eHaY18a8A9IcSdp1K8H6x8fbOy06t2VsZHhMHf-1x7Y/edit?usp=sharing"",""แผน!AK17"")"),3)</f>
        <v>3</v>
      </c>
      <c r="J209" s="466">
        <v>1</v>
      </c>
      <c r="K209" s="497">
        <f ca="1">IF(I209&gt;0,J209*100/I209,0)</f>
        <v>33.333333333333336</v>
      </c>
      <c r="L209" s="465"/>
      <c r="M209" s="45"/>
      <c r="N209" s="45"/>
      <c r="O209" s="45"/>
      <c r="P209" s="45"/>
      <c r="Q209" s="465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465"/>
      <c r="M210" s="45"/>
      <c r="N210" s="45"/>
      <c r="O210" s="45"/>
      <c r="P210" s="45"/>
      <c r="Q210" s="46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IFERROR(__xludf.DUMMYFUNCTION("IMPORTRANGE(""https://docs.google.com/spreadsheets/d/1eHaY18a8A9IcSdp1K8H6x8fbOy06t2VsZHhMHf-1x7Y/edit?usp=sharing"",""แผน!JX17"")"),1)</f>
        <v>1</v>
      </c>
      <c r="J211" s="466">
        <v>0</v>
      </c>
      <c r="K211" s="497">
        <f ca="1">IF(I211&gt;0,J211*100/I211,0)</f>
        <v>0</v>
      </c>
      <c r="L211" s="465"/>
      <c r="M211" s="45"/>
      <c r="N211" s="45"/>
      <c r="O211" s="45"/>
      <c r="P211" s="45"/>
      <c r="Q211" s="46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IFERROR(__xludf.DUMMYFUNCTION("IMPORTRANGE(""https://docs.google.com/spreadsheets/d/1eHaY18a8A9IcSdp1K8H6x8fbOy06t2VsZHhMHf-1x7Y/edit?usp=sharing"",""แผน!JY17"")"),1)</f>
        <v>1</v>
      </c>
      <c r="J212" s="466">
        <v>0</v>
      </c>
      <c r="K212" s="497">
        <f ca="1">IF(I212&gt;0,J212*100/I212,0)</f>
        <v>0</v>
      </c>
      <c r="L212" s="465"/>
      <c r="M212" s="45"/>
      <c r="N212" s="45"/>
      <c r="O212" s="45"/>
      <c r="P212" s="45"/>
      <c r="Q212" s="465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ca="1">I220</f>
        <v>0</v>
      </c>
      <c r="J213" s="303">
        <f>J220</f>
        <v>0</v>
      </c>
      <c r="K213" s="304">
        <f ca="1">IF(I213&gt;0,J213*100/I213,0)</f>
        <v>0</v>
      </c>
      <c r="L213" s="557"/>
      <c r="M213" s="219"/>
      <c r="N213" s="219"/>
      <c r="O213" s="219"/>
      <c r="P213" s="219"/>
      <c r="Q213" s="557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654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471">
        <f ca="1">L215+L216+L217</f>
        <v>0</v>
      </c>
      <c r="M214" s="45"/>
      <c r="N214" s="470">
        <f>N215+N216+N217</f>
        <v>0</v>
      </c>
      <c r="O214" s="470">
        <f ca="1">IF(L214&gt;0,N214*100/L214,0)</f>
        <v>0</v>
      </c>
      <c r="P214" s="470">
        <f>IF(M214&gt;0,N214*100/M214,0)</f>
        <v>0</v>
      </c>
      <c r="Q214" s="471">
        <f ca="1">Q215+Q216+Q217</f>
        <v>0</v>
      </c>
      <c r="R214" s="45"/>
      <c r="S214" s="470">
        <f>S215+S216+S217</f>
        <v>0</v>
      </c>
      <c r="T214" s="470">
        <f ca="1">IF(Q214&gt;0,S214*100/Q214,0)</f>
        <v>0</v>
      </c>
      <c r="U214" s="470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468">
        <f ca="1">IFERROR(__xludf.DUMMYFUNCTION("IMPORTRANGE(""https://docs.google.com/spreadsheets/d/1eHaY18a8A9IcSdp1K8H6x8fbOy06t2VsZHhMHf-1x7Y/edit?usp=sharing"",""แผน!AM17"")"),0)</f>
        <v>0</v>
      </c>
      <c r="M215" s="45"/>
      <c r="N215" s="644">
        <v>0</v>
      </c>
      <c r="O215" s="136"/>
      <c r="P215" s="45"/>
      <c r="Q215" s="468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468">
        <f ca="1">IFERROR(__xludf.DUMMYFUNCTION("IMPORTRANGE(""https://docs.google.com/spreadsheets/d/1eHaY18a8A9IcSdp1K8H6x8fbOy06t2VsZHhMHf-1x7Y/edit?usp=sharing"",""แผน!AN17"")"),0)</f>
        <v>0</v>
      </c>
      <c r="M216" s="45"/>
      <c r="N216" s="644">
        <v>0</v>
      </c>
      <c r="O216" s="136"/>
      <c r="P216" s="45"/>
      <c r="Q216" s="468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468">
        <f ca="1">IFERROR(__xludf.DUMMYFUNCTION("IMPORTRANGE(""https://docs.google.com/spreadsheets/d/1eHaY18a8A9IcSdp1K8H6x8fbOy06t2VsZHhMHf-1x7Y/edit?usp=sharing"",""แผน!AO17"")"),0)</f>
        <v>0</v>
      </c>
      <c r="M217" s="45"/>
      <c r="N217" s="644">
        <v>0</v>
      </c>
      <c r="O217" s="136"/>
      <c r="P217" s="45"/>
      <c r="Q217" s="468">
        <f ca="1">IFERROR(__xludf.DUMMYFUNCTION("IMPORTRANGE(""https://docs.google.com/spreadsheets/d/1eHaY18a8A9IcSdp1K8H6x8fbOy06t2VsZHhMHf-1x7Y/edit?usp=sharing"",""แผน!LY17"")"),0)</f>
        <v>0</v>
      </c>
      <c r="R217" s="45"/>
      <c r="S217" s="644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498" t="s">
        <v>38</v>
      </c>
      <c r="E218" s="141"/>
      <c r="F218" s="141"/>
      <c r="G218" s="142"/>
      <c r="H218" s="143"/>
      <c r="I218" s="135"/>
      <c r="J218" s="44"/>
      <c r="K218" s="45"/>
      <c r="L218" s="465"/>
      <c r="M218" s="45"/>
      <c r="N218" s="45"/>
      <c r="O218" s="136"/>
      <c r="P218" s="136"/>
      <c r="Q218" s="465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IFERROR(__xludf.DUMMYFUNCTION("IMPORTRANGE(""https://docs.google.com/spreadsheets/d/1eHaY18a8A9IcSdp1K8H6x8fbOy06t2VsZHhMHf-1x7Y/edit?usp=sharing"",""แผน!AP17"")"),0)</f>
        <v>0</v>
      </c>
      <c r="J219" s="466">
        <v>0</v>
      </c>
      <c r="K219" s="224">
        <f ca="1">IF(I219&gt;0,J219*100/I219,0)</f>
        <v>0</v>
      </c>
      <c r="L219" s="465"/>
      <c r="M219" s="45"/>
      <c r="N219" s="45"/>
      <c r="O219" s="45"/>
      <c r="P219" s="45"/>
      <c r="Q219" s="465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IFERROR(__xludf.DUMMYFUNCTION("IMPORTRANGE(""https://docs.google.com/spreadsheets/d/1eHaY18a8A9IcSdp1K8H6x8fbOy06t2VsZHhMHf-1x7Y/edit?usp=sharing"",""แผน!AP17"")"),0)</f>
        <v>0</v>
      </c>
      <c r="J220" s="466">
        <v>0</v>
      </c>
      <c r="K220" s="224">
        <f ca="1">IF(I220&gt;0,J220*100/I220,0)</f>
        <v>0</v>
      </c>
      <c r="L220" s="465"/>
      <c r="M220" s="45"/>
      <c r="N220" s="45"/>
      <c r="O220" s="45"/>
      <c r="P220" s="45"/>
      <c r="Q220" s="465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ca="1">I229</f>
        <v>50000</v>
      </c>
      <c r="J221" s="303">
        <f>J229</f>
        <v>0</v>
      </c>
      <c r="K221" s="304">
        <f ca="1">IF(I221&gt;0,J221*100/I221,0)</f>
        <v>0</v>
      </c>
      <c r="L221" s="557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654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471">
        <f ca="1">L223+L224+L225</f>
        <v>8500</v>
      </c>
      <c r="M222" s="45"/>
      <c r="N222" s="470">
        <f>N223+N224+N225</f>
        <v>0</v>
      </c>
      <c r="O222" s="470">
        <f ca="1">IF(L222&gt;0,N222*100/L222,0)</f>
        <v>0</v>
      </c>
      <c r="P222" s="47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653" t="s">
        <v>308</v>
      </c>
      <c r="E223" s="40"/>
      <c r="F223" s="40"/>
      <c r="G223" s="42"/>
      <c r="H223" s="134" t="s">
        <v>14</v>
      </c>
      <c r="I223" s="135"/>
      <c r="J223" s="135"/>
      <c r="K223" s="136"/>
      <c r="L223" s="468">
        <f ca="1">IFERROR(__xludf.DUMMYFUNCTION("IMPORTRANGE(""https://docs.google.com/spreadsheets/d/1eHaY18a8A9IcSdp1K8H6x8fbOy06t2VsZHhMHf-1x7Y/edit?usp=sharing"",""แผน!AR17"")"),2500)</f>
        <v>2500</v>
      </c>
      <c r="M223" s="45"/>
      <c r="N223" s="644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307</v>
      </c>
      <c r="E224" s="40"/>
      <c r="F224" s="40"/>
      <c r="G224" s="42"/>
      <c r="H224" s="134" t="s">
        <v>14</v>
      </c>
      <c r="I224" s="44"/>
      <c r="J224" s="44"/>
      <c r="K224" s="45"/>
      <c r="L224" s="468">
        <f ca="1">IFERROR(__xludf.DUMMYFUNCTION("IMPORTRANGE(""https://docs.google.com/spreadsheets/d/1eHaY18a8A9IcSdp1K8H6x8fbOy06t2VsZHhMHf-1x7Y/edit?usp=sharing"",""แผน!AS17"")"),6000)</f>
        <v>6000</v>
      </c>
      <c r="M224" s="45"/>
      <c r="N224" s="644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468">
        <f ca="1">IFERROR(__xludf.DUMMYFUNCTION("IMPORTRANGE(""https://docs.google.com/spreadsheets/d/1eHaY18a8A9IcSdp1K8H6x8fbOy06t2VsZHhMHf-1x7Y/edit?usp=sharing"",""แผน!AT17"")"),0)</f>
        <v>0</v>
      </c>
      <c r="M225" s="45"/>
      <c r="N225" s="644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498" t="s">
        <v>38</v>
      </c>
      <c r="E226" s="141"/>
      <c r="F226" s="141"/>
      <c r="G226" s="142"/>
      <c r="H226" s="143"/>
      <c r="I226" s="135"/>
      <c r="J226" s="135"/>
      <c r="K226" s="136"/>
      <c r="L226" s="4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4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IFERROR(__xludf.DUMMYFUNCTION("IMPORTRANGE(""https://docs.google.com/spreadsheets/d/1eHaY18a8A9IcSdp1K8H6x8fbOy06t2VsZHhMHf-1x7Y/edit?usp=sharing"",""แผน!AV17"")"),50000)</f>
        <v>50000</v>
      </c>
      <c r="J228" s="466">
        <v>50000</v>
      </c>
      <c r="K228" s="497">
        <f ca="1">IF(I228&gt;0,J228*100/I228,0)</f>
        <v>100</v>
      </c>
      <c r="L228" s="4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IFERROR(__xludf.DUMMYFUNCTION("IMPORTRANGE(""https://docs.google.com/spreadsheets/d/1eHaY18a8A9IcSdp1K8H6x8fbOy06t2VsZHhMHf-1x7Y/edit?usp=sharing"",""แผน!AV17"")"),50000)</f>
        <v>50000</v>
      </c>
      <c r="J229" s="466">
        <v>0</v>
      </c>
      <c r="K229" s="497">
        <f ca="1">IF(I229&gt;0,J229*100/I229,0)</f>
        <v>0</v>
      </c>
      <c r="L229" s="465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IFERROR(__xludf.DUMMYFUNCTION("IMPORTRANGE(""https://docs.google.com/spreadsheets/d/1eHaY18a8A9IcSdp1K8H6x8fbOy06t2VsZHhMHf-1x7Y/edit?usp=sharing"",""แผน!AU17"")"),0)</f>
        <v>0</v>
      </c>
      <c r="J230" s="466">
        <v>0</v>
      </c>
      <c r="K230" s="497">
        <f ca="1">IF(I230&gt;0,J230*100/I230,0)</f>
        <v>0</v>
      </c>
      <c r="L230" s="465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3">
        <f ca="1">I242+I253</f>
        <v>0</v>
      </c>
      <c r="J231" s="303">
        <f>J242+J253</f>
        <v>0</v>
      </c>
      <c r="K231" s="304">
        <f ca="1">IF(I231&gt;0,J231*100/I231,0)</f>
        <v>0</v>
      </c>
      <c r="L231" s="557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472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652">
        <f ca="1">L243+L254</f>
        <v>0</v>
      </c>
      <c r="M232" s="45"/>
      <c r="N232" s="651">
        <f>N243+N254</f>
        <v>0</v>
      </c>
      <c r="O232" s="45"/>
      <c r="P232" s="45"/>
      <c r="Q232" s="45"/>
      <c r="R232" s="45"/>
      <c r="S232" s="45"/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469">
        <f ca="1">L244+L255</f>
        <v>0</v>
      </c>
      <c r="M233" s="45"/>
      <c r="N233" s="83">
        <f>N244+N255</f>
        <v>0</v>
      </c>
      <c r="O233" s="45"/>
      <c r="P233" s="45"/>
      <c r="Q233" s="713">
        <v>0</v>
      </c>
      <c r="R233" s="712">
        <v>0</v>
      </c>
      <c r="S233" s="712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469">
        <f ca="1">L245+L256</f>
        <v>0</v>
      </c>
      <c r="M234" s="45"/>
      <c r="N234" s="83">
        <f>N245+N256</f>
        <v>0</v>
      </c>
      <c r="O234" s="45"/>
      <c r="P234" s="45"/>
      <c r="Q234" s="711">
        <v>0</v>
      </c>
      <c r="R234" s="710">
        <v>0</v>
      </c>
      <c r="S234" s="710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469">
        <f ca="1">L246+L257</f>
        <v>0</v>
      </c>
      <c r="M235" s="45"/>
      <c r="N235" s="83">
        <f>N246+N257</f>
        <v>0</v>
      </c>
      <c r="O235" s="45"/>
      <c r="P235" s="45"/>
      <c r="Q235" s="711">
        <v>0</v>
      </c>
      <c r="R235" s="710">
        <v>0</v>
      </c>
      <c r="S235" s="710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469">
        <f ca="1">L247+L258</f>
        <v>0</v>
      </c>
      <c r="M236" s="45"/>
      <c r="N236" s="83">
        <f>N247+N258</f>
        <v>0</v>
      </c>
      <c r="O236" s="45"/>
      <c r="P236" s="45"/>
      <c r="Q236" s="711">
        <v>0</v>
      </c>
      <c r="R236" s="710">
        <v>0</v>
      </c>
      <c r="S236" s="710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498" t="s">
        <v>38</v>
      </c>
      <c r="E237" s="141"/>
      <c r="F237" s="141"/>
      <c r="G237" s="142"/>
      <c r="H237" s="143"/>
      <c r="I237" s="135"/>
      <c r="J237" s="44"/>
      <c r="K237" s="45"/>
      <c r="L237" s="465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465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465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465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465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649" t="s">
        <v>111</v>
      </c>
      <c r="D242" s="214"/>
      <c r="E242" s="214"/>
      <c r="F242" s="214"/>
      <c r="G242" s="215"/>
      <c r="H242" s="648" t="s">
        <v>35</v>
      </c>
      <c r="I242" s="647">
        <f ca="1">I249</f>
        <v>0</v>
      </c>
      <c r="J242" s="647">
        <f>J249</f>
        <v>0</v>
      </c>
      <c r="K242" s="646">
        <f ca="1">IF(I242&gt;0,J242*100/I242,0)</f>
        <v>0</v>
      </c>
      <c r="L242" s="557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527" t="s">
        <v>18</v>
      </c>
      <c r="D243" s="494" t="s">
        <v>19</v>
      </c>
      <c r="E243" s="40"/>
      <c r="F243" s="40"/>
      <c r="G243" s="42"/>
      <c r="H243" s="372" t="s">
        <v>14</v>
      </c>
      <c r="I243" s="135"/>
      <c r="J243" s="135"/>
      <c r="K243" s="136"/>
      <c r="L243" s="471">
        <f ca="1">L244+L245+L246+L247</f>
        <v>0</v>
      </c>
      <c r="M243" s="45"/>
      <c r="N243" s="470">
        <f>N244+N245+N246+N247</f>
        <v>0</v>
      </c>
      <c r="O243" s="470">
        <f ca="1">IF(L243&gt;0,N243*100/L243,0)</f>
        <v>0</v>
      </c>
      <c r="P243" s="470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468">
        <f ca="1">IFERROR(__xludf.DUMMYFUNCTION("IMPORTRANGE(""https://docs.google.com/spreadsheets/d/1eHaY18a8A9IcSdp1K8H6x8fbOy06t2VsZHhMHf-1x7Y/edit?usp=sharing"",""แผน!AX17"")"),0)</f>
        <v>0</v>
      </c>
      <c r="M244" s="45"/>
      <c r="N244" s="644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468">
        <f ca="1">IFERROR(__xludf.DUMMYFUNCTION("IMPORTRANGE(""https://docs.google.com/spreadsheets/d/1eHaY18a8A9IcSdp1K8H6x8fbOy06t2VsZHhMHf-1x7Y/edit?usp=sharing"",""แผน!AY17"")"),0)</f>
        <v>0</v>
      </c>
      <c r="M245" s="45"/>
      <c r="N245" s="644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468">
        <f ca="1">IFERROR(__xludf.DUMMYFUNCTION("IMPORTRANGE(""https://docs.google.com/spreadsheets/d/1eHaY18a8A9IcSdp1K8H6x8fbOy06t2VsZHhMHf-1x7Y/edit?usp=sharing"",""แผน!AZ17"")"),0)</f>
        <v>0</v>
      </c>
      <c r="M246" s="45"/>
      <c r="N246" s="644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468">
        <f ca="1">IFERROR(__xludf.DUMMYFUNCTION("IMPORTRANGE(""https://docs.google.com/spreadsheets/d/1eHaY18a8A9IcSdp1K8H6x8fbOy06t2VsZHhMHf-1x7Y/edit?usp=sharing"",""แผน!BA17"")"),0)</f>
        <v>0</v>
      </c>
      <c r="M247" s="45"/>
      <c r="N247" s="644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643" t="s">
        <v>18</v>
      </c>
      <c r="D248" s="509" t="s">
        <v>38</v>
      </c>
      <c r="E248" s="141"/>
      <c r="F248" s="141"/>
      <c r="G248" s="142"/>
      <c r="H248" s="143"/>
      <c r="I248" s="135"/>
      <c r="J248" s="44"/>
      <c r="K248" s="45"/>
      <c r="L248" s="465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640" t="s">
        <v>35</v>
      </c>
      <c r="I249" s="430">
        <f ca="1">IFERROR(__xludf.DUMMYFUNCTION("IMPORTRANGE(""https://docs.google.com/spreadsheets/d/1eHaY18a8A9IcSdp1K8H6x8fbOy06t2VsZHhMHf-1x7Y/edit?usp=sharing"",""แผน!BG17"")"),0)</f>
        <v>0</v>
      </c>
      <c r="J249" s="525">
        <v>0</v>
      </c>
      <c r="K249" s="83">
        <f ca="1">IF(I249&gt;0,J249*100/I249,0)</f>
        <v>0</v>
      </c>
      <c r="L249" s="465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642" t="s">
        <v>43</v>
      </c>
      <c r="E250" s="145"/>
      <c r="F250" s="145"/>
      <c r="G250" s="143"/>
      <c r="H250" s="143"/>
      <c r="I250" s="44"/>
      <c r="J250" s="44"/>
      <c r="K250" s="45"/>
      <c r="L250" s="465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1" t="s">
        <v>109</v>
      </c>
      <c r="F251" s="145"/>
      <c r="G251" s="143"/>
      <c r="H251" s="640" t="s">
        <v>35</v>
      </c>
      <c r="I251" s="430">
        <v>0</v>
      </c>
      <c r="J251" s="525">
        <v>0</v>
      </c>
      <c r="K251" s="83">
        <f>IF(I251&gt;0,J251*100/I251,0)</f>
        <v>0</v>
      </c>
      <c r="L251" s="465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641" t="s">
        <v>110</v>
      </c>
      <c r="F252" s="145"/>
      <c r="G252" s="143"/>
      <c r="H252" s="640" t="s">
        <v>61</v>
      </c>
      <c r="I252" s="430">
        <v>0</v>
      </c>
      <c r="J252" s="525">
        <v>0</v>
      </c>
      <c r="K252" s="83">
        <f>IF(I252&gt;0,J252*100/I252,0)</f>
        <v>0</v>
      </c>
      <c r="L252" s="465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649" t="s">
        <v>112</v>
      </c>
      <c r="D253" s="214"/>
      <c r="E253" s="214"/>
      <c r="F253" s="214"/>
      <c r="G253" s="215"/>
      <c r="H253" s="648" t="s">
        <v>35</v>
      </c>
      <c r="I253" s="647">
        <f ca="1">I260</f>
        <v>0</v>
      </c>
      <c r="J253" s="647">
        <f>J260</f>
        <v>0</v>
      </c>
      <c r="K253" s="646">
        <f ca="1">IF(I253&gt;0,J253*100/I253,0)</f>
        <v>0</v>
      </c>
      <c r="L253" s="557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527" t="s">
        <v>18</v>
      </c>
      <c r="D254" s="645" t="s">
        <v>19</v>
      </c>
      <c r="E254" s="40"/>
      <c r="F254" s="40"/>
      <c r="G254" s="42"/>
      <c r="H254" s="372" t="s">
        <v>14</v>
      </c>
      <c r="I254" s="135"/>
      <c r="J254" s="135"/>
      <c r="K254" s="136"/>
      <c r="L254" s="471">
        <f ca="1">L255+L256+L257+L258</f>
        <v>0</v>
      </c>
      <c r="M254" s="45"/>
      <c r="N254" s="470">
        <f>N255+N256+N257+N258</f>
        <v>0</v>
      </c>
      <c r="O254" s="470">
        <f ca="1">IF(L254&gt;0,N254*100/L254,0)</f>
        <v>0</v>
      </c>
      <c r="P254" s="470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468">
        <f ca="1">IFERROR(__xludf.DUMMYFUNCTION("IMPORTRANGE(""https://docs.google.com/spreadsheets/d/1eHaY18a8A9IcSdp1K8H6x8fbOy06t2VsZHhMHf-1x7Y/edit?usp=sharing"",""แผน!BB17"")"),0)</f>
        <v>0</v>
      </c>
      <c r="M255" s="45"/>
      <c r="N255" s="644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468">
        <f ca="1">IFERROR(__xludf.DUMMYFUNCTION("IMPORTRANGE(""https://docs.google.com/spreadsheets/d/1eHaY18a8A9IcSdp1K8H6x8fbOy06t2VsZHhMHf-1x7Y/edit?usp=sharing"",""แผน!BC17"")"),0)</f>
        <v>0</v>
      </c>
      <c r="M256" s="45"/>
      <c r="N256" s="644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468">
        <f ca="1">IFERROR(__xludf.DUMMYFUNCTION("IMPORTRANGE(""https://docs.google.com/spreadsheets/d/1eHaY18a8A9IcSdp1K8H6x8fbOy06t2VsZHhMHf-1x7Y/edit?usp=sharing"",""แผน!BD17"")"),0)</f>
        <v>0</v>
      </c>
      <c r="M257" s="45"/>
      <c r="N257" s="644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468">
        <f ca="1">IFERROR(__xludf.DUMMYFUNCTION("IMPORTRANGE(""https://docs.google.com/spreadsheets/d/1eHaY18a8A9IcSdp1K8H6x8fbOy06t2VsZHhMHf-1x7Y/edit?usp=sharing"",""แผน!BE17"")"),0)</f>
        <v>0</v>
      </c>
      <c r="M258" s="45"/>
      <c r="N258" s="644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643" t="s">
        <v>18</v>
      </c>
      <c r="D259" s="509" t="s">
        <v>38</v>
      </c>
      <c r="E259" s="141"/>
      <c r="F259" s="141"/>
      <c r="G259" s="142"/>
      <c r="H259" s="143"/>
      <c r="I259" s="135"/>
      <c r="J259" s="44"/>
      <c r="K259" s="45"/>
      <c r="L259" s="465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640" t="s">
        <v>35</v>
      </c>
      <c r="I260" s="430">
        <f ca="1">IFERROR(__xludf.DUMMYFUNCTION("IMPORTRANGE(""https://docs.google.com/spreadsheets/d/1eHaY18a8A9IcSdp1K8H6x8fbOy06t2VsZHhMHf-1x7Y/edit?usp=sharing"",""แผน!BH17"")"),0)</f>
        <v>0</v>
      </c>
      <c r="J260" s="525">
        <v>0</v>
      </c>
      <c r="K260" s="83">
        <f ca="1">IF(I260&gt;0,J260*100/I260,0)</f>
        <v>0</v>
      </c>
      <c r="L260" s="465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642" t="s">
        <v>43</v>
      </c>
      <c r="E261" s="145"/>
      <c r="F261" s="145"/>
      <c r="G261" s="143"/>
      <c r="H261" s="143"/>
      <c r="I261" s="44"/>
      <c r="J261" s="44"/>
      <c r="K261" s="45"/>
      <c r="L261" s="465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1" t="s">
        <v>109</v>
      </c>
      <c r="F262" s="145"/>
      <c r="G262" s="143"/>
      <c r="H262" s="640" t="s">
        <v>35</v>
      </c>
      <c r="I262" s="44"/>
      <c r="J262" s="525">
        <v>0</v>
      </c>
      <c r="K262" s="83">
        <f>IF(I262&gt;0,J262*100/I262,0)</f>
        <v>0</v>
      </c>
      <c r="L262" s="465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641" t="s">
        <v>110</v>
      </c>
      <c r="F263" s="145"/>
      <c r="G263" s="143"/>
      <c r="H263" s="640" t="s">
        <v>61</v>
      </c>
      <c r="I263" s="44"/>
      <c r="J263" s="525">
        <v>0</v>
      </c>
      <c r="K263" s="83">
        <f>IF(I263&gt;0,J263*100/I263,0)</f>
        <v>0</v>
      </c>
      <c r="L263" s="465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639" t="s">
        <v>113</v>
      </c>
      <c r="B264" s="638"/>
      <c r="C264" s="638"/>
      <c r="D264" s="637"/>
      <c r="E264" s="637"/>
      <c r="F264" s="637"/>
      <c r="G264" s="636"/>
      <c r="H264" s="636"/>
      <c r="I264" s="635"/>
      <c r="J264" s="635"/>
      <c r="K264" s="633"/>
      <c r="L264" s="634"/>
      <c r="M264" s="633"/>
      <c r="N264" s="633"/>
      <c r="O264" s="633"/>
      <c r="P264" s="633"/>
      <c r="Q264" s="633"/>
      <c r="R264" s="633"/>
      <c r="S264" s="633"/>
      <c r="T264" s="633"/>
      <c r="U264" s="633"/>
    </row>
    <row r="265" spans="1:21" ht="19.5" x14ac:dyDescent="0.3">
      <c r="A265" s="632"/>
      <c r="B265" s="631" t="s">
        <v>114</v>
      </c>
      <c r="C265" s="630"/>
      <c r="D265" s="603"/>
      <c r="E265" s="603"/>
      <c r="F265" s="603"/>
      <c r="G265" s="602"/>
      <c r="H265" s="629" t="s">
        <v>35</v>
      </c>
      <c r="I265" s="628">
        <f ca="1">I276</f>
        <v>22</v>
      </c>
      <c r="J265" s="628">
        <f>J276</f>
        <v>22</v>
      </c>
      <c r="K265" s="627">
        <f ca="1">IF(I265&gt;0,J265*100/I265,0)</f>
        <v>100</v>
      </c>
      <c r="L265" s="626"/>
      <c r="M265" s="625"/>
      <c r="N265" s="625"/>
      <c r="O265" s="625"/>
      <c r="P265" s="625"/>
      <c r="Q265" s="625"/>
      <c r="R265" s="625"/>
      <c r="S265" s="625"/>
      <c r="T265" s="625"/>
      <c r="U265" s="625"/>
    </row>
    <row r="266" spans="1:21" ht="19.5" x14ac:dyDescent="0.3">
      <c r="A266" s="610"/>
      <c r="B266" s="609"/>
      <c r="C266" s="624" t="s">
        <v>18</v>
      </c>
      <c r="D266" s="623" t="s">
        <v>19</v>
      </c>
      <c r="E266" s="609"/>
      <c r="F266" s="609"/>
      <c r="G266" s="608"/>
      <c r="H266" s="622" t="s">
        <v>14</v>
      </c>
      <c r="I266" s="479"/>
      <c r="J266" s="479"/>
      <c r="K266" s="476"/>
      <c r="L266" s="621">
        <f ca="1">L267+L268</f>
        <v>0</v>
      </c>
      <c r="M266" s="620">
        <f ca="1">M267+M268</f>
        <v>5000</v>
      </c>
      <c r="N266" s="620">
        <f ca="1">N267+N268</f>
        <v>0</v>
      </c>
      <c r="O266" s="620">
        <f t="shared" ref="O266:O274" ca="1" si="65">IF(L266&gt;0,N266*100/L266,0)</f>
        <v>0</v>
      </c>
      <c r="P266" s="620">
        <f t="shared" ref="P266:P274" ca="1" si="66">IF(M266&gt;0,N266*100/M266,0)</f>
        <v>0</v>
      </c>
      <c r="Q266" s="620">
        <f ca="1">Q267+Q268</f>
        <v>50660</v>
      </c>
      <c r="R266" s="620">
        <f ca="1">R267+R268</f>
        <v>50660</v>
      </c>
      <c r="S266" s="620">
        <f ca="1">S267+S268</f>
        <v>18240</v>
      </c>
      <c r="T266" s="620">
        <f t="shared" ref="T266:T274" ca="1" si="67">IF(Q266&gt;0,S266*100/Q266,0)</f>
        <v>36.004737465455982</v>
      </c>
      <c r="U266" s="620">
        <f t="shared" ref="U266:U274" ca="1" si="68">IF(R266&gt;0,S266*100/R266,0)</f>
        <v>36.004737465455982</v>
      </c>
    </row>
    <row r="267" spans="1:21" ht="18.75" hidden="1" x14ac:dyDescent="0.25">
      <c r="A267" s="615"/>
      <c r="B267" s="614"/>
      <c r="C267" s="614"/>
      <c r="D267" s="614"/>
      <c r="E267" s="156" t="s">
        <v>20</v>
      </c>
      <c r="F267" s="614"/>
      <c r="G267" s="613"/>
      <c r="H267" s="157" t="s">
        <v>14</v>
      </c>
      <c r="I267" s="619"/>
      <c r="J267" s="619"/>
      <c r="K267" s="618"/>
      <c r="L267" s="469">
        <f t="shared" ref="L267:N268" si="69">L270+L273</f>
        <v>0</v>
      </c>
      <c r="M267" s="83">
        <f t="shared" si="69"/>
        <v>0</v>
      </c>
      <c r="N267" s="83">
        <f t="shared" si="69"/>
        <v>0</v>
      </c>
      <c r="O267" s="83">
        <f t="shared" si="65"/>
        <v>0</v>
      </c>
      <c r="P267" s="83">
        <f t="shared" si="66"/>
        <v>0</v>
      </c>
      <c r="Q267" s="83">
        <f t="shared" ref="Q267:S268" si="70">Q270+Q273</f>
        <v>0</v>
      </c>
      <c r="R267" s="83">
        <f t="shared" si="70"/>
        <v>0</v>
      </c>
      <c r="S267" s="83">
        <f t="shared" si="70"/>
        <v>0</v>
      </c>
      <c r="T267" s="83">
        <f t="shared" si="67"/>
        <v>0</v>
      </c>
      <c r="U267" s="83">
        <f t="shared" si="68"/>
        <v>0</v>
      </c>
    </row>
    <row r="268" spans="1:21" ht="18.75" hidden="1" x14ac:dyDescent="0.25">
      <c r="A268" s="610"/>
      <c r="B268" s="609"/>
      <c r="C268" s="609"/>
      <c r="D268" s="609"/>
      <c r="E268" s="605" t="s">
        <v>21</v>
      </c>
      <c r="F268" s="609"/>
      <c r="G268" s="608"/>
      <c r="H268" s="480" t="s">
        <v>14</v>
      </c>
      <c r="I268" s="479"/>
      <c r="J268" s="479"/>
      <c r="K268" s="476"/>
      <c r="L268" s="606">
        <f t="shared" ca="1" si="69"/>
        <v>0</v>
      </c>
      <c r="M268" s="486">
        <f t="shared" ca="1" si="69"/>
        <v>5000</v>
      </c>
      <c r="N268" s="486">
        <f t="shared" ca="1" si="69"/>
        <v>0</v>
      </c>
      <c r="O268" s="486">
        <f t="shared" ca="1" si="65"/>
        <v>0</v>
      </c>
      <c r="P268" s="486">
        <f t="shared" ca="1" si="66"/>
        <v>0</v>
      </c>
      <c r="Q268" s="486">
        <f t="shared" ca="1" si="70"/>
        <v>50660</v>
      </c>
      <c r="R268" s="486">
        <f t="shared" ca="1" si="70"/>
        <v>50660</v>
      </c>
      <c r="S268" s="486">
        <f t="shared" ca="1" si="70"/>
        <v>18240</v>
      </c>
      <c r="T268" s="486">
        <f t="shared" ca="1" si="67"/>
        <v>36.004737465455982</v>
      </c>
      <c r="U268" s="486">
        <f t="shared" ca="1" si="68"/>
        <v>36.004737465455982</v>
      </c>
    </row>
    <row r="269" spans="1:21" ht="18.75" x14ac:dyDescent="0.25">
      <c r="A269" s="610"/>
      <c r="B269" s="609"/>
      <c r="C269" s="609"/>
      <c r="D269" s="616" t="s">
        <v>22</v>
      </c>
      <c r="E269" s="609"/>
      <c r="F269" s="609"/>
      <c r="G269" s="608"/>
      <c r="H269" s="617" t="s">
        <v>14</v>
      </c>
      <c r="I269" s="601"/>
      <c r="J269" s="601"/>
      <c r="K269" s="599"/>
      <c r="L269" s="606">
        <f ca="1">L270+L271</f>
        <v>0</v>
      </c>
      <c r="M269" s="486">
        <f ca="1">M270+M271</f>
        <v>5000</v>
      </c>
      <c r="N269" s="486">
        <f ca="1">N270+N271</f>
        <v>0</v>
      </c>
      <c r="O269" s="486">
        <f t="shared" ca="1" si="65"/>
        <v>0</v>
      </c>
      <c r="P269" s="486">
        <f t="shared" ca="1" si="66"/>
        <v>0</v>
      </c>
      <c r="Q269" s="486">
        <f ca="1">Q270+Q271</f>
        <v>50660</v>
      </c>
      <c r="R269" s="486">
        <f ca="1">R270+R271</f>
        <v>50660</v>
      </c>
      <c r="S269" s="486">
        <f ca="1">S270+S271</f>
        <v>18240</v>
      </c>
      <c r="T269" s="486">
        <f t="shared" ca="1" si="67"/>
        <v>36.004737465455982</v>
      </c>
      <c r="U269" s="486">
        <f t="shared" ca="1" si="68"/>
        <v>36.004737465455982</v>
      </c>
    </row>
    <row r="270" spans="1:21" ht="18.75" hidden="1" x14ac:dyDescent="0.25">
      <c r="A270" s="615"/>
      <c r="B270" s="614"/>
      <c r="C270" s="614"/>
      <c r="D270" s="614"/>
      <c r="E270" s="156" t="s">
        <v>36</v>
      </c>
      <c r="F270" s="614"/>
      <c r="G270" s="613"/>
      <c r="H270" s="159" t="s">
        <v>14</v>
      </c>
      <c r="I270" s="612"/>
      <c r="J270" s="612"/>
      <c r="K270" s="611"/>
      <c r="L270" s="469">
        <v>0</v>
      </c>
      <c r="M270" s="83">
        <v>0</v>
      </c>
      <c r="N270" s="83">
        <v>0</v>
      </c>
      <c r="O270" s="83">
        <f t="shared" si="65"/>
        <v>0</v>
      </c>
      <c r="P270" s="83">
        <f t="shared" si="66"/>
        <v>0</v>
      </c>
      <c r="Q270" s="83">
        <v>0</v>
      </c>
      <c r="R270" s="83">
        <v>0</v>
      </c>
      <c r="S270" s="83">
        <v>0</v>
      </c>
      <c r="T270" s="83">
        <f t="shared" si="67"/>
        <v>0</v>
      </c>
      <c r="U270" s="83">
        <f t="shared" si="68"/>
        <v>0</v>
      </c>
    </row>
    <row r="271" spans="1:21" ht="18.75" hidden="1" x14ac:dyDescent="0.25">
      <c r="A271" s="610"/>
      <c r="B271" s="609"/>
      <c r="C271" s="609"/>
      <c r="D271" s="609"/>
      <c r="E271" s="605" t="s">
        <v>37</v>
      </c>
      <c r="F271" s="609"/>
      <c r="G271" s="608"/>
      <c r="H271" s="617" t="s">
        <v>14</v>
      </c>
      <c r="I271" s="601"/>
      <c r="J271" s="601"/>
      <c r="K271" s="599"/>
      <c r="L271" s="606">
        <f ca="1">IFERROR(__xludf.DUMMYFUNCTION("IMPORTRANGE(""https://docs.google.com/spreadsheets/d/1-uDff_7J0KD5mKrp0Vvzr7lt3OU09vwQwhkpOPPYv2Y/edit?usp=sharing"",""งบพรบ!DE17"")"),0)</f>
        <v>0</v>
      </c>
      <c r="M271" s="486">
        <f ca="1">IFERROR(__xludf.DUMMYFUNCTION("IMPORTRANGE(""https://docs.google.com/spreadsheets/d/1-uDff_7J0KD5mKrp0Vvzr7lt3OU09vwQwhkpOPPYv2Y/edit?usp=sharing"",""งบพรบ!DJ17"")"),5000)</f>
        <v>5000</v>
      </c>
      <c r="N271" s="486">
        <f ca="1">IFERROR(__xludf.DUMMYFUNCTION("IMPORTRANGE(""https://docs.google.com/spreadsheets/d/1-uDff_7J0KD5mKrp0Vvzr7lt3OU09vwQwhkpOPPYv2Y/edit?usp=sharing"",""งบพรบ!DL17"")"),0)</f>
        <v>0</v>
      </c>
      <c r="O271" s="486">
        <f t="shared" ca="1" si="65"/>
        <v>0</v>
      </c>
      <c r="P271" s="486">
        <f t="shared" ca="1" si="66"/>
        <v>0</v>
      </c>
      <c r="Q271" s="486">
        <f ca="1">IFERROR(__xludf.DUMMYFUNCTION("IMPORTRANGE(""https://docs.google.com/spreadsheets/d/1ItG2mGa2ceCfYo0BwxsXqNm01IGEUdYcSSLTEv9YCik/edit?usp=sharing"",""เบิกจ่ายกองทุน!AJ17"")"),50660)</f>
        <v>50660</v>
      </c>
      <c r="R271" s="486">
        <f ca="1">IFERROR(__xludf.DUMMYFUNCTION("IMPORTRANGE(""https://docs.google.com/spreadsheets/d/1ItG2mGa2ceCfYo0BwxsXqNm01IGEUdYcSSLTEv9YCik/edit?usp=sharing"",""เบิกจ่ายกองทุน!AK17"")"),50660)</f>
        <v>50660</v>
      </c>
      <c r="S271" s="486">
        <f ca="1">IFERROR(__xludf.DUMMYFUNCTION("IMPORTRANGE(""https://docs.google.com/spreadsheets/d/1ItG2mGa2ceCfYo0BwxsXqNm01IGEUdYcSSLTEv9YCik/edit?usp=sharing"",""เบิกจ่ายกองทุน!AL17"")"),18240)</f>
        <v>18240</v>
      </c>
      <c r="T271" s="486">
        <f t="shared" ca="1" si="67"/>
        <v>36.004737465455982</v>
      </c>
      <c r="U271" s="486">
        <f t="shared" ca="1" si="68"/>
        <v>36.004737465455982</v>
      </c>
    </row>
    <row r="272" spans="1:21" ht="18.75" x14ac:dyDescent="0.25">
      <c r="A272" s="610"/>
      <c r="B272" s="609"/>
      <c r="C272" s="609"/>
      <c r="D272" s="616" t="s">
        <v>23</v>
      </c>
      <c r="E272" s="609"/>
      <c r="F272" s="609"/>
      <c r="G272" s="608"/>
      <c r="H272" s="607" t="s">
        <v>14</v>
      </c>
      <c r="I272" s="601"/>
      <c r="J272" s="601"/>
      <c r="K272" s="599"/>
      <c r="L272" s="606">
        <f ca="1">L273+L274</f>
        <v>0</v>
      </c>
      <c r="M272" s="486">
        <f ca="1">M273+M274</f>
        <v>0</v>
      </c>
      <c r="N272" s="486">
        <f ca="1">N273+N274</f>
        <v>0</v>
      </c>
      <c r="O272" s="486">
        <f t="shared" ca="1" si="65"/>
        <v>0</v>
      </c>
      <c r="P272" s="486">
        <f t="shared" ca="1" si="66"/>
        <v>0</v>
      </c>
      <c r="Q272" s="486">
        <f>Q273+Q274</f>
        <v>0</v>
      </c>
      <c r="R272" s="486">
        <f>R273+R274</f>
        <v>0</v>
      </c>
      <c r="S272" s="486">
        <f>S273+S274</f>
        <v>0</v>
      </c>
      <c r="T272" s="486">
        <f t="shared" si="67"/>
        <v>0</v>
      </c>
      <c r="U272" s="486">
        <f t="shared" si="68"/>
        <v>0</v>
      </c>
    </row>
    <row r="273" spans="1:21" ht="18.75" hidden="1" x14ac:dyDescent="0.25">
      <c r="A273" s="615"/>
      <c r="B273" s="614"/>
      <c r="C273" s="614"/>
      <c r="D273" s="614"/>
      <c r="E273" s="156" t="s">
        <v>20</v>
      </c>
      <c r="F273" s="614"/>
      <c r="G273" s="613"/>
      <c r="H273" s="159" t="s">
        <v>14</v>
      </c>
      <c r="I273" s="612"/>
      <c r="J273" s="612"/>
      <c r="K273" s="611"/>
      <c r="L273" s="469">
        <v>0</v>
      </c>
      <c r="M273" s="83">
        <v>0</v>
      </c>
      <c r="N273" s="83">
        <v>0</v>
      </c>
      <c r="O273" s="83">
        <f t="shared" si="65"/>
        <v>0</v>
      </c>
      <c r="P273" s="83">
        <f t="shared" si="66"/>
        <v>0</v>
      </c>
      <c r="Q273" s="83">
        <v>0</v>
      </c>
      <c r="R273" s="83">
        <v>0</v>
      </c>
      <c r="S273" s="83">
        <v>0</v>
      </c>
      <c r="T273" s="83">
        <f t="shared" si="67"/>
        <v>0</v>
      </c>
      <c r="U273" s="83">
        <f t="shared" si="68"/>
        <v>0</v>
      </c>
    </row>
    <row r="274" spans="1:21" ht="18.75" hidden="1" x14ac:dyDescent="0.25">
      <c r="A274" s="610"/>
      <c r="B274" s="609"/>
      <c r="C274" s="609"/>
      <c r="D274" s="609"/>
      <c r="E274" s="605" t="s">
        <v>21</v>
      </c>
      <c r="F274" s="609"/>
      <c r="G274" s="608"/>
      <c r="H274" s="607" t="s">
        <v>14</v>
      </c>
      <c r="I274" s="601"/>
      <c r="J274" s="601"/>
      <c r="K274" s="599"/>
      <c r="L274" s="606">
        <f ca="1">IFERROR(__xludf.DUMMYFUNCTION("IMPORTRANGE(""https://docs.google.com/spreadsheets/d/1-uDff_7J0KD5mKrp0Vvzr7lt3OU09vwQwhkpOPPYv2Y/edit?usp=sharing"",""งบพรบ!DH17"")"),0)</f>
        <v>0</v>
      </c>
      <c r="M274" s="486">
        <f ca="1">IFERROR(__xludf.DUMMYFUNCTION("IMPORTRANGE(""https://docs.google.com/spreadsheets/d/1-uDff_7J0KD5mKrp0Vvzr7lt3OU09vwQwhkpOPPYv2Y/edit?usp=sharing"",""งบพรบ!DK17"")"),0)</f>
        <v>0</v>
      </c>
      <c r="N274" s="486">
        <f ca="1">IFERROR(__xludf.DUMMYFUNCTION("IMPORTRANGE(""https://docs.google.com/spreadsheets/d/1-uDff_7J0KD5mKrp0Vvzr7lt3OU09vwQwhkpOPPYv2Y/edit?usp=sharing"",""งบพรบ!DM17"")"),0)</f>
        <v>0</v>
      </c>
      <c r="O274" s="486">
        <f t="shared" ca="1" si="65"/>
        <v>0</v>
      </c>
      <c r="P274" s="486">
        <f t="shared" ca="1" si="66"/>
        <v>0</v>
      </c>
      <c r="Q274" s="486">
        <v>0</v>
      </c>
      <c r="R274" s="486">
        <v>0</v>
      </c>
      <c r="S274" s="486">
        <v>0</v>
      </c>
      <c r="T274" s="486">
        <f t="shared" si="67"/>
        <v>0</v>
      </c>
      <c r="U274" s="486">
        <f t="shared" si="68"/>
        <v>0</v>
      </c>
    </row>
    <row r="275" spans="1:21" ht="19.5" x14ac:dyDescent="0.3">
      <c r="A275" s="485"/>
      <c r="B275" s="484"/>
      <c r="C275" s="605" t="s">
        <v>18</v>
      </c>
      <c r="D275" s="604" t="s">
        <v>38</v>
      </c>
      <c r="E275" s="603"/>
      <c r="F275" s="603"/>
      <c r="G275" s="602"/>
      <c r="H275" s="481"/>
      <c r="I275" s="601"/>
      <c r="J275" s="601"/>
      <c r="K275" s="599"/>
      <c r="L275" s="600"/>
      <c r="M275" s="599"/>
      <c r="N275" s="599"/>
      <c r="O275" s="599"/>
      <c r="P275" s="599"/>
      <c r="Q275" s="599"/>
      <c r="R275" s="599"/>
      <c r="S275" s="599"/>
      <c r="T275" s="599"/>
      <c r="U275" s="599"/>
    </row>
    <row r="276" spans="1:21" ht="18.75" x14ac:dyDescent="0.25">
      <c r="A276" s="598"/>
      <c r="B276" s="597"/>
      <c r="C276" s="597"/>
      <c r="D276" s="596" t="s">
        <v>115</v>
      </c>
      <c r="E276" s="595"/>
      <c r="F276" s="595"/>
      <c r="G276" s="594"/>
      <c r="H276" s="593" t="s">
        <v>35</v>
      </c>
      <c r="I276" s="592">
        <f ca="1">IFERROR(__xludf.DUMMYFUNCTION("IMPORTRANGE(""https://docs.google.com/spreadsheets/d/1eHaY18a8A9IcSdp1K8H6x8fbOy06t2VsZHhMHf-1x7Y/edit?usp=sharing"",""แผน!EC17"")"),22)</f>
        <v>22</v>
      </c>
      <c r="J276" s="444">
        <v>22</v>
      </c>
      <c r="K276" s="591">
        <f ca="1">IF(I276&gt;0,J276*100/I276,0)</f>
        <v>100</v>
      </c>
      <c r="L276" s="465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590" t="s">
        <v>116</v>
      </c>
      <c r="E277" s="252"/>
      <c r="F277" s="252"/>
      <c r="G277" s="253"/>
      <c r="H277" s="589" t="s">
        <v>35</v>
      </c>
      <c r="I277" s="433">
        <v>0</v>
      </c>
      <c r="J277" s="433">
        <v>0</v>
      </c>
      <c r="K277" s="588">
        <v>0</v>
      </c>
      <c r="L277" s="587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58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585">
        <f ca="1">I293</f>
        <v>20</v>
      </c>
      <c r="J280" s="585">
        <f>J293</f>
        <v>20</v>
      </c>
      <c r="K280" s="584">
        <f ca="1">IF(I280&gt;0,J280*100/I280,0)</f>
        <v>100</v>
      </c>
      <c r="L280" s="583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585">
        <f ca="1">I292</f>
        <v>200</v>
      </c>
      <c r="J281" s="585">
        <f>J292</f>
        <v>200</v>
      </c>
      <c r="K281" s="584">
        <f ca="1">IF(I281&gt;0,J281*100/I281,0)</f>
        <v>100</v>
      </c>
      <c r="L281" s="583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472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471">
        <f ca="1">L283+L284</f>
        <v>71120</v>
      </c>
      <c r="M282" s="470">
        <f ca="1">M283+M284</f>
        <v>71120</v>
      </c>
      <c r="N282" s="470">
        <f ca="1">N283+N284</f>
        <v>51870</v>
      </c>
      <c r="O282" s="470">
        <f t="shared" ref="O282:O290" ca="1" si="71">IF(L282&gt;0,N282*100/L282,0)</f>
        <v>72.933070866141733</v>
      </c>
      <c r="P282" s="470">
        <f t="shared" ref="P282:P290" ca="1" si="72">IF(M282&gt;0,N282*100/M282,0)</f>
        <v>72.933070866141733</v>
      </c>
      <c r="Q282" s="470">
        <f>Q283+Q284</f>
        <v>0</v>
      </c>
      <c r="R282" s="470">
        <f>R283+R284</f>
        <v>0</v>
      </c>
      <c r="S282" s="470">
        <f>S283+S284</f>
        <v>0</v>
      </c>
      <c r="T282" s="470">
        <f t="shared" ref="T282:T290" si="73">IF(Q282&gt;0,S282*100/Q282,0)</f>
        <v>0</v>
      </c>
      <c r="U282" s="470">
        <f t="shared" ref="U282:U290" si="74"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469">
        <f t="shared" ref="L283:N284" si="75">L286+L289</f>
        <v>0</v>
      </c>
      <c r="M283" s="83">
        <f t="shared" si="75"/>
        <v>0</v>
      </c>
      <c r="N283" s="83">
        <f t="shared" si="75"/>
        <v>0</v>
      </c>
      <c r="O283" s="83">
        <f t="shared" si="71"/>
        <v>0</v>
      </c>
      <c r="P283" s="83">
        <f t="shared" si="72"/>
        <v>0</v>
      </c>
      <c r="Q283" s="83">
        <f t="shared" ref="Q283:S284" si="76">Q286+Q289</f>
        <v>0</v>
      </c>
      <c r="R283" s="83">
        <f t="shared" si="76"/>
        <v>0</v>
      </c>
      <c r="S283" s="83">
        <f t="shared" si="76"/>
        <v>0</v>
      </c>
      <c r="T283" s="83">
        <f t="shared" si="73"/>
        <v>0</v>
      </c>
      <c r="U283" s="83">
        <f t="shared" si="74"/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468">
        <f t="shared" ca="1" si="75"/>
        <v>71120</v>
      </c>
      <c r="M284" s="224">
        <f t="shared" ca="1" si="75"/>
        <v>71120</v>
      </c>
      <c r="N284" s="224">
        <f t="shared" ca="1" si="75"/>
        <v>51870</v>
      </c>
      <c r="O284" s="224">
        <f t="shared" ca="1" si="71"/>
        <v>72.933070866141733</v>
      </c>
      <c r="P284" s="224">
        <f t="shared" ca="1" si="72"/>
        <v>72.933070866141733</v>
      </c>
      <c r="Q284" s="224">
        <f t="shared" si="76"/>
        <v>0</v>
      </c>
      <c r="R284" s="224">
        <f t="shared" si="76"/>
        <v>0</v>
      </c>
      <c r="S284" s="224">
        <f t="shared" si="76"/>
        <v>0</v>
      </c>
      <c r="T284" s="224">
        <f t="shared" si="73"/>
        <v>0</v>
      </c>
      <c r="U284" s="224">
        <f t="shared" si="74"/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468">
        <f ca="1">L286+L287</f>
        <v>71120</v>
      </c>
      <c r="M285" s="224">
        <f ca="1">M286+M287</f>
        <v>71120</v>
      </c>
      <c r="N285" s="224">
        <f ca="1">N286+N287</f>
        <v>51870</v>
      </c>
      <c r="O285" s="224">
        <f t="shared" ca="1" si="71"/>
        <v>72.933070866141733</v>
      </c>
      <c r="P285" s="224">
        <f t="shared" ca="1" si="72"/>
        <v>72.933070866141733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 t="shared" si="73"/>
        <v>0</v>
      </c>
      <c r="U285" s="224">
        <f t="shared" si="74"/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469">
        <v>0</v>
      </c>
      <c r="M286" s="83">
        <v>0</v>
      </c>
      <c r="N286" s="83">
        <v>0</v>
      </c>
      <c r="O286" s="83">
        <f t="shared" si="71"/>
        <v>0</v>
      </c>
      <c r="P286" s="83">
        <f t="shared" si="72"/>
        <v>0</v>
      </c>
      <c r="Q286" s="83">
        <v>0</v>
      </c>
      <c r="R286" s="83">
        <v>0</v>
      </c>
      <c r="S286" s="83">
        <v>0</v>
      </c>
      <c r="T286" s="83">
        <f t="shared" si="73"/>
        <v>0</v>
      </c>
      <c r="U286" s="83">
        <f t="shared" si="74"/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468">
        <f ca="1">IFERROR(__xludf.DUMMYFUNCTION("IMPORTRANGE(""https://docs.google.com/spreadsheets/d/1-uDff_7J0KD5mKrp0Vvzr7lt3OU09vwQwhkpOPPYv2Y/edit?usp=sharing"",""งบพรบ!DO17"")"),71120)</f>
        <v>71120</v>
      </c>
      <c r="M287" s="224">
        <f ca="1">IFERROR(__xludf.DUMMYFUNCTION("IMPORTRANGE(""https://docs.google.com/spreadsheets/d/1-uDff_7J0KD5mKrp0Vvzr7lt3OU09vwQwhkpOPPYv2Y/edit?usp=sharing"",""งบพรบ!DT17"")"),71120)</f>
        <v>71120</v>
      </c>
      <c r="N287" s="224">
        <f ca="1">IFERROR(__xludf.DUMMYFUNCTION("IMPORTRANGE(""https://docs.google.com/spreadsheets/d/1-uDff_7J0KD5mKrp0Vvzr7lt3OU09vwQwhkpOPPYv2Y/edit?usp=sharing"",""งบพรบ!DV17"")"),51870)</f>
        <v>51870</v>
      </c>
      <c r="O287" s="224">
        <f t="shared" ca="1" si="71"/>
        <v>72.933070866141733</v>
      </c>
      <c r="P287" s="224">
        <f t="shared" ca="1" si="72"/>
        <v>72.933070866141733</v>
      </c>
      <c r="Q287" s="224">
        <v>0</v>
      </c>
      <c r="R287" s="224">
        <v>0</v>
      </c>
      <c r="S287" s="224">
        <v>0</v>
      </c>
      <c r="T287" s="83">
        <f t="shared" si="73"/>
        <v>0</v>
      </c>
      <c r="U287" s="83">
        <f t="shared" si="74"/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468">
        <f ca="1">L289+L290</f>
        <v>0</v>
      </c>
      <c r="M288" s="224">
        <f ca="1">M289+M290</f>
        <v>0</v>
      </c>
      <c r="N288" s="224">
        <f ca="1">N289+N290</f>
        <v>0</v>
      </c>
      <c r="O288" s="224">
        <f t="shared" ca="1" si="71"/>
        <v>0</v>
      </c>
      <c r="P288" s="224">
        <f t="shared" ca="1" si="72"/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 t="shared" si="73"/>
        <v>0</v>
      </c>
      <c r="U288" s="224">
        <f t="shared" si="74"/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469">
        <v>0</v>
      </c>
      <c r="M289" s="83">
        <v>0</v>
      </c>
      <c r="N289" s="83">
        <v>0</v>
      </c>
      <c r="O289" s="83">
        <f t="shared" si="71"/>
        <v>0</v>
      </c>
      <c r="P289" s="83">
        <f t="shared" si="72"/>
        <v>0</v>
      </c>
      <c r="Q289" s="83">
        <v>0</v>
      </c>
      <c r="R289" s="83">
        <v>0</v>
      </c>
      <c r="S289" s="83">
        <v>0</v>
      </c>
      <c r="T289" s="83">
        <f t="shared" si="73"/>
        <v>0</v>
      </c>
      <c r="U289" s="83">
        <f t="shared" si="74"/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468">
        <f ca="1">IFERROR(__xludf.DUMMYFUNCTION("IMPORTRANGE(""https://docs.google.com/spreadsheets/d/1-uDff_7J0KD5mKrp0Vvzr7lt3OU09vwQwhkpOPPYv2Y/edit?usp=sharing"",""งบพรบ!DR17"")"),0)</f>
        <v>0</v>
      </c>
      <c r="M290" s="224">
        <f ca="1">IFERROR(__xludf.DUMMYFUNCTION("IMPORTRANGE(""https://docs.google.com/spreadsheets/d/1-uDff_7J0KD5mKrp0Vvzr7lt3OU09vwQwhkpOPPYv2Y/edit?usp=sharing"",""งบพรบ!DU17"")"),0)</f>
        <v>0</v>
      </c>
      <c r="N290" s="224">
        <f ca="1">IFERROR(__xludf.DUMMYFUNCTION("IMPORTRANGE(""https://docs.google.com/spreadsheets/d/1-uDff_7J0KD5mKrp0Vvzr7lt3OU09vwQwhkpOPPYv2Y/edit?usp=sharing"",""งบพรบ!DW17"")"),0)</f>
        <v>0</v>
      </c>
      <c r="O290" s="224">
        <f t="shared" ca="1" si="71"/>
        <v>0</v>
      </c>
      <c r="P290" s="224">
        <f t="shared" ca="1" si="72"/>
        <v>0</v>
      </c>
      <c r="Q290" s="224">
        <v>0</v>
      </c>
      <c r="R290" s="224">
        <v>0</v>
      </c>
      <c r="S290" s="224">
        <v>0</v>
      </c>
      <c r="T290" s="224">
        <f t="shared" si="73"/>
        <v>0</v>
      </c>
      <c r="U290" s="224">
        <f t="shared" si="74"/>
        <v>0</v>
      </c>
    </row>
    <row r="291" spans="1:21" ht="19.5" x14ac:dyDescent="0.3">
      <c r="A291" s="138"/>
      <c r="B291" s="139"/>
      <c r="C291" s="129" t="s">
        <v>18</v>
      </c>
      <c r="D291" s="498" t="s">
        <v>38</v>
      </c>
      <c r="E291" s="141"/>
      <c r="F291" s="141"/>
      <c r="G291" s="142"/>
      <c r="H291" s="143"/>
      <c r="I291" s="135"/>
      <c r="J291" s="135"/>
      <c r="K291" s="136"/>
      <c r="L291" s="4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IFERROR(__xludf.DUMMYFUNCTION("IMPORTRANGE(""https://docs.google.com/spreadsheets/d/1eHaY18a8A9IcSdp1K8H6x8fbOy06t2VsZHhMHf-1x7Y/edit?usp=sharing"",""แผน!EE17"")"),200)</f>
        <v>200</v>
      </c>
      <c r="J292" s="466">
        <v>200</v>
      </c>
      <c r="K292" s="497">
        <f ca="1">IF(I292&gt;0,J292*100/I292,0)</f>
        <v>100</v>
      </c>
      <c r="L292" s="4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IFERROR(__xludf.DUMMYFUNCTION("IMPORTRANGE(""https://docs.google.com/spreadsheets/d/1eHaY18a8A9IcSdp1K8H6x8fbOy06t2VsZHhMHf-1x7Y/edit?usp=sharing"",""แผน!ED17"")"),20)</f>
        <v>20</v>
      </c>
      <c r="J293" s="328">
        <f>J296</f>
        <v>20</v>
      </c>
      <c r="K293" s="582">
        <f ca="1">IF(I293&gt;0,J293*100/I293,0)</f>
        <v>100</v>
      </c>
      <c r="L293" s="4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4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581">
        <f ca="1">IFERROR(__xludf.DUMMYFUNCTION("IMPORTRANGE(""https://docs.google.com/spreadsheets/d/1eHaY18a8A9IcSdp1K8H6x8fbOy06t2VsZHhMHf-1x7Y/edit?usp=sharing"",""แผน!ED17"")"),20)</f>
        <v>20</v>
      </c>
      <c r="J295" s="466">
        <v>20</v>
      </c>
      <c r="K295" s="497">
        <f ca="1">IF(I295&gt;0,J295*100/I295,0)</f>
        <v>100</v>
      </c>
      <c r="L295" s="4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581">
        <f ca="1">IFERROR(__xludf.DUMMYFUNCTION("IMPORTRANGE(""https://docs.google.com/spreadsheets/d/1eHaY18a8A9IcSdp1K8H6x8fbOy06t2VsZHhMHf-1x7Y/edit?usp=sharing"",""แผน!ED17"")"),20)</f>
        <v>20</v>
      </c>
      <c r="J296" s="466">
        <v>20</v>
      </c>
      <c r="K296" s="497">
        <f ca="1">IF(I296&gt;0,J296*100/I296,0)</f>
        <v>100</v>
      </c>
      <c r="L296" s="4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571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hidden="1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571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580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57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541">
        <f ca="1">I314</f>
        <v>20</v>
      </c>
      <c r="J302" s="541">
        <f>J314</f>
        <v>20</v>
      </c>
      <c r="K302" s="540">
        <f ca="1">IF(I302&gt;0,J302*100/I302,0)</f>
        <v>100</v>
      </c>
      <c r="L302" s="539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472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471">
        <f ca="1">L304+L305</f>
        <v>133500</v>
      </c>
      <c r="M303" s="470">
        <f ca="1">M304+M305</f>
        <v>133500</v>
      </c>
      <c r="N303" s="470">
        <f ca="1">N304+N305</f>
        <v>96423</v>
      </c>
      <c r="O303" s="470">
        <f t="shared" ref="O303:O311" ca="1" si="77">IF(L303&gt;0,N303*100/L303,0)</f>
        <v>72.226966292134833</v>
      </c>
      <c r="P303" s="470">
        <f t="shared" ref="P303:P311" ca="1" si="78">IF(M303&gt;0,N303*100/M303,0)</f>
        <v>72.226966292134833</v>
      </c>
      <c r="Q303" s="470">
        <f ca="1">Q304+Q305</f>
        <v>144609.24</v>
      </c>
      <c r="R303" s="470">
        <f ca="1">R304+R305</f>
        <v>144609</v>
      </c>
      <c r="S303" s="470">
        <f ca="1">S304+S305</f>
        <v>0</v>
      </c>
      <c r="T303" s="470">
        <f t="shared" ref="T303:T311" ca="1" si="79">IF(Q303&gt;0,S303*100/Q303,0)</f>
        <v>0</v>
      </c>
      <c r="U303" s="470">
        <f t="shared" ref="U303:U311" ca="1" si="80">IF(R303&gt;0,S303*100/R303,0)</f>
        <v>0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469">
        <f t="shared" ref="L304:N305" si="81">L307+L310</f>
        <v>0</v>
      </c>
      <c r="M304" s="83">
        <f t="shared" si="81"/>
        <v>0</v>
      </c>
      <c r="N304" s="83">
        <f t="shared" si="81"/>
        <v>0</v>
      </c>
      <c r="O304" s="83">
        <f t="shared" si="77"/>
        <v>0</v>
      </c>
      <c r="P304" s="83">
        <f t="shared" si="78"/>
        <v>0</v>
      </c>
      <c r="Q304" s="83">
        <f t="shared" ref="Q304:S305" si="82">Q307+Q310</f>
        <v>0</v>
      </c>
      <c r="R304" s="83">
        <f t="shared" si="82"/>
        <v>0</v>
      </c>
      <c r="S304" s="83">
        <f t="shared" si="82"/>
        <v>0</v>
      </c>
      <c r="T304" s="83">
        <f t="shared" si="79"/>
        <v>0</v>
      </c>
      <c r="U304" s="83">
        <f t="shared" si="80"/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468">
        <f t="shared" ca="1" si="81"/>
        <v>133500</v>
      </c>
      <c r="M305" s="224">
        <f t="shared" ca="1" si="81"/>
        <v>133500</v>
      </c>
      <c r="N305" s="224">
        <f t="shared" ca="1" si="81"/>
        <v>96423</v>
      </c>
      <c r="O305" s="224">
        <f t="shared" ca="1" si="77"/>
        <v>72.226966292134833</v>
      </c>
      <c r="P305" s="224">
        <f t="shared" ca="1" si="78"/>
        <v>72.226966292134833</v>
      </c>
      <c r="Q305" s="224">
        <f t="shared" ca="1" si="82"/>
        <v>144609.24</v>
      </c>
      <c r="R305" s="224">
        <f t="shared" ca="1" si="82"/>
        <v>144609</v>
      </c>
      <c r="S305" s="224">
        <f t="shared" ca="1" si="82"/>
        <v>0</v>
      </c>
      <c r="T305" s="224">
        <f t="shared" ca="1" si="79"/>
        <v>0</v>
      </c>
      <c r="U305" s="224">
        <f t="shared" ca="1" si="80"/>
        <v>0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468">
        <f ca="1">L307+L308</f>
        <v>133500</v>
      </c>
      <c r="M306" s="224">
        <f ca="1">M307+M308</f>
        <v>133500</v>
      </c>
      <c r="N306" s="224">
        <f ca="1">N307+N308</f>
        <v>96423</v>
      </c>
      <c r="O306" s="224">
        <f t="shared" ca="1" si="77"/>
        <v>72.226966292134833</v>
      </c>
      <c r="P306" s="224">
        <f t="shared" ca="1" si="78"/>
        <v>72.226966292134833</v>
      </c>
      <c r="Q306" s="224">
        <f ca="1">Q307+Q308</f>
        <v>144609.24</v>
      </c>
      <c r="R306" s="224">
        <f ca="1">R307+R308</f>
        <v>144609</v>
      </c>
      <c r="S306" s="224">
        <f ca="1">S307+S308</f>
        <v>0</v>
      </c>
      <c r="T306" s="224">
        <f t="shared" ca="1" si="79"/>
        <v>0</v>
      </c>
      <c r="U306" s="224">
        <f t="shared" ca="1" si="80"/>
        <v>0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469">
        <v>0</v>
      </c>
      <c r="M307" s="83">
        <v>0</v>
      </c>
      <c r="N307" s="83">
        <v>0</v>
      </c>
      <c r="O307" s="83">
        <f t="shared" si="77"/>
        <v>0</v>
      </c>
      <c r="P307" s="83">
        <f t="shared" si="78"/>
        <v>0</v>
      </c>
      <c r="Q307" s="83">
        <v>0</v>
      </c>
      <c r="R307" s="83">
        <v>0</v>
      </c>
      <c r="S307" s="83">
        <v>0</v>
      </c>
      <c r="T307" s="83">
        <f t="shared" si="79"/>
        <v>0</v>
      </c>
      <c r="U307" s="83">
        <f t="shared" si="80"/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468">
        <f ca="1">IFERROR(__xludf.DUMMYFUNCTION("IMPORTRANGE(""https://docs.google.com/spreadsheets/d/1-uDff_7J0KD5mKrp0Vvzr7lt3OU09vwQwhkpOPPYv2Y/edit?usp=sharing"",""งบพรบ!DY17"")"),133500)</f>
        <v>133500</v>
      </c>
      <c r="M308" s="224">
        <f ca="1">IFERROR(__xludf.DUMMYFUNCTION("IMPORTRANGE(""https://docs.google.com/spreadsheets/d/1-uDff_7J0KD5mKrp0Vvzr7lt3OU09vwQwhkpOPPYv2Y/edit?usp=sharing"",""งบพรบ!ED17"")"),133500)</f>
        <v>133500</v>
      </c>
      <c r="N308" s="224">
        <f ca="1">IFERROR(__xludf.DUMMYFUNCTION("IMPORTRANGE(""https://docs.google.com/spreadsheets/d/1-uDff_7J0KD5mKrp0Vvzr7lt3OU09vwQwhkpOPPYv2Y/edit?usp=sharing"",""งบพรบ!EF17"")"),96423)</f>
        <v>96423</v>
      </c>
      <c r="O308" s="224">
        <f t="shared" ca="1" si="77"/>
        <v>72.226966292134833</v>
      </c>
      <c r="P308" s="224">
        <f t="shared" ca="1" si="78"/>
        <v>72.226966292134833</v>
      </c>
      <c r="Q308" s="224">
        <f ca="1">IFERROR(__xludf.DUMMYFUNCTION("IMPORTRANGE(""https://docs.google.com/spreadsheets/d/1ItG2mGa2ceCfYo0BwxsXqNm01IGEUdYcSSLTEv9YCik/edit?usp=sharing"",""เบิกจ่ายกองทุน!AP17"")"),144609.24)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IFERROR(__xludf.DUMMYFUNCTION("IMPORTRANGE(""https://docs.google.com/spreadsheets/d/1ItG2mGa2ceCfYo0BwxsXqNm01IGEUdYcSSLTEv9YCik/edit?usp=sharing"",""เบิกจ่ายกองทุน!AQ17"")"),144609)</f>
        <v>144609</v>
      </c>
      <c r="S308" s="224">
        <f ca="1">IFERROR(__xludf.DUMMYFUNCTION("IMPORTRANGE(""https://docs.google.com/spreadsheets/d/1ItG2mGa2ceCfYo0BwxsXqNm01IGEUdYcSSLTEv9YCik/edit?usp=sharing"",""เบิกจ่ายกองทุน!AR17"")"),0)</f>
        <v>0</v>
      </c>
      <c r="T308" s="224">
        <f t="shared" ca="1" si="79"/>
        <v>0</v>
      </c>
      <c r="U308" s="224">
        <f t="shared" ca="1" si="80"/>
        <v>0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468">
        <f ca="1">L310+L311</f>
        <v>0</v>
      </c>
      <c r="M309" s="224">
        <f ca="1">M310+M311</f>
        <v>0</v>
      </c>
      <c r="N309" s="224">
        <f ca="1">N310+N311</f>
        <v>0</v>
      </c>
      <c r="O309" s="224">
        <f t="shared" ca="1" si="77"/>
        <v>0</v>
      </c>
      <c r="P309" s="224">
        <f t="shared" ca="1" si="78"/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 t="shared" si="79"/>
        <v>0</v>
      </c>
      <c r="U309" s="224">
        <f t="shared" si="80"/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469">
        <v>0</v>
      </c>
      <c r="M310" s="83">
        <v>0</v>
      </c>
      <c r="N310" s="83">
        <v>0</v>
      </c>
      <c r="O310" s="83">
        <f t="shared" si="77"/>
        <v>0</v>
      </c>
      <c r="P310" s="83">
        <f t="shared" si="78"/>
        <v>0</v>
      </c>
      <c r="Q310" s="83">
        <v>0</v>
      </c>
      <c r="R310" s="83">
        <v>0</v>
      </c>
      <c r="S310" s="83">
        <v>0</v>
      </c>
      <c r="T310" s="83">
        <f t="shared" si="79"/>
        <v>0</v>
      </c>
      <c r="U310" s="83">
        <f t="shared" si="80"/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468">
        <f ca="1">IFERROR(__xludf.DUMMYFUNCTION("IMPORTRANGE(""https://docs.google.com/spreadsheets/d/1-uDff_7J0KD5mKrp0Vvzr7lt3OU09vwQwhkpOPPYv2Y/edit?usp=sharing"",""งบพรบ!EB17"")"),0)</f>
        <v>0</v>
      </c>
      <c r="M311" s="224">
        <f ca="1">IFERROR(__xludf.DUMMYFUNCTION("IMPORTRANGE(""https://docs.google.com/spreadsheets/d/1-uDff_7J0KD5mKrp0Vvzr7lt3OU09vwQwhkpOPPYv2Y/edit?usp=sharing"",""งบพรบ!EE17"")"),0)</f>
        <v>0</v>
      </c>
      <c r="N311" s="224">
        <f ca="1">IFERROR(__xludf.DUMMYFUNCTION("IMPORTRANGE(""https://docs.google.com/spreadsheets/d/1-uDff_7J0KD5mKrp0Vvzr7lt3OU09vwQwhkpOPPYv2Y/edit?usp=sharing"",""งบพรบ!EG17"")"),0)</f>
        <v>0</v>
      </c>
      <c r="O311" s="224">
        <f t="shared" ca="1" si="77"/>
        <v>0</v>
      </c>
      <c r="P311" s="224">
        <f t="shared" ca="1" si="78"/>
        <v>0</v>
      </c>
      <c r="Q311" s="224">
        <v>0</v>
      </c>
      <c r="R311" s="224">
        <v>0</v>
      </c>
      <c r="S311" s="224">
        <v>0</v>
      </c>
      <c r="T311" s="224">
        <f t="shared" si="79"/>
        <v>0</v>
      </c>
      <c r="U311" s="224">
        <f t="shared" si="80"/>
        <v>0</v>
      </c>
    </row>
    <row r="312" spans="1:21" ht="19.5" x14ac:dyDescent="0.3">
      <c r="A312" s="138"/>
      <c r="B312" s="139"/>
      <c r="C312" s="129" t="s">
        <v>18</v>
      </c>
      <c r="D312" s="498" t="s">
        <v>38</v>
      </c>
      <c r="E312" s="141"/>
      <c r="F312" s="141"/>
      <c r="G312" s="142"/>
      <c r="H312" s="143"/>
      <c r="I312" s="44"/>
      <c r="J312" s="44"/>
      <c r="K312" s="45"/>
      <c r="L312" s="465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579"/>
      <c r="E313" s="18"/>
      <c r="F313" s="18"/>
      <c r="G313" s="19"/>
      <c r="H313" s="19"/>
      <c r="I313" s="20"/>
      <c r="J313" s="577"/>
      <c r="K313" s="21"/>
      <c r="L313" s="571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IFERROR(__xludf.DUMMYFUNCTION("IMPORTRANGE(""https://docs.google.com/spreadsheets/d/1eHaY18a8A9IcSdp1K8H6x8fbOy06t2VsZHhMHf-1x7Y/edit?usp=sharing"",""แผน!EF17"")"),20)</f>
        <v>20</v>
      </c>
      <c r="J314" s="466">
        <v>20</v>
      </c>
      <c r="K314" s="224">
        <f ca="1">IF(I314&gt;0,J314*100/I314,0)</f>
        <v>100</v>
      </c>
      <c r="L314" s="465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579"/>
      <c r="E315" s="18"/>
      <c r="F315" s="18"/>
      <c r="G315" s="19"/>
      <c r="H315" s="578"/>
      <c r="I315" s="577"/>
      <c r="J315" s="577"/>
      <c r="K315" s="576"/>
      <c r="L315" s="571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579"/>
      <c r="E316" s="18"/>
      <c r="F316" s="18"/>
      <c r="G316" s="19"/>
      <c r="H316" s="578"/>
      <c r="I316" s="577"/>
      <c r="J316" s="577"/>
      <c r="K316" s="576"/>
      <c r="L316" s="571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575"/>
      <c r="E317" s="18"/>
      <c r="F317" s="18"/>
      <c r="G317" s="19"/>
      <c r="H317" s="574"/>
      <c r="I317" s="573"/>
      <c r="J317" s="573"/>
      <c r="K317" s="572"/>
      <c r="L317" s="571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57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hidden="1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541">
        <f ca="1">I330</f>
        <v>0</v>
      </c>
      <c r="J319" s="541">
        <f>J330</f>
        <v>0</v>
      </c>
      <c r="K319" s="540">
        <f ca="1">IF(I319&gt;0,J319*100/I319,0)</f>
        <v>0</v>
      </c>
      <c r="L319" s="539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hidden="1" x14ac:dyDescent="0.3">
      <c r="A320" s="128"/>
      <c r="B320" s="40"/>
      <c r="C320" s="129" t="s">
        <v>18</v>
      </c>
      <c r="D320" s="472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471">
        <f ca="1">L321+L322</f>
        <v>0</v>
      </c>
      <c r="M320" s="470">
        <f ca="1">M321+M322</f>
        <v>0</v>
      </c>
      <c r="N320" s="470">
        <f ca="1">N321+N322</f>
        <v>0</v>
      </c>
      <c r="O320" s="470">
        <f t="shared" ref="O320:O328" ca="1" si="83">IF(L320&gt;0,N320*100/L320,0)</f>
        <v>0</v>
      </c>
      <c r="P320" s="470">
        <f t="shared" ref="P320:P328" ca="1" si="84">IF(M320&gt;0,N320*100/M320,0)</f>
        <v>0</v>
      </c>
      <c r="Q320" s="470">
        <f>Q321+Q322</f>
        <v>0</v>
      </c>
      <c r="R320" s="470">
        <f>R321+R322</f>
        <v>0</v>
      </c>
      <c r="S320" s="470">
        <f>S321+S322</f>
        <v>0</v>
      </c>
      <c r="T320" s="470">
        <f t="shared" ref="T320:T328" si="85">IF(Q320&gt;0,S320*100/Q320,0)</f>
        <v>0</v>
      </c>
      <c r="U320" s="470">
        <f t="shared" ref="U320:U328" si="86"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469">
        <f t="shared" ref="L321:N322" si="87">L324+L327</f>
        <v>0</v>
      </c>
      <c r="M321" s="83">
        <f t="shared" si="87"/>
        <v>0</v>
      </c>
      <c r="N321" s="83">
        <f t="shared" si="87"/>
        <v>0</v>
      </c>
      <c r="O321" s="83">
        <f t="shared" si="83"/>
        <v>0</v>
      </c>
      <c r="P321" s="83">
        <f t="shared" si="84"/>
        <v>0</v>
      </c>
      <c r="Q321" s="83">
        <f t="shared" ref="Q321:S322" si="88">Q324+Q327</f>
        <v>0</v>
      </c>
      <c r="R321" s="83">
        <f t="shared" si="88"/>
        <v>0</v>
      </c>
      <c r="S321" s="83">
        <f t="shared" si="88"/>
        <v>0</v>
      </c>
      <c r="T321" s="83">
        <f t="shared" si="85"/>
        <v>0</v>
      </c>
      <c r="U321" s="83">
        <f t="shared" si="86"/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468">
        <f t="shared" ca="1" si="87"/>
        <v>0</v>
      </c>
      <c r="M322" s="224">
        <f t="shared" ca="1" si="87"/>
        <v>0</v>
      </c>
      <c r="N322" s="224">
        <f t="shared" ca="1" si="87"/>
        <v>0</v>
      </c>
      <c r="O322" s="224">
        <f t="shared" ca="1" si="83"/>
        <v>0</v>
      </c>
      <c r="P322" s="224">
        <f t="shared" ca="1" si="84"/>
        <v>0</v>
      </c>
      <c r="Q322" s="224">
        <f t="shared" si="88"/>
        <v>0</v>
      </c>
      <c r="R322" s="224">
        <f t="shared" si="88"/>
        <v>0</v>
      </c>
      <c r="S322" s="224">
        <f t="shared" si="88"/>
        <v>0</v>
      </c>
      <c r="T322" s="224">
        <f t="shared" si="85"/>
        <v>0</v>
      </c>
      <c r="U322" s="224">
        <f t="shared" si="86"/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468">
        <f ca="1">L324+L325</f>
        <v>0</v>
      </c>
      <c r="M323" s="224">
        <f ca="1">M324+M325</f>
        <v>0</v>
      </c>
      <c r="N323" s="224">
        <f ca="1">N324+N325</f>
        <v>0</v>
      </c>
      <c r="O323" s="224">
        <f t="shared" ca="1" si="83"/>
        <v>0</v>
      </c>
      <c r="P323" s="224">
        <f t="shared" ca="1" si="84"/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 t="shared" si="85"/>
        <v>0</v>
      </c>
      <c r="U323" s="224">
        <f t="shared" si="86"/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469">
        <v>0</v>
      </c>
      <c r="M324" s="83">
        <v>0</v>
      </c>
      <c r="N324" s="83">
        <v>0</v>
      </c>
      <c r="O324" s="83">
        <f t="shared" si="83"/>
        <v>0</v>
      </c>
      <c r="P324" s="83">
        <f t="shared" si="84"/>
        <v>0</v>
      </c>
      <c r="Q324" s="83">
        <v>0</v>
      </c>
      <c r="R324" s="83">
        <v>0</v>
      </c>
      <c r="S324" s="83">
        <v>0</v>
      </c>
      <c r="T324" s="83">
        <f t="shared" si="85"/>
        <v>0</v>
      </c>
      <c r="U324" s="83">
        <f t="shared" si="86"/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468">
        <f ca="1">IFERROR(__xludf.DUMMYFUNCTION("IMPORTRANGE(""https://docs.google.com/spreadsheets/d/1-uDff_7J0KD5mKrp0Vvzr7lt3OU09vwQwhkpOPPYv2Y/edit?usp=sharing"",""งบพรบ!EI17"")"),0)</f>
        <v>0</v>
      </c>
      <c r="M325" s="224">
        <f ca="1">IFERROR(__xludf.DUMMYFUNCTION("IMPORTRANGE(""https://docs.google.com/spreadsheets/d/1-uDff_7J0KD5mKrp0Vvzr7lt3OU09vwQwhkpOPPYv2Y/edit?usp=sharing"",""งบพรบ!EN17"")"),0)</f>
        <v>0</v>
      </c>
      <c r="N325" s="224">
        <f ca="1">IFERROR(__xludf.DUMMYFUNCTION("IMPORTRANGE(""https://docs.google.com/spreadsheets/d/1-uDff_7J0KD5mKrp0Vvzr7lt3OU09vwQwhkpOPPYv2Y/edit?usp=sharing"",""งบพรบ!EP17"")"),0)</f>
        <v>0</v>
      </c>
      <c r="O325" s="224">
        <f t="shared" ca="1" si="83"/>
        <v>0</v>
      </c>
      <c r="P325" s="224">
        <f t="shared" ca="1" si="84"/>
        <v>0</v>
      </c>
      <c r="Q325" s="224">
        <v>0</v>
      </c>
      <c r="R325" s="224">
        <v>0</v>
      </c>
      <c r="S325" s="224">
        <v>0</v>
      </c>
      <c r="T325" s="224">
        <f t="shared" si="85"/>
        <v>0</v>
      </c>
      <c r="U325" s="224">
        <f t="shared" si="86"/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468">
        <f ca="1">L327+L328</f>
        <v>0</v>
      </c>
      <c r="M326" s="224">
        <f ca="1">M327+M328</f>
        <v>0</v>
      </c>
      <c r="N326" s="224">
        <f ca="1">N327+N328</f>
        <v>0</v>
      </c>
      <c r="O326" s="224">
        <f t="shared" ca="1" si="83"/>
        <v>0</v>
      </c>
      <c r="P326" s="224">
        <f t="shared" ca="1" si="84"/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 t="shared" si="85"/>
        <v>0</v>
      </c>
      <c r="U326" s="224">
        <f t="shared" si="86"/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469">
        <v>0</v>
      </c>
      <c r="M327" s="83">
        <v>0</v>
      </c>
      <c r="N327" s="83">
        <v>0</v>
      </c>
      <c r="O327" s="83">
        <f t="shared" si="83"/>
        <v>0</v>
      </c>
      <c r="P327" s="83">
        <f t="shared" si="84"/>
        <v>0</v>
      </c>
      <c r="Q327" s="83">
        <v>0</v>
      </c>
      <c r="R327" s="83">
        <v>0</v>
      </c>
      <c r="S327" s="83">
        <v>0</v>
      </c>
      <c r="T327" s="83">
        <f t="shared" si="85"/>
        <v>0</v>
      </c>
      <c r="U327" s="83">
        <f t="shared" si="86"/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468">
        <f ca="1">IFERROR(__xludf.DUMMYFUNCTION("IMPORTRANGE(""https://docs.google.com/spreadsheets/d/1-uDff_7J0KD5mKrp0Vvzr7lt3OU09vwQwhkpOPPYv2Y/edit?usp=sharing"",""งบพรบ!EL17"")"),0)</f>
        <v>0</v>
      </c>
      <c r="M328" s="224">
        <f ca="1">IFERROR(__xludf.DUMMYFUNCTION("IMPORTRANGE(""https://docs.google.com/spreadsheets/d/1-uDff_7J0KD5mKrp0Vvzr7lt3OU09vwQwhkpOPPYv2Y/edit?usp=sharing"",""งบพรบ!EO17"")"),0)</f>
        <v>0</v>
      </c>
      <c r="N328" s="224">
        <f ca="1">IFERROR(__xludf.DUMMYFUNCTION("IMPORTRANGE(""https://docs.google.com/spreadsheets/d/1-uDff_7J0KD5mKrp0Vvzr7lt3OU09vwQwhkpOPPYv2Y/edit?usp=sharing"",""งบพรบ!EQ17"")"),0)</f>
        <v>0</v>
      </c>
      <c r="O328" s="224">
        <f t="shared" ca="1" si="83"/>
        <v>0</v>
      </c>
      <c r="P328" s="224">
        <f t="shared" ca="1" si="84"/>
        <v>0</v>
      </c>
      <c r="Q328" s="224">
        <v>0</v>
      </c>
      <c r="R328" s="224">
        <v>0</v>
      </c>
      <c r="S328" s="224">
        <v>0</v>
      </c>
      <c r="T328" s="224">
        <f t="shared" si="85"/>
        <v>0</v>
      </c>
      <c r="U328" s="224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8" t="s">
        <v>38</v>
      </c>
      <c r="E329" s="141"/>
      <c r="F329" s="141"/>
      <c r="G329" s="142"/>
      <c r="H329" s="143"/>
      <c r="I329" s="135"/>
      <c r="J329" s="44"/>
      <c r="K329" s="45"/>
      <c r="L329" s="465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IFERROR(__xludf.DUMMYFUNCTION("IMPORTRANGE(""https://docs.google.com/spreadsheets/d/1eHaY18a8A9IcSdp1K8H6x8fbOy06t2VsZHhMHf-1x7Y/edit?usp=sharing"",""แผน!EJ17"")"),0)</f>
        <v>0</v>
      </c>
      <c r="J330" s="466">
        <v>0</v>
      </c>
      <c r="K330" s="224">
        <f ca="1">IF(I330&gt;0,J330*100/I330,0)</f>
        <v>0</v>
      </c>
      <c r="L330" s="465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57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569">
        <f ca="1">I344</f>
        <v>600</v>
      </c>
      <c r="J332" s="568">
        <f ca="1">J344+J347+J348+J349+J353</f>
        <v>4048</v>
      </c>
      <c r="K332" s="567">
        <f ca="1">IF(I332&gt;0,J332*100/I332,0)</f>
        <v>674.66666666666663</v>
      </c>
      <c r="L332" s="539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472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471">
        <f ca="1">L334+L335</f>
        <v>105000</v>
      </c>
      <c r="M333" s="470">
        <f ca="1">M334+M335</f>
        <v>110000</v>
      </c>
      <c r="N333" s="470">
        <f ca="1">N334+N335</f>
        <v>75310</v>
      </c>
      <c r="O333" s="470">
        <f t="shared" ref="O333:O341" ca="1" si="89">IF(L333&gt;0,N333*100/L333,0)</f>
        <v>71.723809523809521</v>
      </c>
      <c r="P333" s="470">
        <f t="shared" ref="P333:P341" ca="1" si="90">IF(M333&gt;0,N333*100/M333,0)</f>
        <v>68.463636363636368</v>
      </c>
      <c r="Q333" s="470">
        <f>Q334+Q335</f>
        <v>0</v>
      </c>
      <c r="R333" s="470">
        <f>R334+R335</f>
        <v>0</v>
      </c>
      <c r="S333" s="470">
        <f>S334+S335</f>
        <v>0</v>
      </c>
      <c r="T333" s="470">
        <f t="shared" ref="T333:T341" si="91">IF(Q333&gt;0,S333*100/Q333,0)</f>
        <v>0</v>
      </c>
      <c r="U333" s="470">
        <f t="shared" ref="U333:U341" si="92"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469">
        <f t="shared" ref="L334:N335" si="93">L337+L340</f>
        <v>0</v>
      </c>
      <c r="M334" s="83">
        <f t="shared" si="93"/>
        <v>0</v>
      </c>
      <c r="N334" s="83">
        <f t="shared" si="93"/>
        <v>0</v>
      </c>
      <c r="O334" s="83">
        <f t="shared" si="89"/>
        <v>0</v>
      </c>
      <c r="P334" s="83">
        <f t="shared" si="90"/>
        <v>0</v>
      </c>
      <c r="Q334" s="83">
        <f t="shared" ref="Q334:S335" si="94">Q337+Q340</f>
        <v>0</v>
      </c>
      <c r="R334" s="83">
        <f t="shared" si="94"/>
        <v>0</v>
      </c>
      <c r="S334" s="83">
        <f t="shared" si="94"/>
        <v>0</v>
      </c>
      <c r="T334" s="83">
        <f t="shared" si="91"/>
        <v>0</v>
      </c>
      <c r="U334" s="83">
        <f t="shared" si="92"/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468">
        <f t="shared" ca="1" si="93"/>
        <v>105000</v>
      </c>
      <c r="M335" s="224">
        <f t="shared" ca="1" si="93"/>
        <v>110000</v>
      </c>
      <c r="N335" s="224">
        <f t="shared" ca="1" si="93"/>
        <v>75310</v>
      </c>
      <c r="O335" s="224">
        <f t="shared" ca="1" si="89"/>
        <v>71.723809523809521</v>
      </c>
      <c r="P335" s="224">
        <f t="shared" ca="1" si="90"/>
        <v>68.463636363636368</v>
      </c>
      <c r="Q335" s="224">
        <f t="shared" si="94"/>
        <v>0</v>
      </c>
      <c r="R335" s="224">
        <f t="shared" si="94"/>
        <v>0</v>
      </c>
      <c r="S335" s="224">
        <f t="shared" si="94"/>
        <v>0</v>
      </c>
      <c r="T335" s="224">
        <f t="shared" si="91"/>
        <v>0</v>
      </c>
      <c r="U335" s="224">
        <f t="shared" si="92"/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468">
        <f ca="1">L337+L338</f>
        <v>105000</v>
      </c>
      <c r="M336" s="224">
        <f ca="1">M337+M338</f>
        <v>110000</v>
      </c>
      <c r="N336" s="224">
        <f ca="1">N337+N338</f>
        <v>75310</v>
      </c>
      <c r="O336" s="224">
        <f t="shared" ca="1" si="89"/>
        <v>71.723809523809521</v>
      </c>
      <c r="P336" s="224">
        <f t="shared" ca="1" si="90"/>
        <v>68.463636363636368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 t="shared" si="91"/>
        <v>0</v>
      </c>
      <c r="U336" s="224">
        <f t="shared" si="92"/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469">
        <v>0</v>
      </c>
      <c r="M337" s="83">
        <v>0</v>
      </c>
      <c r="N337" s="83">
        <v>0</v>
      </c>
      <c r="O337" s="83">
        <f t="shared" si="89"/>
        <v>0</v>
      </c>
      <c r="P337" s="83">
        <f t="shared" si="90"/>
        <v>0</v>
      </c>
      <c r="Q337" s="83">
        <v>0</v>
      </c>
      <c r="R337" s="83">
        <v>0</v>
      </c>
      <c r="S337" s="83">
        <v>0</v>
      </c>
      <c r="T337" s="83">
        <f t="shared" si="91"/>
        <v>0</v>
      </c>
      <c r="U337" s="83">
        <f t="shared" si="92"/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468">
        <f ca="1">IFERROR(__xludf.DUMMYFUNCTION("IMPORTRANGE(""https://docs.google.com/spreadsheets/d/1-uDff_7J0KD5mKrp0Vvzr7lt3OU09vwQwhkpOPPYv2Y/edit?usp=sharing"",""งบพรบ!ES17"")"),105000)</f>
        <v>105000</v>
      </c>
      <c r="M338" s="224">
        <f ca="1">IFERROR(__xludf.DUMMYFUNCTION("IMPORTRANGE(""https://docs.google.com/spreadsheets/d/1-uDff_7J0KD5mKrp0Vvzr7lt3OU09vwQwhkpOPPYv2Y/edit?usp=sharing"",""งบพรบ!EX17"")"),110000)</f>
        <v>110000</v>
      </c>
      <c r="N338" s="224">
        <f ca="1">IFERROR(__xludf.DUMMYFUNCTION("IMPORTRANGE(""https://docs.google.com/spreadsheets/d/1-uDff_7J0KD5mKrp0Vvzr7lt3OU09vwQwhkpOPPYv2Y/edit?usp=sharing"",""งบพรบ!EZ17"")"),75310)</f>
        <v>75310</v>
      </c>
      <c r="O338" s="224">
        <f t="shared" ca="1" si="89"/>
        <v>71.723809523809521</v>
      </c>
      <c r="P338" s="224">
        <f t="shared" ca="1" si="90"/>
        <v>68.463636363636368</v>
      </c>
      <c r="Q338" s="224">
        <v>0</v>
      </c>
      <c r="R338" s="224">
        <v>0</v>
      </c>
      <c r="S338" s="224">
        <v>0</v>
      </c>
      <c r="T338" s="224">
        <f t="shared" si="91"/>
        <v>0</v>
      </c>
      <c r="U338" s="224">
        <f t="shared" si="92"/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468">
        <f ca="1">L340+L341</f>
        <v>0</v>
      </c>
      <c r="M339" s="224">
        <f ca="1">M340+M341</f>
        <v>0</v>
      </c>
      <c r="N339" s="224">
        <f ca="1">N340+N341</f>
        <v>0</v>
      </c>
      <c r="O339" s="224">
        <f t="shared" ca="1" si="89"/>
        <v>0</v>
      </c>
      <c r="P339" s="224">
        <f t="shared" ca="1" si="90"/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 t="shared" si="91"/>
        <v>0</v>
      </c>
      <c r="U339" s="224">
        <f t="shared" si="92"/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469">
        <v>0</v>
      </c>
      <c r="M340" s="83">
        <v>0</v>
      </c>
      <c r="N340" s="83">
        <v>0</v>
      </c>
      <c r="O340" s="83">
        <f t="shared" si="89"/>
        <v>0</v>
      </c>
      <c r="P340" s="83">
        <f t="shared" si="90"/>
        <v>0</v>
      </c>
      <c r="Q340" s="83">
        <v>0</v>
      </c>
      <c r="R340" s="83">
        <v>0</v>
      </c>
      <c r="S340" s="83">
        <v>0</v>
      </c>
      <c r="T340" s="83">
        <f t="shared" si="91"/>
        <v>0</v>
      </c>
      <c r="U340" s="83">
        <f t="shared" si="92"/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468">
        <f ca="1">IFERROR(__xludf.DUMMYFUNCTION("IMPORTRANGE(""https://docs.google.com/spreadsheets/d/1-uDff_7J0KD5mKrp0Vvzr7lt3OU09vwQwhkpOPPYv2Y/edit?usp=sharing"",""งบพรบ!EV17"")"),0)</f>
        <v>0</v>
      </c>
      <c r="M341" s="224">
        <f ca="1">IFERROR(__xludf.DUMMYFUNCTION("IMPORTRANGE(""https://docs.google.com/spreadsheets/d/1-uDff_7J0KD5mKrp0Vvzr7lt3OU09vwQwhkpOPPYv2Y/edit?usp=sharing"",""งบพรบ!EY17"")"),0)</f>
        <v>0</v>
      </c>
      <c r="N341" s="224">
        <f ca="1">IFERROR(__xludf.DUMMYFUNCTION("IMPORTRANGE(""https://docs.google.com/spreadsheets/d/1-uDff_7J0KD5mKrp0Vvzr7lt3OU09vwQwhkpOPPYv2Y/edit?usp=sharing"",""งบพรบ!FA17"")"),0)</f>
        <v>0</v>
      </c>
      <c r="O341" s="224">
        <f t="shared" ca="1" si="89"/>
        <v>0</v>
      </c>
      <c r="P341" s="224">
        <f t="shared" ca="1" si="90"/>
        <v>0</v>
      </c>
      <c r="Q341" s="224">
        <v>0</v>
      </c>
      <c r="R341" s="224">
        <v>0</v>
      </c>
      <c r="S341" s="224">
        <v>0</v>
      </c>
      <c r="T341" s="224">
        <f t="shared" si="91"/>
        <v>0</v>
      </c>
      <c r="U341" s="224">
        <f t="shared" si="92"/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465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566"/>
      <c r="B343" s="563"/>
      <c r="C343" s="565"/>
      <c r="D343" s="563"/>
      <c r="E343" s="564" t="s">
        <v>137</v>
      </c>
      <c r="F343" s="563"/>
      <c r="G343" s="562"/>
      <c r="H343" s="561" t="s">
        <v>35</v>
      </c>
      <c r="I343" s="560">
        <v>0</v>
      </c>
      <c r="J343" s="560">
        <f ca="1">J344+J347+J348+J349</f>
        <v>1065</v>
      </c>
      <c r="K343" s="559">
        <v>0</v>
      </c>
      <c r="L343" s="557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IFERROR(__xludf.DUMMYFUNCTION("IMPORTRANGE(""https://docs.google.com/spreadsheets/d/1eHaY18a8A9IcSdp1K8H6x8fbOy06t2VsZHhMHf-1x7Y/edit?usp=sharing"",""แผน!EK17"")"),600)</f>
        <v>600</v>
      </c>
      <c r="J344" s="184">
        <f ca="1">IFERROR(__xludf.DUMMYFUNCTION("IMPORTRANGE(""https://docs.google.com/spreadsheets/d/1awYsYK3VOup2i3Pq_Yjnu8DRu_mYwSBnCR2QPthd0rU/edit?usp=sharing"",""ศูนย์ยกเว้นโฉนด!D17"")"),961)</f>
        <v>961</v>
      </c>
      <c r="K344" s="224">
        <f ca="1">IF(I344&gt;0,J344*100/I344,0)</f>
        <v>160.16666666666666</v>
      </c>
      <c r="L344" s="465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465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IFERROR(__xludf.DUMMYFUNCTION("IMPORTRANGE(""https://docs.google.com/spreadsheets/d/1eHaY18a8A9IcSdp1K8H6x8fbOy06t2VsZHhMHf-1x7Y/edit?usp=sharing"",""แผน!EL17"")"),4)</f>
        <v>4</v>
      </c>
      <c r="J346" s="184">
        <f ca="1">IFERROR(__xludf.DUMMYFUNCTION("IMPORTRANGE(""https://docs.google.com/spreadsheets/d/1awYsYK3VOup2i3Pq_Yjnu8DRu_mYwSBnCR2QPthd0rU/edit?usp=sharing"",""ศูนย์รวม!E17"")"),7)</f>
        <v>7</v>
      </c>
      <c r="K346" s="224">
        <f ca="1">IF(I346&gt;0,J346*100/I346,0)</f>
        <v>175</v>
      </c>
      <c r="L346" s="465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IFERROR(__xludf.DUMMYFUNCTION("IMPORTRANGE(""https://docs.google.com/spreadsheets/d/1awYsYK3VOup2i3Pq_Yjnu8DRu_mYwSBnCR2QPthd0rU/edit?usp=sharing"",""ศูนย์ยกเว้นโฉนด!F17"")"),6)</f>
        <v>6</v>
      </c>
      <c r="K347" s="45"/>
      <c r="L347" s="465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IFERROR(__xludf.DUMMYFUNCTION("IMPORTRANGE(""https://docs.google.com/spreadsheets/d/1awYsYK3VOup2i3Pq_Yjnu8DRu_mYwSBnCR2QPthd0rU/edit?usp=sharing"",""ศูนย์ยกเว้นโฉนด!G17"")"),98)</f>
        <v>98</v>
      </c>
      <c r="K348" s="45"/>
      <c r="L348" s="465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IFERROR(__xludf.DUMMYFUNCTION("IMPORTRANGE(""https://docs.google.com/spreadsheets/d/1awYsYK3VOup2i3Pq_Yjnu8DRu_mYwSBnCR2QPthd0rU/edit?usp=sharing"",""ศูนย์ยกเว้นโฉนด!H17"")"),0)</f>
        <v>0</v>
      </c>
      <c r="K349" s="45"/>
      <c r="L349" s="465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0"/>
      <c r="F350" s="40"/>
      <c r="G350" s="42"/>
      <c r="H350" s="180"/>
      <c r="I350" s="44"/>
      <c r="J350" s="44"/>
      <c r="K350" s="45"/>
      <c r="L350" s="465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558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3044</v>
      </c>
      <c r="K351" s="304">
        <v>0</v>
      </c>
      <c r="L351" s="557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IFERROR(__xludf.DUMMYFUNCTION("IMPORTRANGE(""https://docs.google.com/spreadsheets/d/1awYsYK3VOup2i3Pq_Yjnu8DRu_mYwSBnCR2QPthd0rU/edit?usp=sharing"",""โฉนดM3!G17"")"),61)</f>
        <v>61</v>
      </c>
      <c r="K352" s="45"/>
      <c r="L352" s="465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IFERROR(__xludf.DUMMYFUNCTION("IMPORTRANGE(""https://docs.google.com/spreadsheets/d/1awYsYK3VOup2i3Pq_Yjnu8DRu_mYwSBnCR2QPthd0rU/edit?usp=sharing"",""โฉนดM3!H17"")"),2983)</f>
        <v>2983</v>
      </c>
      <c r="K353" s="45"/>
      <c r="L353" s="465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0"/>
      <c r="F354" s="40"/>
      <c r="G354" s="42"/>
      <c r="H354" s="180"/>
      <c r="I354" s="44"/>
      <c r="J354" s="44"/>
      <c r="K354" s="45"/>
      <c r="L354" s="465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539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472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471">
        <f ca="1">L357+L358</f>
        <v>446460</v>
      </c>
      <c r="M356" s="470">
        <f ca="1">M357+M358</f>
        <v>446460</v>
      </c>
      <c r="N356" s="470">
        <f ca="1">N357+N358</f>
        <v>233326</v>
      </c>
      <c r="O356" s="470">
        <f t="shared" ref="O356:O364" ca="1" si="95">IF(L356&gt;0,N356*100/L356,0)</f>
        <v>52.26134480132599</v>
      </c>
      <c r="P356" s="470">
        <f t="shared" ref="P356:P364" ca="1" si="96">IF(M356&gt;0,N356*100/M356,0)</f>
        <v>52.26134480132599</v>
      </c>
      <c r="Q356" s="470">
        <f>Q357+Q358</f>
        <v>0</v>
      </c>
      <c r="R356" s="470">
        <f>R357+R358</f>
        <v>0</v>
      </c>
      <c r="S356" s="470">
        <f>S357+S358</f>
        <v>0</v>
      </c>
      <c r="T356" s="470">
        <f t="shared" ref="T356:T364" si="97">IF(Q356&gt;0,S356*100/Q356,0)</f>
        <v>0</v>
      </c>
      <c r="U356" s="470">
        <f t="shared" ref="U356:U364" si="98"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469">
        <f t="shared" ref="L357:N358" si="99">L360+L363</f>
        <v>0</v>
      </c>
      <c r="M357" s="83">
        <f t="shared" si="99"/>
        <v>0</v>
      </c>
      <c r="N357" s="83">
        <f t="shared" si="99"/>
        <v>0</v>
      </c>
      <c r="O357" s="83">
        <f t="shared" si="95"/>
        <v>0</v>
      </c>
      <c r="P357" s="83">
        <f t="shared" si="96"/>
        <v>0</v>
      </c>
      <c r="Q357" s="83">
        <f t="shared" ref="Q357:S358" si="100">Q360+Q363</f>
        <v>0</v>
      </c>
      <c r="R357" s="83">
        <f t="shared" si="100"/>
        <v>0</v>
      </c>
      <c r="S357" s="83">
        <f t="shared" si="100"/>
        <v>0</v>
      </c>
      <c r="T357" s="83">
        <f t="shared" si="97"/>
        <v>0</v>
      </c>
      <c r="U357" s="83">
        <f t="shared" si="98"/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468">
        <f t="shared" ca="1" si="99"/>
        <v>446460</v>
      </c>
      <c r="M358" s="224">
        <f t="shared" ca="1" si="99"/>
        <v>446460</v>
      </c>
      <c r="N358" s="224">
        <f t="shared" ca="1" si="99"/>
        <v>233326</v>
      </c>
      <c r="O358" s="224">
        <f t="shared" ca="1" si="95"/>
        <v>52.26134480132599</v>
      </c>
      <c r="P358" s="224">
        <f t="shared" ca="1" si="96"/>
        <v>52.26134480132599</v>
      </c>
      <c r="Q358" s="224">
        <f t="shared" si="100"/>
        <v>0</v>
      </c>
      <c r="R358" s="224">
        <f t="shared" si="100"/>
        <v>0</v>
      </c>
      <c r="S358" s="224">
        <f t="shared" si="100"/>
        <v>0</v>
      </c>
      <c r="T358" s="224">
        <f t="shared" si="97"/>
        <v>0</v>
      </c>
      <c r="U358" s="224">
        <f t="shared" si="98"/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468">
        <f ca="1">L360+L361</f>
        <v>446460</v>
      </c>
      <c r="M359" s="224">
        <f ca="1">M360+M361</f>
        <v>446460</v>
      </c>
      <c r="N359" s="224">
        <f ca="1">N360+N361</f>
        <v>233326</v>
      </c>
      <c r="O359" s="224">
        <f t="shared" ca="1" si="95"/>
        <v>52.26134480132599</v>
      </c>
      <c r="P359" s="224">
        <f t="shared" ca="1" si="96"/>
        <v>52.26134480132599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 t="shared" si="97"/>
        <v>0</v>
      </c>
      <c r="U359" s="224">
        <f t="shared" si="98"/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469">
        <v>0</v>
      </c>
      <c r="M360" s="83">
        <v>0</v>
      </c>
      <c r="N360" s="83">
        <v>0</v>
      </c>
      <c r="O360" s="83">
        <f t="shared" si="95"/>
        <v>0</v>
      </c>
      <c r="P360" s="83">
        <f t="shared" si="96"/>
        <v>0</v>
      </c>
      <c r="Q360" s="83">
        <v>0</v>
      </c>
      <c r="R360" s="83">
        <v>0</v>
      </c>
      <c r="S360" s="83">
        <v>0</v>
      </c>
      <c r="T360" s="83">
        <f t="shared" si="97"/>
        <v>0</v>
      </c>
      <c r="U360" s="83">
        <f t="shared" si="98"/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468">
        <f ca="1">IFERROR(__xludf.DUMMYFUNCTION("IMPORTRANGE(""https://docs.google.com/spreadsheets/d/1-uDff_7J0KD5mKrp0Vvzr7lt3OU09vwQwhkpOPPYv2Y/edit?usp=sharing"",""งบพรบ!FC17"")"),446460)</f>
        <v>446460</v>
      </c>
      <c r="M361" s="224">
        <f ca="1">IFERROR(__xludf.DUMMYFUNCTION("IMPORTRANGE(""https://docs.google.com/spreadsheets/d/1-uDff_7J0KD5mKrp0Vvzr7lt3OU09vwQwhkpOPPYv2Y/edit?usp=sharing"",""งบพรบ!FH17"")"),446460)</f>
        <v>446460</v>
      </c>
      <c r="N361" s="224">
        <f ca="1">IFERROR(__xludf.DUMMYFUNCTION("IMPORTRANGE(""https://docs.google.com/spreadsheets/d/1-uDff_7J0KD5mKrp0Vvzr7lt3OU09vwQwhkpOPPYv2Y/edit?usp=sharing"",""งบพรบ!FJ17"")"),233326)</f>
        <v>233326</v>
      </c>
      <c r="O361" s="224">
        <f t="shared" ca="1" si="95"/>
        <v>52.26134480132599</v>
      </c>
      <c r="P361" s="224">
        <f t="shared" ca="1" si="96"/>
        <v>52.26134480132599</v>
      </c>
      <c r="Q361" s="224">
        <v>0</v>
      </c>
      <c r="R361" s="224">
        <v>0</v>
      </c>
      <c r="S361" s="224">
        <v>0</v>
      </c>
      <c r="T361" s="224">
        <f t="shared" si="97"/>
        <v>0</v>
      </c>
      <c r="U361" s="224">
        <f t="shared" si="98"/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468">
        <f ca="1">L363+L364</f>
        <v>0</v>
      </c>
      <c r="M362" s="224">
        <f ca="1">M363+M364</f>
        <v>0</v>
      </c>
      <c r="N362" s="224">
        <f ca="1">N363+N364</f>
        <v>0</v>
      </c>
      <c r="O362" s="224">
        <f t="shared" ca="1" si="95"/>
        <v>0</v>
      </c>
      <c r="P362" s="224">
        <f t="shared" ca="1" si="96"/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 t="shared" si="97"/>
        <v>0</v>
      </c>
      <c r="U362" s="224">
        <f t="shared" si="98"/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469">
        <v>0</v>
      </c>
      <c r="M363" s="83">
        <v>0</v>
      </c>
      <c r="N363" s="83">
        <v>0</v>
      </c>
      <c r="O363" s="83">
        <f t="shared" si="95"/>
        <v>0</v>
      </c>
      <c r="P363" s="83">
        <f t="shared" si="96"/>
        <v>0</v>
      </c>
      <c r="Q363" s="83">
        <v>0</v>
      </c>
      <c r="R363" s="83">
        <v>0</v>
      </c>
      <c r="S363" s="83">
        <v>0</v>
      </c>
      <c r="T363" s="83">
        <f t="shared" si="97"/>
        <v>0</v>
      </c>
      <c r="U363" s="83">
        <f t="shared" si="98"/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468">
        <f ca="1">IFERROR(__xludf.DUMMYFUNCTION("IMPORTRANGE(""https://docs.google.com/spreadsheets/d/1-uDff_7J0KD5mKrp0Vvzr7lt3OU09vwQwhkpOPPYv2Y/edit?usp=sharing"",""งบพรบ!FF17"")"),0)</f>
        <v>0</v>
      </c>
      <c r="M364" s="224">
        <f ca="1">IFERROR(__xludf.DUMMYFUNCTION("IMPORTRANGE(""https://docs.google.com/spreadsheets/d/1-uDff_7J0KD5mKrp0Vvzr7lt3OU09vwQwhkpOPPYv2Y/edit?usp=sharing"",""งบพรบ!FI17"")"),0)</f>
        <v>0</v>
      </c>
      <c r="N364" s="224">
        <f ca="1">IFERROR(__xludf.DUMMYFUNCTION("IMPORTRANGE(""https://docs.google.com/spreadsheets/d/1-uDff_7J0KD5mKrp0Vvzr7lt3OU09vwQwhkpOPPYv2Y/edit?usp=sharing"",""งบพรบ!FK17"")"),0)</f>
        <v>0</v>
      </c>
      <c r="O364" s="224">
        <f t="shared" ca="1" si="95"/>
        <v>0</v>
      </c>
      <c r="P364" s="224">
        <f t="shared" ca="1" si="96"/>
        <v>0</v>
      </c>
      <c r="Q364" s="224">
        <v>0</v>
      </c>
      <c r="R364" s="224">
        <v>0</v>
      </c>
      <c r="S364" s="224">
        <v>0</v>
      </c>
      <c r="T364" s="224">
        <f t="shared" si="97"/>
        <v>0</v>
      </c>
      <c r="U364" s="224">
        <f t="shared" si="98"/>
        <v>0</v>
      </c>
    </row>
    <row r="365" spans="1:21" ht="19.5" x14ac:dyDescent="0.3">
      <c r="A365" s="211"/>
      <c r="B365" s="212"/>
      <c r="C365" s="214"/>
      <c r="D365" s="558" t="s">
        <v>149</v>
      </c>
      <c r="E365" s="214"/>
      <c r="F365" s="214"/>
      <c r="G365" s="215"/>
      <c r="H365" s="223" t="s">
        <v>35</v>
      </c>
      <c r="I365" s="303">
        <f ca="1">I371</f>
        <v>333</v>
      </c>
      <c r="J365" s="303">
        <f ca="1">J371</f>
        <v>254</v>
      </c>
      <c r="K365" s="304">
        <f ca="1">IF(I365&gt;0,J365*100/I365,0)</f>
        <v>76.276276276276278</v>
      </c>
      <c r="L365" s="557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498" t="s">
        <v>38</v>
      </c>
      <c r="E366" s="141"/>
      <c r="F366" s="141"/>
      <c r="G366" s="142"/>
      <c r="H366" s="143"/>
      <c r="I366" s="44"/>
      <c r="J366" s="44"/>
      <c r="K366" s="45"/>
      <c r="L366" s="4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IFERROR(__xludf.DUMMYFUNCTION("IMPORTRANGE(""https://docs.google.com/spreadsheets/d/1tdoBKaGub7dwA3U6UFTqxio9LNnvDCQjHKmttSEBsFQ/edit?usp=sharing"",""จัดที่ดิน!AB17"")"),93)</f>
        <v>93</v>
      </c>
      <c r="K367" s="224">
        <f t="shared" ref="K367:K372" si="101">IF(I367&gt;0,J367*100/I367,0)</f>
        <v>0</v>
      </c>
      <c r="L367" s="4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IFERROR(__xludf.DUMMYFUNCTION("IMPORTRANGE(""https://docs.google.com/spreadsheets/d/1eHaY18a8A9IcSdp1K8H6x8fbOy06t2VsZHhMHf-1x7Y/edit?usp=sharing"",""แผน!EW17"")"),740)</f>
        <v>740</v>
      </c>
      <c r="J368" s="556">
        <f ca="1">IFERROR(__xludf.DUMMYFUNCTION("IMPORTRANGE(""https://docs.google.com/spreadsheets/d/1tdoBKaGub7dwA3U6UFTqxio9LNnvDCQjHKmttSEBsFQ/edit?usp=sharing"",""จัดที่ดิน!AC17"")"),681.99)</f>
        <v>681.99</v>
      </c>
      <c r="K368" s="224">
        <f t="shared" ca="1" si="101"/>
        <v>92.160810810810815</v>
      </c>
      <c r="L368" s="4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IFERROR(__xludf.DUMMYFUNCTION("IMPORTRANGE(""https://docs.google.com/spreadsheets/d/1eHaY18a8A9IcSdp1K8H6x8fbOy06t2VsZHhMHf-1x7Y/edit?usp=sharing"",""แผน!EX17"")"),333)</f>
        <v>333</v>
      </c>
      <c r="J369" s="184">
        <f ca="1">IFERROR(__xludf.DUMMYFUNCTION("IMPORTRANGE(""https://docs.google.com/spreadsheets/d/1tdoBKaGub7dwA3U6UFTqxio9LNnvDCQjHKmttSEBsFQ/edit?usp=sharing"",""จัดที่ดิน!AD17"")"),293)</f>
        <v>293</v>
      </c>
      <c r="K369" s="224">
        <f t="shared" ca="1" si="101"/>
        <v>87.987987987987992</v>
      </c>
      <c r="L369" s="4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556">
        <f ca="1">IFERROR(__xludf.DUMMYFUNCTION("IMPORTRANGE(""https://docs.google.com/spreadsheets/d/1tdoBKaGub7dwA3U6UFTqxio9LNnvDCQjHKmttSEBsFQ/edit?usp=sharing"",""จัดที่ดิน!AE17"")"),3758.39999999999)</f>
        <v>3758.3999999999901</v>
      </c>
      <c r="K370" s="224">
        <f t="shared" si="101"/>
        <v>0</v>
      </c>
      <c r="L370" s="4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IFERROR(__xludf.DUMMYFUNCTION("IMPORTRANGE(""https://docs.google.com/spreadsheets/d/1eHaY18a8A9IcSdp1K8H6x8fbOy06t2VsZHhMHf-1x7Y/edit?usp=sharing"",""แผน!EY17"")"),333)</f>
        <v>333</v>
      </c>
      <c r="J371" s="184">
        <f ca="1">IFERROR(__xludf.DUMMYFUNCTION("IMPORTRANGE(""https://docs.google.com/spreadsheets/d/1tdoBKaGub7dwA3U6UFTqxio9LNnvDCQjHKmttSEBsFQ/edit?usp=sharing"",""จัดที่ดิน!AF17"")"),254)</f>
        <v>254</v>
      </c>
      <c r="K371" s="224">
        <f t="shared" ca="1" si="101"/>
        <v>76.276276276276278</v>
      </c>
      <c r="L371" s="4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556">
        <f ca="1">IFERROR(__xludf.DUMMYFUNCTION("IMPORTRANGE(""https://docs.google.com/spreadsheets/d/1tdoBKaGub7dwA3U6UFTqxio9LNnvDCQjHKmttSEBsFQ/edit?usp=sharing"",""จัดที่ดิน!AG17"")"),3549.24)</f>
        <v>3549.24</v>
      </c>
      <c r="K372" s="224">
        <f t="shared" si="101"/>
        <v>0</v>
      </c>
      <c r="L372" s="4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2"/>
      <c r="H373" s="52"/>
      <c r="I373" s="54"/>
      <c r="J373" s="54"/>
      <c r="K373" s="3"/>
      <c r="L373" s="46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555"/>
      <c r="B374" s="554" t="s">
        <v>153</v>
      </c>
      <c r="C374" s="553"/>
      <c r="D374" s="552"/>
      <c r="E374" s="551"/>
      <c r="F374" s="551"/>
      <c r="G374" s="550"/>
      <c r="H374" s="549" t="s">
        <v>46</v>
      </c>
      <c r="I374" s="548">
        <f ca="1">I386+I388</f>
        <v>1000</v>
      </c>
      <c r="J374" s="548">
        <f ca="1">J386+J388</f>
        <v>0</v>
      </c>
      <c r="K374" s="547">
        <f ca="1">IF(I374&gt;0,J374*100/I374,0)</f>
        <v>0</v>
      </c>
      <c r="L374" s="539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128"/>
      <c r="B375" s="158"/>
      <c r="C375" s="161" t="s">
        <v>18</v>
      </c>
      <c r="D375" s="544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471">
        <f>L376+L377</f>
        <v>0</v>
      </c>
      <c r="M375" s="470">
        <f>M376+M377</f>
        <v>0</v>
      </c>
      <c r="N375" s="470">
        <f>N376+N377</f>
        <v>0</v>
      </c>
      <c r="O375" s="470">
        <f t="shared" ref="O375:O383" si="102">IF(L375&gt;0,N375*100/L375,0)</f>
        <v>0</v>
      </c>
      <c r="P375" s="470">
        <f t="shared" ref="P375:P383" si="103">IF(M375&gt;0,N375*100/M375,0)</f>
        <v>0</v>
      </c>
      <c r="Q375" s="470">
        <f ca="1">Q376+Q377</f>
        <v>62500</v>
      </c>
      <c r="R375" s="470">
        <f ca="1">R376+R377</f>
        <v>62500</v>
      </c>
      <c r="S375" s="470">
        <f ca="1">S376+S377</f>
        <v>0</v>
      </c>
      <c r="T375" s="470">
        <f t="shared" ref="T375:T383" ca="1" si="104">IF(Q375&gt;0,S375*100/Q375,0)</f>
        <v>0</v>
      </c>
      <c r="U375" s="470">
        <f t="shared" ref="U375:U383" ca="1" si="105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469">
        <f t="shared" ref="L376:N377" si="106">L379+L382</f>
        <v>0</v>
      </c>
      <c r="M376" s="83">
        <f t="shared" si="106"/>
        <v>0</v>
      </c>
      <c r="N376" s="83">
        <f t="shared" si="106"/>
        <v>0</v>
      </c>
      <c r="O376" s="83">
        <f t="shared" si="102"/>
        <v>0</v>
      </c>
      <c r="P376" s="83">
        <f t="shared" si="103"/>
        <v>0</v>
      </c>
      <c r="Q376" s="83">
        <f t="shared" ref="Q376:S377" si="107">Q379+Q382</f>
        <v>0</v>
      </c>
      <c r="R376" s="83">
        <f t="shared" si="107"/>
        <v>0</v>
      </c>
      <c r="S376" s="83">
        <f t="shared" si="107"/>
        <v>0</v>
      </c>
      <c r="T376" s="83">
        <f t="shared" si="104"/>
        <v>0</v>
      </c>
      <c r="U376" s="83">
        <f t="shared" si="105"/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468">
        <f t="shared" si="106"/>
        <v>0</v>
      </c>
      <c r="M377" s="224">
        <f t="shared" si="106"/>
        <v>0</v>
      </c>
      <c r="N377" s="224">
        <f t="shared" si="106"/>
        <v>0</v>
      </c>
      <c r="O377" s="224">
        <f t="shared" si="102"/>
        <v>0</v>
      </c>
      <c r="P377" s="224">
        <f t="shared" si="103"/>
        <v>0</v>
      </c>
      <c r="Q377" s="224">
        <f t="shared" ca="1" si="107"/>
        <v>62500</v>
      </c>
      <c r="R377" s="224">
        <f t="shared" ca="1" si="107"/>
        <v>62500</v>
      </c>
      <c r="S377" s="224">
        <f t="shared" ca="1" si="107"/>
        <v>0</v>
      </c>
      <c r="T377" s="224">
        <f t="shared" ca="1" si="104"/>
        <v>0</v>
      </c>
      <c r="U377" s="224">
        <f t="shared" ca="1" si="105"/>
        <v>0</v>
      </c>
    </row>
    <row r="378" spans="1:21" ht="18.75" x14ac:dyDescent="0.25">
      <c r="A378" s="128"/>
      <c r="B378" s="158"/>
      <c r="C378" s="158"/>
      <c r="D378" s="53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468">
        <f>L379+L380</f>
        <v>0</v>
      </c>
      <c r="M378" s="224">
        <f>M379+M380</f>
        <v>0</v>
      </c>
      <c r="N378" s="224">
        <f>N379+N380</f>
        <v>0</v>
      </c>
      <c r="O378" s="224">
        <f t="shared" si="102"/>
        <v>0</v>
      </c>
      <c r="P378" s="224">
        <f t="shared" si="103"/>
        <v>0</v>
      </c>
      <c r="Q378" s="224">
        <f ca="1">Q379+Q380</f>
        <v>62500</v>
      </c>
      <c r="R378" s="224">
        <f ca="1">R379+R380</f>
        <v>62500</v>
      </c>
      <c r="S378" s="224">
        <f ca="1">S379+S380</f>
        <v>0</v>
      </c>
      <c r="T378" s="224">
        <f t="shared" ca="1" si="104"/>
        <v>0</v>
      </c>
      <c r="U378" s="224">
        <f t="shared" ca="1" si="105"/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469">
        <v>0</v>
      </c>
      <c r="M379" s="83">
        <v>0</v>
      </c>
      <c r="N379" s="83">
        <v>0</v>
      </c>
      <c r="O379" s="83">
        <f t="shared" si="102"/>
        <v>0</v>
      </c>
      <c r="P379" s="83">
        <f t="shared" si="103"/>
        <v>0</v>
      </c>
      <c r="Q379" s="83">
        <v>0</v>
      </c>
      <c r="R379" s="83">
        <v>0</v>
      </c>
      <c r="S379" s="83">
        <v>0</v>
      </c>
      <c r="T379" s="83">
        <f t="shared" si="104"/>
        <v>0</v>
      </c>
      <c r="U379" s="83">
        <f t="shared" si="105"/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468">
        <v>0</v>
      </c>
      <c r="M380" s="224">
        <v>0</v>
      </c>
      <c r="N380" s="224">
        <v>0</v>
      </c>
      <c r="O380" s="224">
        <f t="shared" si="102"/>
        <v>0</v>
      </c>
      <c r="P380" s="224">
        <f t="shared" si="103"/>
        <v>0</v>
      </c>
      <c r="Q380" s="224">
        <f ca="1">IFERROR(__xludf.DUMMYFUNCTION("IMPORTRANGE(""https://docs.google.com/spreadsheets/d/1ItG2mGa2ceCfYo0BwxsXqNm01IGEUdYcSSLTEv9YCik/edit?usp=sharing"",""เบิกจ่ายกองทุน!AY17"")"),62500)</f>
        <v>62500</v>
      </c>
      <c r="R380" s="224">
        <f ca="1">IFERROR(__xludf.DUMMYFUNCTION("IMPORTRANGE(""https://docs.google.com/spreadsheets/d/1ItG2mGa2ceCfYo0BwxsXqNm01IGEUdYcSSLTEv9YCik/edit?usp=sharing"",""เบิกจ่ายกองทุน!AZ17"")"),62500)</f>
        <v>62500</v>
      </c>
      <c r="S380" s="224">
        <f ca="1">IFERROR(__xludf.DUMMYFUNCTION("IMPORTRANGE(""https://docs.google.com/spreadsheets/d/1ItG2mGa2ceCfYo0BwxsXqNm01IGEUdYcSSLTEv9YCik/edit?usp=sharing"",""เบิกจ่ายกองทุน!BA17"")"),0)</f>
        <v>0</v>
      </c>
      <c r="T380" s="224">
        <f t="shared" ca="1" si="104"/>
        <v>0</v>
      </c>
      <c r="U380" s="224">
        <f t="shared" ca="1" si="105"/>
        <v>0</v>
      </c>
    </row>
    <row r="381" spans="1:21" ht="18.75" x14ac:dyDescent="0.25">
      <c r="A381" s="128"/>
      <c r="B381" s="158"/>
      <c r="C381" s="158"/>
      <c r="D381" s="53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468">
        <f>L382+L383</f>
        <v>0</v>
      </c>
      <c r="M381" s="224">
        <f>M382+M383</f>
        <v>0</v>
      </c>
      <c r="N381" s="224">
        <f>N382+N383</f>
        <v>0</v>
      </c>
      <c r="O381" s="224">
        <f t="shared" si="102"/>
        <v>0</v>
      </c>
      <c r="P381" s="224">
        <f t="shared" si="103"/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 t="shared" si="104"/>
        <v>0</v>
      </c>
      <c r="U381" s="224">
        <f t="shared" si="105"/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469">
        <v>0</v>
      </c>
      <c r="M382" s="83">
        <v>0</v>
      </c>
      <c r="N382" s="83">
        <v>0</v>
      </c>
      <c r="O382" s="83">
        <f t="shared" si="102"/>
        <v>0</v>
      </c>
      <c r="P382" s="83">
        <f t="shared" si="103"/>
        <v>0</v>
      </c>
      <c r="Q382" s="83">
        <v>0</v>
      </c>
      <c r="R382" s="83">
        <v>0</v>
      </c>
      <c r="S382" s="83">
        <v>0</v>
      </c>
      <c r="T382" s="83">
        <f t="shared" si="104"/>
        <v>0</v>
      </c>
      <c r="U382" s="83">
        <f t="shared" si="105"/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468">
        <v>0</v>
      </c>
      <c r="M383" s="224">
        <v>0</v>
      </c>
      <c r="N383" s="224">
        <v>0</v>
      </c>
      <c r="O383" s="224">
        <f t="shared" si="102"/>
        <v>0</v>
      </c>
      <c r="P383" s="224">
        <f t="shared" si="103"/>
        <v>0</v>
      </c>
      <c r="Q383" s="224">
        <v>0</v>
      </c>
      <c r="R383" s="224">
        <v>0</v>
      </c>
      <c r="S383" s="224">
        <v>0</v>
      </c>
      <c r="T383" s="224">
        <f t="shared" si="104"/>
        <v>0</v>
      </c>
      <c r="U383" s="224">
        <f t="shared" si="105"/>
        <v>0</v>
      </c>
    </row>
    <row r="384" spans="1:21" ht="19.5" x14ac:dyDescent="0.3">
      <c r="A384" s="138"/>
      <c r="B384" s="139"/>
      <c r="C384" s="161" t="s">
        <v>18</v>
      </c>
      <c r="D384" s="491" t="s">
        <v>38</v>
      </c>
      <c r="E384" s="141"/>
      <c r="F384" s="141"/>
      <c r="G384" s="142"/>
      <c r="H384" s="178"/>
      <c r="I384" s="135"/>
      <c r="J384" s="44"/>
      <c r="K384" s="45"/>
      <c r="L384" s="465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IFERROR(__xludf.DUMMYFUNCTION("IMPORTRANGE(""https://docs.google.com/spreadsheets/d/1w5rwWK1o49a35cNtocGL0gxDwhFSTZUQu90BiH9_zqM/edit?usp=sharing"",""RTK!H17"")"),0)</f>
        <v>0</v>
      </c>
      <c r="K385" s="224">
        <f>IF(I385&gt;0,J385*100/I385,0)</f>
        <v>0</v>
      </c>
      <c r="L385" s="465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IFERROR(__xludf.DUMMYFUNCTION("IMPORTRANGE(""https://docs.google.com/spreadsheets/d/1w5rwWK1o49a35cNtocGL0gxDwhFSTZUQu90BiH9_zqM/edit?usp=sharing"",""RTK!G17"")"),1000)</f>
        <v>1000</v>
      </c>
      <c r="J386" s="184">
        <f ca="1">IFERROR(__xludf.DUMMYFUNCTION("IMPORTRANGE(""https://docs.google.com/spreadsheets/d/1w5rwWK1o49a35cNtocGL0gxDwhFSTZUQu90BiH9_zqM/edit?usp=sharing"",""RTK!I17"")"),0)</f>
        <v>0</v>
      </c>
      <c r="K386" s="224">
        <f ca="1">IF(I386&gt;0,J386*100/I386,0)</f>
        <v>0</v>
      </c>
      <c r="L386" s="465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545"/>
      <c r="B387" s="545"/>
      <c r="C387" s="545"/>
      <c r="D387" s="545"/>
      <c r="E387" s="546" t="s">
        <v>155</v>
      </c>
      <c r="F387" s="545"/>
      <c r="G387" s="488"/>
      <c r="H387" s="480" t="s">
        <v>34</v>
      </c>
      <c r="I387" s="487">
        <v>0</v>
      </c>
      <c r="J387" s="487">
        <f ca="1">IFERROR(__xludf.DUMMYFUNCTION("IMPORTRANGE(""https://docs.google.com/spreadsheets/d/1w5rwWK1o49a35cNtocGL0gxDwhFSTZUQu90BiH9_zqM/edit?usp=sharing"",""RTK!L17"")"),0)</f>
        <v>0</v>
      </c>
      <c r="K387" s="486">
        <f>IF(I387&gt;0,J387*100/I387,0)</f>
        <v>0</v>
      </c>
      <c r="L387" s="477"/>
      <c r="M387" s="476"/>
      <c r="N387" s="476"/>
      <c r="O387" s="476"/>
      <c r="P387" s="476"/>
      <c r="Q387" s="476"/>
      <c r="R387" s="476"/>
      <c r="S387" s="476"/>
      <c r="T387" s="476"/>
      <c r="U387" s="476"/>
    </row>
    <row r="388" spans="1:21" ht="18.75" x14ac:dyDescent="0.25">
      <c r="A388" s="545"/>
      <c r="B388" s="545"/>
      <c r="C388" s="545"/>
      <c r="D388" s="545"/>
      <c r="E388" s="545"/>
      <c r="F388" s="545"/>
      <c r="G388" s="488"/>
      <c r="H388" s="480" t="s">
        <v>46</v>
      </c>
      <c r="I388" s="487">
        <f ca="1">IFERROR(__xludf.DUMMYFUNCTION("IMPORTRANGE(""https://docs.google.com/spreadsheets/d/1w5rwWK1o49a35cNtocGL0gxDwhFSTZUQu90BiH9_zqM/edit?usp=sharing"",""RTK!K17"")"),0)</f>
        <v>0</v>
      </c>
      <c r="J388" s="487">
        <f ca="1">IFERROR(__xludf.DUMMYFUNCTION("IMPORTRANGE(""https://docs.google.com/spreadsheets/d/1w5rwWK1o49a35cNtocGL0gxDwhFSTZUQu90BiH9_zqM/edit?usp=sharing"",""RTK!M17"")"),0)</f>
        <v>0</v>
      </c>
      <c r="K388" s="486">
        <f ca="1">IF(I388&gt;0,J388*100/I388,0)</f>
        <v>0</v>
      </c>
      <c r="L388" s="477"/>
      <c r="M388" s="476"/>
      <c r="N388" s="476"/>
      <c r="O388" s="476"/>
      <c r="P388" s="476"/>
      <c r="Q388" s="476"/>
      <c r="R388" s="476"/>
      <c r="S388" s="476"/>
      <c r="T388" s="476"/>
      <c r="U388" s="476"/>
    </row>
    <row r="389" spans="1:21" ht="12.75" hidden="1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11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16"/>
      <c r="B390" s="316"/>
      <c r="C390" s="316"/>
      <c r="D390" s="316"/>
      <c r="E390" s="316"/>
      <c r="F390" s="316"/>
      <c r="G390" s="317"/>
      <c r="H390" s="317"/>
      <c r="I390" s="318"/>
      <c r="J390" s="318"/>
      <c r="K390" s="319"/>
      <c r="L390" s="496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hidden="1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>I402</f>
        <v>0</v>
      </c>
      <c r="J391" s="307">
        <f>J402</f>
        <v>0</v>
      </c>
      <c r="K391" s="540">
        <f>IF(I391&gt;0,J391*100/I391,0)</f>
        <v>0</v>
      </c>
      <c r="L391" s="539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hidden="1" x14ac:dyDescent="0.3">
      <c r="A392" s="128"/>
      <c r="B392" s="158"/>
      <c r="C392" s="161" t="s">
        <v>18</v>
      </c>
      <c r="D392" s="54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471">
        <f>L393+L394</f>
        <v>0</v>
      </c>
      <c r="M392" s="470">
        <f>M393+M394</f>
        <v>0</v>
      </c>
      <c r="N392" s="470">
        <f>N393+N394</f>
        <v>0</v>
      </c>
      <c r="O392" s="470">
        <f t="shared" ref="O392:O400" si="108">IF(L392&gt;0,N392*100/L392,0)</f>
        <v>0</v>
      </c>
      <c r="P392" s="470">
        <f t="shared" ref="P392:P400" si="109">IF(M392&gt;0,N392*100/M392,0)</f>
        <v>0</v>
      </c>
      <c r="Q392" s="470">
        <f>Q393+Q394</f>
        <v>0</v>
      </c>
      <c r="R392" s="470">
        <f>R393+R394</f>
        <v>0</v>
      </c>
      <c r="S392" s="470">
        <f>S393+S394</f>
        <v>0</v>
      </c>
      <c r="T392" s="470">
        <f t="shared" ref="T392:T400" si="110">IF(Q392&gt;0,S392*100/Q392,0)</f>
        <v>0</v>
      </c>
      <c r="U392" s="470">
        <f t="shared" ref="U392:U400" si="11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469">
        <f t="shared" ref="L393:N394" si="112">L396+L399</f>
        <v>0</v>
      </c>
      <c r="M393" s="83">
        <f t="shared" si="112"/>
        <v>0</v>
      </c>
      <c r="N393" s="83">
        <f t="shared" si="112"/>
        <v>0</v>
      </c>
      <c r="O393" s="83">
        <f t="shared" si="108"/>
        <v>0</v>
      </c>
      <c r="P393" s="83">
        <f t="shared" si="109"/>
        <v>0</v>
      </c>
      <c r="Q393" s="83">
        <f t="shared" ref="Q393:S394" si="113">Q396+Q399</f>
        <v>0</v>
      </c>
      <c r="R393" s="83">
        <f t="shared" si="113"/>
        <v>0</v>
      </c>
      <c r="S393" s="83">
        <f t="shared" si="113"/>
        <v>0</v>
      </c>
      <c r="T393" s="83">
        <f t="shared" si="110"/>
        <v>0</v>
      </c>
      <c r="U393" s="83">
        <f t="shared" si="111"/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468">
        <f t="shared" si="112"/>
        <v>0</v>
      </c>
      <c r="M394" s="224">
        <f t="shared" si="112"/>
        <v>0</v>
      </c>
      <c r="N394" s="224">
        <f t="shared" si="112"/>
        <v>0</v>
      </c>
      <c r="O394" s="224">
        <f t="shared" si="108"/>
        <v>0</v>
      </c>
      <c r="P394" s="224">
        <f t="shared" si="109"/>
        <v>0</v>
      </c>
      <c r="Q394" s="224">
        <f t="shared" si="113"/>
        <v>0</v>
      </c>
      <c r="R394" s="224">
        <f t="shared" si="113"/>
        <v>0</v>
      </c>
      <c r="S394" s="224">
        <f t="shared" si="113"/>
        <v>0</v>
      </c>
      <c r="T394" s="224">
        <f t="shared" si="110"/>
        <v>0</v>
      </c>
      <c r="U394" s="224">
        <f t="shared" si="111"/>
        <v>0</v>
      </c>
    </row>
    <row r="395" spans="1:21" ht="18.75" hidden="1" x14ac:dyDescent="0.25">
      <c r="A395" s="128"/>
      <c r="B395" s="158"/>
      <c r="C395" s="158"/>
      <c r="D395" s="53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468">
        <f>L396+L397</f>
        <v>0</v>
      </c>
      <c r="M395" s="224">
        <f>M396+M397</f>
        <v>0</v>
      </c>
      <c r="N395" s="224">
        <f>N396+N397</f>
        <v>0</v>
      </c>
      <c r="O395" s="224">
        <f t="shared" si="108"/>
        <v>0</v>
      </c>
      <c r="P395" s="224">
        <f t="shared" si="109"/>
        <v>0</v>
      </c>
      <c r="Q395" s="224">
        <f>Q396+Q397</f>
        <v>0</v>
      </c>
      <c r="R395" s="224">
        <f>R396+R397</f>
        <v>0</v>
      </c>
      <c r="S395" s="224">
        <f>S396+S397</f>
        <v>0</v>
      </c>
      <c r="T395" s="224">
        <f t="shared" si="110"/>
        <v>0</v>
      </c>
      <c r="U395" s="224">
        <f t="shared" si="111"/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469">
        <v>0</v>
      </c>
      <c r="M396" s="83">
        <v>0</v>
      </c>
      <c r="N396" s="83">
        <v>0</v>
      </c>
      <c r="O396" s="83">
        <f t="shared" si="108"/>
        <v>0</v>
      </c>
      <c r="P396" s="83">
        <f t="shared" si="109"/>
        <v>0</v>
      </c>
      <c r="Q396" s="83">
        <v>0</v>
      </c>
      <c r="R396" s="83">
        <v>0</v>
      </c>
      <c r="S396" s="83">
        <v>0</v>
      </c>
      <c r="T396" s="83">
        <f t="shared" si="110"/>
        <v>0</v>
      </c>
      <c r="U396" s="83">
        <f t="shared" si="111"/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468">
        <v>0</v>
      </c>
      <c r="M397" s="224">
        <v>0</v>
      </c>
      <c r="N397" s="224">
        <v>0</v>
      </c>
      <c r="O397" s="224">
        <f t="shared" si="108"/>
        <v>0</v>
      </c>
      <c r="P397" s="224">
        <f t="shared" si="109"/>
        <v>0</v>
      </c>
      <c r="Q397" s="224">
        <v>0</v>
      </c>
      <c r="R397" s="224">
        <v>0</v>
      </c>
      <c r="S397" s="224">
        <v>0</v>
      </c>
      <c r="T397" s="224">
        <f t="shared" si="110"/>
        <v>0</v>
      </c>
      <c r="U397" s="224">
        <f t="shared" si="111"/>
        <v>0</v>
      </c>
    </row>
    <row r="398" spans="1:21" ht="18.75" hidden="1" x14ac:dyDescent="0.25">
      <c r="A398" s="128"/>
      <c r="B398" s="158"/>
      <c r="C398" s="158"/>
      <c r="D398" s="53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468">
        <f>L399+L400</f>
        <v>0</v>
      </c>
      <c r="M398" s="224">
        <f>M399+M400</f>
        <v>0</v>
      </c>
      <c r="N398" s="224">
        <f>N399+N400</f>
        <v>0</v>
      </c>
      <c r="O398" s="224">
        <f t="shared" si="108"/>
        <v>0</v>
      </c>
      <c r="P398" s="224">
        <f t="shared" si="109"/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 t="shared" si="110"/>
        <v>0</v>
      </c>
      <c r="U398" s="224">
        <f t="shared" si="111"/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469">
        <v>0</v>
      </c>
      <c r="M399" s="83">
        <v>0</v>
      </c>
      <c r="N399" s="83">
        <v>0</v>
      </c>
      <c r="O399" s="83">
        <f t="shared" si="108"/>
        <v>0</v>
      </c>
      <c r="P399" s="83">
        <f t="shared" si="109"/>
        <v>0</v>
      </c>
      <c r="Q399" s="83">
        <v>0</v>
      </c>
      <c r="R399" s="83">
        <v>0</v>
      </c>
      <c r="S399" s="83">
        <v>0</v>
      </c>
      <c r="T399" s="83">
        <f t="shared" si="110"/>
        <v>0</v>
      </c>
      <c r="U399" s="83">
        <f t="shared" si="111"/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468">
        <v>0</v>
      </c>
      <c r="M400" s="224">
        <v>0</v>
      </c>
      <c r="N400" s="224">
        <v>0</v>
      </c>
      <c r="O400" s="224">
        <f t="shared" si="108"/>
        <v>0</v>
      </c>
      <c r="P400" s="224">
        <f t="shared" si="109"/>
        <v>0</v>
      </c>
      <c r="Q400" s="224">
        <v>0</v>
      </c>
      <c r="R400" s="224">
        <v>0</v>
      </c>
      <c r="S400" s="224">
        <v>0</v>
      </c>
      <c r="T400" s="224">
        <f t="shared" si="110"/>
        <v>0</v>
      </c>
      <c r="U400" s="224">
        <f t="shared" si="111"/>
        <v>0</v>
      </c>
    </row>
    <row r="401" spans="1:21" ht="19.5" hidden="1" x14ac:dyDescent="0.3">
      <c r="A401" s="138"/>
      <c r="B401" s="139"/>
      <c r="C401" s="161" t="s">
        <v>18</v>
      </c>
      <c r="D401" s="491" t="s">
        <v>38</v>
      </c>
      <c r="E401" s="141"/>
      <c r="F401" s="141"/>
      <c r="G401" s="142"/>
      <c r="H401" s="178"/>
      <c r="I401" s="135"/>
      <c r="J401" s="44"/>
      <c r="K401" s="45"/>
      <c r="L401" s="465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11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11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11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11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11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11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11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11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11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496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hidden="1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541">
        <f ca="1">I423</f>
        <v>0</v>
      </c>
      <c r="J412" s="541">
        <f>J423</f>
        <v>0</v>
      </c>
      <c r="K412" s="540">
        <f ca="1">IF(I412&gt;0,J412*100/I412,0)</f>
        <v>0</v>
      </c>
      <c r="L412" s="539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hidden="1" x14ac:dyDescent="0.3">
      <c r="A413" s="128"/>
      <c r="B413" s="158"/>
      <c r="C413" s="322" t="s">
        <v>18</v>
      </c>
      <c r="D413" s="819" t="s">
        <v>19</v>
      </c>
      <c r="E413" s="800"/>
      <c r="F413" s="800"/>
      <c r="G413" s="801"/>
      <c r="H413" s="323" t="s">
        <v>14</v>
      </c>
      <c r="I413" s="44"/>
      <c r="J413" s="44"/>
      <c r="K413" s="45"/>
      <c r="L413" s="471">
        <f>L414+L415</f>
        <v>0</v>
      </c>
      <c r="M413" s="470">
        <f>M414+M415</f>
        <v>0</v>
      </c>
      <c r="N413" s="470">
        <f>N414+N415</f>
        <v>0</v>
      </c>
      <c r="O413" s="470">
        <f t="shared" ref="O413:O421" si="114">IF(L413&gt;0,N413*100/L413,0)</f>
        <v>0</v>
      </c>
      <c r="P413" s="470">
        <f t="shared" ref="P413:P421" si="115">IF(M413&gt;0,N413*100/M413,0)</f>
        <v>0</v>
      </c>
      <c r="Q413" s="470">
        <f ca="1">Q414+Q415</f>
        <v>0</v>
      </c>
      <c r="R413" s="470">
        <f ca="1">R414+R415</f>
        <v>0</v>
      </c>
      <c r="S413" s="470">
        <f ca="1">S414+S415</f>
        <v>0</v>
      </c>
      <c r="T413" s="470">
        <f t="shared" ref="T413:T421" ca="1" si="116">IF(Q413&gt;0,S413*100/Q413,0)</f>
        <v>0</v>
      </c>
      <c r="U413" s="470">
        <f t="shared" ref="U413:U421" ca="1" si="117">IF(R413&gt;0,S413*100/R413,0)</f>
        <v>0</v>
      </c>
    </row>
    <row r="414" spans="1:21" ht="18.75" hidden="1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469">
        <f t="shared" ref="L414:N415" si="118">L417+L420</f>
        <v>0</v>
      </c>
      <c r="M414" s="83">
        <f t="shared" si="118"/>
        <v>0</v>
      </c>
      <c r="N414" s="83">
        <f t="shared" si="118"/>
        <v>0</v>
      </c>
      <c r="O414" s="83">
        <f t="shared" si="114"/>
        <v>0</v>
      </c>
      <c r="P414" s="83">
        <f t="shared" si="115"/>
        <v>0</v>
      </c>
      <c r="Q414" s="83">
        <f t="shared" ref="Q414:S415" si="119">Q417+Q420</f>
        <v>0</v>
      </c>
      <c r="R414" s="83">
        <f t="shared" si="119"/>
        <v>0</v>
      </c>
      <c r="S414" s="83">
        <f t="shared" si="119"/>
        <v>0</v>
      </c>
      <c r="T414" s="83">
        <f t="shared" si="116"/>
        <v>0</v>
      </c>
      <c r="U414" s="83">
        <f t="shared" si="117"/>
        <v>0</v>
      </c>
    </row>
    <row r="415" spans="1:21" ht="18.75" hidden="1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468">
        <f t="shared" si="118"/>
        <v>0</v>
      </c>
      <c r="M415" s="224">
        <f t="shared" si="118"/>
        <v>0</v>
      </c>
      <c r="N415" s="224">
        <f t="shared" si="118"/>
        <v>0</v>
      </c>
      <c r="O415" s="224">
        <f t="shared" si="114"/>
        <v>0</v>
      </c>
      <c r="P415" s="224">
        <f t="shared" si="115"/>
        <v>0</v>
      </c>
      <c r="Q415" s="224">
        <f t="shared" ca="1" si="119"/>
        <v>0</v>
      </c>
      <c r="R415" s="224">
        <f t="shared" ca="1" si="119"/>
        <v>0</v>
      </c>
      <c r="S415" s="224">
        <f t="shared" ca="1" si="119"/>
        <v>0</v>
      </c>
      <c r="T415" s="224">
        <f t="shared" ca="1" si="116"/>
        <v>0</v>
      </c>
      <c r="U415" s="224">
        <f t="shared" ca="1" si="117"/>
        <v>0</v>
      </c>
    </row>
    <row r="416" spans="1:21" ht="19.5" hidden="1" x14ac:dyDescent="0.3">
      <c r="A416" s="128"/>
      <c r="B416" s="158"/>
      <c r="C416" s="158"/>
      <c r="D416" s="54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468">
        <f>L417+L418</f>
        <v>0</v>
      </c>
      <c r="M416" s="224">
        <f>M417+M418</f>
        <v>0</v>
      </c>
      <c r="N416" s="224">
        <f>N417+N418</f>
        <v>0</v>
      </c>
      <c r="O416" s="224">
        <f t="shared" si="114"/>
        <v>0</v>
      </c>
      <c r="P416" s="224">
        <f t="shared" si="115"/>
        <v>0</v>
      </c>
      <c r="Q416" s="224">
        <f ca="1">Q417+Q418</f>
        <v>0</v>
      </c>
      <c r="R416" s="224">
        <f ca="1">R417+R418</f>
        <v>0</v>
      </c>
      <c r="S416" s="224">
        <f ca="1">S417+S418</f>
        <v>0</v>
      </c>
      <c r="T416" s="224">
        <f t="shared" ca="1" si="116"/>
        <v>0</v>
      </c>
      <c r="U416" s="224">
        <f t="shared" ca="1" si="117"/>
        <v>0</v>
      </c>
    </row>
    <row r="417" spans="1:21" ht="18.75" hidden="1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469">
        <v>0</v>
      </c>
      <c r="M417" s="83">
        <v>0</v>
      </c>
      <c r="N417" s="83">
        <v>0</v>
      </c>
      <c r="O417" s="83">
        <f t="shared" si="114"/>
        <v>0</v>
      </c>
      <c r="P417" s="83">
        <f t="shared" si="115"/>
        <v>0</v>
      </c>
      <c r="Q417" s="83">
        <v>0</v>
      </c>
      <c r="R417" s="83">
        <v>0</v>
      </c>
      <c r="S417" s="83">
        <v>0</v>
      </c>
      <c r="T417" s="83">
        <f t="shared" si="116"/>
        <v>0</v>
      </c>
      <c r="U417" s="83">
        <f t="shared" si="117"/>
        <v>0</v>
      </c>
    </row>
    <row r="418" spans="1:21" ht="18.75" hidden="1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468">
        <v>0</v>
      </c>
      <c r="M418" s="224">
        <v>0</v>
      </c>
      <c r="N418" s="224">
        <v>0</v>
      </c>
      <c r="O418" s="224">
        <f t="shared" si="114"/>
        <v>0</v>
      </c>
      <c r="P418" s="224">
        <f t="shared" si="115"/>
        <v>0</v>
      </c>
      <c r="Q418" s="224">
        <f ca="1">IFERROR(__xludf.DUMMYFUNCTION("IMPORTRANGE(""https://docs.google.com/spreadsheets/d/1ItG2mGa2ceCfYo0BwxsXqNm01IGEUdYcSSLTEv9YCik/edit?usp=sharing"",""เบิกจ่ายกองทุน!BH17"")"),0)</f>
        <v>0</v>
      </c>
      <c r="R418" s="224">
        <f ca="1">IFERROR(__xludf.DUMMYFUNCTION("IMPORTRANGE(""https://docs.google.com/spreadsheets/d/1ItG2mGa2ceCfYo0BwxsXqNm01IGEUdYcSSLTEv9YCik/edit?usp=sharing"",""เบิกจ่ายกองทุน!BI17"")"),0)</f>
        <v>0</v>
      </c>
      <c r="S418" s="224">
        <f ca="1">IFERROR(__xludf.DUMMYFUNCTION("IMPORTRANGE(""https://docs.google.com/spreadsheets/d/1ItG2mGa2ceCfYo0BwxsXqNm01IGEUdYcSSLTEv9YCik/edit?usp=sharing"",""เบิกจ่ายกองทุน!BJ17"")"),0)</f>
        <v>0</v>
      </c>
      <c r="T418" s="224">
        <f t="shared" ca="1" si="116"/>
        <v>0</v>
      </c>
      <c r="U418" s="224">
        <f t="shared" ca="1" si="117"/>
        <v>0</v>
      </c>
    </row>
    <row r="419" spans="1:21" ht="19.5" hidden="1" x14ac:dyDescent="0.3">
      <c r="A419" s="128"/>
      <c r="B419" s="158"/>
      <c r="C419" s="158"/>
      <c r="D419" s="54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468">
        <f>L420+L421</f>
        <v>0</v>
      </c>
      <c r="M419" s="224">
        <f>M420+M421</f>
        <v>0</v>
      </c>
      <c r="N419" s="224">
        <f>N420+N421</f>
        <v>0</v>
      </c>
      <c r="O419" s="224">
        <f t="shared" si="114"/>
        <v>0</v>
      </c>
      <c r="P419" s="224">
        <f t="shared" si="115"/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 t="shared" si="116"/>
        <v>0</v>
      </c>
      <c r="U419" s="224">
        <f t="shared" si="117"/>
        <v>0</v>
      </c>
    </row>
    <row r="420" spans="1:21" ht="18.75" hidden="1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469">
        <v>0</v>
      </c>
      <c r="M420" s="83">
        <v>0</v>
      </c>
      <c r="N420" s="83">
        <v>0</v>
      </c>
      <c r="O420" s="83">
        <f t="shared" si="114"/>
        <v>0</v>
      </c>
      <c r="P420" s="83">
        <f t="shared" si="115"/>
        <v>0</v>
      </c>
      <c r="Q420" s="83">
        <v>0</v>
      </c>
      <c r="R420" s="83">
        <v>0</v>
      </c>
      <c r="S420" s="83">
        <v>0</v>
      </c>
      <c r="T420" s="83">
        <f t="shared" si="116"/>
        <v>0</v>
      </c>
      <c r="U420" s="83">
        <f t="shared" si="117"/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468">
        <v>0</v>
      </c>
      <c r="M421" s="224">
        <v>0</v>
      </c>
      <c r="N421" s="224">
        <v>0</v>
      </c>
      <c r="O421" s="224">
        <f t="shared" si="114"/>
        <v>0</v>
      </c>
      <c r="P421" s="224">
        <f t="shared" si="115"/>
        <v>0</v>
      </c>
      <c r="Q421" s="224">
        <v>0</v>
      </c>
      <c r="R421" s="224">
        <v>0</v>
      </c>
      <c r="S421" s="224">
        <v>0</v>
      </c>
      <c r="T421" s="224">
        <f t="shared" si="116"/>
        <v>0</v>
      </c>
      <c r="U421" s="224">
        <f t="shared" si="117"/>
        <v>0</v>
      </c>
    </row>
    <row r="422" spans="1:21" ht="19.5" hidden="1" x14ac:dyDescent="0.3">
      <c r="A422" s="208"/>
      <c r="B422" s="158"/>
      <c r="C422" s="322" t="s">
        <v>18</v>
      </c>
      <c r="D422" s="543" t="s">
        <v>38</v>
      </c>
      <c r="E422" s="158"/>
      <c r="F422" s="158"/>
      <c r="G422" s="180"/>
      <c r="H422" s="180"/>
      <c r="I422" s="44"/>
      <c r="J422" s="44"/>
      <c r="K422" s="45"/>
      <c r="L422" s="465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ca="1">I440</f>
        <v>0</v>
      </c>
      <c r="J423" s="328">
        <f>J440</f>
        <v>0</v>
      </c>
      <c r="K423" s="470">
        <f ca="1">IF(I423&gt;0,J423*100/I423,0)</f>
        <v>0</v>
      </c>
      <c r="L423" s="465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IFERROR(__xludf.DUMMYFUNCTION("IMPORTRANGE(""https://docs.google.com/spreadsheets/d/1eHaY18a8A9IcSdp1K8H6x8fbOy06t2VsZHhMHf-1x7Y/edit?usp=sharing"",""แผน!HJ17"")"),0)</f>
        <v>0</v>
      </c>
      <c r="J424" s="328">
        <f>J426+J428+J430</f>
        <v>0</v>
      </c>
      <c r="K424" s="470">
        <f ca="1">IF(I424&gt;0,J424*100/I424,0)</f>
        <v>0</v>
      </c>
      <c r="L424" s="465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IFERROR(__xludf.DUMMYFUNCTION("IMPORTRANGE(""https://docs.google.com/spreadsheets/d/1eHaY18a8A9IcSdp1K8H6x8fbOy06t2VsZHhMHf-1x7Y/edit?usp=sharing"",""แผน!HK17"")"),0)</f>
        <v>0</v>
      </c>
      <c r="J425" s="328">
        <f>J427+J429+J431</f>
        <v>0</v>
      </c>
      <c r="K425" s="470">
        <f ca="1">IF(I425&gt;0,J425*100/I425,0)</f>
        <v>0</v>
      </c>
      <c r="L425" s="465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465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465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465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465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465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465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IFERROR(__xludf.DUMMYFUNCTION("IMPORTRANGE(""https://docs.google.com/spreadsheets/d/1eHaY18a8A9IcSdp1K8H6x8fbOy06t2VsZHhMHf-1x7Y/edit?usp=sharing"",""แผน!HJ17"")"),0)</f>
        <v>0</v>
      </c>
      <c r="J432" s="328">
        <f>J434+J436+J438</f>
        <v>0</v>
      </c>
      <c r="K432" s="470">
        <f ca="1">IF(I432&gt;0,J432*100/I432,0)</f>
        <v>0</v>
      </c>
      <c r="L432" s="465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IFERROR(__xludf.DUMMYFUNCTION("IMPORTRANGE(""https://docs.google.com/spreadsheets/d/1eHaY18a8A9IcSdp1K8H6x8fbOy06t2VsZHhMHf-1x7Y/edit?usp=sharing"",""แผน!HK17"")"),0)</f>
        <v>0</v>
      </c>
      <c r="J433" s="328">
        <f>J435+J437+J439</f>
        <v>0</v>
      </c>
      <c r="K433" s="470">
        <f ca="1">IF(I433&gt;0,J433*100/I433,0)</f>
        <v>0</v>
      </c>
      <c r="L433" s="465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465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465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465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465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465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465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IFERROR(__xludf.DUMMYFUNCTION("IMPORTRANGE(""https://docs.google.com/spreadsheets/d/1eHaY18a8A9IcSdp1K8H6x8fbOy06t2VsZHhMHf-1x7Y/edit?usp=sharing"",""แผน!HJ17"")"),0)</f>
        <v>0</v>
      </c>
      <c r="J440" s="328">
        <f>J442+J444+J446+J452+J454</f>
        <v>0</v>
      </c>
      <c r="K440" s="470">
        <f ca="1">IF(I440&gt;0,J440*100/I440,0)</f>
        <v>0</v>
      </c>
      <c r="L440" s="465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IFERROR(__xludf.DUMMYFUNCTION("IMPORTRANGE(""https://docs.google.com/spreadsheets/d/1eHaY18a8A9IcSdp1K8H6x8fbOy06t2VsZHhMHf-1x7Y/edit?usp=sharing"",""แผน!HK17"")"),0)</f>
        <v>0</v>
      </c>
      <c r="J441" s="328">
        <f>J443+J445+J447+J453+J455</f>
        <v>0</v>
      </c>
      <c r="K441" s="470">
        <f ca="1">IF(I441&gt;0,J441*100/I441,0)</f>
        <v>0</v>
      </c>
      <c r="L441" s="465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465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465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465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465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>J448+J450</f>
        <v>0</v>
      </c>
      <c r="K446" s="45"/>
      <c r="L446" s="465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>J449+J451</f>
        <v>0</v>
      </c>
      <c r="K447" s="45"/>
      <c r="L447" s="465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465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465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465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465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465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465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542"/>
      <c r="K454" s="45"/>
      <c r="L454" s="465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465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hidden="1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ca="1">I457</f>
        <v>0</v>
      </c>
      <c r="J456" s="328">
        <f>J457</f>
        <v>0</v>
      </c>
      <c r="K456" s="470">
        <f ca="1">IF(I456&gt;0,J456*100/I456,0)</f>
        <v>0</v>
      </c>
      <c r="L456" s="465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IFERROR(__xludf.DUMMYFUNCTION("IMPORTRANGE(""https://docs.google.com/spreadsheets/d/1eHaY18a8A9IcSdp1K8H6x8fbOy06t2VsZHhMHf-1x7Y/edit?usp=sharing"",""แผน!HL17"")"),0)</f>
        <v>0</v>
      </c>
      <c r="J457" s="328">
        <f>J459+J467+J473</f>
        <v>0</v>
      </c>
      <c r="K457" s="470">
        <f ca="1">IF(I457&gt;0,J457*100/I457,0)</f>
        <v>0</v>
      </c>
      <c r="L457" s="465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IFERROR(__xludf.DUMMYFUNCTION("IMPORTRANGE(""https://docs.google.com/spreadsheets/d/1eHaY18a8A9IcSdp1K8H6x8fbOy06t2VsZHhMHf-1x7Y/edit?usp=sharing"",""แผน!HM17"")"),0)</f>
        <v>0</v>
      </c>
      <c r="J458" s="328">
        <f>J460+J468+J474</f>
        <v>0</v>
      </c>
      <c r="K458" s="470">
        <f ca="1">IF(I458&gt;0,J458*100/I458,0)</f>
        <v>0</v>
      </c>
      <c r="L458" s="465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hidden="1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>J461+J463</f>
        <v>0</v>
      </c>
      <c r="K459" s="45"/>
      <c r="L459" s="465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>J462+J464</f>
        <v>0</v>
      </c>
      <c r="K460" s="45"/>
      <c r="L460" s="465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465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465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465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465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465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465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>J469+J471</f>
        <v>0</v>
      </c>
      <c r="K467" s="45"/>
      <c r="L467" s="465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>J470+J472</f>
        <v>0</v>
      </c>
      <c r="K468" s="45"/>
      <c r="L468" s="465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465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465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465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465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465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465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470">
        <f>IF(I475&gt;0,J475*100/I475,0)</f>
        <v>0</v>
      </c>
      <c r="L475" s="465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>J478+J480</f>
        <v>0</v>
      </c>
      <c r="K476" s="470">
        <f>IF(I476&gt;0,J476*100/I476,0)</f>
        <v>0</v>
      </c>
      <c r="L476" s="465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>J479+J481</f>
        <v>0</v>
      </c>
      <c r="K477" s="470">
        <f>IF(I477&gt;0,J477*100/I477,0)</f>
        <v>0</v>
      </c>
      <c r="L477" s="465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hidden="1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465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465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465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465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IFERROR(__xludf.DUMMYFUNCTION("IMPORTRANGE(""https://docs.google.com/spreadsheets/d/1eHaY18a8A9IcSdp1K8H6x8fbOy06t2VsZHhMHf-1x7Y/edit?usp=sharing"",""แผน!HN17"")"),0)</f>
        <v>0</v>
      </c>
      <c r="K482" s="45"/>
      <c r="L482" s="465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IFERROR(__xludf.DUMMYFUNCTION("IMPORTRANGE(""https://docs.google.com/spreadsheets/d/1eHaY18a8A9IcSdp1K8H6x8fbOy06t2VsZHhMHf-1x7Y/edit?usp=sharing"",""แผน!HO17"")"),0)</f>
        <v>0</v>
      </c>
      <c r="K483" s="45"/>
      <c r="L483" s="465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>J480</f>
        <v>0</v>
      </c>
      <c r="J484" s="328">
        <f>J486+J488+J490</f>
        <v>0</v>
      </c>
      <c r="K484" s="470">
        <f>IF(I484&gt;0,J484*100/I484,0)</f>
        <v>0</v>
      </c>
      <c r="L484" s="465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>J481</f>
        <v>0</v>
      </c>
      <c r="J485" s="328">
        <f>J487+J489+J491</f>
        <v>0</v>
      </c>
      <c r="K485" s="470">
        <f>IF(I485&gt;0,J485*100/I485,0)</f>
        <v>0</v>
      </c>
      <c r="L485" s="465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hidden="1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465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465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465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465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465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46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541">
        <f ca="1">I503</f>
        <v>0</v>
      </c>
      <c r="J492" s="541">
        <f ca="1">J503</f>
        <v>0</v>
      </c>
      <c r="K492" s="540">
        <f ca="1">IF(I492&gt;0,J492*100/I492,0)</f>
        <v>0</v>
      </c>
      <c r="L492" s="539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hidden="1" x14ac:dyDescent="0.3">
      <c r="A493" s="128"/>
      <c r="B493" s="158"/>
      <c r="C493" s="177" t="s">
        <v>18</v>
      </c>
      <c r="D493" s="819" t="s">
        <v>19</v>
      </c>
      <c r="E493" s="800"/>
      <c r="F493" s="800"/>
      <c r="G493" s="42"/>
      <c r="H493" s="221" t="s">
        <v>14</v>
      </c>
      <c r="I493" s="44"/>
      <c r="J493" s="44"/>
      <c r="K493" s="45"/>
      <c r="L493" s="471">
        <f>L494+L495</f>
        <v>0</v>
      </c>
      <c r="M493" s="470">
        <f>M494+M495</f>
        <v>0</v>
      </c>
      <c r="N493" s="470">
        <f>N494+N495</f>
        <v>0</v>
      </c>
      <c r="O493" s="470">
        <f t="shared" ref="O493:O501" si="120">IF(L493&gt;0,N493*100/L493,0)</f>
        <v>0</v>
      </c>
      <c r="P493" s="470">
        <f t="shared" ref="P493:P501" si="121">IF(M493&gt;0,N493*100/M493,0)</f>
        <v>0</v>
      </c>
      <c r="Q493" s="470">
        <f ca="1">Q494+Q495</f>
        <v>0</v>
      </c>
      <c r="R493" s="470">
        <f ca="1">R494+R495</f>
        <v>0</v>
      </c>
      <c r="S493" s="470">
        <f ca="1">S494+S495</f>
        <v>0</v>
      </c>
      <c r="T493" s="470">
        <f t="shared" ref="T493:T501" ca="1" si="122">IF(Q493&gt;0,S493*100/Q493,0)</f>
        <v>0</v>
      </c>
      <c r="U493" s="470">
        <f t="shared" ref="U493:U501" ca="1" si="123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469">
        <f t="shared" ref="L494:N495" si="124">L497+L500</f>
        <v>0</v>
      </c>
      <c r="M494" s="83">
        <f t="shared" si="124"/>
        <v>0</v>
      </c>
      <c r="N494" s="83">
        <f t="shared" si="124"/>
        <v>0</v>
      </c>
      <c r="O494" s="83">
        <f t="shared" si="120"/>
        <v>0</v>
      </c>
      <c r="P494" s="83">
        <f t="shared" si="121"/>
        <v>0</v>
      </c>
      <c r="Q494" s="83">
        <f t="shared" ref="Q494:S495" si="125">Q497+Q500</f>
        <v>0</v>
      </c>
      <c r="R494" s="83">
        <f t="shared" si="125"/>
        <v>0</v>
      </c>
      <c r="S494" s="83">
        <f t="shared" si="125"/>
        <v>0</v>
      </c>
      <c r="T494" s="83">
        <f t="shared" si="122"/>
        <v>0</v>
      </c>
      <c r="U494" s="83">
        <f t="shared" si="123"/>
        <v>0</v>
      </c>
    </row>
    <row r="495" spans="1:21" ht="18.75" hidden="1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468">
        <f t="shared" si="124"/>
        <v>0</v>
      </c>
      <c r="M495" s="224">
        <f t="shared" si="124"/>
        <v>0</v>
      </c>
      <c r="N495" s="224">
        <f t="shared" si="124"/>
        <v>0</v>
      </c>
      <c r="O495" s="224">
        <f t="shared" si="120"/>
        <v>0</v>
      </c>
      <c r="P495" s="224">
        <f t="shared" si="121"/>
        <v>0</v>
      </c>
      <c r="Q495" s="224">
        <f t="shared" ca="1" si="125"/>
        <v>0</v>
      </c>
      <c r="R495" s="224">
        <f t="shared" ca="1" si="125"/>
        <v>0</v>
      </c>
      <c r="S495" s="224">
        <f t="shared" ca="1" si="125"/>
        <v>0</v>
      </c>
      <c r="T495" s="224">
        <f t="shared" ca="1" si="122"/>
        <v>0</v>
      </c>
      <c r="U495" s="224">
        <f t="shared" ca="1" si="123"/>
        <v>0</v>
      </c>
    </row>
    <row r="496" spans="1:21" ht="18.75" hidden="1" x14ac:dyDescent="0.25">
      <c r="A496" s="128"/>
      <c r="B496" s="158"/>
      <c r="C496" s="158"/>
      <c r="D496" s="53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468">
        <f>L497+L498</f>
        <v>0</v>
      </c>
      <c r="M496" s="224">
        <f>M497+M498</f>
        <v>0</v>
      </c>
      <c r="N496" s="224">
        <f>N497+N498</f>
        <v>0</v>
      </c>
      <c r="O496" s="224">
        <f t="shared" si="120"/>
        <v>0</v>
      </c>
      <c r="P496" s="224">
        <f t="shared" si="121"/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t="shared" ca="1" si="122"/>
        <v>0</v>
      </c>
      <c r="U496" s="224">
        <f t="shared" ca="1" si="123"/>
        <v>0</v>
      </c>
    </row>
    <row r="497" spans="1:21" ht="18.75" hidden="1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469">
        <v>0</v>
      </c>
      <c r="M497" s="83">
        <v>0</v>
      </c>
      <c r="N497" s="83">
        <v>0</v>
      </c>
      <c r="O497" s="83">
        <f t="shared" si="120"/>
        <v>0</v>
      </c>
      <c r="P497" s="83">
        <f t="shared" si="121"/>
        <v>0</v>
      </c>
      <c r="Q497" s="83">
        <v>0</v>
      </c>
      <c r="R497" s="83">
        <v>0</v>
      </c>
      <c r="S497" s="83">
        <v>0</v>
      </c>
      <c r="T497" s="83">
        <f t="shared" si="122"/>
        <v>0</v>
      </c>
      <c r="U497" s="83">
        <f t="shared" si="123"/>
        <v>0</v>
      </c>
    </row>
    <row r="498" spans="1:21" ht="18.75" hidden="1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468">
        <v>0</v>
      </c>
      <c r="M498" s="224">
        <v>0</v>
      </c>
      <c r="N498" s="224">
        <v>0</v>
      </c>
      <c r="O498" s="224">
        <f t="shared" si="120"/>
        <v>0</v>
      </c>
      <c r="P498" s="224">
        <f t="shared" si="121"/>
        <v>0</v>
      </c>
      <c r="Q498" s="224">
        <f ca="1">IFERROR(__xludf.DUMMYFUNCTION("IMPORTRANGE(""https://docs.google.com/spreadsheets/d/1ItG2mGa2ceCfYo0BwxsXqNm01IGEUdYcSSLTEv9YCik/edit?usp=sharing"",""เบิกจ่ายกองทุน!X17"")"),0)</f>
        <v>0</v>
      </c>
      <c r="R498" s="224">
        <f ca="1">IFERROR(__xludf.DUMMYFUNCTION("IMPORTRANGE(""https://docs.google.com/spreadsheets/d/1ItG2mGa2ceCfYo0BwxsXqNm01IGEUdYcSSLTEv9YCik/edit?usp=sharing"",""เบิกจ่ายกองทุน!Y17"")"),0)</f>
        <v>0</v>
      </c>
      <c r="S498" s="224">
        <f ca="1">IFERROR(__xludf.DUMMYFUNCTION("IMPORTRANGE(""https://docs.google.com/spreadsheets/d/1ItG2mGa2ceCfYo0BwxsXqNm01IGEUdYcSSLTEv9YCik/edit?usp=sharing"",""เบิกจ่ายกองทุน!Z17"")"),0)</f>
        <v>0</v>
      </c>
      <c r="T498" s="224">
        <f t="shared" ca="1" si="122"/>
        <v>0</v>
      </c>
      <c r="U498" s="224">
        <f t="shared" ca="1" si="123"/>
        <v>0</v>
      </c>
    </row>
    <row r="499" spans="1:21" ht="18.75" hidden="1" x14ac:dyDescent="0.25">
      <c r="A499" s="128"/>
      <c r="B499" s="158"/>
      <c r="C499" s="158"/>
      <c r="D499" s="53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468">
        <f>L500+L501</f>
        <v>0</v>
      </c>
      <c r="M499" s="224">
        <f>M500+M501</f>
        <v>0</v>
      </c>
      <c r="N499" s="224">
        <f>N500+N501</f>
        <v>0</v>
      </c>
      <c r="O499" s="224">
        <f t="shared" si="120"/>
        <v>0</v>
      </c>
      <c r="P499" s="224">
        <f t="shared" si="121"/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 t="shared" si="122"/>
        <v>0</v>
      </c>
      <c r="U499" s="224">
        <f t="shared" si="123"/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469">
        <v>0</v>
      </c>
      <c r="M500" s="83">
        <v>0</v>
      </c>
      <c r="N500" s="83">
        <v>0</v>
      </c>
      <c r="O500" s="83">
        <f t="shared" si="120"/>
        <v>0</v>
      </c>
      <c r="P500" s="83">
        <f t="shared" si="121"/>
        <v>0</v>
      </c>
      <c r="Q500" s="83">
        <v>0</v>
      </c>
      <c r="R500" s="83">
        <v>0</v>
      </c>
      <c r="S500" s="83">
        <v>0</v>
      </c>
      <c r="T500" s="83">
        <f t="shared" si="122"/>
        <v>0</v>
      </c>
      <c r="U500" s="83">
        <f t="shared" si="123"/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468">
        <v>0</v>
      </c>
      <c r="M501" s="224">
        <v>0</v>
      </c>
      <c r="N501" s="224">
        <v>0</v>
      </c>
      <c r="O501" s="224">
        <f t="shared" si="120"/>
        <v>0</v>
      </c>
      <c r="P501" s="224">
        <f t="shared" si="121"/>
        <v>0</v>
      </c>
      <c r="Q501" s="224">
        <v>0</v>
      </c>
      <c r="R501" s="224">
        <v>0</v>
      </c>
      <c r="S501" s="224">
        <v>0</v>
      </c>
      <c r="T501" s="224">
        <f t="shared" si="122"/>
        <v>0</v>
      </c>
      <c r="U501" s="224">
        <f t="shared" si="123"/>
        <v>0</v>
      </c>
    </row>
    <row r="502" spans="1:21" ht="19.5" hidden="1" x14ac:dyDescent="0.3">
      <c r="A502" s="138"/>
      <c r="B502" s="139"/>
      <c r="C502" s="177" t="s">
        <v>18</v>
      </c>
      <c r="D502" s="491" t="s">
        <v>38</v>
      </c>
      <c r="E502" s="141"/>
      <c r="F502" s="141"/>
      <c r="G502" s="142"/>
      <c r="H502" s="178"/>
      <c r="I502" s="135"/>
      <c r="J502" s="135"/>
      <c r="K502" s="136"/>
      <c r="L502" s="4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IFERROR(__xludf.DUMMYFUNCTION("IMPORTRANGE(""https://docs.google.com/spreadsheets/d/1eHaY18a8A9IcSdp1K8H6x8fbOy06t2VsZHhMHf-1x7Y/edit?usp=sharing"",""แผน!GX17"")"),0)</f>
        <v>0</v>
      </c>
      <c r="J503" s="328">
        <f ca="1">IF(AND(J504=I504,J505=I505,J506=I506,J507=I507),I503,0)</f>
        <v>0</v>
      </c>
      <c r="K503" s="470">
        <f t="shared" ref="K503:K509" ca="1" si="126">IF(I503&gt;0,J503*100/I503,0)</f>
        <v>0</v>
      </c>
      <c r="L503" s="465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IFERROR(__xludf.DUMMYFUNCTION("IMPORTRANGE(""https://docs.google.com/spreadsheets/d/1eHaY18a8A9IcSdp1K8H6x8fbOy06t2VsZHhMHf-1x7Y/edit?usp=sharing"",""แผน!GY17"")"),0)</f>
        <v>0</v>
      </c>
      <c r="J504" s="466">
        <v>0</v>
      </c>
      <c r="K504" s="224">
        <f t="shared" ca="1" si="126"/>
        <v>0</v>
      </c>
      <c r="L504" s="465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IFERROR(__xludf.DUMMYFUNCTION("IMPORTRANGE(""https://docs.google.com/spreadsheets/d/1eHaY18a8A9IcSdp1K8H6x8fbOy06t2VsZHhMHf-1x7Y/edit?usp=sharing"",""แผน!GZ17"")"),0)</f>
        <v>0</v>
      </c>
      <c r="J505" s="466">
        <v>0</v>
      </c>
      <c r="K505" s="224">
        <f t="shared" ca="1" si="126"/>
        <v>0</v>
      </c>
      <c r="L505" s="465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IFERROR(__xludf.DUMMYFUNCTION("IMPORTRANGE(""https://docs.google.com/spreadsheets/d/1eHaY18a8A9IcSdp1K8H6x8fbOy06t2VsZHhMHf-1x7Y/edit?usp=sharing"",""แผน!HA17"")"),0)</f>
        <v>0</v>
      </c>
      <c r="J506" s="466">
        <v>0</v>
      </c>
      <c r="K506" s="224">
        <f t="shared" ca="1" si="126"/>
        <v>0</v>
      </c>
      <c r="L506" s="465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IFERROR(__xludf.DUMMYFUNCTION("IMPORTRANGE(""https://docs.google.com/spreadsheets/d/1eHaY18a8A9IcSdp1K8H6x8fbOy06t2VsZHhMHf-1x7Y/edit?usp=sharing"",""แผน!HB17"")"),0)</f>
        <v>0</v>
      </c>
      <c r="J507" s="466">
        <v>0</v>
      </c>
      <c r="K507" s="224">
        <f t="shared" ca="1" si="126"/>
        <v>0</v>
      </c>
      <c r="L507" s="465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 t="shared" si="126"/>
        <v>0</v>
      </c>
      <c r="L508" s="465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IFERROR(__xludf.DUMMYFUNCTION("IMPORTRANGE(""https://docs.google.com/spreadsheets/d/1eHaY18a8A9IcSdp1K8H6x8fbOy06t2VsZHhMHf-1x7Y/edit?usp=sharing"",""แผน!HC17"")"),0)</f>
        <v>0</v>
      </c>
      <c r="J509" s="464">
        <v>0</v>
      </c>
      <c r="K509" s="455">
        <f t="shared" ca="1" si="126"/>
        <v>0</v>
      </c>
      <c r="L509" s="46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537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536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hidden="1" x14ac:dyDescent="0.3">
      <c r="A511" s="535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534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hidden="1" x14ac:dyDescent="0.3">
      <c r="A512" s="349"/>
      <c r="B512" s="533" t="s">
        <v>207</v>
      </c>
      <c r="C512" s="351"/>
      <c r="D512" s="352"/>
      <c r="E512" s="352"/>
      <c r="F512" s="352"/>
      <c r="G512" s="353"/>
      <c r="H512" s="532" t="s">
        <v>61</v>
      </c>
      <c r="I512" s="531">
        <f>I524</f>
        <v>0</v>
      </c>
      <c r="J512" s="531">
        <f>J524</f>
        <v>0</v>
      </c>
      <c r="K512" s="530">
        <f>IF(I512&gt;0,J512*100/I512,0)</f>
        <v>0</v>
      </c>
      <c r="L512" s="512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hidden="1" x14ac:dyDescent="0.3">
      <c r="A513" s="128"/>
      <c r="B513" s="40"/>
      <c r="C513" s="527" t="s">
        <v>18</v>
      </c>
      <c r="D513" s="494" t="s">
        <v>19</v>
      </c>
      <c r="E513" s="40"/>
      <c r="F513" s="40"/>
      <c r="G513" s="42"/>
      <c r="H513" s="529" t="s">
        <v>14</v>
      </c>
      <c r="I513" s="44"/>
      <c r="J513" s="44"/>
      <c r="K513" s="45"/>
      <c r="L513" s="471">
        <f ca="1">L514+L515</f>
        <v>0</v>
      </c>
      <c r="M513" s="470">
        <f ca="1">M514+M515</f>
        <v>0</v>
      </c>
      <c r="N513" s="470">
        <f ca="1">N514+N515</f>
        <v>0</v>
      </c>
      <c r="O513" s="470">
        <f t="shared" ref="O513:O521" ca="1" si="127">IF(L513&gt;0,N513*100/L513,0)</f>
        <v>0</v>
      </c>
      <c r="P513" s="470">
        <f t="shared" ref="P513:P521" ca="1" si="128">IF(M513&gt;0,N513*100/M513,0)</f>
        <v>0</v>
      </c>
      <c r="Q513" s="470">
        <f>Q514+Q515</f>
        <v>0</v>
      </c>
      <c r="R513" s="470">
        <f>R514+R515</f>
        <v>0</v>
      </c>
      <c r="S513" s="470">
        <f>S514+S515</f>
        <v>0</v>
      </c>
      <c r="T513" s="470">
        <f t="shared" ref="T513:T521" si="129">IF(Q513&gt;0,S513*100/Q513,0)</f>
        <v>0</v>
      </c>
      <c r="U513" s="470">
        <f t="shared" ref="U513:U521" si="130"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469">
        <f t="shared" ref="L514:N515" si="131">L517+L520</f>
        <v>0</v>
      </c>
      <c r="M514" s="83">
        <f t="shared" si="131"/>
        <v>0</v>
      </c>
      <c r="N514" s="83">
        <f t="shared" si="131"/>
        <v>0</v>
      </c>
      <c r="O514" s="83">
        <f t="shared" si="127"/>
        <v>0</v>
      </c>
      <c r="P514" s="83">
        <f t="shared" si="128"/>
        <v>0</v>
      </c>
      <c r="Q514" s="83">
        <f t="shared" ref="Q514:S515" si="132">Q517+Q520</f>
        <v>0</v>
      </c>
      <c r="R514" s="83">
        <f t="shared" si="132"/>
        <v>0</v>
      </c>
      <c r="S514" s="83">
        <f t="shared" si="132"/>
        <v>0</v>
      </c>
      <c r="T514" s="83">
        <f t="shared" si="129"/>
        <v>0</v>
      </c>
      <c r="U514" s="83">
        <f t="shared" si="130"/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468">
        <f t="shared" ca="1" si="131"/>
        <v>0</v>
      </c>
      <c r="M515" s="224">
        <f t="shared" ca="1" si="131"/>
        <v>0</v>
      </c>
      <c r="N515" s="224">
        <f t="shared" ca="1" si="131"/>
        <v>0</v>
      </c>
      <c r="O515" s="224">
        <f t="shared" ca="1" si="127"/>
        <v>0</v>
      </c>
      <c r="P515" s="224">
        <f t="shared" ca="1" si="128"/>
        <v>0</v>
      </c>
      <c r="Q515" s="224">
        <f t="shared" si="132"/>
        <v>0</v>
      </c>
      <c r="R515" s="224">
        <f t="shared" si="132"/>
        <v>0</v>
      </c>
      <c r="S515" s="224">
        <f t="shared" si="132"/>
        <v>0</v>
      </c>
      <c r="T515" s="224">
        <f t="shared" si="129"/>
        <v>0</v>
      </c>
      <c r="U515" s="224">
        <f t="shared" si="130"/>
        <v>0</v>
      </c>
    </row>
    <row r="516" spans="1:21" ht="18.75" hidden="1" x14ac:dyDescent="0.25">
      <c r="A516" s="128"/>
      <c r="B516" s="40"/>
      <c r="C516" s="40"/>
      <c r="D516" s="52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468">
        <f ca="1">L517+L518</f>
        <v>0</v>
      </c>
      <c r="M516" s="224">
        <f ca="1">M517+M518</f>
        <v>0</v>
      </c>
      <c r="N516" s="224">
        <f ca="1">N517+N518</f>
        <v>0</v>
      </c>
      <c r="O516" s="224">
        <f t="shared" ca="1" si="127"/>
        <v>0</v>
      </c>
      <c r="P516" s="224">
        <f t="shared" ca="1" si="128"/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 t="shared" si="129"/>
        <v>0</v>
      </c>
      <c r="U516" s="224">
        <f t="shared" si="130"/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469">
        <v>0</v>
      </c>
      <c r="M517" s="83">
        <v>0</v>
      </c>
      <c r="N517" s="83">
        <v>0</v>
      </c>
      <c r="O517" s="83">
        <f t="shared" si="127"/>
        <v>0</v>
      </c>
      <c r="P517" s="83">
        <f t="shared" si="128"/>
        <v>0</v>
      </c>
      <c r="Q517" s="83">
        <v>0</v>
      </c>
      <c r="R517" s="83">
        <v>0</v>
      </c>
      <c r="S517" s="83">
        <v>0</v>
      </c>
      <c r="T517" s="83">
        <f t="shared" si="129"/>
        <v>0</v>
      </c>
      <c r="U517" s="83">
        <f t="shared" si="130"/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468">
        <f ca="1">IFERROR(__xludf.DUMMYFUNCTION("IMPORTRANGE(""https://docs.google.com/spreadsheets/d/1-uDff_7J0KD5mKrp0Vvzr7lt3OU09vwQwhkpOPPYv2Y/edit?usp=sharing"",""งบพรบ!FM17"")"),0)</f>
        <v>0</v>
      </c>
      <c r="M518" s="224">
        <f ca="1">IFERROR(__xludf.DUMMYFUNCTION("IMPORTRANGE(""https://docs.google.com/spreadsheets/d/1-uDff_7J0KD5mKrp0Vvzr7lt3OU09vwQwhkpOPPYv2Y/edit?usp=sharing"",""งบพรบ!FR17"")"),0)</f>
        <v>0</v>
      </c>
      <c r="N518" s="224">
        <f ca="1">IFERROR(__xludf.DUMMYFUNCTION("IMPORTRANGE(""https://docs.google.com/spreadsheets/d/1-uDff_7J0KD5mKrp0Vvzr7lt3OU09vwQwhkpOPPYv2Y/edit?usp=sharing"",""งบพรบ!FT17"")"),0)</f>
        <v>0</v>
      </c>
      <c r="O518" s="224">
        <f t="shared" ca="1" si="127"/>
        <v>0</v>
      </c>
      <c r="P518" s="224">
        <f t="shared" ca="1" si="128"/>
        <v>0</v>
      </c>
      <c r="Q518" s="224">
        <v>0</v>
      </c>
      <c r="R518" s="224">
        <v>0</v>
      </c>
      <c r="S518" s="224">
        <v>0</v>
      </c>
      <c r="T518" s="224">
        <f t="shared" si="129"/>
        <v>0</v>
      </c>
      <c r="U518" s="224">
        <f t="shared" si="130"/>
        <v>0</v>
      </c>
    </row>
    <row r="519" spans="1:21" ht="18.75" hidden="1" x14ac:dyDescent="0.25">
      <c r="A519" s="128"/>
      <c r="B519" s="40"/>
      <c r="C519" s="40"/>
      <c r="D519" s="528" t="s">
        <v>23</v>
      </c>
      <c r="E519" s="40"/>
      <c r="F519" s="40"/>
      <c r="G519" s="42"/>
      <c r="H519" s="375" t="s">
        <v>14</v>
      </c>
      <c r="I519" s="135"/>
      <c r="J519" s="135"/>
      <c r="K519" s="136"/>
      <c r="L519" s="468">
        <f ca="1">L520+L521</f>
        <v>0</v>
      </c>
      <c r="M519" s="224">
        <f ca="1">M520+M521</f>
        <v>0</v>
      </c>
      <c r="N519" s="224">
        <f ca="1">N520+N521</f>
        <v>0</v>
      </c>
      <c r="O519" s="224">
        <f t="shared" ca="1" si="127"/>
        <v>0</v>
      </c>
      <c r="P519" s="224">
        <f t="shared" ca="1" si="128"/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 t="shared" si="129"/>
        <v>0</v>
      </c>
      <c r="U519" s="224">
        <f t="shared" si="130"/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469">
        <v>0</v>
      </c>
      <c r="M520" s="83">
        <v>0</v>
      </c>
      <c r="N520" s="83">
        <v>0</v>
      </c>
      <c r="O520" s="83">
        <f t="shared" si="127"/>
        <v>0</v>
      </c>
      <c r="P520" s="83">
        <f t="shared" si="128"/>
        <v>0</v>
      </c>
      <c r="Q520" s="83">
        <v>0</v>
      </c>
      <c r="R520" s="83">
        <v>0</v>
      </c>
      <c r="S520" s="83">
        <v>0</v>
      </c>
      <c r="T520" s="83">
        <f t="shared" si="129"/>
        <v>0</v>
      </c>
      <c r="U520" s="83">
        <f t="shared" si="130"/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375" t="s">
        <v>14</v>
      </c>
      <c r="I521" s="135"/>
      <c r="J521" s="135"/>
      <c r="K521" s="136"/>
      <c r="L521" s="468">
        <f ca="1">IFERROR(__xludf.DUMMYFUNCTION("IMPORTRANGE(""https://docs.google.com/spreadsheets/d/1-uDff_7J0KD5mKrp0Vvzr7lt3OU09vwQwhkpOPPYv2Y/edit?usp=sharing"",""งบพรบ!FP17"")"),0)</f>
        <v>0</v>
      </c>
      <c r="M521" s="224">
        <f ca="1">IFERROR(__xludf.DUMMYFUNCTION("IMPORTRANGE(""https://docs.google.com/spreadsheets/d/1-uDff_7J0KD5mKrp0Vvzr7lt3OU09vwQwhkpOPPYv2Y/edit?usp=sharing"",""งบพรบ!FS17"")"),0)</f>
        <v>0</v>
      </c>
      <c r="N521" s="224">
        <f ca="1">IFERROR(__xludf.DUMMYFUNCTION("IMPORTRANGE(""https://docs.google.com/spreadsheets/d/1-uDff_7J0KD5mKrp0Vvzr7lt3OU09vwQwhkpOPPYv2Y/edit?usp=sharing"",""งบพรบ!FU17"")"),0)</f>
        <v>0</v>
      </c>
      <c r="O521" s="224">
        <f t="shared" ca="1" si="127"/>
        <v>0</v>
      </c>
      <c r="P521" s="224">
        <f t="shared" ca="1" si="128"/>
        <v>0</v>
      </c>
      <c r="Q521" s="224">
        <v>0</v>
      </c>
      <c r="R521" s="224">
        <v>0</v>
      </c>
      <c r="S521" s="224">
        <v>0</v>
      </c>
      <c r="T521" s="224">
        <f t="shared" si="129"/>
        <v>0</v>
      </c>
      <c r="U521" s="224">
        <f t="shared" si="130"/>
        <v>0</v>
      </c>
    </row>
    <row r="522" spans="1:21" ht="19.5" hidden="1" x14ac:dyDescent="0.3">
      <c r="A522" s="138"/>
      <c r="B522" s="139"/>
      <c r="C522" s="527" t="s">
        <v>18</v>
      </c>
      <c r="D522" s="509" t="s">
        <v>38</v>
      </c>
      <c r="E522" s="141"/>
      <c r="F522" s="141"/>
      <c r="G522" s="142"/>
      <c r="H522" s="143"/>
      <c r="I522" s="135"/>
      <c r="J522" s="44"/>
      <c r="K522" s="45"/>
      <c r="L522" s="465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208</v>
      </c>
      <c r="E523" s="139"/>
      <c r="F523" s="40"/>
      <c r="G523" s="42"/>
      <c r="H523" s="526" t="s">
        <v>11</v>
      </c>
      <c r="I523" s="430">
        <v>0</v>
      </c>
      <c r="J523" s="525">
        <v>0</v>
      </c>
      <c r="K523" s="83">
        <f>IF(I523&gt;0,J523*100/I523,0)</f>
        <v>0</v>
      </c>
      <c r="L523" s="465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29"/>
      <c r="B524" s="1"/>
      <c r="C524" s="2"/>
      <c r="D524" s="524" t="s">
        <v>209</v>
      </c>
      <c r="E524" s="250"/>
      <c r="F524" s="1"/>
      <c r="G524" s="52"/>
      <c r="H524" s="523" t="s">
        <v>61</v>
      </c>
      <c r="I524" s="433">
        <v>0</v>
      </c>
      <c r="J524" s="522">
        <v>0</v>
      </c>
      <c r="K524" s="521">
        <f>IF(I524&gt;0,J524*100/I524,0)</f>
        <v>0</v>
      </c>
      <c r="L524" s="465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520"/>
      <c r="B525" s="519"/>
      <c r="C525" s="519"/>
      <c r="D525" s="518"/>
      <c r="E525" s="518"/>
      <c r="F525" s="518"/>
      <c r="G525" s="517"/>
      <c r="H525" s="516"/>
      <c r="I525" s="515"/>
      <c r="J525" s="515"/>
      <c r="K525" s="514"/>
      <c r="L525" s="511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11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11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11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11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11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11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496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hidden="1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64">
        <f>I545</f>
        <v>0</v>
      </c>
      <c r="J533" s="364">
        <f>J545</f>
        <v>0</v>
      </c>
      <c r="K533" s="513">
        <f>IF(I533&gt;0,J533*100/I533,0)</f>
        <v>0</v>
      </c>
      <c r="L533" s="512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hidden="1" x14ac:dyDescent="0.3">
      <c r="A534" s="128"/>
      <c r="B534" s="40"/>
      <c r="C534" s="129" t="s">
        <v>18</v>
      </c>
      <c r="D534" s="472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471">
        <f>L535+L536</f>
        <v>0</v>
      </c>
      <c r="M534" s="470">
        <f>M535+M536</f>
        <v>0</v>
      </c>
      <c r="N534" s="470">
        <f>N535+N536</f>
        <v>0</v>
      </c>
      <c r="O534" s="470">
        <f t="shared" ref="O534:O542" si="133">IF(L534&gt;0,N534*100/L534,0)</f>
        <v>0</v>
      </c>
      <c r="P534" s="470">
        <f t="shared" ref="P534:P542" si="134">IF(M534&gt;0,N534*100/M534,0)</f>
        <v>0</v>
      </c>
      <c r="Q534" s="470">
        <f>Q535+Q536</f>
        <v>0</v>
      </c>
      <c r="R534" s="470">
        <f>R535+R536</f>
        <v>0</v>
      </c>
      <c r="S534" s="470">
        <f>S535+S536</f>
        <v>0</v>
      </c>
      <c r="T534" s="470">
        <f t="shared" ref="T534:T542" si="135">IF(Q534&gt;0,S534*100/Q534,0)</f>
        <v>0</v>
      </c>
      <c r="U534" s="470">
        <f t="shared" ref="U534:U542" si="136"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469">
        <f t="shared" ref="L535:N536" si="137">L538+L541</f>
        <v>0</v>
      </c>
      <c r="M535" s="83">
        <f t="shared" si="137"/>
        <v>0</v>
      </c>
      <c r="N535" s="83">
        <f t="shared" si="137"/>
        <v>0</v>
      </c>
      <c r="O535" s="83">
        <f t="shared" si="133"/>
        <v>0</v>
      </c>
      <c r="P535" s="83">
        <f t="shared" si="134"/>
        <v>0</v>
      </c>
      <c r="Q535" s="83">
        <f t="shared" ref="Q535:S536" si="138">Q538+Q541</f>
        <v>0</v>
      </c>
      <c r="R535" s="83">
        <f t="shared" si="138"/>
        <v>0</v>
      </c>
      <c r="S535" s="83">
        <f t="shared" si="138"/>
        <v>0</v>
      </c>
      <c r="T535" s="83">
        <f t="shared" si="135"/>
        <v>0</v>
      </c>
      <c r="U535" s="83">
        <f t="shared" si="136"/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468">
        <f t="shared" si="137"/>
        <v>0</v>
      </c>
      <c r="M536" s="224">
        <f t="shared" si="137"/>
        <v>0</v>
      </c>
      <c r="N536" s="224">
        <f t="shared" si="137"/>
        <v>0</v>
      </c>
      <c r="O536" s="224">
        <f t="shared" si="133"/>
        <v>0</v>
      </c>
      <c r="P536" s="224">
        <f t="shared" si="134"/>
        <v>0</v>
      </c>
      <c r="Q536" s="224">
        <f t="shared" si="138"/>
        <v>0</v>
      </c>
      <c r="R536" s="224">
        <f t="shared" si="138"/>
        <v>0</v>
      </c>
      <c r="S536" s="224">
        <f t="shared" si="138"/>
        <v>0</v>
      </c>
      <c r="T536" s="224">
        <f t="shared" si="135"/>
        <v>0</v>
      </c>
      <c r="U536" s="224">
        <f t="shared" si="136"/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468">
        <f>L538+L539</f>
        <v>0</v>
      </c>
      <c r="M537" s="224">
        <f>M538+M539</f>
        <v>0</v>
      </c>
      <c r="N537" s="224">
        <f>N538+N539</f>
        <v>0</v>
      </c>
      <c r="O537" s="224">
        <f t="shared" si="133"/>
        <v>0</v>
      </c>
      <c r="P537" s="224">
        <f t="shared" si="134"/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 t="shared" si="135"/>
        <v>0</v>
      </c>
      <c r="U537" s="224">
        <f t="shared" si="136"/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469">
        <v>0</v>
      </c>
      <c r="M538" s="83">
        <v>0</v>
      </c>
      <c r="N538" s="83">
        <v>0</v>
      </c>
      <c r="O538" s="83">
        <f t="shared" si="133"/>
        <v>0</v>
      </c>
      <c r="P538" s="83">
        <f t="shared" si="134"/>
        <v>0</v>
      </c>
      <c r="Q538" s="83">
        <v>0</v>
      </c>
      <c r="R538" s="83">
        <v>0</v>
      </c>
      <c r="S538" s="83">
        <v>0</v>
      </c>
      <c r="T538" s="83">
        <f t="shared" si="135"/>
        <v>0</v>
      </c>
      <c r="U538" s="83">
        <f t="shared" si="136"/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468">
        <v>0</v>
      </c>
      <c r="M539" s="224">
        <v>0</v>
      </c>
      <c r="N539" s="224">
        <v>0</v>
      </c>
      <c r="O539" s="224">
        <f t="shared" si="133"/>
        <v>0</v>
      </c>
      <c r="P539" s="224">
        <f t="shared" si="134"/>
        <v>0</v>
      </c>
      <c r="Q539" s="224">
        <v>0</v>
      </c>
      <c r="R539" s="224">
        <v>0</v>
      </c>
      <c r="S539" s="224">
        <v>0</v>
      </c>
      <c r="T539" s="224">
        <f t="shared" si="135"/>
        <v>0</v>
      </c>
      <c r="U539" s="224">
        <f t="shared" si="136"/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468">
        <f>L541+L542</f>
        <v>0</v>
      </c>
      <c r="M540" s="224">
        <f>M541+M542</f>
        <v>0</v>
      </c>
      <c r="N540" s="224">
        <f>N541+N542</f>
        <v>0</v>
      </c>
      <c r="O540" s="224">
        <f t="shared" si="133"/>
        <v>0</v>
      </c>
      <c r="P540" s="224">
        <f t="shared" si="134"/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 t="shared" si="135"/>
        <v>0</v>
      </c>
      <c r="U540" s="224">
        <f t="shared" si="136"/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469">
        <v>0</v>
      </c>
      <c r="M541" s="83">
        <v>0</v>
      </c>
      <c r="N541" s="83">
        <v>0</v>
      </c>
      <c r="O541" s="83">
        <f t="shared" si="133"/>
        <v>0</v>
      </c>
      <c r="P541" s="83">
        <f t="shared" si="134"/>
        <v>0</v>
      </c>
      <c r="Q541" s="83">
        <v>0</v>
      </c>
      <c r="R541" s="83">
        <v>0</v>
      </c>
      <c r="S541" s="83">
        <v>0</v>
      </c>
      <c r="T541" s="83">
        <f t="shared" si="135"/>
        <v>0</v>
      </c>
      <c r="U541" s="83">
        <f t="shared" si="136"/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468">
        <v>0</v>
      </c>
      <c r="M542" s="224">
        <v>0</v>
      </c>
      <c r="N542" s="224">
        <v>0</v>
      </c>
      <c r="O542" s="224">
        <f t="shared" si="133"/>
        <v>0</v>
      </c>
      <c r="P542" s="224">
        <f t="shared" si="134"/>
        <v>0</v>
      </c>
      <c r="Q542" s="224">
        <v>0</v>
      </c>
      <c r="R542" s="224">
        <v>0</v>
      </c>
      <c r="S542" s="224">
        <v>0</v>
      </c>
      <c r="T542" s="224">
        <f t="shared" si="135"/>
        <v>0</v>
      </c>
      <c r="U542" s="224">
        <f t="shared" si="136"/>
        <v>0</v>
      </c>
    </row>
    <row r="543" spans="1:21" ht="19.5" hidden="1" x14ac:dyDescent="0.3">
      <c r="A543" s="138"/>
      <c r="B543" s="139"/>
      <c r="C543" s="365" t="s">
        <v>18</v>
      </c>
      <c r="D543" s="498" t="s">
        <v>38</v>
      </c>
      <c r="E543" s="141"/>
      <c r="F543" s="141"/>
      <c r="G543" s="142"/>
      <c r="H543" s="143"/>
      <c r="I543" s="135"/>
      <c r="J543" s="44"/>
      <c r="K543" s="45"/>
      <c r="L543" s="465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11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11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11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11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11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11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11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11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11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496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hidden="1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64">
        <f>I566</f>
        <v>0</v>
      </c>
      <c r="J554" s="364">
        <f>J566</f>
        <v>0</v>
      </c>
      <c r="K554" s="513">
        <f>IF(I554&gt;0,J554*100/I554,0)</f>
        <v>0</v>
      </c>
      <c r="L554" s="512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hidden="1" x14ac:dyDescent="0.3">
      <c r="A555" s="128"/>
      <c r="B555" s="40"/>
      <c r="C555" s="129" t="s">
        <v>18</v>
      </c>
      <c r="D555" s="472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471">
        <f>L556+L557</f>
        <v>0</v>
      </c>
      <c r="M555" s="470">
        <f>M556+M557</f>
        <v>0</v>
      </c>
      <c r="N555" s="470">
        <f>N556+N557</f>
        <v>0</v>
      </c>
      <c r="O555" s="470">
        <f t="shared" ref="O555:O563" si="139">IF(L555&gt;0,N555*100/L555,0)</f>
        <v>0</v>
      </c>
      <c r="P555" s="470">
        <f t="shared" ref="P555:P563" si="140">IF(M555&gt;0,N555*100/M555,0)</f>
        <v>0</v>
      </c>
      <c r="Q555" s="470">
        <f>Q556+Q557</f>
        <v>0</v>
      </c>
      <c r="R555" s="470">
        <f>R556+R557</f>
        <v>0</v>
      </c>
      <c r="S555" s="470">
        <f>S556+S557</f>
        <v>0</v>
      </c>
      <c r="T555" s="470">
        <f t="shared" ref="T555:T563" si="141">IF(Q555&gt;0,S555*100/Q555,0)</f>
        <v>0</v>
      </c>
      <c r="U555" s="470">
        <f t="shared" ref="U555:U563" si="142"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469">
        <f t="shared" ref="L556:N557" si="143">L559+L562</f>
        <v>0</v>
      </c>
      <c r="M556" s="83">
        <f t="shared" si="143"/>
        <v>0</v>
      </c>
      <c r="N556" s="83">
        <f t="shared" si="143"/>
        <v>0</v>
      </c>
      <c r="O556" s="83">
        <f t="shared" si="139"/>
        <v>0</v>
      </c>
      <c r="P556" s="83">
        <f t="shared" si="140"/>
        <v>0</v>
      </c>
      <c r="Q556" s="83">
        <f t="shared" ref="Q556:S557" si="144">Q559+Q562</f>
        <v>0</v>
      </c>
      <c r="R556" s="83">
        <f t="shared" si="144"/>
        <v>0</v>
      </c>
      <c r="S556" s="83">
        <f t="shared" si="144"/>
        <v>0</v>
      </c>
      <c r="T556" s="83">
        <f t="shared" si="141"/>
        <v>0</v>
      </c>
      <c r="U556" s="83">
        <f t="shared" si="142"/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468">
        <f t="shared" si="143"/>
        <v>0</v>
      </c>
      <c r="M557" s="224">
        <f t="shared" si="143"/>
        <v>0</v>
      </c>
      <c r="N557" s="224">
        <f t="shared" si="143"/>
        <v>0</v>
      </c>
      <c r="O557" s="224">
        <f t="shared" si="139"/>
        <v>0</v>
      </c>
      <c r="P557" s="224">
        <f t="shared" si="140"/>
        <v>0</v>
      </c>
      <c r="Q557" s="224">
        <f t="shared" si="144"/>
        <v>0</v>
      </c>
      <c r="R557" s="224">
        <f t="shared" si="144"/>
        <v>0</v>
      </c>
      <c r="S557" s="224">
        <f t="shared" si="144"/>
        <v>0</v>
      </c>
      <c r="T557" s="224">
        <f t="shared" si="141"/>
        <v>0</v>
      </c>
      <c r="U557" s="224">
        <f t="shared" si="142"/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468">
        <f>L559+L560</f>
        <v>0</v>
      </c>
      <c r="M558" s="224">
        <f>M559+M560</f>
        <v>0</v>
      </c>
      <c r="N558" s="224">
        <f>N559+N560</f>
        <v>0</v>
      </c>
      <c r="O558" s="224">
        <f t="shared" si="139"/>
        <v>0</v>
      </c>
      <c r="P558" s="224">
        <f t="shared" si="140"/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 t="shared" si="141"/>
        <v>0</v>
      </c>
      <c r="U558" s="224">
        <f t="shared" si="142"/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469">
        <v>0</v>
      </c>
      <c r="M559" s="83">
        <v>0</v>
      </c>
      <c r="N559" s="83">
        <v>0</v>
      </c>
      <c r="O559" s="83">
        <f t="shared" si="139"/>
        <v>0</v>
      </c>
      <c r="P559" s="83">
        <f t="shared" si="140"/>
        <v>0</v>
      </c>
      <c r="Q559" s="83">
        <v>0</v>
      </c>
      <c r="R559" s="83">
        <v>0</v>
      </c>
      <c r="S559" s="83">
        <v>0</v>
      </c>
      <c r="T559" s="83">
        <f t="shared" si="141"/>
        <v>0</v>
      </c>
      <c r="U559" s="83">
        <f t="shared" si="142"/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468">
        <v>0</v>
      </c>
      <c r="M560" s="224">
        <v>0</v>
      </c>
      <c r="N560" s="224">
        <v>0</v>
      </c>
      <c r="O560" s="224">
        <f t="shared" si="139"/>
        <v>0</v>
      </c>
      <c r="P560" s="224">
        <f t="shared" si="140"/>
        <v>0</v>
      </c>
      <c r="Q560" s="224">
        <v>0</v>
      </c>
      <c r="R560" s="224">
        <v>0</v>
      </c>
      <c r="S560" s="224">
        <v>0</v>
      </c>
      <c r="T560" s="224">
        <f t="shared" si="141"/>
        <v>0</v>
      </c>
      <c r="U560" s="224">
        <f t="shared" si="142"/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468">
        <f>L562+L563</f>
        <v>0</v>
      </c>
      <c r="M561" s="224">
        <f>M562+M563</f>
        <v>0</v>
      </c>
      <c r="N561" s="224">
        <f>N562+N563</f>
        <v>0</v>
      </c>
      <c r="O561" s="224">
        <f t="shared" si="139"/>
        <v>0</v>
      </c>
      <c r="P561" s="224">
        <f t="shared" si="140"/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 t="shared" si="141"/>
        <v>0</v>
      </c>
      <c r="U561" s="224">
        <f t="shared" si="142"/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469">
        <v>0</v>
      </c>
      <c r="M562" s="83">
        <v>0</v>
      </c>
      <c r="N562" s="83">
        <v>0</v>
      </c>
      <c r="O562" s="83">
        <f t="shared" si="139"/>
        <v>0</v>
      </c>
      <c r="P562" s="83">
        <f t="shared" si="140"/>
        <v>0</v>
      </c>
      <c r="Q562" s="83">
        <v>0</v>
      </c>
      <c r="R562" s="83">
        <v>0</v>
      </c>
      <c r="S562" s="83">
        <v>0</v>
      </c>
      <c r="T562" s="83">
        <f t="shared" si="141"/>
        <v>0</v>
      </c>
      <c r="U562" s="83">
        <f t="shared" si="142"/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468">
        <v>0</v>
      </c>
      <c r="M563" s="224">
        <v>0</v>
      </c>
      <c r="N563" s="224">
        <v>0</v>
      </c>
      <c r="O563" s="224">
        <f t="shared" si="139"/>
        <v>0</v>
      </c>
      <c r="P563" s="224">
        <f t="shared" si="140"/>
        <v>0</v>
      </c>
      <c r="Q563" s="224">
        <v>0</v>
      </c>
      <c r="R563" s="224">
        <v>0</v>
      </c>
      <c r="S563" s="224">
        <v>0</v>
      </c>
      <c r="T563" s="224">
        <f t="shared" si="141"/>
        <v>0</v>
      </c>
      <c r="U563" s="224">
        <f t="shared" si="142"/>
        <v>0</v>
      </c>
    </row>
    <row r="564" spans="1:21" ht="19.5" hidden="1" x14ac:dyDescent="0.3">
      <c r="A564" s="138"/>
      <c r="B564" s="139"/>
      <c r="C564" s="365" t="s">
        <v>18</v>
      </c>
      <c r="D564" s="498" t="s">
        <v>38</v>
      </c>
      <c r="E564" s="141"/>
      <c r="F564" s="141"/>
      <c r="G564" s="142"/>
      <c r="H564" s="143"/>
      <c r="I564" s="135"/>
      <c r="J564" s="44"/>
      <c r="K564" s="45"/>
      <c r="L564" s="465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11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11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11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11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11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11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11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11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11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496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hidden="1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64">
        <f>I587</f>
        <v>0</v>
      </c>
      <c r="J575" s="364">
        <f>J587</f>
        <v>0</v>
      </c>
      <c r="K575" s="513">
        <f>IF(I575&gt;0,J575*100/I575,0)</f>
        <v>0</v>
      </c>
      <c r="L575" s="512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hidden="1" x14ac:dyDescent="0.3">
      <c r="A576" s="128"/>
      <c r="B576" s="40"/>
      <c r="C576" s="129" t="s">
        <v>18</v>
      </c>
      <c r="D576" s="472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471">
        <f>L577+L578</f>
        <v>0</v>
      </c>
      <c r="M576" s="470">
        <f>M577+M578</f>
        <v>0</v>
      </c>
      <c r="N576" s="470">
        <f>N577+N578</f>
        <v>0</v>
      </c>
      <c r="O576" s="470">
        <f t="shared" ref="O576:O584" si="145">IF(L576&gt;0,N576*100/L576,0)</f>
        <v>0</v>
      </c>
      <c r="P576" s="470">
        <f t="shared" ref="P576:P584" si="146">IF(M576&gt;0,N576*100/M576,0)</f>
        <v>0</v>
      </c>
      <c r="Q576" s="470">
        <f>Q577+Q578</f>
        <v>0</v>
      </c>
      <c r="R576" s="470">
        <f>R577+R578</f>
        <v>0</v>
      </c>
      <c r="S576" s="470">
        <f>S577+S578</f>
        <v>0</v>
      </c>
      <c r="T576" s="470">
        <f t="shared" ref="T576:T584" si="147">IF(Q576&gt;0,S576*100/Q576,0)</f>
        <v>0</v>
      </c>
      <c r="U576" s="470">
        <f t="shared" ref="U576:U584" si="148"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469">
        <f t="shared" ref="L577:N578" si="149">L580+L583</f>
        <v>0</v>
      </c>
      <c r="M577" s="83">
        <f t="shared" si="149"/>
        <v>0</v>
      </c>
      <c r="N577" s="83">
        <f t="shared" si="149"/>
        <v>0</v>
      </c>
      <c r="O577" s="83">
        <f t="shared" si="145"/>
        <v>0</v>
      </c>
      <c r="P577" s="83">
        <f t="shared" si="146"/>
        <v>0</v>
      </c>
      <c r="Q577" s="83">
        <f t="shared" ref="Q577:S578" si="150">Q580+Q583</f>
        <v>0</v>
      </c>
      <c r="R577" s="83">
        <f t="shared" si="150"/>
        <v>0</v>
      </c>
      <c r="S577" s="83">
        <f t="shared" si="150"/>
        <v>0</v>
      </c>
      <c r="T577" s="83">
        <f t="shared" si="147"/>
        <v>0</v>
      </c>
      <c r="U577" s="83">
        <f t="shared" si="148"/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468">
        <f t="shared" si="149"/>
        <v>0</v>
      </c>
      <c r="M578" s="224">
        <f t="shared" si="149"/>
        <v>0</v>
      </c>
      <c r="N578" s="224">
        <f t="shared" si="149"/>
        <v>0</v>
      </c>
      <c r="O578" s="224">
        <f t="shared" si="145"/>
        <v>0</v>
      </c>
      <c r="P578" s="224">
        <f t="shared" si="146"/>
        <v>0</v>
      </c>
      <c r="Q578" s="224">
        <f t="shared" si="150"/>
        <v>0</v>
      </c>
      <c r="R578" s="224">
        <f t="shared" si="150"/>
        <v>0</v>
      </c>
      <c r="S578" s="224">
        <f t="shared" si="150"/>
        <v>0</v>
      </c>
      <c r="T578" s="224">
        <f t="shared" si="147"/>
        <v>0</v>
      </c>
      <c r="U578" s="224">
        <f t="shared" si="148"/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468">
        <f>L580+L581</f>
        <v>0</v>
      </c>
      <c r="M579" s="224">
        <f>M580+M581</f>
        <v>0</v>
      </c>
      <c r="N579" s="224">
        <f>N580+N581</f>
        <v>0</v>
      </c>
      <c r="O579" s="224">
        <f t="shared" si="145"/>
        <v>0</v>
      </c>
      <c r="P579" s="224">
        <f t="shared" si="146"/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 t="shared" si="147"/>
        <v>0</v>
      </c>
      <c r="U579" s="224">
        <f t="shared" si="148"/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469">
        <v>0</v>
      </c>
      <c r="M580" s="83">
        <v>0</v>
      </c>
      <c r="N580" s="83">
        <v>0</v>
      </c>
      <c r="O580" s="83">
        <f t="shared" si="145"/>
        <v>0</v>
      </c>
      <c r="P580" s="83">
        <f t="shared" si="146"/>
        <v>0</v>
      </c>
      <c r="Q580" s="83">
        <v>0</v>
      </c>
      <c r="R580" s="83">
        <v>0</v>
      </c>
      <c r="S580" s="83">
        <v>0</v>
      </c>
      <c r="T580" s="83">
        <f t="shared" si="147"/>
        <v>0</v>
      </c>
      <c r="U580" s="83">
        <f t="shared" si="148"/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468">
        <v>0</v>
      </c>
      <c r="M581" s="224">
        <v>0</v>
      </c>
      <c r="N581" s="224">
        <v>0</v>
      </c>
      <c r="O581" s="224">
        <f t="shared" si="145"/>
        <v>0</v>
      </c>
      <c r="P581" s="224">
        <f t="shared" si="146"/>
        <v>0</v>
      </c>
      <c r="Q581" s="224">
        <v>0</v>
      </c>
      <c r="R581" s="224">
        <v>0</v>
      </c>
      <c r="S581" s="224">
        <v>0</v>
      </c>
      <c r="T581" s="224">
        <f t="shared" si="147"/>
        <v>0</v>
      </c>
      <c r="U581" s="224">
        <f t="shared" si="148"/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468">
        <f>L583+L584</f>
        <v>0</v>
      </c>
      <c r="M582" s="224">
        <f>M583+M584</f>
        <v>0</v>
      </c>
      <c r="N582" s="224">
        <f>N583+N584</f>
        <v>0</v>
      </c>
      <c r="O582" s="224">
        <f t="shared" si="145"/>
        <v>0</v>
      </c>
      <c r="P582" s="224">
        <f t="shared" si="146"/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 t="shared" si="147"/>
        <v>0</v>
      </c>
      <c r="U582" s="224">
        <f t="shared" si="148"/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469">
        <v>0</v>
      </c>
      <c r="M583" s="83">
        <v>0</v>
      </c>
      <c r="N583" s="83">
        <v>0</v>
      </c>
      <c r="O583" s="83">
        <f t="shared" si="145"/>
        <v>0</v>
      </c>
      <c r="P583" s="83">
        <f t="shared" si="146"/>
        <v>0</v>
      </c>
      <c r="Q583" s="83">
        <v>0</v>
      </c>
      <c r="R583" s="83">
        <v>0</v>
      </c>
      <c r="S583" s="83">
        <v>0</v>
      </c>
      <c r="T583" s="83">
        <f t="shared" si="147"/>
        <v>0</v>
      </c>
      <c r="U583" s="83">
        <f t="shared" si="148"/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468">
        <v>0</v>
      </c>
      <c r="M584" s="224">
        <v>0</v>
      </c>
      <c r="N584" s="224">
        <v>0</v>
      </c>
      <c r="O584" s="224">
        <f t="shared" si="145"/>
        <v>0</v>
      </c>
      <c r="P584" s="224">
        <f t="shared" si="146"/>
        <v>0</v>
      </c>
      <c r="Q584" s="224">
        <v>0</v>
      </c>
      <c r="R584" s="224">
        <v>0</v>
      </c>
      <c r="S584" s="224">
        <v>0</v>
      </c>
      <c r="T584" s="224">
        <f t="shared" si="147"/>
        <v>0</v>
      </c>
      <c r="U584" s="224">
        <f t="shared" si="148"/>
        <v>0</v>
      </c>
    </row>
    <row r="585" spans="1:21" ht="19.5" hidden="1" x14ac:dyDescent="0.3">
      <c r="A585" s="138"/>
      <c r="B585" s="139"/>
      <c r="C585" s="365" t="s">
        <v>18</v>
      </c>
      <c r="D585" s="498" t="s">
        <v>38</v>
      </c>
      <c r="E585" s="141"/>
      <c r="F585" s="141"/>
      <c r="G585" s="142"/>
      <c r="H585" s="143"/>
      <c r="I585" s="135"/>
      <c r="J585" s="44"/>
      <c r="K585" s="45"/>
      <c r="L585" s="465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11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11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11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11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11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11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11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11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11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496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hidden="1" x14ac:dyDescent="0.3">
      <c r="A596" s="366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67" t="s">
        <v>214</v>
      </c>
      <c r="C597" s="172"/>
      <c r="D597" s="125"/>
      <c r="E597" s="27"/>
      <c r="F597" s="27"/>
      <c r="G597" s="27"/>
      <c r="H597" s="368" t="s">
        <v>99</v>
      </c>
      <c r="I597" s="182"/>
      <c r="J597" s="32"/>
      <c r="K597" s="33"/>
      <c r="L597" s="510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369"/>
      <c r="B598" s="370" t="s">
        <v>215</v>
      </c>
      <c r="C598" s="125"/>
      <c r="D598" s="27"/>
      <c r="E598" s="27"/>
      <c r="F598" s="27"/>
      <c r="G598" s="30"/>
      <c r="H598" s="371" t="s">
        <v>35</v>
      </c>
      <c r="I598" s="32"/>
      <c r="J598" s="32"/>
      <c r="K598" s="33"/>
      <c r="L598" s="510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820" t="s">
        <v>19</v>
      </c>
      <c r="E599" s="793"/>
      <c r="F599" s="793"/>
      <c r="G599" s="794"/>
      <c r="H599" s="372" t="s">
        <v>14</v>
      </c>
      <c r="I599" s="44"/>
      <c r="J599" s="44"/>
      <c r="K599" s="45"/>
      <c r="L599" s="471">
        <f>L600+L601</f>
        <v>0</v>
      </c>
      <c r="M599" s="470">
        <f>M600+M601</f>
        <v>0</v>
      </c>
      <c r="N599" s="470">
        <f>N600+N601</f>
        <v>0</v>
      </c>
      <c r="O599" s="470">
        <f t="shared" ref="O599:O607" si="151">IF(L599&gt;0,N599*100/L599,0)</f>
        <v>0</v>
      </c>
      <c r="P599" s="470">
        <f t="shared" ref="P599:P607" si="152">IF(M599&gt;0,N599*100/M599,0)</f>
        <v>0</v>
      </c>
      <c r="Q599" s="470">
        <f>Q600+Q601</f>
        <v>0</v>
      </c>
      <c r="R599" s="470">
        <f>R600+R601</f>
        <v>0</v>
      </c>
      <c r="S599" s="470">
        <f>S600+S601</f>
        <v>0</v>
      </c>
      <c r="T599" s="470">
        <f t="shared" ref="T599:T607" si="153">IF(Q599&gt;0,S599*100/Q599,0)</f>
        <v>0</v>
      </c>
      <c r="U599" s="470">
        <f t="shared" ref="U599:U607" si="154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469">
        <f t="shared" ref="L600:N601" si="155">L603+L606</f>
        <v>0</v>
      </c>
      <c r="M600" s="83">
        <f t="shared" si="155"/>
        <v>0</v>
      </c>
      <c r="N600" s="83">
        <f t="shared" si="155"/>
        <v>0</v>
      </c>
      <c r="O600" s="83">
        <f t="shared" si="151"/>
        <v>0</v>
      </c>
      <c r="P600" s="83">
        <f t="shared" si="152"/>
        <v>0</v>
      </c>
      <c r="Q600" s="83">
        <f t="shared" ref="Q600:S601" si="156">Q603+Q606</f>
        <v>0</v>
      </c>
      <c r="R600" s="83">
        <f t="shared" si="156"/>
        <v>0</v>
      </c>
      <c r="S600" s="83">
        <f t="shared" si="156"/>
        <v>0</v>
      </c>
      <c r="T600" s="83">
        <f t="shared" si="153"/>
        <v>0</v>
      </c>
      <c r="U600" s="83">
        <f t="shared" si="154"/>
        <v>0</v>
      </c>
    </row>
    <row r="601" spans="1:21" ht="18.75" hidden="1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468">
        <f t="shared" si="155"/>
        <v>0</v>
      </c>
      <c r="M601" s="224">
        <f t="shared" si="155"/>
        <v>0</v>
      </c>
      <c r="N601" s="224">
        <f t="shared" si="155"/>
        <v>0</v>
      </c>
      <c r="O601" s="224">
        <f t="shared" si="151"/>
        <v>0</v>
      </c>
      <c r="P601" s="224">
        <f t="shared" si="152"/>
        <v>0</v>
      </c>
      <c r="Q601" s="224">
        <f t="shared" si="156"/>
        <v>0</v>
      </c>
      <c r="R601" s="224">
        <f t="shared" si="156"/>
        <v>0</v>
      </c>
      <c r="S601" s="224">
        <f t="shared" si="156"/>
        <v>0</v>
      </c>
      <c r="T601" s="224">
        <f t="shared" si="153"/>
        <v>0</v>
      </c>
      <c r="U601" s="224">
        <f t="shared" si="154"/>
        <v>0</v>
      </c>
    </row>
    <row r="602" spans="1:21" ht="19.5" hidden="1" x14ac:dyDescent="0.3">
      <c r="A602" s="128"/>
      <c r="B602" s="158"/>
      <c r="C602" s="158"/>
      <c r="D602" s="494" t="s">
        <v>22</v>
      </c>
      <c r="E602" s="40"/>
      <c r="F602" s="40"/>
      <c r="G602" s="42"/>
      <c r="H602" s="372" t="s">
        <v>14</v>
      </c>
      <c r="I602" s="135"/>
      <c r="J602" s="135"/>
      <c r="K602" s="136"/>
      <c r="L602" s="468">
        <f>L603+L604</f>
        <v>0</v>
      </c>
      <c r="M602" s="224">
        <f>M603+M604</f>
        <v>0</v>
      </c>
      <c r="N602" s="224">
        <f>N603+N604</f>
        <v>0</v>
      </c>
      <c r="O602" s="224">
        <f t="shared" si="151"/>
        <v>0</v>
      </c>
      <c r="P602" s="224">
        <f t="shared" si="152"/>
        <v>0</v>
      </c>
      <c r="Q602" s="224">
        <f>Q603+Q604</f>
        <v>0</v>
      </c>
      <c r="R602" s="224">
        <f>R603+R604</f>
        <v>0</v>
      </c>
      <c r="S602" s="224">
        <f>S603+S604</f>
        <v>0</v>
      </c>
      <c r="T602" s="224">
        <f t="shared" si="153"/>
        <v>0</v>
      </c>
      <c r="U602" s="224">
        <f t="shared" si="154"/>
        <v>0</v>
      </c>
    </row>
    <row r="603" spans="1:21" ht="18.75" hidden="1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469">
        <v>0</v>
      </c>
      <c r="M603" s="83">
        <v>0</v>
      </c>
      <c r="N603" s="83">
        <v>0</v>
      </c>
      <c r="O603" s="83">
        <f t="shared" si="151"/>
        <v>0</v>
      </c>
      <c r="P603" s="83">
        <f t="shared" si="152"/>
        <v>0</v>
      </c>
      <c r="Q603" s="83">
        <v>0</v>
      </c>
      <c r="R603" s="83">
        <v>0</v>
      </c>
      <c r="S603" s="83">
        <v>0</v>
      </c>
      <c r="T603" s="83">
        <f t="shared" si="153"/>
        <v>0</v>
      </c>
      <c r="U603" s="83">
        <f t="shared" si="154"/>
        <v>0</v>
      </c>
    </row>
    <row r="604" spans="1:21" ht="18.75" hidden="1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468">
        <v>0</v>
      </c>
      <c r="M604" s="224">
        <v>0</v>
      </c>
      <c r="N604" s="224">
        <v>0</v>
      </c>
      <c r="O604" s="224">
        <f t="shared" si="151"/>
        <v>0</v>
      </c>
      <c r="P604" s="224">
        <f t="shared" si="152"/>
        <v>0</v>
      </c>
      <c r="Q604" s="224">
        <v>0</v>
      </c>
      <c r="R604" s="224">
        <v>0</v>
      </c>
      <c r="S604" s="224">
        <v>0</v>
      </c>
      <c r="T604" s="224">
        <f t="shared" si="153"/>
        <v>0</v>
      </c>
      <c r="U604" s="224">
        <f t="shared" si="154"/>
        <v>0</v>
      </c>
    </row>
    <row r="605" spans="1:21" ht="19.5" hidden="1" x14ac:dyDescent="0.3">
      <c r="A605" s="128"/>
      <c r="B605" s="158"/>
      <c r="C605" s="158"/>
      <c r="D605" s="494" t="s">
        <v>23</v>
      </c>
      <c r="E605" s="158"/>
      <c r="F605" s="40"/>
      <c r="G605" s="42"/>
      <c r="H605" s="374" t="s">
        <v>14</v>
      </c>
      <c r="I605" s="135"/>
      <c r="J605" s="135"/>
      <c r="K605" s="136"/>
      <c r="L605" s="468">
        <f>L606+L607</f>
        <v>0</v>
      </c>
      <c r="M605" s="224">
        <f>M606+M607</f>
        <v>0</v>
      </c>
      <c r="N605" s="224">
        <f>N606+N607</f>
        <v>0</v>
      </c>
      <c r="O605" s="224">
        <f t="shared" si="151"/>
        <v>0</v>
      </c>
      <c r="P605" s="224">
        <f t="shared" si="152"/>
        <v>0</v>
      </c>
      <c r="Q605" s="224">
        <f>Q606+Q607</f>
        <v>0</v>
      </c>
      <c r="R605" s="224">
        <f>R606+R607</f>
        <v>0</v>
      </c>
      <c r="S605" s="224">
        <f>S606+S607</f>
        <v>0</v>
      </c>
      <c r="T605" s="224">
        <f t="shared" si="153"/>
        <v>0</v>
      </c>
      <c r="U605" s="224">
        <f t="shared" si="154"/>
        <v>0</v>
      </c>
    </row>
    <row r="606" spans="1:21" ht="18.75" hidden="1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469">
        <v>0</v>
      </c>
      <c r="M606" s="83">
        <v>0</v>
      </c>
      <c r="N606" s="83">
        <v>0</v>
      </c>
      <c r="O606" s="83">
        <f t="shared" si="151"/>
        <v>0</v>
      </c>
      <c r="P606" s="83">
        <f t="shared" si="152"/>
        <v>0</v>
      </c>
      <c r="Q606" s="83">
        <v>0</v>
      </c>
      <c r="R606" s="83">
        <v>0</v>
      </c>
      <c r="S606" s="83">
        <v>0</v>
      </c>
      <c r="T606" s="83">
        <f t="shared" si="153"/>
        <v>0</v>
      </c>
      <c r="U606" s="83">
        <f t="shared" si="154"/>
        <v>0</v>
      </c>
    </row>
    <row r="607" spans="1:21" ht="18.75" hidden="1" x14ac:dyDescent="0.25">
      <c r="A607" s="128"/>
      <c r="B607" s="158"/>
      <c r="C607" s="158"/>
      <c r="D607" s="40"/>
      <c r="E607" s="314" t="s">
        <v>21</v>
      </c>
      <c r="F607" s="40"/>
      <c r="G607" s="42"/>
      <c r="H607" s="375" t="s">
        <v>14</v>
      </c>
      <c r="I607" s="135"/>
      <c r="J607" s="135"/>
      <c r="K607" s="136"/>
      <c r="L607" s="468">
        <v>0</v>
      </c>
      <c r="M607" s="224">
        <v>0</v>
      </c>
      <c r="N607" s="224">
        <v>0</v>
      </c>
      <c r="O607" s="224">
        <f t="shared" si="151"/>
        <v>0</v>
      </c>
      <c r="P607" s="224">
        <f t="shared" si="152"/>
        <v>0</v>
      </c>
      <c r="Q607" s="224">
        <v>0</v>
      </c>
      <c r="R607" s="224">
        <v>0</v>
      </c>
      <c r="S607" s="224">
        <v>0</v>
      </c>
      <c r="T607" s="224">
        <f t="shared" si="153"/>
        <v>0</v>
      </c>
      <c r="U607" s="224">
        <f t="shared" si="154"/>
        <v>0</v>
      </c>
    </row>
    <row r="608" spans="1:21" ht="19.5" hidden="1" x14ac:dyDescent="0.3">
      <c r="A608" s="138"/>
      <c r="B608" s="139"/>
      <c r="C608" s="177" t="s">
        <v>18</v>
      </c>
      <c r="D608" s="509" t="s">
        <v>38</v>
      </c>
      <c r="E608" s="141"/>
      <c r="F608" s="141"/>
      <c r="G608" s="142"/>
      <c r="H608" s="178"/>
      <c r="I608" s="135"/>
      <c r="J608" s="135"/>
      <c r="K608" s="136"/>
      <c r="L608" s="465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377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465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377" t="s">
        <v>217</v>
      </c>
      <c r="E610" s="145"/>
      <c r="F610" s="145"/>
      <c r="G610" s="143"/>
      <c r="H610" s="372" t="s">
        <v>35</v>
      </c>
      <c r="I610" s="44"/>
      <c r="J610" s="44"/>
      <c r="K610" s="136"/>
      <c r="L610" s="465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377" t="s">
        <v>218</v>
      </c>
      <c r="F611" s="145"/>
      <c r="G611" s="143"/>
      <c r="H611" s="375" t="s">
        <v>35</v>
      </c>
      <c r="I611" s="44"/>
      <c r="J611" s="44"/>
      <c r="K611" s="136"/>
      <c r="L611" s="465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378"/>
      <c r="B612" s="379"/>
      <c r="C612" s="379"/>
      <c r="D612" s="379"/>
      <c r="E612" s="380" t="s">
        <v>219</v>
      </c>
      <c r="F612" s="381"/>
      <c r="G612" s="382"/>
      <c r="H612" s="383" t="s">
        <v>35</v>
      </c>
      <c r="I612" s="384"/>
      <c r="J612" s="384"/>
      <c r="K612" s="385"/>
      <c r="L612" s="508"/>
      <c r="M612" s="386"/>
      <c r="N612" s="386"/>
      <c r="O612" s="386"/>
      <c r="P612" s="386"/>
      <c r="Q612" s="386"/>
      <c r="R612" s="386"/>
      <c r="S612" s="386"/>
      <c r="T612" s="386"/>
      <c r="U612" s="386"/>
    </row>
    <row r="613" spans="1:21" ht="19.5" hidden="1" x14ac:dyDescent="0.3">
      <c r="A613" s="387" t="s">
        <v>220</v>
      </c>
      <c r="B613" s="388"/>
      <c r="C613" s="388"/>
      <c r="D613" s="389"/>
      <c r="E613" s="389"/>
      <c r="F613" s="389"/>
      <c r="G613" s="390"/>
      <c r="H613" s="391"/>
      <c r="I613" s="392"/>
      <c r="J613" s="392"/>
      <c r="K613" s="393"/>
      <c r="L613" s="507"/>
      <c r="M613" s="393"/>
      <c r="N613" s="393"/>
      <c r="O613" s="393"/>
      <c r="P613" s="393"/>
      <c r="Q613" s="393"/>
      <c r="R613" s="393"/>
      <c r="S613" s="393"/>
      <c r="T613" s="393"/>
      <c r="U613" s="393"/>
    </row>
    <row r="614" spans="1:21" ht="19.5" x14ac:dyDescent="0.3">
      <c r="A614" s="394"/>
      <c r="B614" s="395" t="s">
        <v>221</v>
      </c>
      <c r="C614" s="394"/>
      <c r="D614" s="396"/>
      <c r="E614" s="396"/>
      <c r="F614" s="396"/>
      <c r="G614" s="397"/>
      <c r="H614" s="398"/>
      <c r="I614" s="399"/>
      <c r="J614" s="399"/>
      <c r="K614" s="400"/>
      <c r="L614" s="473"/>
      <c r="M614" s="400"/>
      <c r="N614" s="400"/>
      <c r="O614" s="400"/>
      <c r="P614" s="400"/>
      <c r="Q614" s="400"/>
      <c r="R614" s="400"/>
      <c r="S614" s="400"/>
      <c r="T614" s="400"/>
      <c r="U614" s="400"/>
    </row>
    <row r="615" spans="1:21" ht="19.5" x14ac:dyDescent="0.3">
      <c r="A615" s="401"/>
      <c r="B615" s="402" t="s">
        <v>222</v>
      </c>
      <c r="C615" s="401"/>
      <c r="D615" s="403"/>
      <c r="E615" s="403"/>
      <c r="F615" s="403"/>
      <c r="G615" s="404"/>
      <c r="H615" s="405" t="s">
        <v>46</v>
      </c>
      <c r="I615" s="506">
        <f ca="1">I626</f>
        <v>0</v>
      </c>
      <c r="J615" s="506">
        <f>J626</f>
        <v>0</v>
      </c>
      <c r="K615" s="505">
        <f ca="1">IF(I615&gt;0,J615*100/I615,0)</f>
        <v>0</v>
      </c>
      <c r="L615" s="504"/>
      <c r="M615" s="408"/>
      <c r="N615" s="408"/>
      <c r="O615" s="408"/>
      <c r="P615" s="408"/>
      <c r="Q615" s="408"/>
      <c r="R615" s="408"/>
      <c r="S615" s="408"/>
      <c r="T615" s="408"/>
      <c r="U615" s="408"/>
    </row>
    <row r="616" spans="1:21" ht="19.5" x14ac:dyDescent="0.3">
      <c r="A616" s="128"/>
      <c r="B616" s="158"/>
      <c r="C616" s="177" t="s">
        <v>18</v>
      </c>
      <c r="D616" s="821" t="s">
        <v>19</v>
      </c>
      <c r="E616" s="793"/>
      <c r="F616" s="793"/>
      <c r="G616" s="794"/>
      <c r="H616" s="221" t="s">
        <v>14</v>
      </c>
      <c r="I616" s="44"/>
      <c r="J616" s="44"/>
      <c r="K616" s="45"/>
      <c r="L616" s="471">
        <f>L617+L618</f>
        <v>0</v>
      </c>
      <c r="M616" s="470">
        <f>M617+M618</f>
        <v>0</v>
      </c>
      <c r="N616" s="470">
        <f>N617+N618</f>
        <v>0</v>
      </c>
      <c r="O616" s="470">
        <f t="shared" ref="O616:O624" si="157">IF(L616&gt;0,N616*100/L616,0)</f>
        <v>0</v>
      </c>
      <c r="P616" s="470">
        <f t="shared" ref="P616:P624" si="158">IF(M616&gt;0,N616*100/M616,0)</f>
        <v>0</v>
      </c>
      <c r="Q616" s="470">
        <f ca="1">Q617+Q618</f>
        <v>1825</v>
      </c>
      <c r="R616" s="470">
        <f ca="1">R617+R618</f>
        <v>1825</v>
      </c>
      <c r="S616" s="470">
        <f ca="1">S617+S618</f>
        <v>0</v>
      </c>
      <c r="T616" s="470">
        <f t="shared" ref="T616:T624" ca="1" si="159">IF(Q616&gt;0,S616*100/Q616,0)</f>
        <v>0</v>
      </c>
      <c r="U616" s="470">
        <f t="shared" ref="U616:U624" ca="1" si="160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469">
        <f t="shared" ref="L617:N618" si="161">L620+L623</f>
        <v>0</v>
      </c>
      <c r="M617" s="83">
        <f t="shared" si="161"/>
        <v>0</v>
      </c>
      <c r="N617" s="83">
        <f t="shared" si="161"/>
        <v>0</v>
      </c>
      <c r="O617" s="83">
        <f t="shared" si="157"/>
        <v>0</v>
      </c>
      <c r="P617" s="83">
        <f t="shared" si="158"/>
        <v>0</v>
      </c>
      <c r="Q617" s="83">
        <f t="shared" ref="Q617:S618" si="162">Q620+Q623</f>
        <v>0</v>
      </c>
      <c r="R617" s="83">
        <f t="shared" si="162"/>
        <v>0</v>
      </c>
      <c r="S617" s="83">
        <f t="shared" si="162"/>
        <v>0</v>
      </c>
      <c r="T617" s="83">
        <f t="shared" si="159"/>
        <v>0</v>
      </c>
      <c r="U617" s="83">
        <f t="shared" si="160"/>
        <v>0</v>
      </c>
    </row>
    <row r="618" spans="1:21" ht="18.75" hidden="1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468">
        <f t="shared" si="161"/>
        <v>0</v>
      </c>
      <c r="M618" s="224">
        <f t="shared" si="161"/>
        <v>0</v>
      </c>
      <c r="N618" s="224">
        <f t="shared" si="161"/>
        <v>0</v>
      </c>
      <c r="O618" s="224">
        <f t="shared" si="157"/>
        <v>0</v>
      </c>
      <c r="P618" s="224">
        <f t="shared" si="158"/>
        <v>0</v>
      </c>
      <c r="Q618" s="224">
        <f t="shared" ca="1" si="162"/>
        <v>1825</v>
      </c>
      <c r="R618" s="224">
        <f t="shared" ca="1" si="162"/>
        <v>1825</v>
      </c>
      <c r="S618" s="224">
        <f t="shared" ca="1" si="162"/>
        <v>0</v>
      </c>
      <c r="T618" s="224">
        <f t="shared" ca="1" si="159"/>
        <v>0</v>
      </c>
      <c r="U618" s="224">
        <f t="shared" ca="1" si="160"/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468">
        <f>L620+L621</f>
        <v>0</v>
      </c>
      <c r="M619" s="224">
        <f>M620+M621</f>
        <v>0</v>
      </c>
      <c r="N619" s="224">
        <f>N620+N621</f>
        <v>0</v>
      </c>
      <c r="O619" s="224">
        <f t="shared" si="157"/>
        <v>0</v>
      </c>
      <c r="P619" s="224">
        <f t="shared" si="158"/>
        <v>0</v>
      </c>
      <c r="Q619" s="224">
        <f ca="1">Q620+Q621</f>
        <v>1825</v>
      </c>
      <c r="R619" s="224">
        <f ca="1">R620+R621</f>
        <v>1825</v>
      </c>
      <c r="S619" s="224">
        <f ca="1">S620+S621</f>
        <v>0</v>
      </c>
      <c r="T619" s="224">
        <f t="shared" ca="1" si="159"/>
        <v>0</v>
      </c>
      <c r="U619" s="224">
        <f t="shared" ca="1" si="160"/>
        <v>0</v>
      </c>
    </row>
    <row r="620" spans="1:21" ht="18.75" hidden="1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469">
        <v>0</v>
      </c>
      <c r="M620" s="83">
        <v>0</v>
      </c>
      <c r="N620" s="83">
        <v>0</v>
      </c>
      <c r="O620" s="83">
        <f t="shared" si="157"/>
        <v>0</v>
      </c>
      <c r="P620" s="83">
        <f t="shared" si="158"/>
        <v>0</v>
      </c>
      <c r="Q620" s="83">
        <v>0</v>
      </c>
      <c r="R620" s="83">
        <v>0</v>
      </c>
      <c r="S620" s="83">
        <v>0</v>
      </c>
      <c r="T620" s="83">
        <f t="shared" si="159"/>
        <v>0</v>
      </c>
      <c r="U620" s="83">
        <f t="shared" si="160"/>
        <v>0</v>
      </c>
    </row>
    <row r="621" spans="1:21" ht="18.75" hidden="1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468">
        <v>0</v>
      </c>
      <c r="M621" s="224">
        <v>0</v>
      </c>
      <c r="N621" s="224">
        <v>0</v>
      </c>
      <c r="O621" s="224">
        <f t="shared" si="157"/>
        <v>0</v>
      </c>
      <c r="P621" s="224">
        <f t="shared" si="158"/>
        <v>0</v>
      </c>
      <c r="Q621" s="224">
        <f ca="1">IFERROR(__xludf.DUMMYFUNCTION("IMPORTRANGE(""https://docs.google.com/spreadsheets/d/1ItG2mGa2ceCfYo0BwxsXqNm01IGEUdYcSSLTEv9YCik/edit?usp=sharing"",""เบิกจ่ายกองทุน!F17"")"),1825)</f>
        <v>1825</v>
      </c>
      <c r="R621" s="224">
        <f ca="1">IFERROR(__xludf.DUMMYFUNCTION("IMPORTRANGE(""https://docs.google.com/spreadsheets/d/1ItG2mGa2ceCfYo0BwxsXqNm01IGEUdYcSSLTEv9YCik/edit?usp=sharing"",""เบิกจ่ายกองทุน!G17"")"),1825)</f>
        <v>1825</v>
      </c>
      <c r="S621" s="224">
        <f ca="1">IFERROR(__xludf.DUMMYFUNCTION("IMPORTRANGE(""https://docs.google.com/spreadsheets/d/1ItG2mGa2ceCfYo0BwxsXqNm01IGEUdYcSSLTEv9YCik/edit?usp=sharing"",""เบิกจ่ายกองทุน!H17"")"),0)</f>
        <v>0</v>
      </c>
      <c r="T621" s="224">
        <f t="shared" ca="1" si="159"/>
        <v>0</v>
      </c>
      <c r="U621" s="224">
        <f t="shared" ca="1" si="160"/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468">
        <f>L623+L624</f>
        <v>0</v>
      </c>
      <c r="M622" s="224">
        <f>M623+M624</f>
        <v>0</v>
      </c>
      <c r="N622" s="224">
        <f>N623+N624</f>
        <v>0</v>
      </c>
      <c r="O622" s="224">
        <f t="shared" si="157"/>
        <v>0</v>
      </c>
      <c r="P622" s="224">
        <f t="shared" si="158"/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 t="shared" si="159"/>
        <v>0</v>
      </c>
      <c r="U622" s="224">
        <f t="shared" si="160"/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469">
        <v>0</v>
      </c>
      <c r="M623" s="83">
        <v>0</v>
      </c>
      <c r="N623" s="83">
        <v>0</v>
      </c>
      <c r="O623" s="83">
        <f t="shared" si="157"/>
        <v>0</v>
      </c>
      <c r="P623" s="83">
        <f t="shared" si="158"/>
        <v>0</v>
      </c>
      <c r="Q623" s="83">
        <v>0</v>
      </c>
      <c r="R623" s="83">
        <v>0</v>
      </c>
      <c r="S623" s="83">
        <v>0</v>
      </c>
      <c r="T623" s="83">
        <f t="shared" si="159"/>
        <v>0</v>
      </c>
      <c r="U623" s="83">
        <f t="shared" si="160"/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468">
        <v>0</v>
      </c>
      <c r="M624" s="224">
        <v>0</v>
      </c>
      <c r="N624" s="224">
        <v>0</v>
      </c>
      <c r="O624" s="224">
        <f t="shared" si="157"/>
        <v>0</v>
      </c>
      <c r="P624" s="224">
        <f t="shared" si="158"/>
        <v>0</v>
      </c>
      <c r="Q624" s="224">
        <v>0</v>
      </c>
      <c r="R624" s="224">
        <v>0</v>
      </c>
      <c r="S624" s="224">
        <v>0</v>
      </c>
      <c r="T624" s="224">
        <f t="shared" si="159"/>
        <v>0</v>
      </c>
      <c r="U624" s="224">
        <f t="shared" si="160"/>
        <v>0</v>
      </c>
    </row>
    <row r="625" spans="1:21" ht="19.5" x14ac:dyDescent="0.3">
      <c r="A625" s="138"/>
      <c r="B625" s="139"/>
      <c r="C625" s="177" t="s">
        <v>18</v>
      </c>
      <c r="D625" s="467" t="s">
        <v>38</v>
      </c>
      <c r="E625" s="141"/>
      <c r="F625" s="141"/>
      <c r="G625" s="142"/>
      <c r="H625" s="178"/>
      <c r="I625" s="135"/>
      <c r="J625" s="135"/>
      <c r="K625" s="136"/>
      <c r="L625" s="4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10" t="s">
        <v>223</v>
      </c>
      <c r="E626" s="145"/>
      <c r="F626" s="145"/>
      <c r="G626" s="143"/>
      <c r="H626" s="411" t="s">
        <v>46</v>
      </c>
      <c r="I626" s="328">
        <f ca="1">IFERROR(__xludf.DUMMYFUNCTION("IMPORTRANGE(""https://docs.google.com/spreadsheets/d/1eHaY18a8A9IcSdp1K8H6x8fbOy06t2VsZHhMHf-1x7Y/edit?usp=sharing"",""แผน!ID17"")"),0)</f>
        <v>0</v>
      </c>
      <c r="J626" s="328">
        <f>J632</f>
        <v>0</v>
      </c>
      <c r="K626" s="470">
        <f ca="1">IF(I626&gt;0,J626*100/I626,0)</f>
        <v>0</v>
      </c>
      <c r="L626" s="4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IFERROR(__xludf.DUMMYFUNCTION("IMPORTRANGE(""https://docs.google.com/spreadsheets/d/1eHaY18a8A9IcSdp1K8H6x8fbOy06t2VsZHhMHf-1x7Y/edit?usp=sharing"",""แผน!IC17"")"),1)</f>
        <v>1</v>
      </c>
      <c r="J627" s="466">
        <v>1</v>
      </c>
      <c r="K627" s="224">
        <f ca="1">IF(I627&gt;0,(J627*100)/I627,0)</f>
        <v>100</v>
      </c>
      <c r="L627" s="4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IFERROR(__xludf.DUMMYFUNCTION("IMPORTRANGE(""https://docs.google.com/spreadsheets/d/1eHaY18a8A9IcSdp1K8H6x8fbOy06t2VsZHhMHf-1x7Y/edit?usp=sharing"",""แผน!IC17"")"),1)</f>
        <v>1</v>
      </c>
      <c r="J628" s="466">
        <v>1</v>
      </c>
      <c r="K628" s="224">
        <f ca="1">IF(I628&gt;0,(J628*100)/I628,0)</f>
        <v>100</v>
      </c>
      <c r="L628" s="4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466">
        <v>0</v>
      </c>
      <c r="K629" s="224">
        <f ca="1">IF(I$626&gt;0,J629*100/I$626,0)</f>
        <v>0</v>
      </c>
      <c r="L629" s="4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466">
        <v>0</v>
      </c>
      <c r="K630" s="224">
        <f ca="1">IF(I$626&gt;0,J630*100/I$626,0)</f>
        <v>0</v>
      </c>
      <c r="L630" s="4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466">
        <v>0</v>
      </c>
      <c r="K631" s="224">
        <f ca="1">IF(I$626&gt;0,J631*100/I$626,0)</f>
        <v>0</v>
      </c>
      <c r="L631" s="4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470">
        <f ca="1">IF(I626&gt;0,J632*100/I626,0)</f>
        <v>0</v>
      </c>
      <c r="L632" s="4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466">
        <v>0</v>
      </c>
      <c r="K633" s="45"/>
      <c r="L633" s="4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466">
        <v>0</v>
      </c>
      <c r="K634" s="45"/>
      <c r="L634" s="4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10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IFERROR(__xludf.DUMMYFUNCTION("IMPORTRANGE(""https://docs.google.com/spreadsheets/d/1eHaY18a8A9IcSdp1K8H6x8fbOy06t2VsZHhMHf-1x7Y/edit?usp=sharing"",""แผน!IE17"")"),0)</f>
        <v>0</v>
      </c>
      <c r="J635" s="328">
        <f>J636</f>
        <v>0</v>
      </c>
      <c r="K635" s="470">
        <f ca="1">IF(I635&gt;0,J635*100/I635,0)</f>
        <v>0</v>
      </c>
      <c r="L635" s="4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4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466">
        <v>0</v>
      </c>
      <c r="K637" s="45"/>
      <c r="L637" s="4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466">
        <v>0</v>
      </c>
      <c r="K638" s="45"/>
      <c r="L638" s="4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466">
        <v>0</v>
      </c>
      <c r="K639" s="45"/>
      <c r="L639" s="4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466">
        <v>0</v>
      </c>
      <c r="K640" s="45"/>
      <c r="L640" s="4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01"/>
      <c r="B641" s="402" t="s">
        <v>236</v>
      </c>
      <c r="C641" s="401"/>
      <c r="D641" s="403"/>
      <c r="E641" s="403"/>
      <c r="F641" s="403"/>
      <c r="G641" s="404"/>
      <c r="H641" s="412"/>
      <c r="I641" s="413"/>
      <c r="J641" s="413"/>
      <c r="K641" s="408"/>
      <c r="L641" s="504"/>
      <c r="M641" s="408"/>
      <c r="N641" s="408"/>
      <c r="O641" s="408"/>
      <c r="P641" s="408"/>
      <c r="Q641" s="408"/>
      <c r="R641" s="408"/>
      <c r="S641" s="408"/>
      <c r="T641" s="408"/>
      <c r="U641" s="408"/>
    </row>
    <row r="642" spans="1:21" ht="19.5" hidden="1" x14ac:dyDescent="0.3">
      <c r="A642" s="128"/>
      <c r="B642" s="158"/>
      <c r="C642" s="209" t="s">
        <v>18</v>
      </c>
      <c r="D642" s="821" t="s">
        <v>19</v>
      </c>
      <c r="E642" s="793"/>
      <c r="F642" s="793"/>
      <c r="G642" s="794"/>
      <c r="H642" s="221" t="s">
        <v>14</v>
      </c>
      <c r="I642" s="44"/>
      <c r="J642" s="44"/>
      <c r="K642" s="45"/>
      <c r="L642" s="471">
        <f>L643+L644</f>
        <v>0</v>
      </c>
      <c r="M642" s="470">
        <f>M643+M644</f>
        <v>0</v>
      </c>
      <c r="N642" s="470">
        <f>N643+N644</f>
        <v>0</v>
      </c>
      <c r="O642" s="470">
        <f t="shared" ref="O642:O650" si="163">IF(L642&gt;0,N642*100/L642,0)</f>
        <v>0</v>
      </c>
      <c r="P642" s="470">
        <f t="shared" ref="P642:P650" si="164">IF(M642&gt;0,N642*100/M642,0)</f>
        <v>0</v>
      </c>
      <c r="Q642" s="470">
        <f ca="1">Q643+Q644</f>
        <v>0</v>
      </c>
      <c r="R642" s="470">
        <f ca="1">R643+R644</f>
        <v>0</v>
      </c>
      <c r="S642" s="470">
        <f ca="1">S643+S644</f>
        <v>0</v>
      </c>
      <c r="T642" s="470">
        <f t="shared" ref="T642:T650" ca="1" si="165">IF(Q642&gt;0,S642*100/Q642,0)</f>
        <v>0</v>
      </c>
      <c r="U642" s="470">
        <f t="shared" ref="U642:U650" ca="1" si="166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469">
        <f t="shared" ref="L643:N644" si="167">L646+L649</f>
        <v>0</v>
      </c>
      <c r="M643" s="83">
        <f t="shared" si="167"/>
        <v>0</v>
      </c>
      <c r="N643" s="83">
        <f t="shared" si="167"/>
        <v>0</v>
      </c>
      <c r="O643" s="83">
        <f t="shared" si="163"/>
        <v>0</v>
      </c>
      <c r="P643" s="83">
        <f t="shared" si="164"/>
        <v>0</v>
      </c>
      <c r="Q643" s="83">
        <f t="shared" ref="Q643:S644" si="168">Q646+Q649</f>
        <v>0</v>
      </c>
      <c r="R643" s="83">
        <f t="shared" si="168"/>
        <v>0</v>
      </c>
      <c r="S643" s="83">
        <f t="shared" si="168"/>
        <v>0</v>
      </c>
      <c r="T643" s="83">
        <f t="shared" si="165"/>
        <v>0</v>
      </c>
      <c r="U643" s="83">
        <f t="shared" si="166"/>
        <v>0</v>
      </c>
    </row>
    <row r="644" spans="1:21" ht="18.75" hidden="1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468">
        <f t="shared" si="167"/>
        <v>0</v>
      </c>
      <c r="M644" s="224">
        <f t="shared" si="167"/>
        <v>0</v>
      </c>
      <c r="N644" s="224">
        <f t="shared" si="167"/>
        <v>0</v>
      </c>
      <c r="O644" s="224">
        <f t="shared" si="163"/>
        <v>0</v>
      </c>
      <c r="P644" s="224">
        <f t="shared" si="164"/>
        <v>0</v>
      </c>
      <c r="Q644" s="224">
        <f t="shared" ca="1" si="168"/>
        <v>0</v>
      </c>
      <c r="R644" s="224">
        <f t="shared" ca="1" si="168"/>
        <v>0</v>
      </c>
      <c r="S644" s="224">
        <f t="shared" ca="1" si="168"/>
        <v>0</v>
      </c>
      <c r="T644" s="224">
        <f t="shared" ca="1" si="165"/>
        <v>0</v>
      </c>
      <c r="U644" s="224">
        <f t="shared" ca="1" si="166"/>
        <v>0</v>
      </c>
    </row>
    <row r="645" spans="1:21" ht="18.75" hidden="1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468">
        <f>L646+L647</f>
        <v>0</v>
      </c>
      <c r="M645" s="224">
        <f>M646+M647</f>
        <v>0</v>
      </c>
      <c r="N645" s="224">
        <f>N646+N647</f>
        <v>0</v>
      </c>
      <c r="O645" s="224">
        <f t="shared" si="163"/>
        <v>0</v>
      </c>
      <c r="P645" s="224">
        <f t="shared" si="164"/>
        <v>0</v>
      </c>
      <c r="Q645" s="224">
        <f ca="1">Q646+Q647</f>
        <v>0</v>
      </c>
      <c r="R645" s="224">
        <f ca="1">R646+R647</f>
        <v>0</v>
      </c>
      <c r="S645" s="224">
        <f ca="1">S646+S647</f>
        <v>0</v>
      </c>
      <c r="T645" s="224">
        <f t="shared" ca="1" si="165"/>
        <v>0</v>
      </c>
      <c r="U645" s="224">
        <f t="shared" ca="1" si="166"/>
        <v>0</v>
      </c>
    </row>
    <row r="646" spans="1:21" ht="18.75" hidden="1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469">
        <v>0</v>
      </c>
      <c r="M646" s="83">
        <v>0</v>
      </c>
      <c r="N646" s="83">
        <v>0</v>
      </c>
      <c r="O646" s="83">
        <f t="shared" si="163"/>
        <v>0</v>
      </c>
      <c r="P646" s="83">
        <f t="shared" si="164"/>
        <v>0</v>
      </c>
      <c r="Q646" s="83">
        <v>0</v>
      </c>
      <c r="R646" s="83">
        <v>0</v>
      </c>
      <c r="S646" s="83">
        <v>0</v>
      </c>
      <c r="T646" s="83">
        <f t="shared" si="165"/>
        <v>0</v>
      </c>
      <c r="U646" s="83">
        <f t="shared" si="166"/>
        <v>0</v>
      </c>
    </row>
    <row r="647" spans="1:21" ht="18.75" hidden="1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468">
        <v>0</v>
      </c>
      <c r="M647" s="224">
        <v>0</v>
      </c>
      <c r="N647" s="224">
        <v>0</v>
      </c>
      <c r="O647" s="224">
        <f t="shared" si="163"/>
        <v>0</v>
      </c>
      <c r="P647" s="224">
        <f t="shared" si="164"/>
        <v>0</v>
      </c>
      <c r="Q647" s="224">
        <f ca="1">IFERROR(__xludf.DUMMYFUNCTION("IMPORTRANGE(""https://docs.google.com/spreadsheets/d/1ItG2mGa2ceCfYo0BwxsXqNm01IGEUdYcSSLTEv9YCik/edit?usp=sharing"",""เบิกจ่ายกองทุน!I17"")"),0)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IFERROR(__xludf.DUMMYFUNCTION("IMPORTRANGE(""https://docs.google.com/spreadsheets/d/1ItG2mGa2ceCfYo0BwxsXqNm01IGEUdYcSSLTEv9YCik/edit?usp=sharing"",""เบิกจ่ายกองทุน!J17"")"),0)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IFERROR(__xludf.DUMMYFUNCTION("IMPORTRANGE(""https://docs.google.com/spreadsheets/d/1ItG2mGa2ceCfYo0BwxsXqNm01IGEUdYcSSLTEv9YCik/edit?usp=sharing"",""เบิกจ่ายกองทุน!K17"")"),0)</f>
        <v>0</v>
      </c>
      <c r="T647" s="224">
        <f t="shared" ca="1" si="165"/>
        <v>0</v>
      </c>
      <c r="U647" s="224">
        <f t="shared" ca="1" si="166"/>
        <v>0</v>
      </c>
    </row>
    <row r="648" spans="1:21" ht="18.75" hidden="1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468">
        <f>L649+L650</f>
        <v>0</v>
      </c>
      <c r="M648" s="224">
        <f>M649+M650</f>
        <v>0</v>
      </c>
      <c r="N648" s="224">
        <f>N649+N650</f>
        <v>0</v>
      </c>
      <c r="O648" s="224">
        <f t="shared" si="163"/>
        <v>0</v>
      </c>
      <c r="P648" s="224">
        <f t="shared" si="164"/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 t="shared" si="165"/>
        <v>0</v>
      </c>
      <c r="U648" s="224">
        <f t="shared" si="166"/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469">
        <v>0</v>
      </c>
      <c r="M649" s="83">
        <v>0</v>
      </c>
      <c r="N649" s="83">
        <v>0</v>
      </c>
      <c r="O649" s="83">
        <f t="shared" si="163"/>
        <v>0</v>
      </c>
      <c r="P649" s="83">
        <f t="shared" si="164"/>
        <v>0</v>
      </c>
      <c r="Q649" s="83">
        <v>0</v>
      </c>
      <c r="R649" s="83">
        <v>0</v>
      </c>
      <c r="S649" s="83">
        <v>0</v>
      </c>
      <c r="T649" s="83">
        <f t="shared" si="165"/>
        <v>0</v>
      </c>
      <c r="U649" s="83">
        <f t="shared" si="166"/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468">
        <v>0</v>
      </c>
      <c r="M650" s="224">
        <v>0</v>
      </c>
      <c r="N650" s="224">
        <v>0</v>
      </c>
      <c r="O650" s="224">
        <f t="shared" si="163"/>
        <v>0</v>
      </c>
      <c r="P650" s="224">
        <f t="shared" si="164"/>
        <v>0</v>
      </c>
      <c r="Q650" s="224">
        <v>0</v>
      </c>
      <c r="R650" s="224">
        <v>0</v>
      </c>
      <c r="S650" s="224">
        <v>0</v>
      </c>
      <c r="T650" s="224">
        <f t="shared" si="165"/>
        <v>0</v>
      </c>
      <c r="U650" s="224">
        <f t="shared" si="166"/>
        <v>0</v>
      </c>
    </row>
    <row r="651" spans="1:21" ht="19.5" hidden="1" x14ac:dyDescent="0.3">
      <c r="A651" s="138"/>
      <c r="B651" s="139"/>
      <c r="C651" s="209" t="s">
        <v>18</v>
      </c>
      <c r="D651" s="503" t="s">
        <v>38</v>
      </c>
      <c r="E651" s="141"/>
      <c r="F651" s="141"/>
      <c r="G651" s="142"/>
      <c r="H651" s="178"/>
      <c r="I651" s="135"/>
      <c r="J651" s="135"/>
      <c r="K651" s="136"/>
      <c r="L651" s="4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502">
        <f ca="1">IFERROR(__xludf.DUMMYFUNCTION("IMPORTRANGE(""https://docs.google.com/spreadsheets/d/1eHaY18a8A9IcSdp1K8H6x8fbOy06t2VsZHhMHf-1x7Y/edit?usp=sharing"",""แผน!IF17"")"),0)</f>
        <v>0</v>
      </c>
      <c r="J652" s="184">
        <f ca="1">IFERROR(__xludf.DUMMYFUNCTION("IMPORTRANGE(""https://docs.google.com/spreadsheets/d/1tdoBKaGub7dwA3U6UFTqxio9LNnvDCQjHKmttSEBsFQ/edit?usp=sharing"",""จัดที่ดิน!AU17"")"),0)</f>
        <v>0</v>
      </c>
      <c r="K652" s="224">
        <f ca="1">IF(I652&gt;0,J652*100/I652,0)</f>
        <v>0</v>
      </c>
      <c r="L652" s="465"/>
      <c r="M652" s="45"/>
      <c r="N652" s="416"/>
      <c r="O652" s="45"/>
      <c r="P652" s="45"/>
      <c r="Q652" s="45"/>
      <c r="R652" s="45"/>
      <c r="S652" s="416"/>
      <c r="T652" s="45"/>
      <c r="U652" s="45"/>
    </row>
    <row r="653" spans="1:21" ht="18.75" hidden="1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502">
        <f ca="1">IFERROR(__xludf.DUMMYFUNCTION("IMPORTRANGE(""https://docs.google.com/spreadsheets/d/1eHaY18a8A9IcSdp1K8H6x8fbOy06t2VsZHhMHf-1x7Y/edit?usp=sharing"",""แผน!IG17"")"),0)</f>
        <v>0</v>
      </c>
      <c r="J653" s="184">
        <f ca="1">IFERROR(__xludf.DUMMYFUNCTION("IMPORTRANGE(""https://docs.google.com/spreadsheets/d/1tdoBKaGub7dwA3U6UFTqxio9LNnvDCQjHKmttSEBsFQ/edit?usp=sharing"",""จัดที่ดิน!AW17"")"),0)</f>
        <v>0</v>
      </c>
      <c r="K653" s="224">
        <f ca="1">IF(I653&gt;0,J653*100/I653,0)</f>
        <v>0</v>
      </c>
      <c r="L653" s="465"/>
      <c r="M653" s="45"/>
      <c r="N653" s="416"/>
      <c r="O653" s="45"/>
      <c r="P653" s="45"/>
      <c r="Q653" s="45"/>
      <c r="R653" s="45"/>
      <c r="S653" s="416"/>
      <c r="T653" s="45"/>
      <c r="U653" s="45"/>
    </row>
    <row r="654" spans="1:21" ht="19.5" hidden="1" x14ac:dyDescent="0.3">
      <c r="A654" s="208"/>
      <c r="B654" s="158"/>
      <c r="C654" s="158"/>
      <c r="D654" s="47" t="s">
        <v>239</v>
      </c>
      <c r="E654" s="40"/>
      <c r="F654" s="40"/>
      <c r="G654" s="42"/>
      <c r="H654" s="411" t="s">
        <v>46</v>
      </c>
      <c r="I654" s="501">
        <f ca="1">IFERROR(__xludf.DUMMYFUNCTION("IMPORTRANGE(""https://docs.google.com/spreadsheets/d/1eHaY18a8A9IcSdp1K8H6x8fbOy06t2VsZHhMHf-1x7Y/edit?usp=sharing"",""แผน!IH17"")"),0)</f>
        <v>0</v>
      </c>
      <c r="J654" s="328">
        <f>J657+J660</f>
        <v>0</v>
      </c>
      <c r="K654" s="470">
        <f ca="1">IF(I654&gt;0,J654*100/I654,0)</f>
        <v>0</v>
      </c>
      <c r="L654" s="465"/>
      <c r="M654" s="45"/>
      <c r="N654" s="416"/>
      <c r="O654" s="45"/>
      <c r="P654" s="45"/>
      <c r="Q654" s="45"/>
      <c r="R654" s="45"/>
      <c r="S654" s="416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466">
        <v>0</v>
      </c>
      <c r="K655" s="45"/>
      <c r="L655" s="465"/>
      <c r="M655" s="45"/>
      <c r="N655" s="416"/>
      <c r="O655" s="45"/>
      <c r="P655" s="45"/>
      <c r="Q655" s="45"/>
      <c r="R655" s="45"/>
      <c r="S655" s="416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466">
        <v>0</v>
      </c>
      <c r="K656" s="45"/>
      <c r="L656" s="465"/>
      <c r="M656" s="45"/>
      <c r="N656" s="416"/>
      <c r="O656" s="45"/>
      <c r="P656" s="45"/>
      <c r="Q656" s="45"/>
      <c r="R656" s="45"/>
      <c r="S656" s="416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02">
        <f ca="1">IFERROR(__xludf.DUMMYFUNCTION("IMPORTRANGE(""https://docs.google.com/spreadsheets/d/1eHaY18a8A9IcSdp1K8H6x8fbOy06t2VsZHhMHf-1x7Y/edit?usp=sharing"",""แผน!II17"")"),0)</f>
        <v>0</v>
      </c>
      <c r="J657" s="466">
        <v>0</v>
      </c>
      <c r="K657" s="45"/>
      <c r="L657" s="465"/>
      <c r="M657" s="45"/>
      <c r="N657" s="416"/>
      <c r="O657" s="45"/>
      <c r="P657" s="45"/>
      <c r="Q657" s="45"/>
      <c r="R657" s="45"/>
      <c r="S657" s="416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466">
        <v>0</v>
      </c>
      <c r="K658" s="45"/>
      <c r="L658" s="465"/>
      <c r="M658" s="45"/>
      <c r="N658" s="416"/>
      <c r="O658" s="45"/>
      <c r="P658" s="45"/>
      <c r="Q658" s="45"/>
      <c r="R658" s="45"/>
      <c r="S658" s="416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466">
        <v>0</v>
      </c>
      <c r="K659" s="45"/>
      <c r="L659" s="465"/>
      <c r="M659" s="45"/>
      <c r="N659" s="416"/>
      <c r="O659" s="45"/>
      <c r="P659" s="45"/>
      <c r="Q659" s="45"/>
      <c r="R659" s="45"/>
      <c r="S659" s="416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02">
        <f ca="1">IFERROR(__xludf.DUMMYFUNCTION("IMPORTRANGE(""https://docs.google.com/spreadsheets/d/1eHaY18a8A9IcSdp1K8H6x8fbOy06t2VsZHhMHf-1x7Y/edit?usp=sharing"",""แผน!IJ17"")"),0)</f>
        <v>0</v>
      </c>
      <c r="J660" s="466">
        <v>0</v>
      </c>
      <c r="K660" s="45"/>
      <c r="L660" s="465"/>
      <c r="M660" s="45"/>
      <c r="N660" s="416"/>
      <c r="O660" s="45"/>
      <c r="P660" s="45"/>
      <c r="Q660" s="45"/>
      <c r="R660" s="45"/>
      <c r="S660" s="416"/>
      <c r="T660" s="45"/>
      <c r="U660" s="45"/>
    </row>
    <row r="661" spans="1:21" ht="19.5" hidden="1" x14ac:dyDescent="0.3">
      <c r="A661" s="208"/>
      <c r="B661" s="158"/>
      <c r="C661" s="158"/>
      <c r="D661" s="332" t="s">
        <v>242</v>
      </c>
      <c r="E661" s="40"/>
      <c r="F661" s="40"/>
      <c r="G661" s="42"/>
      <c r="H661" s="411" t="s">
        <v>46</v>
      </c>
      <c r="I661" s="501">
        <f ca="1">IFERROR(__xludf.DUMMYFUNCTION("IMPORTRANGE(""https://docs.google.com/spreadsheets/d/1eHaY18a8A9IcSdp1K8H6x8fbOy06t2VsZHhMHf-1x7Y/edit?usp=sharing"",""แผน!IK17"")"),0)</f>
        <v>0</v>
      </c>
      <c r="J661" s="328">
        <f>J667+J670</f>
        <v>0</v>
      </c>
      <c r="K661" s="470">
        <f ca="1">IF(I661&gt;0,J661*100/I661,0)</f>
        <v>0</v>
      </c>
      <c r="L661" s="465"/>
      <c r="M661" s="45"/>
      <c r="N661" s="416"/>
      <c r="O661" s="45"/>
      <c r="P661" s="45"/>
      <c r="Q661" s="45"/>
      <c r="R661" s="45"/>
      <c r="S661" s="416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466">
        <v>0</v>
      </c>
      <c r="K662" s="45"/>
      <c r="L662" s="500"/>
      <c r="M662" s="45"/>
      <c r="N662" s="416"/>
      <c r="O662" s="45"/>
      <c r="P662" s="45"/>
      <c r="Q662" s="416"/>
      <c r="R662" s="45"/>
      <c r="S662" s="416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466">
        <v>0</v>
      </c>
      <c r="K663" s="45"/>
      <c r="L663" s="500"/>
      <c r="M663" s="45"/>
      <c r="N663" s="416"/>
      <c r="O663" s="45"/>
      <c r="P663" s="45"/>
      <c r="Q663" s="416"/>
      <c r="R663" s="45"/>
      <c r="S663" s="416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500"/>
      <c r="M664" s="45"/>
      <c r="N664" s="416"/>
      <c r="O664" s="45"/>
      <c r="P664" s="45"/>
      <c r="Q664" s="416"/>
      <c r="R664" s="45"/>
      <c r="S664" s="416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466">
        <v>0</v>
      </c>
      <c r="K665" s="45"/>
      <c r="L665" s="500"/>
      <c r="M665" s="45"/>
      <c r="N665" s="416"/>
      <c r="O665" s="45"/>
      <c r="P665" s="45"/>
      <c r="Q665" s="416"/>
      <c r="R665" s="45"/>
      <c r="S665" s="416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466">
        <v>0</v>
      </c>
      <c r="K666" s="45"/>
      <c r="L666" s="500"/>
      <c r="M666" s="45"/>
      <c r="N666" s="416"/>
      <c r="O666" s="45"/>
      <c r="P666" s="45"/>
      <c r="Q666" s="416"/>
      <c r="R666" s="45"/>
      <c r="S666" s="416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466">
        <v>0</v>
      </c>
      <c r="K667" s="45"/>
      <c r="L667" s="500"/>
      <c r="M667" s="45"/>
      <c r="N667" s="416"/>
      <c r="O667" s="45"/>
      <c r="P667" s="45"/>
      <c r="Q667" s="416"/>
      <c r="R667" s="45"/>
      <c r="S667" s="416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466">
        <v>0</v>
      </c>
      <c r="K668" s="45"/>
      <c r="L668" s="500"/>
      <c r="M668" s="45"/>
      <c r="N668" s="416"/>
      <c r="O668" s="45"/>
      <c r="P668" s="45"/>
      <c r="Q668" s="416"/>
      <c r="R668" s="45"/>
      <c r="S668" s="416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466">
        <v>0</v>
      </c>
      <c r="K669" s="45"/>
      <c r="L669" s="500"/>
      <c r="M669" s="45"/>
      <c r="N669" s="416"/>
      <c r="O669" s="45"/>
      <c r="P669" s="45"/>
      <c r="Q669" s="416"/>
      <c r="R669" s="45"/>
      <c r="S669" s="416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466">
        <v>0</v>
      </c>
      <c r="K670" s="45"/>
      <c r="L670" s="500"/>
      <c r="M670" s="45"/>
      <c r="N670" s="416"/>
      <c r="O670" s="45"/>
      <c r="P670" s="45"/>
      <c r="Q670" s="416"/>
      <c r="R670" s="45"/>
      <c r="S670" s="416"/>
      <c r="T670" s="45"/>
      <c r="U670" s="45"/>
    </row>
    <row r="671" spans="1:21" ht="18.75" hidden="1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IFERROR(__xludf.DUMMYFUNCTION("IMPORTRANGE(""https://docs.google.com/spreadsheets/d/1tdoBKaGub7dwA3U6UFTqxio9LNnvDCQjHKmttSEBsFQ/edit?usp=sharing"",""จัดที่ดิน!AY17"")"),0)</f>
        <v>0</v>
      </c>
      <c r="K671" s="45"/>
      <c r="L671" s="465"/>
      <c r="M671" s="45"/>
      <c r="N671" s="416"/>
      <c r="O671" s="45"/>
      <c r="P671" s="45"/>
      <c r="Q671" s="45"/>
      <c r="R671" s="45"/>
      <c r="S671" s="416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IFERROR(__xludf.DUMMYFUNCTION("IMPORTRANGE(""https://docs.google.com/spreadsheets/d/1tdoBKaGub7dwA3U6UFTqxio9LNnvDCQjHKmttSEBsFQ/edit?usp=sharing"",""จัดที่ดิน!AZ17"")"),0)</f>
        <v>0</v>
      </c>
      <c r="K672" s="45"/>
      <c r="L672" s="500"/>
      <c r="M672" s="45"/>
      <c r="N672" s="416"/>
      <c r="O672" s="45"/>
      <c r="P672" s="45"/>
      <c r="Q672" s="416"/>
      <c r="R672" s="45"/>
      <c r="S672" s="416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02">
        <f ca="1">IFERROR(__xludf.DUMMYFUNCTION("IMPORTRANGE(""https://docs.google.com/spreadsheets/d/1eHaY18a8A9IcSdp1K8H6x8fbOy06t2VsZHhMHf-1x7Y/edit?usp=sharing"",""แผน!IL17"")"),0)</f>
        <v>0</v>
      </c>
      <c r="J673" s="184">
        <f ca="1">IFERROR(__xludf.DUMMYFUNCTION("IMPORTRANGE(""https://docs.google.com/spreadsheets/d/1tdoBKaGub7dwA3U6UFTqxio9LNnvDCQjHKmttSEBsFQ/edit?usp=sharing"",""จัดที่ดิน!BA17"")"),0)</f>
        <v>0</v>
      </c>
      <c r="K673" s="224">
        <f ca="1">IF(I673&gt;0,J673*100/I673,0)</f>
        <v>0</v>
      </c>
      <c r="L673" s="500"/>
      <c r="M673" s="45"/>
      <c r="N673" s="416"/>
      <c r="O673" s="45"/>
      <c r="P673" s="45"/>
      <c r="Q673" s="416"/>
      <c r="R673" s="45"/>
      <c r="S673" s="416"/>
      <c r="T673" s="45"/>
      <c r="U673" s="45"/>
    </row>
    <row r="674" spans="1:21" ht="19.5" hidden="1" x14ac:dyDescent="0.3">
      <c r="A674" s="208"/>
      <c r="B674" s="158"/>
      <c r="C674" s="158"/>
      <c r="D674" s="47" t="s">
        <v>248</v>
      </c>
      <c r="E674" s="40"/>
      <c r="F674" s="40"/>
      <c r="G674" s="42"/>
      <c r="H674" s="411" t="s">
        <v>35</v>
      </c>
      <c r="I674" s="501">
        <f ca="1">IFERROR(__xludf.DUMMYFUNCTION("IMPORTRANGE(""https://docs.google.com/spreadsheets/d/1eHaY18a8A9IcSdp1K8H6x8fbOy06t2VsZHhMHf-1x7Y/edit?usp=sharing"",""แผน!IM17"")"),0)</f>
        <v>0</v>
      </c>
      <c r="J674" s="328">
        <f ca="1">J676+J679</f>
        <v>0</v>
      </c>
      <c r="K674" s="470">
        <f ca="1">IF(I674&gt;0,J674*100/I674,0)</f>
        <v>0</v>
      </c>
      <c r="L674" s="500"/>
      <c r="M674" s="45"/>
      <c r="N674" s="416"/>
      <c r="O674" s="45"/>
      <c r="P674" s="45"/>
      <c r="Q674" s="416"/>
      <c r="R674" s="45"/>
      <c r="S674" s="416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11" t="s">
        <v>46</v>
      </c>
      <c r="I675" s="501">
        <f ca="1">IFERROR(__xludf.DUMMYFUNCTION("IMPORTRANGE(""https://docs.google.com/spreadsheets/d/1eHaY18a8A9IcSdp1K8H6x8fbOy06t2VsZHhMHf-1x7Y/edit?usp=sharing"",""แผน!IN17"")"),0)</f>
        <v>0</v>
      </c>
      <c r="J675" s="328">
        <f ca="1">J678+J681</f>
        <v>0</v>
      </c>
      <c r="K675" s="470">
        <f ca="1">IF(I675&gt;0,J675*100/I675,0)</f>
        <v>0</v>
      </c>
      <c r="L675" s="465"/>
      <c r="M675" s="45"/>
      <c r="N675" s="416"/>
      <c r="O675" s="45"/>
      <c r="P675" s="45"/>
      <c r="Q675" s="45"/>
      <c r="R675" s="45"/>
      <c r="S675" s="416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502">
        <f ca="1">IFERROR(__xludf.DUMMYFUNCTION("IMPORTRANGE(""https://docs.google.com/spreadsheets/d/1eHaY18a8A9IcSdp1K8H6x8fbOy06t2VsZHhMHf-1x7Y/edit?usp=sharing"",""แผน!IO17"")"),0)</f>
        <v>0</v>
      </c>
      <c r="J676" s="184">
        <f ca="1">IFERROR(__xludf.DUMMYFUNCTION("IMPORTRANGE(""https://docs.google.com/spreadsheets/d/1tdoBKaGub7dwA3U6UFTqxio9LNnvDCQjHKmttSEBsFQ/edit?usp=sharing"",""จัดที่ดิน!BF17"")"),0)</f>
        <v>0</v>
      </c>
      <c r="K676" s="224">
        <f ca="1">IF(I676&gt;0,J676*100/I676,0)</f>
        <v>0</v>
      </c>
      <c r="L676" s="465"/>
      <c r="M676" s="45"/>
      <c r="N676" s="416"/>
      <c r="O676" s="45"/>
      <c r="P676" s="45"/>
      <c r="Q676" s="45"/>
      <c r="R676" s="45"/>
      <c r="S676" s="416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IFERROR(__xludf.DUMMYFUNCTION("IMPORTRANGE(""https://docs.google.com/spreadsheets/d/1tdoBKaGub7dwA3U6UFTqxio9LNnvDCQjHKmttSEBsFQ/edit?usp=sharing"",""จัดที่ดิน!BG17"")"),0)</f>
        <v>0</v>
      </c>
      <c r="K677" s="45"/>
      <c r="L677" s="500"/>
      <c r="M677" s="45"/>
      <c r="N677" s="416"/>
      <c r="O677" s="45"/>
      <c r="P677" s="45"/>
      <c r="Q677" s="416"/>
      <c r="R677" s="45"/>
      <c r="S677" s="416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02">
        <f ca="1">IFERROR(__xludf.DUMMYFUNCTION("IMPORTRANGE(""https://docs.google.com/spreadsheets/d/1eHaY18a8A9IcSdp1K8H6x8fbOy06t2VsZHhMHf-1x7Y/edit?usp=sharing"",""แผน!IP17"")"),0)</f>
        <v>0</v>
      </c>
      <c r="J678" s="184">
        <f ca="1">IFERROR(__xludf.DUMMYFUNCTION("IMPORTRANGE(""https://docs.google.com/spreadsheets/d/1tdoBKaGub7dwA3U6UFTqxio9LNnvDCQjHKmttSEBsFQ/edit?usp=sharing"",""จัดที่ดิน!BH17"")"),0)</f>
        <v>0</v>
      </c>
      <c r="K678" s="224">
        <f ca="1">IF(I678&gt;0,J678*100/I678,0)</f>
        <v>0</v>
      </c>
      <c r="L678" s="500"/>
      <c r="M678" s="45"/>
      <c r="N678" s="416"/>
      <c r="O678" s="45"/>
      <c r="P678" s="45"/>
      <c r="Q678" s="416"/>
      <c r="R678" s="45"/>
      <c r="S678" s="416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502">
        <f ca="1">IFERROR(__xludf.DUMMYFUNCTION("IMPORTRANGE(""https://docs.google.com/spreadsheets/d/1eHaY18a8A9IcSdp1K8H6x8fbOy06t2VsZHhMHf-1x7Y/edit?usp=sharing"",""แผน!IQ17"")"),0)</f>
        <v>0</v>
      </c>
      <c r="J679" s="184">
        <f ca="1">IFERROR(__xludf.DUMMYFUNCTION("IMPORTRANGE(""https://docs.google.com/spreadsheets/d/1tdoBKaGub7dwA3U6UFTqxio9LNnvDCQjHKmttSEBsFQ/edit?usp=sharing"",""จัดที่ดิน!BK17"")"),0)</f>
        <v>0</v>
      </c>
      <c r="K679" s="224">
        <f ca="1">IF(I679&gt;0,J679*100/I679,0)</f>
        <v>0</v>
      </c>
      <c r="L679" s="465"/>
      <c r="M679" s="45"/>
      <c r="N679" s="416"/>
      <c r="O679" s="45"/>
      <c r="P679" s="45"/>
      <c r="Q679" s="45"/>
      <c r="R679" s="45"/>
      <c r="S679" s="416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IFERROR(__xludf.DUMMYFUNCTION("IMPORTRANGE(""https://docs.google.com/spreadsheets/d/1tdoBKaGub7dwA3U6UFTqxio9LNnvDCQjHKmttSEBsFQ/edit?usp=sharing"",""จัดที่ดิน!BL17"")"),0)</f>
        <v>0</v>
      </c>
      <c r="K680" s="45"/>
      <c r="L680" s="500"/>
      <c r="M680" s="45"/>
      <c r="N680" s="416"/>
      <c r="O680" s="45"/>
      <c r="P680" s="45"/>
      <c r="Q680" s="416"/>
      <c r="R680" s="45"/>
      <c r="S680" s="416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02">
        <f ca="1">IFERROR(__xludf.DUMMYFUNCTION("IMPORTRANGE(""https://docs.google.com/spreadsheets/d/1eHaY18a8A9IcSdp1K8H6x8fbOy06t2VsZHhMHf-1x7Y/edit?usp=sharing"",""แผน!IR17"")"),0)</f>
        <v>0</v>
      </c>
      <c r="J681" s="184">
        <f ca="1">IFERROR(__xludf.DUMMYFUNCTION("IMPORTRANGE(""https://docs.google.com/spreadsheets/d/1tdoBKaGub7dwA3U6UFTqxio9LNnvDCQjHKmttSEBsFQ/edit?usp=sharing"",""จัดที่ดิน!BM17"")"),0)</f>
        <v>0</v>
      </c>
      <c r="K681" s="224">
        <f ca="1">IF(I681&gt;0,J681*100/I681,0)</f>
        <v>0</v>
      </c>
      <c r="L681" s="500"/>
      <c r="M681" s="45"/>
      <c r="N681" s="416"/>
      <c r="O681" s="45"/>
      <c r="P681" s="45"/>
      <c r="Q681" s="416"/>
      <c r="R681" s="45"/>
      <c r="S681" s="416"/>
      <c r="T681" s="45"/>
      <c r="U681" s="45"/>
    </row>
    <row r="682" spans="1:21" ht="19.5" hidden="1" x14ac:dyDescent="0.3">
      <c r="A682" s="208"/>
      <c r="B682" s="158"/>
      <c r="C682" s="158"/>
      <c r="D682" s="47" t="s">
        <v>251</v>
      </c>
      <c r="E682" s="40"/>
      <c r="F682" s="40"/>
      <c r="G682" s="42"/>
      <c r="H682" s="411" t="s">
        <v>46</v>
      </c>
      <c r="I682" s="501">
        <f ca="1">IFERROR(__xludf.DUMMYFUNCTION("IMPORTRANGE(""https://docs.google.com/spreadsheets/d/1eHaY18a8A9IcSdp1K8H6x8fbOy06t2VsZHhMHf-1x7Y/edit?usp=sharing"",""แผน!IS17"")"),0)</f>
        <v>0</v>
      </c>
      <c r="J682" s="328">
        <f>J685+J688</f>
        <v>0</v>
      </c>
      <c r="K682" s="470">
        <f ca="1">IF(I682&gt;0,J682*100/I682,0)</f>
        <v>0</v>
      </c>
      <c r="L682" s="465"/>
      <c r="M682" s="45"/>
      <c r="N682" s="416"/>
      <c r="O682" s="45"/>
      <c r="P682" s="45"/>
      <c r="Q682" s="45"/>
      <c r="R682" s="45"/>
      <c r="S682" s="416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466">
        <v>0</v>
      </c>
      <c r="K683" s="45"/>
      <c r="L683" s="500"/>
      <c r="M683" s="45"/>
      <c r="N683" s="416"/>
      <c r="O683" s="45"/>
      <c r="P683" s="45"/>
      <c r="Q683" s="416"/>
      <c r="R683" s="45"/>
      <c r="S683" s="416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466">
        <v>0</v>
      </c>
      <c r="K684" s="45"/>
      <c r="L684" s="500"/>
      <c r="M684" s="45"/>
      <c r="N684" s="416"/>
      <c r="O684" s="45"/>
      <c r="P684" s="45"/>
      <c r="Q684" s="416"/>
      <c r="R684" s="45"/>
      <c r="S684" s="416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466">
        <v>0</v>
      </c>
      <c r="K685" s="45"/>
      <c r="L685" s="500"/>
      <c r="M685" s="45"/>
      <c r="N685" s="416"/>
      <c r="O685" s="45"/>
      <c r="P685" s="45"/>
      <c r="Q685" s="416"/>
      <c r="R685" s="45"/>
      <c r="S685" s="416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466">
        <v>0</v>
      </c>
      <c r="K686" s="45"/>
      <c r="L686" s="500"/>
      <c r="M686" s="45"/>
      <c r="N686" s="416"/>
      <c r="O686" s="45"/>
      <c r="P686" s="45"/>
      <c r="Q686" s="416"/>
      <c r="R686" s="45"/>
      <c r="S686" s="416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466">
        <v>0</v>
      </c>
      <c r="K687" s="45"/>
      <c r="L687" s="500"/>
      <c r="M687" s="45"/>
      <c r="N687" s="416"/>
      <c r="O687" s="45"/>
      <c r="P687" s="45"/>
      <c r="Q687" s="416"/>
      <c r="R687" s="45"/>
      <c r="S687" s="416"/>
      <c r="T687" s="45"/>
      <c r="U687" s="45"/>
    </row>
    <row r="688" spans="1:21" ht="19.5" hidden="1" x14ac:dyDescent="0.3">
      <c r="A688" s="249"/>
      <c r="B688" s="419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464">
        <v>0</v>
      </c>
      <c r="K688" s="3"/>
      <c r="L688" s="499"/>
      <c r="M688" s="3"/>
      <c r="N688" s="420"/>
      <c r="O688" s="3"/>
      <c r="P688" s="3"/>
      <c r="Q688" s="420"/>
      <c r="R688" s="3"/>
      <c r="S688" s="420"/>
      <c r="T688" s="3"/>
      <c r="U688" s="3"/>
    </row>
    <row r="689" spans="1:21" ht="19.5" x14ac:dyDescent="0.3">
      <c r="A689" s="394"/>
      <c r="B689" s="395" t="s">
        <v>255</v>
      </c>
      <c r="C689" s="394"/>
      <c r="D689" s="396"/>
      <c r="E689" s="396"/>
      <c r="F689" s="396"/>
      <c r="G689" s="397"/>
      <c r="H689" s="434" t="s">
        <v>35</v>
      </c>
      <c r="I689" s="475">
        <f ca="1">I707</f>
        <v>15</v>
      </c>
      <c r="J689" s="475">
        <f ca="1">J707</f>
        <v>0</v>
      </c>
      <c r="K689" s="474">
        <f ca="1">IF(I689&gt;0,J689*100/I689,0)</f>
        <v>0</v>
      </c>
      <c r="L689" s="473"/>
      <c r="M689" s="400"/>
      <c r="N689" s="400"/>
      <c r="O689" s="400"/>
      <c r="P689" s="400"/>
      <c r="Q689" s="400"/>
      <c r="R689" s="400"/>
      <c r="S689" s="400"/>
      <c r="T689" s="400"/>
      <c r="U689" s="400"/>
    </row>
    <row r="690" spans="1:21" ht="19.5" x14ac:dyDescent="0.3">
      <c r="A690" s="128"/>
      <c r="B690" s="158"/>
      <c r="C690" s="177" t="s">
        <v>18</v>
      </c>
      <c r="D690" s="821" t="s">
        <v>19</v>
      </c>
      <c r="E690" s="793"/>
      <c r="F690" s="793"/>
      <c r="G690" s="794"/>
      <c r="H690" s="221" t="s">
        <v>14</v>
      </c>
      <c r="I690" s="44"/>
      <c r="J690" s="44"/>
      <c r="K690" s="45"/>
      <c r="L690" s="471">
        <f>L691+L692</f>
        <v>0</v>
      </c>
      <c r="M690" s="470">
        <f>M691+M692</f>
        <v>0</v>
      </c>
      <c r="N690" s="470">
        <f>N691+N692</f>
        <v>0</v>
      </c>
      <c r="O690" s="470">
        <f t="shared" ref="O690:O698" si="169">IF(L690&gt;0,N690*100/L690,0)</f>
        <v>0</v>
      </c>
      <c r="P690" s="470">
        <f t="shared" ref="P690:P698" si="170">IF(M690&gt;0,N690*100/M690,0)</f>
        <v>0</v>
      </c>
      <c r="Q690" s="470">
        <f ca="1">Q691+Q692</f>
        <v>82240</v>
      </c>
      <c r="R690" s="470">
        <f ca="1">R691+R692</f>
        <v>82240</v>
      </c>
      <c r="S690" s="470">
        <f ca="1">S691+S692</f>
        <v>13120</v>
      </c>
      <c r="T690" s="470">
        <f t="shared" ref="T690:T698" ca="1" si="171">IF(Q690&gt;0,S690*100/Q690,0)</f>
        <v>15.953307392996109</v>
      </c>
      <c r="U690" s="470">
        <f t="shared" ref="U690:U698" ca="1" si="172">IF(R690&gt;0,S690*100/R690,0)</f>
        <v>15.953307392996109</v>
      </c>
    </row>
    <row r="691" spans="1:21" ht="18.75" hidden="1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469">
        <f t="shared" ref="L691:N692" si="173">L694+L697</f>
        <v>0</v>
      </c>
      <c r="M691" s="83">
        <f t="shared" si="173"/>
        <v>0</v>
      </c>
      <c r="N691" s="83">
        <f t="shared" si="173"/>
        <v>0</v>
      </c>
      <c r="O691" s="83">
        <f t="shared" si="169"/>
        <v>0</v>
      </c>
      <c r="P691" s="83">
        <f t="shared" si="170"/>
        <v>0</v>
      </c>
      <c r="Q691" s="83">
        <f t="shared" ref="Q691:S692" si="174">Q694+Q697</f>
        <v>0</v>
      </c>
      <c r="R691" s="83">
        <f t="shared" si="174"/>
        <v>0</v>
      </c>
      <c r="S691" s="83">
        <f t="shared" si="174"/>
        <v>0</v>
      </c>
      <c r="T691" s="83">
        <f t="shared" si="171"/>
        <v>0</v>
      </c>
      <c r="U691" s="83">
        <f t="shared" si="172"/>
        <v>0</v>
      </c>
    </row>
    <row r="692" spans="1:21" ht="18.75" hidden="1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468">
        <f t="shared" si="173"/>
        <v>0</v>
      </c>
      <c r="M692" s="224">
        <f t="shared" si="173"/>
        <v>0</v>
      </c>
      <c r="N692" s="224">
        <f t="shared" si="173"/>
        <v>0</v>
      </c>
      <c r="O692" s="224">
        <f t="shared" si="169"/>
        <v>0</v>
      </c>
      <c r="P692" s="224">
        <f t="shared" si="170"/>
        <v>0</v>
      </c>
      <c r="Q692" s="224">
        <f t="shared" ca="1" si="174"/>
        <v>82240</v>
      </c>
      <c r="R692" s="224">
        <f t="shared" ca="1" si="174"/>
        <v>82240</v>
      </c>
      <c r="S692" s="224">
        <f t="shared" ca="1" si="174"/>
        <v>13120</v>
      </c>
      <c r="T692" s="224">
        <f t="shared" ca="1" si="171"/>
        <v>15.953307392996109</v>
      </c>
      <c r="U692" s="224">
        <f t="shared" ca="1" si="172"/>
        <v>15.953307392996109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468">
        <f>L694+L695</f>
        <v>0</v>
      </c>
      <c r="M693" s="224">
        <f>M694+M695</f>
        <v>0</v>
      </c>
      <c r="N693" s="224">
        <f>N694+N695</f>
        <v>0</v>
      </c>
      <c r="O693" s="224">
        <f t="shared" si="169"/>
        <v>0</v>
      </c>
      <c r="P693" s="224">
        <f t="shared" si="170"/>
        <v>0</v>
      </c>
      <c r="Q693" s="224">
        <f ca="1">Q694+Q695</f>
        <v>82240</v>
      </c>
      <c r="R693" s="224">
        <f ca="1">R694+R695</f>
        <v>82240</v>
      </c>
      <c r="S693" s="224">
        <f ca="1">S694+S695</f>
        <v>13120</v>
      </c>
      <c r="T693" s="224">
        <f t="shared" ca="1" si="171"/>
        <v>15.953307392996109</v>
      </c>
      <c r="U693" s="224">
        <f t="shared" ca="1" si="172"/>
        <v>15.953307392996109</v>
      </c>
    </row>
    <row r="694" spans="1:21" ht="18.75" hidden="1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469">
        <v>0</v>
      </c>
      <c r="M694" s="83">
        <v>0</v>
      </c>
      <c r="N694" s="83">
        <v>0</v>
      </c>
      <c r="O694" s="83">
        <f t="shared" si="169"/>
        <v>0</v>
      </c>
      <c r="P694" s="83">
        <f t="shared" si="170"/>
        <v>0</v>
      </c>
      <c r="Q694" s="83">
        <v>0</v>
      </c>
      <c r="R694" s="83">
        <v>0</v>
      </c>
      <c r="S694" s="83">
        <v>0</v>
      </c>
      <c r="T694" s="83">
        <f t="shared" si="171"/>
        <v>0</v>
      </c>
      <c r="U694" s="83">
        <f t="shared" si="172"/>
        <v>0</v>
      </c>
    </row>
    <row r="695" spans="1:21" ht="18.75" hidden="1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468">
        <v>0</v>
      </c>
      <c r="M695" s="224">
        <v>0</v>
      </c>
      <c r="N695" s="224">
        <v>0</v>
      </c>
      <c r="O695" s="224">
        <f t="shared" si="169"/>
        <v>0</v>
      </c>
      <c r="P695" s="224">
        <f t="shared" si="170"/>
        <v>0</v>
      </c>
      <c r="Q695" s="224">
        <f ca="1">IFERROR(__xludf.DUMMYFUNCTION("IMPORTRANGE(""https://docs.google.com/spreadsheets/d/1ItG2mGa2ceCfYo0BwxsXqNm01IGEUdYcSSLTEv9YCik/edit?usp=sharing"",""เบิกจ่ายกองทุน!L17"")"),82240)</f>
        <v>82240</v>
      </c>
      <c r="R695" s="224">
        <f ca="1">IFERROR(__xludf.DUMMYFUNCTION("IMPORTRANGE(""https://docs.google.com/spreadsheets/d/1ItG2mGa2ceCfYo0BwxsXqNm01IGEUdYcSSLTEv9YCik/edit?usp=sharing"",""เบิกจ่ายกองทุน!M17"")"),82240)</f>
        <v>82240</v>
      </c>
      <c r="S695" s="224">
        <f ca="1">IFERROR(__xludf.DUMMYFUNCTION("IMPORTRANGE(""https://docs.google.com/spreadsheets/d/1ItG2mGa2ceCfYo0BwxsXqNm01IGEUdYcSSLTEv9YCik/edit?usp=sharing"",""เบิกจ่ายกองทุน!N17"")"),13120)</f>
        <v>13120</v>
      </c>
      <c r="T695" s="224">
        <f t="shared" ca="1" si="171"/>
        <v>15.953307392996109</v>
      </c>
      <c r="U695" s="224">
        <f t="shared" ca="1" si="172"/>
        <v>15.953307392996109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468">
        <f>L697+L698</f>
        <v>0</v>
      </c>
      <c r="M696" s="224">
        <f>M697+M698</f>
        <v>0</v>
      </c>
      <c r="N696" s="224">
        <f>N697+N698</f>
        <v>0</v>
      </c>
      <c r="O696" s="224">
        <f t="shared" si="169"/>
        <v>0</v>
      </c>
      <c r="P696" s="224">
        <f t="shared" si="170"/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 t="shared" si="171"/>
        <v>0</v>
      </c>
      <c r="U696" s="224">
        <f t="shared" si="172"/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469">
        <v>0</v>
      </c>
      <c r="M697" s="83">
        <v>0</v>
      </c>
      <c r="N697" s="83">
        <v>0</v>
      </c>
      <c r="O697" s="83">
        <f t="shared" si="169"/>
        <v>0</v>
      </c>
      <c r="P697" s="83">
        <f t="shared" si="170"/>
        <v>0</v>
      </c>
      <c r="Q697" s="83">
        <v>0</v>
      </c>
      <c r="R697" s="83">
        <v>0</v>
      </c>
      <c r="S697" s="83">
        <v>0</v>
      </c>
      <c r="T697" s="83">
        <f t="shared" si="171"/>
        <v>0</v>
      </c>
      <c r="U697" s="83">
        <f t="shared" si="172"/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468">
        <v>0</v>
      </c>
      <c r="M698" s="224">
        <v>0</v>
      </c>
      <c r="N698" s="224">
        <v>0</v>
      </c>
      <c r="O698" s="224">
        <f t="shared" si="169"/>
        <v>0</v>
      </c>
      <c r="P698" s="224">
        <f t="shared" si="170"/>
        <v>0</v>
      </c>
      <c r="Q698" s="224">
        <v>0</v>
      </c>
      <c r="R698" s="224">
        <v>0</v>
      </c>
      <c r="S698" s="224">
        <v>0</v>
      </c>
      <c r="T698" s="224">
        <f t="shared" si="171"/>
        <v>0</v>
      </c>
      <c r="U698" s="224">
        <f t="shared" si="172"/>
        <v>0</v>
      </c>
    </row>
    <row r="699" spans="1:21" ht="19.5" x14ac:dyDescent="0.3">
      <c r="A699" s="138"/>
      <c r="B699" s="139"/>
      <c r="C699" s="177" t="s">
        <v>18</v>
      </c>
      <c r="D699" s="498" t="s">
        <v>38</v>
      </c>
      <c r="E699" s="141"/>
      <c r="F699" s="141"/>
      <c r="G699" s="141"/>
      <c r="H699" s="178"/>
      <c r="I699" s="135"/>
      <c r="J699" s="135"/>
      <c r="K699" s="136"/>
      <c r="L699" s="465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IFERROR(__xludf.DUMMYFUNCTION("IMPORTRANGE(""https://docs.google.com/spreadsheets/d/1eHaY18a8A9IcSdp1K8H6x8fbOy06t2VsZHhMHf-1x7Y/edit?usp=sharing"",""แผน!LC17"")"),0)</f>
        <v>0</v>
      </c>
      <c r="J700" s="466">
        <v>0</v>
      </c>
      <c r="K700" s="497">
        <f t="shared" ref="K700:K710" ca="1" si="175">IF(I700&gt;0,J700*100/I700,0)</f>
        <v>0</v>
      </c>
      <c r="L700" s="4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24" t="s">
        <v>258</v>
      </c>
      <c r="F701" s="145"/>
      <c r="G701" s="143"/>
      <c r="H701" s="131" t="s">
        <v>35</v>
      </c>
      <c r="I701" s="328">
        <f ca="1">I703+I705</f>
        <v>20</v>
      </c>
      <c r="J701" s="328">
        <f ca="1">J703+J705</f>
        <v>0</v>
      </c>
      <c r="K701" s="470">
        <f t="shared" ca="1" si="175"/>
        <v>0</v>
      </c>
      <c r="L701" s="4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0</v>
      </c>
      <c r="K702" s="470">
        <f t="shared" si="175"/>
        <v>0</v>
      </c>
      <c r="L702" s="4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IFERROR(__xludf.DUMMYFUNCTION("IMPORTRANGE(""https://docs.google.com/spreadsheets/d/1eHaY18a8A9IcSdp1K8H6x8fbOy06t2VsZHhMHf-1x7Y/edit?usp=sharing"",""แผน!LJ17"")"),15)</f>
        <v>15</v>
      </c>
      <c r="J703" s="184">
        <f ca="1">IFERROR(__xludf.DUMMYFUNCTION("IMPORTRANGE(""https://docs.google.com/spreadsheets/d/1tdoBKaGub7dwA3U6UFTqxio9LNnvDCQjHKmttSEBsFQ/edit?usp=sharing"",""จัดที่ดิน!AP17"")"),0)</f>
        <v>0</v>
      </c>
      <c r="K703" s="224">
        <f t="shared" ca="1" si="175"/>
        <v>0</v>
      </c>
      <c r="L703" s="4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IFERROR(__xludf.DUMMYFUNCTION("IMPORTRANGE(""https://docs.google.com/spreadsheets/d/1tdoBKaGub7dwA3U6UFTqxio9LNnvDCQjHKmttSEBsFQ/edit?usp=sharing"",""จัดที่ดิน!AQ17"")"),0)</f>
        <v>0</v>
      </c>
      <c r="K704" s="224">
        <f t="shared" si="175"/>
        <v>0</v>
      </c>
      <c r="L704" s="4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IFERROR(__xludf.DUMMYFUNCTION("IMPORTRANGE(""https://docs.google.com/spreadsheets/d/1eHaY18a8A9IcSdp1K8H6x8fbOy06t2VsZHhMHf-1x7Y/edit?usp=sharing"",""แผน!LK17"")"),5)</f>
        <v>5</v>
      </c>
      <c r="J705" s="184">
        <f ca="1">IFERROR(__xludf.DUMMYFUNCTION("IMPORTRANGE(""https://docs.google.com/spreadsheets/d/1tdoBKaGub7dwA3U6UFTqxio9LNnvDCQjHKmttSEBsFQ/edit?usp=sharing"",""จัดที่ดิน!AR17"")"),0)</f>
        <v>0</v>
      </c>
      <c r="K705" s="497">
        <f t="shared" ca="1" si="175"/>
        <v>0</v>
      </c>
      <c r="L705" s="4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IFERROR(__xludf.DUMMYFUNCTION("IMPORTRANGE(""https://docs.google.com/spreadsheets/d/1tdoBKaGub7dwA3U6UFTqxio9LNnvDCQjHKmttSEBsFQ/edit?usp=sharing"",""จัดที่ดิน!AS17"")"),0)</f>
        <v>0</v>
      </c>
      <c r="K706" s="224">
        <f t="shared" si="175"/>
        <v>0</v>
      </c>
      <c r="L706" s="4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IFERROR(__xludf.DUMMYFUNCTION("IMPORTRANGE(""https://docs.google.com/spreadsheets/d/1eHaY18a8A9IcSdp1K8H6x8fbOy06t2VsZHhMHf-1x7Y/edit?usp=sharing"",""แผน!LJ17"")"),15)</f>
        <v>15</v>
      </c>
      <c r="J707" s="184">
        <f ca="1">IFERROR(__xludf.DUMMYFUNCTION("IMPORTRANGE(""https://docs.google.com/spreadsheets/d/1tdoBKaGub7dwA3U6UFTqxio9LNnvDCQjHKmttSEBsFQ/edit?usp=sharing"",""จัดที่ดิน!BN17"")"),0)</f>
        <v>0</v>
      </c>
      <c r="K707" s="224">
        <f t="shared" ca="1" si="175"/>
        <v>0</v>
      </c>
      <c r="L707" s="4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25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IFERROR(__xludf.DUMMYFUNCTION("IMPORTRANGE(""https://docs.google.com/spreadsheets/d/1tdoBKaGub7dwA3U6UFTqxio9LNnvDCQjHKmttSEBsFQ/edit?usp=sharing"",""จัดที่ดิน!BO17"")"),0)</f>
        <v>0</v>
      </c>
      <c r="K708" s="224">
        <f t="shared" si="175"/>
        <v>0</v>
      </c>
      <c r="L708" s="4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IFERROR(__xludf.DUMMYFUNCTION("IMPORTRANGE(""https://docs.google.com/spreadsheets/d/1eHaY18a8A9IcSdp1K8H6x8fbOy06t2VsZHhMHf-1x7Y/edit?usp=sharing"",""แผน!LK17"")"),5)</f>
        <v>5</v>
      </c>
      <c r="J709" s="184">
        <f ca="1">IFERROR(__xludf.DUMMYFUNCTION("IMPORTRANGE(""https://docs.google.com/spreadsheets/d/1tdoBKaGub7dwA3U6UFTqxio9LNnvDCQjHKmttSEBsFQ/edit?usp=sharing"",""จัดที่ดิน!BP17"")"),1)</f>
        <v>1</v>
      </c>
      <c r="K709" s="224">
        <f t="shared" ca="1" si="175"/>
        <v>20</v>
      </c>
      <c r="L709" s="465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25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IFERROR(__xludf.DUMMYFUNCTION("IMPORTRANGE(""https://docs.google.com/spreadsheets/d/1tdoBKaGub7dwA3U6UFTqxio9LNnvDCQjHKmttSEBsFQ/edit?usp=sharing"",""จัดที่ดิน!BQ17"")"),0)</f>
        <v>0</v>
      </c>
      <c r="K710" s="224">
        <f t="shared" si="175"/>
        <v>0</v>
      </c>
      <c r="L710" s="465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496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hidden="1" x14ac:dyDescent="0.3">
      <c r="A712" s="394"/>
      <c r="B712" s="426" t="s">
        <v>265</v>
      </c>
      <c r="C712" s="394"/>
      <c r="D712" s="396"/>
      <c r="E712" s="396"/>
      <c r="F712" s="396"/>
      <c r="G712" s="397"/>
      <c r="H712" s="427" t="s">
        <v>46</v>
      </c>
      <c r="I712" s="399"/>
      <c r="J712" s="399">
        <f>J724</f>
        <v>0</v>
      </c>
      <c r="K712" s="495">
        <f>IF(I712&gt;0,J712*100/I712,0)</f>
        <v>0</v>
      </c>
      <c r="L712" s="473"/>
      <c r="M712" s="400"/>
      <c r="N712" s="400"/>
      <c r="O712" s="400"/>
      <c r="P712" s="400"/>
      <c r="Q712" s="400"/>
      <c r="R712" s="400"/>
      <c r="S712" s="400"/>
      <c r="T712" s="400"/>
      <c r="U712" s="400"/>
    </row>
    <row r="713" spans="1:21" ht="19.5" hidden="1" x14ac:dyDescent="0.3">
      <c r="A713" s="394"/>
      <c r="B713" s="426" t="s">
        <v>266</v>
      </c>
      <c r="C713" s="394"/>
      <c r="D713" s="396"/>
      <c r="E713" s="396"/>
      <c r="F713" s="396"/>
      <c r="G713" s="397"/>
      <c r="H713" s="398"/>
      <c r="I713" s="399"/>
      <c r="J713" s="399"/>
      <c r="K713" s="400"/>
      <c r="L713" s="47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128"/>
      <c r="B714" s="158"/>
      <c r="C714" s="314" t="s">
        <v>18</v>
      </c>
      <c r="D714" s="820" t="s">
        <v>19</v>
      </c>
      <c r="E714" s="793"/>
      <c r="F714" s="793"/>
      <c r="G714" s="794"/>
      <c r="H714" s="372" t="s">
        <v>14</v>
      </c>
      <c r="I714" s="44"/>
      <c r="J714" s="44"/>
      <c r="K714" s="45"/>
      <c r="L714" s="471">
        <f>L715+L716</f>
        <v>0</v>
      </c>
      <c r="M714" s="470">
        <f>M715+M716</f>
        <v>0</v>
      </c>
      <c r="N714" s="470">
        <f>N715+N716</f>
        <v>0</v>
      </c>
      <c r="O714" s="470">
        <f t="shared" ref="O714:O722" si="176">IF(L714&gt;0,N714*100/L714,0)</f>
        <v>0</v>
      </c>
      <c r="P714" s="470">
        <f t="shared" ref="P714:P722" si="177">IF(M714&gt;0,N714*100/M714,0)</f>
        <v>0</v>
      </c>
      <c r="Q714" s="470">
        <f>Q715+Q716</f>
        <v>0</v>
      </c>
      <c r="R714" s="470">
        <f>R715+R716</f>
        <v>0</v>
      </c>
      <c r="S714" s="470">
        <f>S715+S716</f>
        <v>0</v>
      </c>
      <c r="T714" s="470">
        <f t="shared" ref="T714:T722" si="178">IF(Q714&gt;0,S714*100/Q714,0)</f>
        <v>0</v>
      </c>
      <c r="U714" s="470">
        <f t="shared" ref="U714:U722" si="179"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469">
        <f t="shared" ref="L715:N716" si="180">L718+L721</f>
        <v>0</v>
      </c>
      <c r="M715" s="83">
        <f t="shared" si="180"/>
        <v>0</v>
      </c>
      <c r="N715" s="83">
        <f t="shared" si="180"/>
        <v>0</v>
      </c>
      <c r="O715" s="83">
        <f t="shared" si="176"/>
        <v>0</v>
      </c>
      <c r="P715" s="83">
        <f t="shared" si="177"/>
        <v>0</v>
      </c>
      <c r="Q715" s="83">
        <f t="shared" ref="Q715:S716" si="181">Q718+Q721</f>
        <v>0</v>
      </c>
      <c r="R715" s="83">
        <f t="shared" si="181"/>
        <v>0</v>
      </c>
      <c r="S715" s="83">
        <f t="shared" si="181"/>
        <v>0</v>
      </c>
      <c r="T715" s="83">
        <f t="shared" si="178"/>
        <v>0</v>
      </c>
      <c r="U715" s="83">
        <f t="shared" si="179"/>
        <v>0</v>
      </c>
    </row>
    <row r="716" spans="1:21" ht="18.75" hidden="1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468">
        <f t="shared" si="180"/>
        <v>0</v>
      </c>
      <c r="M716" s="224">
        <f t="shared" si="180"/>
        <v>0</v>
      </c>
      <c r="N716" s="224">
        <f t="shared" si="180"/>
        <v>0</v>
      </c>
      <c r="O716" s="224">
        <f t="shared" si="176"/>
        <v>0</v>
      </c>
      <c r="P716" s="224">
        <f t="shared" si="177"/>
        <v>0</v>
      </c>
      <c r="Q716" s="224">
        <f t="shared" si="181"/>
        <v>0</v>
      </c>
      <c r="R716" s="224">
        <f t="shared" si="181"/>
        <v>0</v>
      </c>
      <c r="S716" s="224">
        <f t="shared" si="181"/>
        <v>0</v>
      </c>
      <c r="T716" s="224">
        <f t="shared" si="178"/>
        <v>0</v>
      </c>
      <c r="U716" s="224">
        <f t="shared" si="179"/>
        <v>0</v>
      </c>
    </row>
    <row r="717" spans="1:21" ht="19.5" hidden="1" x14ac:dyDescent="0.3">
      <c r="A717" s="128"/>
      <c r="B717" s="158"/>
      <c r="C717" s="158"/>
      <c r="D717" s="494" t="s">
        <v>22</v>
      </c>
      <c r="E717" s="40"/>
      <c r="F717" s="40"/>
      <c r="G717" s="42"/>
      <c r="H717" s="372" t="s">
        <v>14</v>
      </c>
      <c r="I717" s="135"/>
      <c r="J717" s="135"/>
      <c r="K717" s="136"/>
      <c r="L717" s="468">
        <f>L718+L719</f>
        <v>0</v>
      </c>
      <c r="M717" s="224">
        <f>M718+M719</f>
        <v>0</v>
      </c>
      <c r="N717" s="224">
        <f>N718+N719</f>
        <v>0</v>
      </c>
      <c r="O717" s="224">
        <f t="shared" si="176"/>
        <v>0</v>
      </c>
      <c r="P717" s="224">
        <f t="shared" si="177"/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 t="shared" si="178"/>
        <v>0</v>
      </c>
      <c r="U717" s="224">
        <f t="shared" si="179"/>
        <v>0</v>
      </c>
    </row>
    <row r="718" spans="1:21" ht="18.75" hidden="1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469">
        <v>0</v>
      </c>
      <c r="M718" s="83">
        <v>0</v>
      </c>
      <c r="N718" s="83">
        <v>0</v>
      </c>
      <c r="O718" s="83">
        <f t="shared" si="176"/>
        <v>0</v>
      </c>
      <c r="P718" s="83">
        <f t="shared" si="177"/>
        <v>0</v>
      </c>
      <c r="Q718" s="83">
        <v>0</v>
      </c>
      <c r="R718" s="83">
        <v>0</v>
      </c>
      <c r="S718" s="83">
        <v>0</v>
      </c>
      <c r="T718" s="83">
        <f t="shared" si="178"/>
        <v>0</v>
      </c>
      <c r="U718" s="83">
        <f t="shared" si="179"/>
        <v>0</v>
      </c>
    </row>
    <row r="719" spans="1:21" ht="18.75" hidden="1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468">
        <v>0</v>
      </c>
      <c r="M719" s="224">
        <v>0</v>
      </c>
      <c r="N719" s="224">
        <v>0</v>
      </c>
      <c r="O719" s="224">
        <f t="shared" si="176"/>
        <v>0</v>
      </c>
      <c r="P719" s="224">
        <f t="shared" si="177"/>
        <v>0</v>
      </c>
      <c r="Q719" s="224">
        <v>0</v>
      </c>
      <c r="R719" s="224">
        <v>0</v>
      </c>
      <c r="S719" s="224">
        <v>0</v>
      </c>
      <c r="T719" s="224">
        <f t="shared" si="178"/>
        <v>0</v>
      </c>
      <c r="U719" s="224">
        <f t="shared" si="179"/>
        <v>0</v>
      </c>
    </row>
    <row r="720" spans="1:21" ht="19.5" hidden="1" x14ac:dyDescent="0.3">
      <c r="A720" s="128"/>
      <c r="B720" s="158"/>
      <c r="C720" s="158"/>
      <c r="D720" s="494" t="s">
        <v>23</v>
      </c>
      <c r="E720" s="40"/>
      <c r="F720" s="40"/>
      <c r="G720" s="42"/>
      <c r="H720" s="374" t="s">
        <v>14</v>
      </c>
      <c r="I720" s="135"/>
      <c r="J720" s="135"/>
      <c r="K720" s="136"/>
      <c r="L720" s="468">
        <f>L721+L722</f>
        <v>0</v>
      </c>
      <c r="M720" s="224">
        <f>M721+M722</f>
        <v>0</v>
      </c>
      <c r="N720" s="224">
        <f>N721+N722</f>
        <v>0</v>
      </c>
      <c r="O720" s="224">
        <f t="shared" si="176"/>
        <v>0</v>
      </c>
      <c r="P720" s="224">
        <f t="shared" si="177"/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 t="shared" si="178"/>
        <v>0</v>
      </c>
      <c r="U720" s="224">
        <f t="shared" si="179"/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469">
        <v>0</v>
      </c>
      <c r="M721" s="83">
        <v>0</v>
      </c>
      <c r="N721" s="83">
        <v>0</v>
      </c>
      <c r="O721" s="83">
        <f t="shared" si="176"/>
        <v>0</v>
      </c>
      <c r="P721" s="83">
        <f t="shared" si="177"/>
        <v>0</v>
      </c>
      <c r="Q721" s="83">
        <v>0</v>
      </c>
      <c r="R721" s="83">
        <v>0</v>
      </c>
      <c r="S721" s="83">
        <v>0</v>
      </c>
      <c r="T721" s="83">
        <f t="shared" si="178"/>
        <v>0</v>
      </c>
      <c r="U721" s="83">
        <f t="shared" si="179"/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375" t="s">
        <v>14</v>
      </c>
      <c r="I722" s="135"/>
      <c r="J722" s="135"/>
      <c r="K722" s="136"/>
      <c r="L722" s="468">
        <v>0</v>
      </c>
      <c r="M722" s="224">
        <v>0</v>
      </c>
      <c r="N722" s="224">
        <v>0</v>
      </c>
      <c r="O722" s="224">
        <f t="shared" si="176"/>
        <v>0</v>
      </c>
      <c r="P722" s="224">
        <f t="shared" si="177"/>
        <v>0</v>
      </c>
      <c r="Q722" s="224">
        <v>0</v>
      </c>
      <c r="R722" s="224">
        <v>0</v>
      </c>
      <c r="S722" s="224">
        <v>0</v>
      </c>
      <c r="T722" s="224">
        <f t="shared" si="178"/>
        <v>0</v>
      </c>
      <c r="U722" s="224">
        <f t="shared" si="179"/>
        <v>0</v>
      </c>
    </row>
    <row r="723" spans="1:21" ht="19.5" hidden="1" x14ac:dyDescent="0.3">
      <c r="A723" s="138"/>
      <c r="B723" s="139"/>
      <c r="C723" s="314" t="s">
        <v>18</v>
      </c>
      <c r="D723" s="493" t="s">
        <v>38</v>
      </c>
      <c r="E723" s="141"/>
      <c r="F723" s="141"/>
      <c r="G723" s="142"/>
      <c r="H723" s="178"/>
      <c r="I723" s="135"/>
      <c r="J723" s="135"/>
      <c r="K723" s="136"/>
      <c r="L723" s="4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30">
        <v>0</v>
      </c>
      <c r="J724" s="44"/>
      <c r="K724" s="45"/>
      <c r="L724" s="465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29"/>
      <c r="B725" s="2"/>
      <c r="C725" s="2"/>
      <c r="D725" s="1"/>
      <c r="E725" s="431" t="s">
        <v>268</v>
      </c>
      <c r="F725" s="1"/>
      <c r="G725" s="52"/>
      <c r="H725" s="432" t="s">
        <v>46</v>
      </c>
      <c r="I725" s="433">
        <v>0</v>
      </c>
      <c r="J725" s="54"/>
      <c r="K725" s="3"/>
      <c r="L725" s="46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94"/>
      <c r="B726" s="395" t="s">
        <v>269</v>
      </c>
      <c r="C726" s="394"/>
      <c r="D726" s="396"/>
      <c r="E726" s="396"/>
      <c r="F726" s="396"/>
      <c r="G726" s="397"/>
      <c r="H726" s="434" t="s">
        <v>35</v>
      </c>
      <c r="I726" s="475">
        <f ca="1">IFERROR(__xludf.DUMMYFUNCTION("IMPORTRANGE(""https://docs.google.com/spreadsheets/d/1eHaY18a8A9IcSdp1K8H6x8fbOy06t2VsZHhMHf-1x7Y/edit?usp=sharing"",""แผน!GA17"")"),31)</f>
        <v>31</v>
      </c>
      <c r="J726" s="475">
        <f>J742+J746+J749</f>
        <v>31</v>
      </c>
      <c r="K726" s="474">
        <f ca="1">IF(I726&gt;0,J726*100/I726,0)</f>
        <v>100</v>
      </c>
      <c r="L726" s="473"/>
      <c r="M726" s="400"/>
      <c r="N726" s="400"/>
      <c r="O726" s="400"/>
      <c r="P726" s="400"/>
      <c r="Q726" s="400"/>
      <c r="R726" s="400"/>
      <c r="S726" s="400"/>
      <c r="T726" s="400"/>
      <c r="U726" s="400"/>
    </row>
    <row r="727" spans="1:21" ht="19.5" x14ac:dyDescent="0.3">
      <c r="A727" s="436"/>
      <c r="B727" s="394"/>
      <c r="C727" s="394"/>
      <c r="D727" s="396"/>
      <c r="E727" s="396"/>
      <c r="F727" s="396"/>
      <c r="G727" s="397"/>
      <c r="H727" s="434" t="s">
        <v>46</v>
      </c>
      <c r="I727" s="475">
        <f ca="1">IFERROR(__xludf.DUMMYFUNCTION("IMPORTRANGE(""https://docs.google.com/spreadsheets/d/1eHaY18a8A9IcSdp1K8H6x8fbOy06t2VsZHhMHf-1x7Y/edit?usp=sharing"",""แผน!FZ17"")"),300)</f>
        <v>300</v>
      </c>
      <c r="J727" s="475">
        <f>J752+J755</f>
        <v>0</v>
      </c>
      <c r="K727" s="474">
        <f ca="1">IF(I727&gt;0,J727*100/I727,0)</f>
        <v>0</v>
      </c>
      <c r="L727" s="47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128"/>
      <c r="B728" s="158"/>
      <c r="C728" s="177" t="s">
        <v>18</v>
      </c>
      <c r="D728" s="821" t="s">
        <v>19</v>
      </c>
      <c r="E728" s="793"/>
      <c r="F728" s="793"/>
      <c r="G728" s="794"/>
      <c r="H728" s="221" t="s">
        <v>14</v>
      </c>
      <c r="I728" s="44"/>
      <c r="J728" s="44"/>
      <c r="K728" s="45"/>
      <c r="L728" s="471">
        <f>L729+L730</f>
        <v>0</v>
      </c>
      <c r="M728" s="470">
        <f>M729+M730</f>
        <v>0</v>
      </c>
      <c r="N728" s="470">
        <f>N729+N730</f>
        <v>0</v>
      </c>
      <c r="O728" s="470">
        <f t="shared" ref="O728:O736" si="182">IF(L728&gt;0,N728*100/L728,0)</f>
        <v>0</v>
      </c>
      <c r="P728" s="470">
        <f t="shared" ref="P728:P736" si="183">IF(M728&gt;0,N728*100/M728,0)</f>
        <v>0</v>
      </c>
      <c r="Q728" s="470">
        <f ca="1">Q729+Q730</f>
        <v>242546</v>
      </c>
      <c r="R728" s="470">
        <f ca="1">R729+R730</f>
        <v>242546</v>
      </c>
      <c r="S728" s="470">
        <f ca="1">S729+S730</f>
        <v>42786</v>
      </c>
      <c r="T728" s="470">
        <f t="shared" ref="T728:T736" ca="1" si="184">IF(Q728&gt;0,S728*100/Q728,0)</f>
        <v>17.640365126615158</v>
      </c>
      <c r="U728" s="470">
        <f t="shared" ref="U728:U736" ca="1" si="185">IF(R728&gt;0,S728*100/R728,0)</f>
        <v>17.640365126615158</v>
      </c>
    </row>
    <row r="729" spans="1:21" ht="18.75" hidden="1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469">
        <f t="shared" ref="L729:N730" si="186">L732+L735</f>
        <v>0</v>
      </c>
      <c r="M729" s="83">
        <f t="shared" si="186"/>
        <v>0</v>
      </c>
      <c r="N729" s="83">
        <f t="shared" si="186"/>
        <v>0</v>
      </c>
      <c r="O729" s="83">
        <f t="shared" si="182"/>
        <v>0</v>
      </c>
      <c r="P729" s="83">
        <f t="shared" si="183"/>
        <v>0</v>
      </c>
      <c r="Q729" s="83">
        <f t="shared" ref="Q729:S730" si="187">Q732+Q735</f>
        <v>0</v>
      </c>
      <c r="R729" s="83">
        <f t="shared" si="187"/>
        <v>0</v>
      </c>
      <c r="S729" s="83">
        <f t="shared" si="187"/>
        <v>0</v>
      </c>
      <c r="T729" s="83">
        <f t="shared" si="184"/>
        <v>0</v>
      </c>
      <c r="U729" s="83">
        <f t="shared" si="185"/>
        <v>0</v>
      </c>
    </row>
    <row r="730" spans="1:21" ht="18.75" hidden="1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468">
        <f t="shared" si="186"/>
        <v>0</v>
      </c>
      <c r="M730" s="224">
        <f t="shared" si="186"/>
        <v>0</v>
      </c>
      <c r="N730" s="224">
        <f t="shared" si="186"/>
        <v>0</v>
      </c>
      <c r="O730" s="224">
        <f t="shared" si="182"/>
        <v>0</v>
      </c>
      <c r="P730" s="224">
        <f t="shared" si="183"/>
        <v>0</v>
      </c>
      <c r="Q730" s="224">
        <f t="shared" ca="1" si="187"/>
        <v>242546</v>
      </c>
      <c r="R730" s="224">
        <f t="shared" ca="1" si="187"/>
        <v>242546</v>
      </c>
      <c r="S730" s="224">
        <f t="shared" ca="1" si="187"/>
        <v>42786</v>
      </c>
      <c r="T730" s="224">
        <f t="shared" ca="1" si="184"/>
        <v>17.640365126615158</v>
      </c>
      <c r="U730" s="224">
        <f t="shared" ca="1" si="185"/>
        <v>17.640365126615158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468">
        <f>L732+L733</f>
        <v>0</v>
      </c>
      <c r="M731" s="224">
        <f>M732+M733</f>
        <v>0</v>
      </c>
      <c r="N731" s="224">
        <f>N732+N733</f>
        <v>0</v>
      </c>
      <c r="O731" s="224">
        <f t="shared" si="182"/>
        <v>0</v>
      </c>
      <c r="P731" s="224">
        <f t="shared" si="183"/>
        <v>0</v>
      </c>
      <c r="Q731" s="224">
        <f ca="1">Q732+Q733</f>
        <v>242546</v>
      </c>
      <c r="R731" s="224">
        <f ca="1">R732+R733</f>
        <v>242546</v>
      </c>
      <c r="S731" s="224">
        <f ca="1">S732+S733</f>
        <v>42786</v>
      </c>
      <c r="T731" s="224">
        <f t="shared" ca="1" si="184"/>
        <v>17.640365126615158</v>
      </c>
      <c r="U731" s="224">
        <f t="shared" ca="1" si="185"/>
        <v>17.640365126615158</v>
      </c>
    </row>
    <row r="732" spans="1:21" ht="18.75" hidden="1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469">
        <v>0</v>
      </c>
      <c r="M732" s="83">
        <v>0</v>
      </c>
      <c r="N732" s="83">
        <v>0</v>
      </c>
      <c r="O732" s="83">
        <f t="shared" si="182"/>
        <v>0</v>
      </c>
      <c r="P732" s="83">
        <f t="shared" si="183"/>
        <v>0</v>
      </c>
      <c r="Q732" s="83">
        <v>0</v>
      </c>
      <c r="R732" s="83">
        <v>0</v>
      </c>
      <c r="S732" s="83">
        <v>0</v>
      </c>
      <c r="T732" s="83">
        <f t="shared" si="184"/>
        <v>0</v>
      </c>
      <c r="U732" s="83">
        <f t="shared" si="185"/>
        <v>0</v>
      </c>
    </row>
    <row r="733" spans="1:21" ht="18.75" hidden="1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468">
        <v>0</v>
      </c>
      <c r="M733" s="224">
        <v>0</v>
      </c>
      <c r="N733" s="224">
        <v>0</v>
      </c>
      <c r="O733" s="224">
        <f t="shared" si="182"/>
        <v>0</v>
      </c>
      <c r="P733" s="224">
        <f t="shared" si="183"/>
        <v>0</v>
      </c>
      <c r="Q733" s="224">
        <f ca="1">IFERROR(__xludf.DUMMYFUNCTION("IMPORTRANGE(""https://docs.google.com/spreadsheets/d/1ItG2mGa2ceCfYo0BwxsXqNm01IGEUdYcSSLTEv9YCik/edit?usp=sharing"",""เบิกจ่ายกองทุน!O17"")"),242546)</f>
        <v>242546</v>
      </c>
      <c r="R733" s="224">
        <f ca="1">IFERROR(__xludf.DUMMYFUNCTION("IMPORTRANGE(""https://docs.google.com/spreadsheets/d/1ItG2mGa2ceCfYo0BwxsXqNm01IGEUdYcSSLTEv9YCik/edit?usp=sharing"",""เบิกจ่ายกองทุน!P17"")"),242546)</f>
        <v>242546</v>
      </c>
      <c r="S733" s="224">
        <f ca="1">IFERROR(__xludf.DUMMYFUNCTION("IMPORTRANGE(""https://docs.google.com/spreadsheets/d/1ItG2mGa2ceCfYo0BwxsXqNm01IGEUdYcSSLTEv9YCik/edit?usp=sharing"",""เบิกจ่ายกองทุน!Q17"")"),42786)</f>
        <v>42786</v>
      </c>
      <c r="T733" s="224">
        <f t="shared" ca="1" si="184"/>
        <v>17.640365126615158</v>
      </c>
      <c r="U733" s="224">
        <f t="shared" ca="1" si="185"/>
        <v>17.640365126615158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468">
        <f>L735+L736</f>
        <v>0</v>
      </c>
      <c r="M734" s="224">
        <f>M735+M736</f>
        <v>0</v>
      </c>
      <c r="N734" s="224">
        <f>N735+N736</f>
        <v>0</v>
      </c>
      <c r="O734" s="224">
        <f t="shared" si="182"/>
        <v>0</v>
      </c>
      <c r="P734" s="224">
        <f t="shared" si="183"/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 t="shared" si="184"/>
        <v>0</v>
      </c>
      <c r="U734" s="224">
        <f t="shared" si="185"/>
        <v>0</v>
      </c>
    </row>
    <row r="735" spans="1:21" ht="18.75" hidden="1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469">
        <v>0</v>
      </c>
      <c r="M735" s="83">
        <v>0</v>
      </c>
      <c r="N735" s="83">
        <v>0</v>
      </c>
      <c r="O735" s="83">
        <f t="shared" si="182"/>
        <v>0</v>
      </c>
      <c r="P735" s="83">
        <f t="shared" si="183"/>
        <v>0</v>
      </c>
      <c r="Q735" s="83">
        <v>0</v>
      </c>
      <c r="R735" s="83">
        <v>0</v>
      </c>
      <c r="S735" s="83">
        <v>0</v>
      </c>
      <c r="T735" s="83">
        <f t="shared" si="184"/>
        <v>0</v>
      </c>
      <c r="U735" s="83">
        <f t="shared" si="185"/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468">
        <v>0</v>
      </c>
      <c r="M736" s="224">
        <v>0</v>
      </c>
      <c r="N736" s="224">
        <v>0</v>
      </c>
      <c r="O736" s="224">
        <f t="shared" si="182"/>
        <v>0</v>
      </c>
      <c r="P736" s="224">
        <f t="shared" si="183"/>
        <v>0</v>
      </c>
      <c r="Q736" s="224">
        <v>0</v>
      </c>
      <c r="R736" s="224">
        <v>0</v>
      </c>
      <c r="S736" s="224">
        <v>0</v>
      </c>
      <c r="T736" s="224">
        <f t="shared" si="184"/>
        <v>0</v>
      </c>
      <c r="U736" s="224">
        <f t="shared" si="185"/>
        <v>0</v>
      </c>
    </row>
    <row r="737" spans="1:21" ht="19.5" x14ac:dyDescent="0.3">
      <c r="A737" s="138"/>
      <c r="B737" s="139"/>
      <c r="C737" s="177" t="s">
        <v>18</v>
      </c>
      <c r="D737" s="491" t="s">
        <v>38</v>
      </c>
      <c r="E737" s="203"/>
      <c r="F737" s="141"/>
      <c r="G737" s="142"/>
      <c r="H737" s="178"/>
      <c r="I737" s="44"/>
      <c r="J737" s="44"/>
      <c r="K737" s="45"/>
      <c r="L737" s="465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7" t="s">
        <v>121</v>
      </c>
      <c r="E738" s="139"/>
      <c r="F738" s="139"/>
      <c r="G738" s="143"/>
      <c r="H738" s="180"/>
      <c r="I738" s="44"/>
      <c r="J738" s="44"/>
      <c r="K738" s="45"/>
      <c r="L738" s="465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485"/>
      <c r="B739" s="484"/>
      <c r="C739" s="484"/>
      <c r="D739" s="484"/>
      <c r="E739" s="489" t="s">
        <v>270</v>
      </c>
      <c r="F739" s="484"/>
      <c r="G739" s="481"/>
      <c r="H739" s="488"/>
      <c r="I739" s="479"/>
      <c r="J739" s="479"/>
      <c r="K739" s="476"/>
      <c r="L739" s="477"/>
      <c r="M739" s="476"/>
      <c r="N739" s="476"/>
      <c r="O739" s="476"/>
      <c r="P739" s="476"/>
      <c r="Q739" s="476"/>
      <c r="R739" s="476"/>
      <c r="S739" s="476"/>
      <c r="T739" s="476"/>
      <c r="U739" s="476"/>
    </row>
    <row r="740" spans="1:21" ht="18.75" x14ac:dyDescent="0.25">
      <c r="A740" s="485"/>
      <c r="B740" s="484"/>
      <c r="C740" s="484"/>
      <c r="D740" s="484"/>
      <c r="E740" s="484"/>
      <c r="F740" s="489" t="s">
        <v>271</v>
      </c>
      <c r="G740" s="481"/>
      <c r="H740" s="480" t="s">
        <v>46</v>
      </c>
      <c r="I740" s="487">
        <f ca="1">IFERROR(__xludf.DUMMYFUNCTION("IMPORTRANGE(""https://docs.google.com/spreadsheets/d/1eHaY18a8A9IcSdp1K8H6x8fbOy06t2VsZHhMHf-1x7Y/edit?usp=sharing"",""แผน!GB17"")"),240)</f>
        <v>240</v>
      </c>
      <c r="J740" s="478">
        <v>0</v>
      </c>
      <c r="K740" s="486">
        <f ca="1">IF(I740&gt;0,J740*100/I740,0)</f>
        <v>0</v>
      </c>
      <c r="L740" s="477"/>
      <c r="M740" s="476"/>
      <c r="N740" s="476"/>
      <c r="O740" s="476"/>
      <c r="P740" s="476"/>
      <c r="Q740" s="476"/>
      <c r="R740" s="476"/>
      <c r="S740" s="476"/>
      <c r="T740" s="476"/>
      <c r="U740" s="476"/>
    </row>
    <row r="741" spans="1:21" ht="18.75" x14ac:dyDescent="0.25">
      <c r="A741" s="485"/>
      <c r="B741" s="484"/>
      <c r="C741" s="484"/>
      <c r="D741" s="484"/>
      <c r="E741" s="484"/>
      <c r="F741" s="489" t="s">
        <v>306</v>
      </c>
      <c r="G741" s="481"/>
      <c r="H741" s="480" t="s">
        <v>35</v>
      </c>
      <c r="I741" s="479"/>
      <c r="J741" s="478">
        <v>0</v>
      </c>
      <c r="K741" s="476"/>
      <c r="L741" s="477"/>
      <c r="M741" s="476"/>
      <c r="N741" s="476"/>
      <c r="O741" s="476"/>
      <c r="P741" s="476"/>
      <c r="Q741" s="476"/>
      <c r="R741" s="476"/>
      <c r="S741" s="476"/>
      <c r="T741" s="476"/>
      <c r="U741" s="476"/>
    </row>
    <row r="742" spans="1:21" ht="18.75" x14ac:dyDescent="0.25">
      <c r="A742" s="485"/>
      <c r="B742" s="484"/>
      <c r="C742" s="484"/>
      <c r="D742" s="484"/>
      <c r="E742" s="484"/>
      <c r="F742" s="489" t="s">
        <v>305</v>
      </c>
      <c r="G742" s="481"/>
      <c r="H742" s="480" t="s">
        <v>35</v>
      </c>
      <c r="I742" s="487">
        <f ca="1">IFERROR(__xludf.DUMMYFUNCTION("IMPORTRANGE(""https://docs.google.com/spreadsheets/d/1eHaY18a8A9IcSdp1K8H6x8fbOy06t2VsZHhMHf-1x7Y/edit?usp=sharing"",""แผน!GC17"")"),24)</f>
        <v>24</v>
      </c>
      <c r="J742" s="478">
        <v>24</v>
      </c>
      <c r="K742" s="486">
        <f ca="1">IF(I742&gt;0,J742*100/I742,0)</f>
        <v>100</v>
      </c>
      <c r="L742" s="477"/>
      <c r="M742" s="476"/>
      <c r="N742" s="476"/>
      <c r="O742" s="476"/>
      <c r="P742" s="476"/>
      <c r="Q742" s="476"/>
      <c r="R742" s="476"/>
      <c r="S742" s="476"/>
      <c r="T742" s="476"/>
      <c r="U742" s="476"/>
    </row>
    <row r="743" spans="1:21" ht="18.75" x14ac:dyDescent="0.25">
      <c r="A743" s="485"/>
      <c r="B743" s="484"/>
      <c r="C743" s="484"/>
      <c r="D743" s="484"/>
      <c r="E743" s="489" t="s">
        <v>274</v>
      </c>
      <c r="F743" s="484"/>
      <c r="G743" s="481"/>
      <c r="H743" s="488"/>
      <c r="I743" s="479"/>
      <c r="J743" s="479"/>
      <c r="K743" s="476"/>
      <c r="L743" s="477"/>
      <c r="M743" s="476"/>
      <c r="N743" s="476"/>
      <c r="O743" s="476"/>
      <c r="P743" s="476"/>
      <c r="Q743" s="476"/>
      <c r="R743" s="476"/>
      <c r="S743" s="476"/>
      <c r="T743" s="476"/>
      <c r="U743" s="476"/>
    </row>
    <row r="744" spans="1:21" ht="18.75" x14ac:dyDescent="0.25">
      <c r="A744" s="485"/>
      <c r="B744" s="484"/>
      <c r="C744" s="484"/>
      <c r="D744" s="484"/>
      <c r="E744" s="484"/>
      <c r="F744" s="489" t="s">
        <v>271</v>
      </c>
      <c r="G744" s="481"/>
      <c r="H744" s="480" t="s">
        <v>46</v>
      </c>
      <c r="I744" s="487">
        <f ca="1">IFERROR(__xludf.DUMMYFUNCTION("IMPORTRANGE(""https://docs.google.com/spreadsheets/d/1eHaY18a8A9IcSdp1K8H6x8fbOy06t2VsZHhMHf-1x7Y/edit?usp=sharing"",""แผน!GD17"")"),60)</f>
        <v>60</v>
      </c>
      <c r="J744" s="478">
        <v>0</v>
      </c>
      <c r="K744" s="486">
        <f ca="1">IF(I744&gt;0,J744*100/I744,0)</f>
        <v>0</v>
      </c>
      <c r="L744" s="477"/>
      <c r="M744" s="476"/>
      <c r="N744" s="476"/>
      <c r="O744" s="476"/>
      <c r="P744" s="476"/>
      <c r="Q744" s="476"/>
      <c r="R744" s="476"/>
      <c r="S744" s="476"/>
      <c r="T744" s="476"/>
      <c r="U744" s="476"/>
    </row>
    <row r="745" spans="1:21" ht="18.75" x14ac:dyDescent="0.25">
      <c r="A745" s="485"/>
      <c r="B745" s="484"/>
      <c r="C745" s="484"/>
      <c r="D745" s="484"/>
      <c r="E745" s="484"/>
      <c r="F745" s="489" t="s">
        <v>304</v>
      </c>
      <c r="G745" s="481"/>
      <c r="H745" s="480" t="s">
        <v>35</v>
      </c>
      <c r="I745" s="479"/>
      <c r="J745" s="478">
        <v>0</v>
      </c>
      <c r="K745" s="476"/>
      <c r="L745" s="477"/>
      <c r="M745" s="476"/>
      <c r="N745" s="476"/>
      <c r="O745" s="476"/>
      <c r="P745" s="476"/>
      <c r="Q745" s="476"/>
      <c r="R745" s="476"/>
      <c r="S745" s="476"/>
      <c r="T745" s="476"/>
      <c r="U745" s="476"/>
    </row>
    <row r="746" spans="1:21" ht="18.75" x14ac:dyDescent="0.25">
      <c r="A746" s="485"/>
      <c r="B746" s="484"/>
      <c r="C746" s="484"/>
      <c r="D746" s="484"/>
      <c r="E746" s="484"/>
      <c r="F746" s="489" t="s">
        <v>303</v>
      </c>
      <c r="G746" s="481"/>
      <c r="H746" s="480" t="s">
        <v>35</v>
      </c>
      <c r="I746" s="487">
        <f ca="1">IFERROR(__xludf.DUMMYFUNCTION("IMPORTRANGE(""https://docs.google.com/spreadsheets/d/1eHaY18a8A9IcSdp1K8H6x8fbOy06t2VsZHhMHf-1x7Y/edit?usp=sharing"",""แผน!GE17"")"),6)</f>
        <v>6</v>
      </c>
      <c r="J746" s="478">
        <v>6</v>
      </c>
      <c r="K746" s="486">
        <f ca="1">IF(I746&gt;0,J746*100/I746,0)</f>
        <v>100</v>
      </c>
      <c r="L746" s="477"/>
      <c r="M746" s="476"/>
      <c r="N746" s="476"/>
      <c r="O746" s="476"/>
      <c r="P746" s="476"/>
      <c r="Q746" s="476"/>
      <c r="R746" s="476"/>
      <c r="S746" s="476"/>
      <c r="T746" s="476"/>
      <c r="U746" s="476"/>
    </row>
    <row r="747" spans="1:21" ht="18.75" x14ac:dyDescent="0.25">
      <c r="A747" s="485"/>
      <c r="B747" s="484"/>
      <c r="C747" s="484"/>
      <c r="D747" s="484"/>
      <c r="E747" s="489" t="s">
        <v>277</v>
      </c>
      <c r="F747" s="483"/>
      <c r="G747" s="481"/>
      <c r="H747" s="488"/>
      <c r="I747" s="479"/>
      <c r="J747" s="479"/>
      <c r="K747" s="476"/>
      <c r="L747" s="477"/>
      <c r="M747" s="476"/>
      <c r="N747" s="476"/>
      <c r="O747" s="476"/>
      <c r="P747" s="476"/>
      <c r="Q747" s="476"/>
      <c r="R747" s="476"/>
      <c r="S747" s="476"/>
      <c r="T747" s="476"/>
      <c r="U747" s="476"/>
    </row>
    <row r="748" spans="1:21" ht="18.75" x14ac:dyDescent="0.25">
      <c r="A748" s="485"/>
      <c r="B748" s="484"/>
      <c r="C748" s="484"/>
      <c r="D748" s="484"/>
      <c r="E748" s="484"/>
      <c r="F748" s="489" t="s">
        <v>302</v>
      </c>
      <c r="G748" s="481"/>
      <c r="H748" s="480" t="s">
        <v>35</v>
      </c>
      <c r="I748" s="479"/>
      <c r="J748" s="478">
        <v>0</v>
      </c>
      <c r="K748" s="476"/>
      <c r="L748" s="477"/>
      <c r="M748" s="476"/>
      <c r="N748" s="476"/>
      <c r="O748" s="476"/>
      <c r="P748" s="476"/>
      <c r="Q748" s="476"/>
      <c r="R748" s="476"/>
      <c r="S748" s="476"/>
      <c r="T748" s="476"/>
      <c r="U748" s="476"/>
    </row>
    <row r="749" spans="1:21" ht="18.75" x14ac:dyDescent="0.25">
      <c r="A749" s="485"/>
      <c r="B749" s="484"/>
      <c r="C749" s="484"/>
      <c r="D749" s="484"/>
      <c r="E749" s="484"/>
      <c r="F749" s="489" t="s">
        <v>301</v>
      </c>
      <c r="G749" s="481"/>
      <c r="H749" s="480" t="s">
        <v>35</v>
      </c>
      <c r="I749" s="487">
        <f ca="1">IFERROR(__xludf.DUMMYFUNCTION("IMPORTRANGE(""https://docs.google.com/spreadsheets/d/1eHaY18a8A9IcSdp1K8H6x8fbOy06t2VsZHhMHf-1x7Y/edit?usp=sharing"",""แผน!GF17"")"),1)</f>
        <v>1</v>
      </c>
      <c r="J749" s="478">
        <v>1</v>
      </c>
      <c r="K749" s="486">
        <f ca="1">IF(I749&gt;0,J749*100/I749,0)</f>
        <v>100</v>
      </c>
      <c r="L749" s="477"/>
      <c r="M749" s="476"/>
      <c r="N749" s="476"/>
      <c r="O749" s="476"/>
      <c r="P749" s="476"/>
      <c r="Q749" s="476"/>
      <c r="R749" s="476"/>
      <c r="S749" s="476"/>
      <c r="T749" s="476"/>
      <c r="U749" s="476"/>
    </row>
    <row r="750" spans="1:21" ht="19.5" x14ac:dyDescent="0.3">
      <c r="A750" s="485"/>
      <c r="B750" s="484"/>
      <c r="C750" s="484"/>
      <c r="D750" s="490" t="s">
        <v>50</v>
      </c>
      <c r="E750" s="484"/>
      <c r="F750" s="483"/>
      <c r="G750" s="481"/>
      <c r="H750" s="488"/>
      <c r="I750" s="479"/>
      <c r="J750" s="479"/>
      <c r="K750" s="476"/>
      <c r="L750" s="477"/>
      <c r="M750" s="476"/>
      <c r="N750" s="476"/>
      <c r="O750" s="476"/>
      <c r="P750" s="476"/>
      <c r="Q750" s="476"/>
      <c r="R750" s="476"/>
      <c r="S750" s="476"/>
      <c r="T750" s="476"/>
      <c r="U750" s="476"/>
    </row>
    <row r="751" spans="1:21" ht="18.75" x14ac:dyDescent="0.25">
      <c r="A751" s="485"/>
      <c r="B751" s="484"/>
      <c r="C751" s="484"/>
      <c r="D751" s="484"/>
      <c r="E751" s="489" t="s">
        <v>270</v>
      </c>
      <c r="F751" s="483"/>
      <c r="G751" s="481"/>
      <c r="H751" s="488"/>
      <c r="I751" s="479"/>
      <c r="J751" s="479"/>
      <c r="K751" s="476"/>
      <c r="L751" s="477"/>
      <c r="M751" s="476"/>
      <c r="N751" s="476"/>
      <c r="O751" s="476"/>
      <c r="P751" s="476"/>
      <c r="Q751" s="476"/>
      <c r="R751" s="476"/>
      <c r="S751" s="476"/>
      <c r="T751" s="476"/>
      <c r="U751" s="476"/>
    </row>
    <row r="752" spans="1:21" ht="18.75" x14ac:dyDescent="0.25">
      <c r="A752" s="485"/>
      <c r="B752" s="484"/>
      <c r="C752" s="484"/>
      <c r="D752" s="484"/>
      <c r="E752" s="484"/>
      <c r="F752" s="482" t="s">
        <v>300</v>
      </c>
      <c r="G752" s="481"/>
      <c r="H752" s="480" t="s">
        <v>46</v>
      </c>
      <c r="I752" s="487">
        <f ca="1">IFERROR(__xludf.DUMMYFUNCTION("IMPORTRANGE(""https://docs.google.com/spreadsheets/d/1eHaY18a8A9IcSdp1K8H6x8fbOy06t2VsZHhMHf-1x7Y/edit?usp=sharing"",""แผน!GB17"")"),240)</f>
        <v>240</v>
      </c>
      <c r="J752" s="478">
        <v>0</v>
      </c>
      <c r="K752" s="486">
        <f ca="1">IF(I752&gt;0,J752*100/I752,0)</f>
        <v>0</v>
      </c>
      <c r="L752" s="477"/>
      <c r="M752" s="476"/>
      <c r="N752" s="476"/>
      <c r="O752" s="476"/>
      <c r="P752" s="476"/>
      <c r="Q752" s="476"/>
      <c r="R752" s="476"/>
      <c r="S752" s="476"/>
      <c r="T752" s="476"/>
      <c r="U752" s="476"/>
    </row>
    <row r="753" spans="1:21" ht="18.75" x14ac:dyDescent="0.25">
      <c r="A753" s="485"/>
      <c r="B753" s="484"/>
      <c r="C753" s="484"/>
      <c r="D753" s="484"/>
      <c r="E753" s="484"/>
      <c r="F753" s="482" t="s">
        <v>299</v>
      </c>
      <c r="G753" s="481"/>
      <c r="H753" s="480" t="s">
        <v>46</v>
      </c>
      <c r="I753" s="479"/>
      <c r="J753" s="478">
        <v>0</v>
      </c>
      <c r="K753" s="476"/>
      <c r="L753" s="477"/>
      <c r="M753" s="476"/>
      <c r="N753" s="476"/>
      <c r="O753" s="476"/>
      <c r="P753" s="476"/>
      <c r="Q753" s="476"/>
      <c r="R753" s="476"/>
      <c r="S753" s="476"/>
      <c r="T753" s="476"/>
      <c r="U753" s="476"/>
    </row>
    <row r="754" spans="1:21" ht="18.75" x14ac:dyDescent="0.25">
      <c r="A754" s="485"/>
      <c r="B754" s="484"/>
      <c r="C754" s="484"/>
      <c r="D754" s="484"/>
      <c r="E754" s="489" t="s">
        <v>274</v>
      </c>
      <c r="F754" s="483"/>
      <c r="G754" s="481"/>
      <c r="H754" s="488"/>
      <c r="I754" s="479"/>
      <c r="J754" s="479"/>
      <c r="K754" s="476"/>
      <c r="L754" s="477"/>
      <c r="M754" s="476"/>
      <c r="N754" s="476"/>
      <c r="O754" s="476"/>
      <c r="P754" s="476"/>
      <c r="Q754" s="476"/>
      <c r="R754" s="476"/>
      <c r="S754" s="476"/>
      <c r="T754" s="476"/>
      <c r="U754" s="476"/>
    </row>
    <row r="755" spans="1:21" ht="18.75" x14ac:dyDescent="0.25">
      <c r="A755" s="485"/>
      <c r="B755" s="484"/>
      <c r="C755" s="484"/>
      <c r="D755" s="484"/>
      <c r="E755" s="483"/>
      <c r="F755" s="482" t="s">
        <v>298</v>
      </c>
      <c r="G755" s="481"/>
      <c r="H755" s="480" t="s">
        <v>46</v>
      </c>
      <c r="I755" s="487">
        <f ca="1">IFERROR(__xludf.DUMMYFUNCTION("IMPORTRANGE(""https://docs.google.com/spreadsheets/d/1eHaY18a8A9IcSdp1K8H6x8fbOy06t2VsZHhMHf-1x7Y/edit?usp=sharing"",""แผน!GD17"")"),60)</f>
        <v>60</v>
      </c>
      <c r="J755" s="478">
        <v>0</v>
      </c>
      <c r="K755" s="486">
        <f ca="1">IF(I755&gt;0,J755*100/I755,0)</f>
        <v>0</v>
      </c>
      <c r="L755" s="477"/>
      <c r="M755" s="476"/>
      <c r="N755" s="476"/>
      <c r="O755" s="476"/>
      <c r="P755" s="476"/>
      <c r="Q755" s="476"/>
      <c r="R755" s="476"/>
      <c r="S755" s="476"/>
      <c r="T755" s="476"/>
      <c r="U755" s="476"/>
    </row>
    <row r="756" spans="1:21" ht="18.75" x14ac:dyDescent="0.25">
      <c r="A756" s="485"/>
      <c r="B756" s="484"/>
      <c r="C756" s="484"/>
      <c r="D756" s="484"/>
      <c r="E756" s="483"/>
      <c r="F756" s="482" t="s">
        <v>297</v>
      </c>
      <c r="G756" s="481"/>
      <c r="H756" s="480" t="s">
        <v>46</v>
      </c>
      <c r="I756" s="479"/>
      <c r="J756" s="478">
        <v>0</v>
      </c>
      <c r="K756" s="476"/>
      <c r="L756" s="477"/>
      <c r="M756" s="476"/>
      <c r="N756" s="476"/>
      <c r="O756" s="476"/>
      <c r="P756" s="476"/>
      <c r="Q756" s="476"/>
      <c r="R756" s="476"/>
      <c r="S756" s="476"/>
      <c r="T756" s="476"/>
      <c r="U756" s="476"/>
    </row>
    <row r="757" spans="1:21" ht="18.75" x14ac:dyDescent="0.25">
      <c r="A757" s="438"/>
      <c r="B757" s="438"/>
      <c r="C757" s="438"/>
      <c r="D757" s="438"/>
      <c r="E757" s="439" t="s">
        <v>284</v>
      </c>
      <c r="F757" s="440"/>
      <c r="G757" s="441"/>
      <c r="H757" s="442" t="s">
        <v>35</v>
      </c>
      <c r="I757" s="443"/>
      <c r="J757" s="444">
        <v>0</v>
      </c>
      <c r="K757" s="445"/>
      <c r="L757" s="445"/>
      <c r="M757" s="445"/>
      <c r="N757" s="445"/>
      <c r="O757" s="445"/>
      <c r="P757" s="445"/>
      <c r="Q757" s="445"/>
      <c r="R757" s="445"/>
      <c r="S757" s="445"/>
      <c r="T757" s="445"/>
      <c r="U757" s="445"/>
    </row>
    <row r="758" spans="1:21" ht="19.5" hidden="1" x14ac:dyDescent="0.3">
      <c r="A758" s="394"/>
      <c r="B758" s="395" t="s">
        <v>285</v>
      </c>
      <c r="C758" s="394"/>
      <c r="D758" s="396"/>
      <c r="E758" s="396"/>
      <c r="F758" s="396"/>
      <c r="G758" s="397"/>
      <c r="H758" s="434" t="s">
        <v>35</v>
      </c>
      <c r="I758" s="475">
        <f ca="1">I772</f>
        <v>0</v>
      </c>
      <c r="J758" s="475">
        <f>J772</f>
        <v>0</v>
      </c>
      <c r="K758" s="474">
        <f ca="1">IF(I758&gt;0,J758*100/I758,0)</f>
        <v>0</v>
      </c>
      <c r="L758" s="47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hidden="1" x14ac:dyDescent="0.3">
      <c r="A759" s="436"/>
      <c r="B759" s="394"/>
      <c r="C759" s="394"/>
      <c r="D759" s="396"/>
      <c r="E759" s="396"/>
      <c r="F759" s="396"/>
      <c r="G759" s="397"/>
      <c r="H759" s="434" t="s">
        <v>46</v>
      </c>
      <c r="I759" s="475">
        <f ca="1">I774</f>
        <v>0</v>
      </c>
      <c r="J759" s="475">
        <f>J774</f>
        <v>0</v>
      </c>
      <c r="K759" s="474">
        <f ca="1">IF(I759&gt;0,J759*100/I759,0)</f>
        <v>0</v>
      </c>
      <c r="L759" s="47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hidden="1" x14ac:dyDescent="0.3">
      <c r="A760" s="128"/>
      <c r="B760" s="158"/>
      <c r="C760" s="177" t="s">
        <v>18</v>
      </c>
      <c r="D760" s="821" t="s">
        <v>19</v>
      </c>
      <c r="E760" s="793"/>
      <c r="F760" s="793"/>
      <c r="G760" s="794"/>
      <c r="H760" s="221" t="s">
        <v>14</v>
      </c>
      <c r="I760" s="44"/>
      <c r="J760" s="44"/>
      <c r="K760" s="45"/>
      <c r="L760" s="471">
        <f>L761+L762</f>
        <v>0</v>
      </c>
      <c r="M760" s="470">
        <f>M761+M762</f>
        <v>0</v>
      </c>
      <c r="N760" s="470">
        <f>N761+N762</f>
        <v>0</v>
      </c>
      <c r="O760" s="470">
        <f t="shared" ref="O760:O768" si="188">IF(L760&gt;0,N760*100/L760,0)</f>
        <v>0</v>
      </c>
      <c r="P760" s="470">
        <f t="shared" ref="P760:P768" si="189">IF(M760&gt;0,N760*100/M760,0)</f>
        <v>0</v>
      </c>
      <c r="Q760" s="470">
        <f ca="1">Q761+Q762</f>
        <v>0</v>
      </c>
      <c r="R760" s="470">
        <f ca="1">R761+R762</f>
        <v>0</v>
      </c>
      <c r="S760" s="470">
        <f ca="1">S761+S762</f>
        <v>0</v>
      </c>
      <c r="T760" s="470">
        <f t="shared" ref="T760:T768" ca="1" si="190">IF(Q760&gt;0,S760*100/Q760,0)</f>
        <v>0</v>
      </c>
      <c r="U760" s="470">
        <f t="shared" ref="U760:U768" ca="1" si="191">IF(R760&gt;0,S760*100/R760,0)</f>
        <v>0</v>
      </c>
    </row>
    <row r="761" spans="1:21" ht="18.75" hidden="1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469">
        <f t="shared" ref="L761:N762" si="192">L764+L767</f>
        <v>0</v>
      </c>
      <c r="M761" s="83">
        <f t="shared" si="192"/>
        <v>0</v>
      </c>
      <c r="N761" s="83">
        <f t="shared" si="192"/>
        <v>0</v>
      </c>
      <c r="O761" s="83">
        <f t="shared" si="188"/>
        <v>0</v>
      </c>
      <c r="P761" s="83">
        <f t="shared" si="189"/>
        <v>0</v>
      </c>
      <c r="Q761" s="83">
        <f t="shared" ref="Q761:S762" si="193">Q764+Q767</f>
        <v>0</v>
      </c>
      <c r="R761" s="83">
        <f t="shared" si="193"/>
        <v>0</v>
      </c>
      <c r="S761" s="83">
        <f t="shared" si="193"/>
        <v>0</v>
      </c>
      <c r="T761" s="83">
        <f t="shared" si="190"/>
        <v>0</v>
      </c>
      <c r="U761" s="83">
        <f t="shared" si="191"/>
        <v>0</v>
      </c>
    </row>
    <row r="762" spans="1:21" ht="18.75" hidden="1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468">
        <f t="shared" si="192"/>
        <v>0</v>
      </c>
      <c r="M762" s="224">
        <f t="shared" si="192"/>
        <v>0</v>
      </c>
      <c r="N762" s="224">
        <f t="shared" si="192"/>
        <v>0</v>
      </c>
      <c r="O762" s="224">
        <f t="shared" si="188"/>
        <v>0</v>
      </c>
      <c r="P762" s="224">
        <f t="shared" si="189"/>
        <v>0</v>
      </c>
      <c r="Q762" s="224">
        <f t="shared" ca="1" si="193"/>
        <v>0</v>
      </c>
      <c r="R762" s="224">
        <f t="shared" ca="1" si="193"/>
        <v>0</v>
      </c>
      <c r="S762" s="224">
        <f t="shared" ca="1" si="193"/>
        <v>0</v>
      </c>
      <c r="T762" s="224">
        <f t="shared" ca="1" si="190"/>
        <v>0</v>
      </c>
      <c r="U762" s="224">
        <f t="shared" ca="1" si="191"/>
        <v>0</v>
      </c>
    </row>
    <row r="763" spans="1:21" ht="18.75" hidden="1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468">
        <f>L764+L765</f>
        <v>0</v>
      </c>
      <c r="M763" s="224">
        <f>M764+M765</f>
        <v>0</v>
      </c>
      <c r="N763" s="224">
        <f>N764+N765</f>
        <v>0</v>
      </c>
      <c r="O763" s="224">
        <f t="shared" si="188"/>
        <v>0</v>
      </c>
      <c r="P763" s="224">
        <f t="shared" si="189"/>
        <v>0</v>
      </c>
      <c r="Q763" s="224">
        <f ca="1">Q764+Q765</f>
        <v>0</v>
      </c>
      <c r="R763" s="224">
        <f ca="1">R764+R765</f>
        <v>0</v>
      </c>
      <c r="S763" s="224">
        <f ca="1">S764+S765</f>
        <v>0</v>
      </c>
      <c r="T763" s="224">
        <f t="shared" ca="1" si="190"/>
        <v>0</v>
      </c>
      <c r="U763" s="224">
        <f t="shared" ca="1" si="191"/>
        <v>0</v>
      </c>
    </row>
    <row r="764" spans="1:21" ht="18.75" hidden="1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469">
        <v>0</v>
      </c>
      <c r="M764" s="83">
        <v>0</v>
      </c>
      <c r="N764" s="83">
        <v>0</v>
      </c>
      <c r="O764" s="83">
        <f t="shared" si="188"/>
        <v>0</v>
      </c>
      <c r="P764" s="83">
        <f t="shared" si="189"/>
        <v>0</v>
      </c>
      <c r="Q764" s="83">
        <v>0</v>
      </c>
      <c r="R764" s="83">
        <v>0</v>
      </c>
      <c r="S764" s="83">
        <v>0</v>
      </c>
      <c r="T764" s="83">
        <f t="shared" si="190"/>
        <v>0</v>
      </c>
      <c r="U764" s="83">
        <f t="shared" si="191"/>
        <v>0</v>
      </c>
    </row>
    <row r="765" spans="1:21" ht="18.75" hidden="1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468">
        <v>0</v>
      </c>
      <c r="M765" s="224">
        <v>0</v>
      </c>
      <c r="N765" s="224">
        <v>0</v>
      </c>
      <c r="O765" s="224">
        <f t="shared" si="188"/>
        <v>0</v>
      </c>
      <c r="P765" s="224">
        <f t="shared" si="189"/>
        <v>0</v>
      </c>
      <c r="Q765" s="224">
        <f ca="1">IFERROR(__xludf.DUMMYFUNCTION("IMPORTRANGE(""https://docs.google.com/spreadsheets/d/1ItG2mGa2ceCfYo0BwxsXqNm01IGEUdYcSSLTEv9YCik/edit?usp=sharing"",""เบิกจ่ายกองทุน!U17"")"),0)</f>
        <v>0</v>
      </c>
      <c r="R765" s="224">
        <f ca="1">IFERROR(__xludf.DUMMYFUNCTION("IMPORTRANGE(""https://docs.google.com/spreadsheets/d/1ItG2mGa2ceCfYo0BwxsXqNm01IGEUdYcSSLTEv9YCik/edit?usp=sharing"",""เบิกจ่ายกองทุน!V17"")"),0)</f>
        <v>0</v>
      </c>
      <c r="S765" s="224">
        <f ca="1">IFERROR(__xludf.DUMMYFUNCTION("IMPORTRANGE(""https://docs.google.com/spreadsheets/d/1ItG2mGa2ceCfYo0BwxsXqNm01IGEUdYcSSLTEv9YCik/edit?usp=sharing"",""เบิกจ่ายกองทุน!W17"")"),0)</f>
        <v>0</v>
      </c>
      <c r="T765" s="224">
        <f t="shared" ca="1" si="190"/>
        <v>0</v>
      </c>
      <c r="U765" s="224">
        <f t="shared" ca="1" si="191"/>
        <v>0</v>
      </c>
    </row>
    <row r="766" spans="1:21" ht="18.75" hidden="1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468">
        <f>L767+L768</f>
        <v>0</v>
      </c>
      <c r="M766" s="224">
        <f>M767+M768</f>
        <v>0</v>
      </c>
      <c r="N766" s="224">
        <f>N767+N768</f>
        <v>0</v>
      </c>
      <c r="O766" s="224">
        <f t="shared" si="188"/>
        <v>0</v>
      </c>
      <c r="P766" s="224">
        <f t="shared" si="189"/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 t="shared" si="190"/>
        <v>0</v>
      </c>
      <c r="U766" s="224">
        <f t="shared" si="191"/>
        <v>0</v>
      </c>
    </row>
    <row r="767" spans="1:21" ht="18.75" hidden="1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469">
        <v>0</v>
      </c>
      <c r="M767" s="83">
        <v>0</v>
      </c>
      <c r="N767" s="83">
        <v>0</v>
      </c>
      <c r="O767" s="83">
        <f t="shared" si="188"/>
        <v>0</v>
      </c>
      <c r="P767" s="83">
        <f t="shared" si="189"/>
        <v>0</v>
      </c>
      <c r="Q767" s="83">
        <v>0</v>
      </c>
      <c r="R767" s="83">
        <v>0</v>
      </c>
      <c r="S767" s="83">
        <v>0</v>
      </c>
      <c r="T767" s="83">
        <f t="shared" si="190"/>
        <v>0</v>
      </c>
      <c r="U767" s="83">
        <f t="shared" si="191"/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468">
        <v>0</v>
      </c>
      <c r="M768" s="224">
        <v>0</v>
      </c>
      <c r="N768" s="224">
        <v>0</v>
      </c>
      <c r="O768" s="224">
        <f t="shared" si="188"/>
        <v>0</v>
      </c>
      <c r="P768" s="224">
        <f t="shared" si="189"/>
        <v>0</v>
      </c>
      <c r="Q768" s="224">
        <v>0</v>
      </c>
      <c r="R768" s="224">
        <v>0</v>
      </c>
      <c r="S768" s="224">
        <v>0</v>
      </c>
      <c r="T768" s="224">
        <f t="shared" si="190"/>
        <v>0</v>
      </c>
      <c r="U768" s="224">
        <f t="shared" si="191"/>
        <v>0</v>
      </c>
    </row>
    <row r="769" spans="1:21" ht="19.5" hidden="1" x14ac:dyDescent="0.3">
      <c r="A769" s="138"/>
      <c r="B769" s="139"/>
      <c r="C769" s="446" t="s">
        <v>18</v>
      </c>
      <c r="D769" s="467" t="s">
        <v>38</v>
      </c>
      <c r="E769" s="203"/>
      <c r="F769" s="141"/>
      <c r="G769" s="142"/>
      <c r="H769" s="178"/>
      <c r="I769" s="44"/>
      <c r="J769" s="44"/>
      <c r="K769" s="45"/>
      <c r="L769" s="465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377" t="s">
        <v>286</v>
      </c>
      <c r="E770" s="139"/>
      <c r="F770" s="145"/>
      <c r="G770" s="143"/>
      <c r="H770" s="375" t="s">
        <v>35</v>
      </c>
      <c r="I770" s="430">
        <f ca="1">IFERROR(__xludf.DUMMYFUNCTION("IMPORTRANGE(""https://docs.google.com/spreadsheets/d/1eHaY18a8A9IcSdp1K8H6x8fbOy06t2VsZHhMHf-1x7Y/edit?usp=sharing"",""แผน!FI17"")"),0)</f>
        <v>0</v>
      </c>
      <c r="J770" s="430">
        <v>0</v>
      </c>
      <c r="K770" s="83">
        <f ca="1">IF(I770&gt;0,J770*100/I770,0)</f>
        <v>0</v>
      </c>
      <c r="L770" s="465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377" t="s">
        <v>287</v>
      </c>
      <c r="E771" s="139"/>
      <c r="F771" s="145"/>
      <c r="G771" s="143"/>
      <c r="H771" s="178"/>
      <c r="I771" s="44"/>
      <c r="J771" s="44"/>
      <c r="K771" s="45"/>
      <c r="L771" s="465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hidden="1" x14ac:dyDescent="0.25">
      <c r="A772" s="138"/>
      <c r="B772" s="139"/>
      <c r="C772" s="139"/>
      <c r="D772" s="410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IFERROR(__xludf.DUMMYFUNCTION("IMPORTRANGE(""https://docs.google.com/spreadsheets/d/1eHaY18a8A9IcSdp1K8H6x8fbOy06t2VsZHhMHf-1x7Y/edit?usp=sharing"",""แผน!FQ17"")"),0)</f>
        <v>0</v>
      </c>
      <c r="J772" s="466">
        <v>0</v>
      </c>
      <c r="K772" s="224">
        <f ca="1">IF(I772&gt;0,J772*100/I772,0)</f>
        <v>0</v>
      </c>
      <c r="L772" s="465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hidden="1" x14ac:dyDescent="0.25">
      <c r="A773" s="138"/>
      <c r="B773" s="139"/>
      <c r="C773" s="139"/>
      <c r="D773" s="410" t="s">
        <v>289</v>
      </c>
      <c r="E773" s="139"/>
      <c r="F773" s="145"/>
      <c r="G773" s="143"/>
      <c r="H773" s="178"/>
      <c r="I773" s="44"/>
      <c r="J773" s="44"/>
      <c r="K773" s="45"/>
      <c r="L773" s="465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hidden="1" x14ac:dyDescent="0.25">
      <c r="A774" s="138"/>
      <c r="B774" s="139"/>
      <c r="C774" s="139"/>
      <c r="D774" s="410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IFERROR(__xludf.DUMMYFUNCTION("IMPORTRANGE(""https://docs.google.com/spreadsheets/d/1eHaY18a8A9IcSdp1K8H6x8fbOy06t2VsZHhMHf-1x7Y/edit?usp=sharing"",""แผน!FR17"")"),0)</f>
        <v>0</v>
      </c>
      <c r="J774" s="466">
        <v>0</v>
      </c>
      <c r="K774" s="224">
        <f ca="1">IF(I774&gt;0,J774*100/I774,0)</f>
        <v>0</v>
      </c>
      <c r="L774" s="465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hidden="1" x14ac:dyDescent="0.25">
      <c r="A775" s="138"/>
      <c r="B775" s="139"/>
      <c r="C775" s="139"/>
      <c r="D775" s="410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IFERROR(__xludf.DUMMYFUNCTION("IMPORTRANGE(""https://docs.google.com/spreadsheets/d/1eHaY18a8A9IcSdp1K8H6x8fbOy06t2VsZHhMHf-1x7Y/edit?usp=sharing"",""แผน!FS17"")"),0)</f>
        <v>0</v>
      </c>
      <c r="J775" s="466">
        <v>0</v>
      </c>
      <c r="K775" s="45"/>
      <c r="L775" s="465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hidden="1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IFERROR(__xludf.DUMMYFUNCTION("IMPORTRANGE(""https://docs.google.com/spreadsheets/d/1eHaY18a8A9IcSdp1K8H6x8fbOy06t2VsZHhMHf-1x7Y/edit?usp=sharing"",""แผน!FT17"")"),0)</f>
        <v>0</v>
      </c>
      <c r="J776" s="464">
        <v>0</v>
      </c>
      <c r="K776" s="3"/>
      <c r="L776" s="46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462" t="s">
        <v>291</v>
      </c>
      <c r="B777" s="449"/>
      <c r="C777" s="449"/>
      <c r="D777" s="448"/>
      <c r="E777" s="449"/>
      <c r="F777" s="449"/>
      <c r="G777" s="450"/>
      <c r="H777" s="461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2"/>
      <c r="J777" s="453"/>
      <c r="K777" s="454"/>
      <c r="L777" s="454"/>
      <c r="M777" s="454"/>
      <c r="N777" s="454"/>
      <c r="O777" s="454"/>
      <c r="P777" s="454"/>
      <c r="Q777" s="454"/>
      <c r="R777" s="454"/>
      <c r="S777" s="454"/>
      <c r="T777" s="454"/>
      <c r="U777" s="454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IFERROR(__xludf.DUMMYFUNCTION("IMPORTRANGE(""https://docs.google.com/spreadsheets/d/10OvvATaaLtwErnr3qtWFcTmtbfpFEt5Bsqel9sXx0uE/edit?usp=sharing"",""งานกองทุน!D17"")"),2298513.49)</f>
        <v>2298513.4900000002</v>
      </c>
      <c r="J778" s="184">
        <f ca="1">IFERROR(__xludf.DUMMYFUNCTION("IMPORTRANGE(""https://docs.google.com/spreadsheets/d/10OvvATaaLtwErnr3qtWFcTmtbfpFEt5Bsqel9sXx0uE/edit?usp=sharing"",""งานกองทุน!F17"")"),855575.95)</f>
        <v>855575.95</v>
      </c>
      <c r="K778" s="224">
        <f t="shared" ref="K778:K785" ca="1" si="194">IF(I778&gt;0,J778*100/I778,0)</f>
        <v>37.223011904098065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IFERROR(__xludf.DUMMYFUNCTION("IMPORTRANGE(""https://docs.google.com/spreadsheets/d/10OvvATaaLtwErnr3qtWFcTmtbfpFEt5Bsqel9sXx0uE/edit?usp=sharing"",""งานกองทุน!C17"")"),198)</f>
        <v>198</v>
      </c>
      <c r="J779" s="184">
        <f ca="1">IFERROR(__xludf.DUMMYFUNCTION("IMPORTRANGE(""https://docs.google.com/spreadsheets/d/10OvvATaaLtwErnr3qtWFcTmtbfpFEt5Bsqel9sXx0uE/edit?usp=sharing"",""งานกองทุน!E17"")"),78)</f>
        <v>78</v>
      </c>
      <c r="K779" s="224">
        <f t="shared" ca="1" si="194"/>
        <v>39.393939393939391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IFERROR(__xludf.DUMMYFUNCTION("IMPORTRANGE(""https://docs.google.com/spreadsheets/d/10OvvATaaLtwErnr3qtWFcTmtbfpFEt5Bsqel9sXx0uE/edit?usp=sharing"",""งานกองทุน!I17"")"),7698648.46)</f>
        <v>7698648.46</v>
      </c>
      <c r="J780" s="184">
        <f ca="1">IFERROR(__xludf.DUMMYFUNCTION("IMPORTRANGE(""https://docs.google.com/spreadsheets/d/10OvvATaaLtwErnr3qtWFcTmtbfpFEt5Bsqel9sXx0uE/edit?usp=sharing"",""งานกองทุน!K17"")"),415912.68)</f>
        <v>415912.68</v>
      </c>
      <c r="K780" s="224">
        <f t="shared" ca="1" si="194"/>
        <v>5.4024116331712593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IFERROR(__xludf.DUMMYFUNCTION("IMPORTRANGE(""https://docs.google.com/spreadsheets/d/10OvvATaaLtwErnr3qtWFcTmtbfpFEt5Bsqel9sXx0uE/edit?usp=sharing"",""งานกองทุน!H17"")"),324)</f>
        <v>324</v>
      </c>
      <c r="J781" s="184">
        <f ca="1">IFERROR(__xludf.DUMMYFUNCTION("IMPORTRANGE(""https://docs.google.com/spreadsheets/d/10OvvATaaLtwErnr3qtWFcTmtbfpFEt5Bsqel9sXx0uE/edit?usp=sharing"",""งานกองทุน!J17"")"),136)</f>
        <v>136</v>
      </c>
      <c r="K781" s="224">
        <f t="shared" ca="1" si="194"/>
        <v>41.97530864197531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IFERROR(__xludf.DUMMYFUNCTION("IMPORTRANGE(""https://docs.google.com/spreadsheets/d/10OvvATaaLtwErnr3qtWFcTmtbfpFEt5Bsqel9sXx0uE/edit?usp=sharing"",""งานกองทุน!N17"")"),0)</f>
        <v>0</v>
      </c>
      <c r="J782" s="184">
        <f ca="1">IFERROR(__xludf.DUMMYFUNCTION("IMPORTRANGE(""https://docs.google.com/spreadsheets/d/10OvvATaaLtwErnr3qtWFcTmtbfpFEt5Bsqel9sXx0uE/edit?usp=sharing"",""งานกองทุน!P17"")"),0)</f>
        <v>0</v>
      </c>
      <c r="K782" s="224">
        <f t="shared" ca="1" si="194"/>
        <v>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IFERROR(__xludf.DUMMYFUNCTION("IMPORTRANGE(""https://docs.google.com/spreadsheets/d/10OvvATaaLtwErnr3qtWFcTmtbfpFEt5Bsqel9sXx0uE/edit?usp=sharing"",""งานกองทุน!M17"")"),0)</f>
        <v>0</v>
      </c>
      <c r="J783" s="184">
        <f ca="1">IFERROR(__xludf.DUMMYFUNCTION("IMPORTRANGE(""https://docs.google.com/spreadsheets/d/10OvvATaaLtwErnr3qtWFcTmtbfpFEt5Bsqel9sXx0uE/edit?usp=sharing"",""งานกองทุน!O17"")"),0)</f>
        <v>0</v>
      </c>
      <c r="K783" s="224">
        <f t="shared" ca="1" si="194"/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IFERROR(__xludf.DUMMYFUNCTION("IMPORTRANGE(""https://docs.google.com/spreadsheets/d/10OvvATaaLtwErnr3qtWFcTmtbfpFEt5Bsqel9sXx0uE/edit?usp=sharing"",""งานกองทุน!S17"")"),3780000)</f>
        <v>3780000</v>
      </c>
      <c r="J784" s="184">
        <f ca="1">IFERROR(__xludf.DUMMYFUNCTION("IMPORTRANGE(""https://docs.google.com/spreadsheets/d/10OvvATaaLtwErnr3qtWFcTmtbfpFEt5Bsqel9sXx0uE/edit?usp=sharing"",""งานกองทุน!U17"")"),0)</f>
        <v>0</v>
      </c>
      <c r="K784" s="224">
        <f t="shared" ca="1" si="194"/>
        <v>0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IFERROR(__xludf.DUMMYFUNCTION("IMPORTRANGE(""https://docs.google.com/spreadsheets/d/10OvvATaaLtwErnr3qtWFcTmtbfpFEt5Bsqel9sXx0uE/edit?usp=sharing"",""งานกองทุน!R17"")"),135)</f>
        <v>135</v>
      </c>
      <c r="J785" s="188">
        <f ca="1">IFERROR(__xludf.DUMMYFUNCTION("IMPORTRANGE(""https://docs.google.com/spreadsheets/d/10OvvATaaLtwErnr3qtWFcTmtbfpFEt5Bsqel9sXx0uE/edit?usp=sharing"",""งานกองทุน!T17"")"),0)</f>
        <v>0</v>
      </c>
      <c r="K785" s="455">
        <f t="shared" ca="1" si="194"/>
        <v>0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460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4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4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orientation="portrait" horizontalDpi="4294967293" verticalDpi="4294967293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7E387-84A3-469E-B740-0800557A11B5}">
  <sheetPr>
    <outlinePr summaryBelow="0" summaryRight="0"/>
  </sheetPr>
  <dimension ref="A1:U789"/>
  <sheetViews>
    <sheetView view="pageBreakPreview" zoomScale="60" zoomScaleNormal="70" workbookViewId="0">
      <pane xSplit="8" ySplit="6" topLeftCell="I7" activePane="bottomRight" state="frozen"/>
      <selection activeCell="N28" sqref="N28"/>
      <selection pane="topRight" activeCell="N28" sqref="N28"/>
      <selection pane="bottomLeft" activeCell="N28" sqref="N28"/>
      <selection pane="bottomRight" activeCell="N28" sqref="N2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5703125" bestFit="1" customWidth="1"/>
    <col min="10" max="10" width="16.7109375" bestFit="1" customWidth="1"/>
    <col min="11" max="11" width="12.42578125" bestFit="1" customWidth="1"/>
    <col min="12" max="14" width="21" bestFit="1" customWidth="1"/>
    <col min="15" max="15" width="20.140625" bestFit="1" customWidth="1"/>
    <col min="16" max="16" width="22" bestFit="1" customWidth="1"/>
    <col min="17" max="18" width="21" bestFit="1" customWidth="1"/>
    <col min="19" max="19" width="18.57031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815" t="s">
        <v>0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5"/>
      <c r="T1" s="815"/>
      <c r="U1" s="815"/>
    </row>
    <row r="2" spans="1:21" ht="19.5" x14ac:dyDescent="0.3">
      <c r="A2" s="815" t="s">
        <v>316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</row>
    <row r="3" spans="1:21" ht="19.5" x14ac:dyDescent="0.3">
      <c r="A3" s="815" t="s">
        <v>335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709"/>
      <c r="L4" s="816" t="s">
        <v>2</v>
      </c>
      <c r="M4" s="800"/>
      <c r="N4" s="800"/>
      <c r="O4" s="800"/>
      <c r="P4" s="801"/>
      <c r="Q4" s="817" t="s">
        <v>3</v>
      </c>
      <c r="R4" s="800"/>
      <c r="S4" s="800"/>
      <c r="T4" s="800"/>
      <c r="U4" s="801"/>
    </row>
    <row r="5" spans="1:21" ht="19.5" x14ac:dyDescent="0.3">
      <c r="A5" s="822" t="s">
        <v>4</v>
      </c>
      <c r="B5" s="797"/>
      <c r="C5" s="797"/>
      <c r="D5" s="797"/>
      <c r="E5" s="797"/>
      <c r="F5" s="797"/>
      <c r="G5" s="798"/>
      <c r="H5" s="708" t="s">
        <v>5</v>
      </c>
      <c r="I5" s="814" t="s">
        <v>6</v>
      </c>
      <c r="J5" s="800"/>
      <c r="K5" s="801"/>
      <c r="L5" s="818" t="s">
        <v>7</v>
      </c>
      <c r="M5" s="801"/>
      <c r="N5" s="807" t="s">
        <v>8</v>
      </c>
      <c r="O5" s="800"/>
      <c r="P5" s="801"/>
      <c r="Q5" s="808" t="s">
        <v>7</v>
      </c>
      <c r="R5" s="801"/>
      <c r="S5" s="807" t="s">
        <v>8</v>
      </c>
      <c r="T5" s="800"/>
      <c r="U5" s="801"/>
    </row>
    <row r="6" spans="1:21" ht="19.5" x14ac:dyDescent="0.3">
      <c r="A6" s="799"/>
      <c r="B6" s="800"/>
      <c r="C6" s="800"/>
      <c r="D6" s="800"/>
      <c r="E6" s="800"/>
      <c r="F6" s="800"/>
      <c r="G6" s="801"/>
      <c r="H6" s="707"/>
      <c r="I6" s="6" t="s">
        <v>9</v>
      </c>
      <c r="J6" s="7" t="s">
        <v>10</v>
      </c>
      <c r="K6" s="6" t="s">
        <v>11</v>
      </c>
      <c r="L6" s="706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823"/>
      <c r="B7" s="800"/>
      <c r="C7" s="800"/>
      <c r="D7" s="800"/>
      <c r="E7" s="800"/>
      <c r="F7" s="800"/>
      <c r="G7" s="801"/>
      <c r="H7" s="14"/>
      <c r="I7" s="15"/>
      <c r="J7" s="15"/>
      <c r="K7" s="16"/>
      <c r="L7" s="580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571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71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71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71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71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71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71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71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580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803" t="s">
        <v>309</v>
      </c>
      <c r="B17" s="800"/>
      <c r="C17" s="800"/>
      <c r="D17" s="800"/>
      <c r="E17" s="800"/>
      <c r="F17" s="800"/>
      <c r="G17" s="801"/>
      <c r="H17" s="23"/>
      <c r="I17" s="24"/>
      <c r="J17" s="24"/>
      <c r="K17" s="25"/>
      <c r="L17" s="705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704">
        <f ca="1">L19+L20</f>
        <v>2327437</v>
      </c>
      <c r="M18" s="664">
        <f ca="1">M19+M20</f>
        <v>2590207</v>
      </c>
      <c r="N18" s="664">
        <f ca="1">N19+N20</f>
        <v>1932137.96</v>
      </c>
      <c r="O18" s="664">
        <f t="shared" ref="O18:O26" ca="1" si="0">IF(L18&gt;0,N18*100/L18,0)</f>
        <v>83.015693228216278</v>
      </c>
      <c r="P18" s="664">
        <f t="shared" ref="P18:P26" ca="1" si="1">IF(M18&gt;0,N18*100/M18,0)</f>
        <v>74.593959478914229</v>
      </c>
      <c r="Q18" s="664">
        <f ca="1">Q19+Q20</f>
        <v>3517412.24</v>
      </c>
      <c r="R18" s="664">
        <f ca="1">R19+R20</f>
        <v>3406412</v>
      </c>
      <c r="S18" s="664">
        <f ca="1">S19+S20</f>
        <v>626223.44999999995</v>
      </c>
      <c r="T18" s="664">
        <f t="shared" ref="T18:T26" ca="1" si="2">IF(Q18&gt;0,S18*100/Q18,0)</f>
        <v>17.803527345432787</v>
      </c>
      <c r="U18" s="664">
        <f t="shared" ref="U18:U26" ca="1" si="3">IF(R18&gt;0,S18*100/R18,0)</f>
        <v>18.383667330904188</v>
      </c>
    </row>
    <row r="19" spans="1:21" ht="18.75" hidden="1" x14ac:dyDescent="0.25">
      <c r="A19" s="26"/>
      <c r="B19" s="27"/>
      <c r="C19" s="27"/>
      <c r="D19" s="27"/>
      <c r="E19" s="703" t="s">
        <v>20</v>
      </c>
      <c r="F19" s="27"/>
      <c r="G19" s="30"/>
      <c r="H19" s="702" t="s">
        <v>14</v>
      </c>
      <c r="I19" s="32"/>
      <c r="J19" s="32"/>
      <c r="K19" s="33"/>
      <c r="L19" s="701">
        <f t="shared" ref="L19:N20" si="4">L22+L25</f>
        <v>0</v>
      </c>
      <c r="M19" s="700">
        <f t="shared" si="4"/>
        <v>0</v>
      </c>
      <c r="N19" s="700">
        <f t="shared" si="4"/>
        <v>0</v>
      </c>
      <c r="O19" s="700">
        <f t="shared" si="0"/>
        <v>0</v>
      </c>
      <c r="P19" s="700">
        <f t="shared" si="1"/>
        <v>0</v>
      </c>
      <c r="Q19" s="700">
        <f t="shared" ref="Q19:S20" si="5">Q22+Q25</f>
        <v>0</v>
      </c>
      <c r="R19" s="700">
        <f t="shared" si="5"/>
        <v>0</v>
      </c>
      <c r="S19" s="700">
        <f t="shared" si="5"/>
        <v>0</v>
      </c>
      <c r="T19" s="700">
        <f t="shared" si="2"/>
        <v>0</v>
      </c>
      <c r="U19" s="700">
        <f t="shared" si="3"/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699">
        <f t="shared" ca="1" si="4"/>
        <v>2327437</v>
      </c>
      <c r="M20" s="698">
        <f t="shared" ca="1" si="4"/>
        <v>2590207</v>
      </c>
      <c r="N20" s="698">
        <f t="shared" ca="1" si="4"/>
        <v>1932137.96</v>
      </c>
      <c r="O20" s="698">
        <f t="shared" ca="1" si="0"/>
        <v>83.015693228216278</v>
      </c>
      <c r="P20" s="698">
        <f t="shared" ca="1" si="1"/>
        <v>74.593959478914229</v>
      </c>
      <c r="Q20" s="698">
        <f t="shared" ca="1" si="5"/>
        <v>3517412.24</v>
      </c>
      <c r="R20" s="698">
        <f t="shared" ca="1" si="5"/>
        <v>3406412</v>
      </c>
      <c r="S20" s="698">
        <f t="shared" ca="1" si="5"/>
        <v>626223.44999999995</v>
      </c>
      <c r="T20" s="698">
        <f t="shared" ca="1" si="2"/>
        <v>17.803527345432787</v>
      </c>
      <c r="U20" s="698">
        <f t="shared" ca="1" si="3"/>
        <v>18.383667330904188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468">
        <f ca="1">L22+L23</f>
        <v>2327437</v>
      </c>
      <c r="M21" s="224">
        <f ca="1">M22+M23</f>
        <v>2590207</v>
      </c>
      <c r="N21" s="224">
        <f ca="1">N22+N23</f>
        <v>1932137.96</v>
      </c>
      <c r="O21" s="224">
        <f t="shared" ca="1" si="0"/>
        <v>83.015693228216278</v>
      </c>
      <c r="P21" s="224">
        <f t="shared" ca="1" si="1"/>
        <v>74.593959478914229</v>
      </c>
      <c r="Q21" s="224">
        <f ca="1">Q22+Q23</f>
        <v>3517412.24</v>
      </c>
      <c r="R21" s="224">
        <f ca="1">R22+R23</f>
        <v>3406412</v>
      </c>
      <c r="S21" s="224">
        <f ca="1">S22+S23</f>
        <v>626223.44999999995</v>
      </c>
      <c r="T21" s="224">
        <f t="shared" ca="1" si="2"/>
        <v>17.803527345432787</v>
      </c>
      <c r="U21" s="224">
        <f t="shared" ca="1" si="3"/>
        <v>18.383667330904188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674" t="s">
        <v>14</v>
      </c>
      <c r="I22" s="44"/>
      <c r="J22" s="44"/>
      <c r="K22" s="45"/>
      <c r="L22" s="469">
        <f t="shared" ref="L22:N23" si="6">L48+L63+L76+L98+L129+L143+L161+L190+L177+L270+L286+L307+L324+L337+L360+L517</f>
        <v>0</v>
      </c>
      <c r="M22" s="83">
        <f t="shared" si="6"/>
        <v>0</v>
      </c>
      <c r="N22" s="83">
        <f t="shared" si="6"/>
        <v>0</v>
      </c>
      <c r="O22" s="83">
        <f t="shared" si="0"/>
        <v>0</v>
      </c>
      <c r="P22" s="83">
        <f t="shared" si="1"/>
        <v>0</v>
      </c>
      <c r="Q22" s="83">
        <f t="shared" ref="Q22:S23" si="7">Q76+Q98+Q121+Q143+Q161+Q177+Q190+Q270+Q286+Q307+Q337+Q379+Q396+Q417+Q497+Q603+Q620+Q646+Q694+Q718+Q732+Q764</f>
        <v>0</v>
      </c>
      <c r="R22" s="83">
        <f t="shared" si="7"/>
        <v>0</v>
      </c>
      <c r="S22" s="83">
        <f t="shared" si="7"/>
        <v>0</v>
      </c>
      <c r="T22" s="83">
        <f t="shared" si="2"/>
        <v>0</v>
      </c>
      <c r="U22" s="83">
        <f t="shared" si="3"/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468">
        <f t="shared" ca="1" si="6"/>
        <v>2327437</v>
      </c>
      <c r="M23" s="224">
        <f t="shared" ca="1" si="6"/>
        <v>2590207</v>
      </c>
      <c r="N23" s="224">
        <f t="shared" ca="1" si="6"/>
        <v>1932137.96</v>
      </c>
      <c r="O23" s="224">
        <f t="shared" ca="1" si="0"/>
        <v>83.015693228216278</v>
      </c>
      <c r="P23" s="224">
        <f t="shared" ca="1" si="1"/>
        <v>74.593959478914229</v>
      </c>
      <c r="Q23" s="224">
        <f t="shared" ca="1" si="7"/>
        <v>3517412.24</v>
      </c>
      <c r="R23" s="224">
        <f t="shared" ca="1" si="7"/>
        <v>3406412</v>
      </c>
      <c r="S23" s="224">
        <f t="shared" ca="1" si="7"/>
        <v>626223.44999999995</v>
      </c>
      <c r="T23" s="224">
        <f t="shared" ca="1" si="2"/>
        <v>17.803527345432787</v>
      </c>
      <c r="U23" s="224">
        <f t="shared" ca="1" si="3"/>
        <v>18.383667330904188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468">
        <f ca="1">L25+L26</f>
        <v>0</v>
      </c>
      <c r="M24" s="224">
        <f ca="1">M25+M26</f>
        <v>0</v>
      </c>
      <c r="N24" s="224">
        <f ca="1">N25+N26</f>
        <v>0</v>
      </c>
      <c r="O24" s="224">
        <f t="shared" ca="1" si="0"/>
        <v>0</v>
      </c>
      <c r="P24" s="224">
        <f t="shared" ca="1" si="1"/>
        <v>0</v>
      </c>
      <c r="Q24" s="224">
        <f>Q25+Q26</f>
        <v>0</v>
      </c>
      <c r="R24" s="224">
        <f>R25+R26</f>
        <v>0</v>
      </c>
      <c r="S24" s="224">
        <f>S25+S26</f>
        <v>0</v>
      </c>
      <c r="T24" s="224">
        <f t="shared" si="2"/>
        <v>0</v>
      </c>
      <c r="U24" s="224">
        <f t="shared" si="3"/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674" t="s">
        <v>14</v>
      </c>
      <c r="I25" s="44"/>
      <c r="J25" s="44"/>
      <c r="K25" s="45"/>
      <c r="L25" s="469">
        <f t="shared" ref="L25:N26" si="8">L51+L66+L79+L101+L132+L146+L164+L193+L180+L273+L289+L310+L327+L340+L363+L520</f>
        <v>0</v>
      </c>
      <c r="M25" s="83">
        <f t="shared" si="8"/>
        <v>0</v>
      </c>
      <c r="N25" s="83">
        <f t="shared" si="8"/>
        <v>0</v>
      </c>
      <c r="O25" s="83">
        <f t="shared" si="0"/>
        <v>0</v>
      </c>
      <c r="P25" s="83">
        <f t="shared" si="1"/>
        <v>0</v>
      </c>
      <c r="Q25" s="83">
        <f t="shared" ref="Q25:S26" si="9">Q79+Q101+Q124+Q146+Q164+Q180+Q193+Q273+Q289+Q310+Q340+Q382+Q399+Q420+Q500+Q606+Q623+Q649+Q697+Q721+Q735+Q767</f>
        <v>0</v>
      </c>
      <c r="R25" s="83">
        <f t="shared" si="9"/>
        <v>0</v>
      </c>
      <c r="S25" s="83">
        <f t="shared" si="9"/>
        <v>0</v>
      </c>
      <c r="T25" s="83">
        <f t="shared" si="2"/>
        <v>0</v>
      </c>
      <c r="U25" s="83">
        <f t="shared" si="3"/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468">
        <f t="shared" ca="1" si="8"/>
        <v>0</v>
      </c>
      <c r="M26" s="224">
        <f t="shared" ca="1" si="8"/>
        <v>0</v>
      </c>
      <c r="N26" s="224">
        <f t="shared" ca="1" si="8"/>
        <v>0</v>
      </c>
      <c r="O26" s="224">
        <f t="shared" ca="1" si="0"/>
        <v>0</v>
      </c>
      <c r="P26" s="224">
        <f t="shared" ca="1" si="1"/>
        <v>0</v>
      </c>
      <c r="Q26" s="83">
        <f t="shared" si="9"/>
        <v>0</v>
      </c>
      <c r="R26" s="83">
        <f t="shared" si="9"/>
        <v>0</v>
      </c>
      <c r="S26" s="83">
        <f t="shared" si="9"/>
        <v>0</v>
      </c>
      <c r="T26" s="224">
        <f t="shared" si="2"/>
        <v>0</v>
      </c>
      <c r="U26" s="224">
        <f t="shared" si="3"/>
        <v>0</v>
      </c>
    </row>
    <row r="27" spans="1:21" ht="18.75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465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674" t="s">
        <v>14</v>
      </c>
      <c r="I28" s="44"/>
      <c r="J28" s="44"/>
      <c r="K28" s="45"/>
      <c r="L28" s="465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463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823"/>
      <c r="B30" s="800"/>
      <c r="C30" s="800"/>
      <c r="D30" s="800"/>
      <c r="E30" s="800"/>
      <c r="F30" s="800"/>
      <c r="G30" s="801"/>
      <c r="H30" s="14"/>
      <c r="I30" s="15"/>
      <c r="J30" s="15"/>
      <c r="K30" s="16"/>
      <c r="L30" s="580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571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7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71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7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7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7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7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71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580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697">
        <f ca="1">L44+L59+L72+L94+L125+L139+L157+L173+L186+L266+L282+L303+L320+L333+L356</f>
        <v>2327437</v>
      </c>
      <c r="M40" s="696">
        <f ca="1">M44+M59+M72+M94+M125+M139+M157+M173+M186+M266+M282+M303+M320+M333+M356</f>
        <v>2590207</v>
      </c>
      <c r="N40" s="696">
        <f ca="1">N44+N59+N72+N94+N125+N139+N157+N173+N186+N266+N282+N303+N320+N333+N356</f>
        <v>1932137.96</v>
      </c>
      <c r="O40" s="696">
        <f ca="1">IF(L40&gt;0,N40*100/L40,0)</f>
        <v>83.015693228216278</v>
      </c>
      <c r="P40" s="696">
        <f ca="1">IF(M40&gt;0,N40*100/M40,0)</f>
        <v>74.593959478914229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695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571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694" t="s">
        <v>19</v>
      </c>
      <c r="E44" s="71"/>
      <c r="F44" s="71"/>
      <c r="G44" s="74"/>
      <c r="H44" s="75" t="s">
        <v>14</v>
      </c>
      <c r="I44" s="76"/>
      <c r="J44" s="76"/>
      <c r="K44" s="77"/>
      <c r="L44" s="693">
        <f ca="1">L45+L46</f>
        <v>382392</v>
      </c>
      <c r="M44" s="692">
        <f ca="1">M45+M46</f>
        <v>567612</v>
      </c>
      <c r="N44" s="692">
        <f ca="1">N45+N46</f>
        <v>458981</v>
      </c>
      <c r="O44" s="692">
        <f t="shared" ref="O44:O52" ca="1" si="10">IF(L44&gt;0,N44*100/L44,0)</f>
        <v>120.02892319923011</v>
      </c>
      <c r="P44" s="692">
        <f t="shared" ref="P44:P52" ca="1" si="11">IF(M44&gt;0,N44*100/M44,0)</f>
        <v>80.861750632474298</v>
      </c>
      <c r="Q44" s="692">
        <f>Q45+Q46</f>
        <v>0</v>
      </c>
      <c r="R44" s="692">
        <f>R45+R46</f>
        <v>0</v>
      </c>
      <c r="S44" s="692">
        <f>S45+S46</f>
        <v>0</v>
      </c>
      <c r="T44" s="692">
        <f t="shared" ref="T44:T52" si="12">IF(Q44&gt;0,S44*100/Q44,0)</f>
        <v>0</v>
      </c>
      <c r="U44" s="692">
        <f t="shared" ref="U44:U52" si="13">IF(R44&gt;0,S44*100/R44,0)</f>
        <v>0</v>
      </c>
    </row>
    <row r="45" spans="1:21" ht="18.75" hidden="1" x14ac:dyDescent="0.25">
      <c r="A45" s="70"/>
      <c r="B45" s="71"/>
      <c r="C45" s="71"/>
      <c r="D45" s="71"/>
      <c r="E45" s="691" t="s">
        <v>20</v>
      </c>
      <c r="F45" s="71"/>
      <c r="G45" s="74"/>
      <c r="H45" s="690" t="s">
        <v>14</v>
      </c>
      <c r="I45" s="76"/>
      <c r="J45" s="76"/>
      <c r="K45" s="77"/>
      <c r="L45" s="689">
        <f t="shared" ref="L45:N46" si="14">L48+L51</f>
        <v>0</v>
      </c>
      <c r="M45" s="688">
        <f t="shared" si="14"/>
        <v>0</v>
      </c>
      <c r="N45" s="688">
        <f t="shared" si="14"/>
        <v>0</v>
      </c>
      <c r="O45" s="688">
        <f t="shared" si="10"/>
        <v>0</v>
      </c>
      <c r="P45" s="688">
        <f t="shared" si="11"/>
        <v>0</v>
      </c>
      <c r="Q45" s="688">
        <f t="shared" ref="Q45:S46" si="15">Q48+Q51</f>
        <v>0</v>
      </c>
      <c r="R45" s="688">
        <f t="shared" si="15"/>
        <v>0</v>
      </c>
      <c r="S45" s="688">
        <f t="shared" si="15"/>
        <v>0</v>
      </c>
      <c r="T45" s="688">
        <f t="shared" si="12"/>
        <v>0</v>
      </c>
      <c r="U45" s="688">
        <f t="shared" si="13"/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687">
        <f t="shared" ca="1" si="14"/>
        <v>382392</v>
      </c>
      <c r="M46" s="686">
        <f t="shared" ca="1" si="14"/>
        <v>567612</v>
      </c>
      <c r="N46" s="686">
        <f t="shared" ca="1" si="14"/>
        <v>458981</v>
      </c>
      <c r="O46" s="686">
        <f t="shared" ca="1" si="10"/>
        <v>120.02892319923011</v>
      </c>
      <c r="P46" s="686">
        <f t="shared" ca="1" si="11"/>
        <v>80.861750632474298</v>
      </c>
      <c r="Q46" s="686">
        <f t="shared" si="15"/>
        <v>0</v>
      </c>
      <c r="R46" s="686">
        <f t="shared" si="15"/>
        <v>0</v>
      </c>
      <c r="S46" s="686">
        <f t="shared" si="15"/>
        <v>0</v>
      </c>
      <c r="T46" s="686">
        <f t="shared" si="12"/>
        <v>0</v>
      </c>
      <c r="U46" s="686">
        <f t="shared" si="13"/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468">
        <f ca="1">L48+L49</f>
        <v>382392</v>
      </c>
      <c r="M47" s="224">
        <f ca="1">M48+M49</f>
        <v>567612</v>
      </c>
      <c r="N47" s="224">
        <f ca="1">N48+N49</f>
        <v>458981</v>
      </c>
      <c r="O47" s="224">
        <f t="shared" ca="1" si="10"/>
        <v>120.02892319923011</v>
      </c>
      <c r="P47" s="224">
        <f t="shared" ca="1" si="11"/>
        <v>80.861750632474298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 t="shared" si="12"/>
        <v>0</v>
      </c>
      <c r="U47" s="224">
        <f t="shared" si="13"/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674" t="s">
        <v>14</v>
      </c>
      <c r="I48" s="44"/>
      <c r="J48" s="44"/>
      <c r="K48" s="45"/>
      <c r="L48" s="469">
        <v>0</v>
      </c>
      <c r="M48" s="83">
        <v>0</v>
      </c>
      <c r="N48" s="83">
        <v>0</v>
      </c>
      <c r="O48" s="83">
        <f t="shared" si="10"/>
        <v>0</v>
      </c>
      <c r="P48" s="83">
        <f t="shared" si="11"/>
        <v>0</v>
      </c>
      <c r="Q48" s="83">
        <v>0</v>
      </c>
      <c r="R48" s="83">
        <v>0</v>
      </c>
      <c r="S48" s="83">
        <v>0</v>
      </c>
      <c r="T48" s="83">
        <f t="shared" si="12"/>
        <v>0</v>
      </c>
      <c r="U48" s="83">
        <f t="shared" si="13"/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468">
        <f ca="1">IFERROR(__xludf.DUMMYFUNCTION("IMPORTRANGE(""https://docs.google.com/spreadsheets/d/1-uDff_7J0KD5mKrp0Vvzr7lt3OU09vwQwhkpOPPYv2Y/edit?usp=sharing"",""งบพรบ!P18"")"),382392)</f>
        <v>382392</v>
      </c>
      <c r="M49" s="224">
        <f ca="1">IFERROR(__xludf.DUMMYFUNCTION("IMPORTRANGE(""https://docs.google.com/spreadsheets/d/1-uDff_7J0KD5mKrp0Vvzr7lt3OU09vwQwhkpOPPYv2Y/edit?usp=sharing"",""งบพรบ!V18"")"),567612)</f>
        <v>567612</v>
      </c>
      <c r="N49" s="224">
        <f ca="1">IFERROR(__xludf.DUMMYFUNCTION("IMPORTRANGE(""https://docs.google.com/spreadsheets/d/1-uDff_7J0KD5mKrp0Vvzr7lt3OU09vwQwhkpOPPYv2Y/edit?usp=sharing"",""งบพรบ!Y18"")"),458981)</f>
        <v>458981</v>
      </c>
      <c r="O49" s="224">
        <f t="shared" ca="1" si="10"/>
        <v>120.02892319923011</v>
      </c>
      <c r="P49" s="224">
        <f t="shared" ca="1" si="11"/>
        <v>80.861750632474298</v>
      </c>
      <c r="Q49" s="224">
        <v>0</v>
      </c>
      <c r="R49" s="224">
        <v>0</v>
      </c>
      <c r="S49" s="224">
        <v>0</v>
      </c>
      <c r="T49" s="224">
        <f t="shared" si="12"/>
        <v>0</v>
      </c>
      <c r="U49" s="224">
        <f t="shared" si="13"/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468">
        <f ca="1">L51+L52</f>
        <v>0</v>
      </c>
      <c r="M50" s="224">
        <f ca="1">M51+M52</f>
        <v>0</v>
      </c>
      <c r="N50" s="224">
        <f ca="1">N51+N52</f>
        <v>0</v>
      </c>
      <c r="O50" s="224">
        <f t="shared" ca="1" si="10"/>
        <v>0</v>
      </c>
      <c r="P50" s="224">
        <f t="shared" ca="1" si="11"/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 t="shared" si="12"/>
        <v>0</v>
      </c>
      <c r="U50" s="224">
        <f t="shared" si="13"/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674" t="s">
        <v>14</v>
      </c>
      <c r="I51" s="44"/>
      <c r="J51" s="44"/>
      <c r="K51" s="45"/>
      <c r="L51" s="469">
        <v>0</v>
      </c>
      <c r="M51" s="83">
        <v>0</v>
      </c>
      <c r="N51" s="83">
        <v>0</v>
      </c>
      <c r="O51" s="83">
        <f t="shared" si="10"/>
        <v>0</v>
      </c>
      <c r="P51" s="83">
        <f t="shared" si="11"/>
        <v>0</v>
      </c>
      <c r="Q51" s="83">
        <v>0</v>
      </c>
      <c r="R51" s="83">
        <v>0</v>
      </c>
      <c r="S51" s="83">
        <v>0</v>
      </c>
      <c r="T51" s="83">
        <f t="shared" si="12"/>
        <v>0</v>
      </c>
      <c r="U51" s="83">
        <f t="shared" si="13"/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468">
        <f ca="1">IFERROR(__xludf.DUMMYFUNCTION("IMPORTRANGE(""https://docs.google.com/spreadsheets/d/1-uDff_7J0KD5mKrp0Vvzr7lt3OU09vwQwhkpOPPYv2Y/edit?usp=sharing"",""งบพรบ!S18"")"),0)</f>
        <v>0</v>
      </c>
      <c r="M52" s="224">
        <f ca="1">IFERROR(__xludf.DUMMYFUNCTION("IMPORTRANGE(""https://docs.google.com/spreadsheets/d/1-uDff_7J0KD5mKrp0Vvzr7lt3OU09vwQwhkpOPPYv2Y/edit?usp=sharing"",""งบพรบ!W18"")"),0)</f>
        <v>0</v>
      </c>
      <c r="N52" s="224">
        <f ca="1">IFERROR(__xludf.DUMMYFUNCTION("IMPORTRANGE(""https://docs.google.com/spreadsheets/d/1-uDff_7J0KD5mKrp0Vvzr7lt3OU09vwQwhkpOPPYv2Y/edit?usp=sharing"",""งบพรบ!Z18"")"),0)</f>
        <v>0</v>
      </c>
      <c r="O52" s="224">
        <f t="shared" ca="1" si="10"/>
        <v>0</v>
      </c>
      <c r="P52" s="224">
        <f t="shared" ca="1" si="11"/>
        <v>0</v>
      </c>
      <c r="Q52" s="224">
        <v>0</v>
      </c>
      <c r="R52" s="224">
        <v>0</v>
      </c>
      <c r="S52" s="224">
        <v>0</v>
      </c>
      <c r="T52" s="224">
        <f t="shared" si="12"/>
        <v>0</v>
      </c>
      <c r="U52" s="224">
        <f t="shared" si="13"/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465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674" t="s">
        <v>14</v>
      </c>
      <c r="I54" s="44"/>
      <c r="J54" s="44"/>
      <c r="K54" s="45"/>
      <c r="L54" s="465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463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804" t="s">
        <v>28</v>
      </c>
      <c r="B56" s="800"/>
      <c r="C56" s="800"/>
      <c r="D56" s="800"/>
      <c r="E56" s="800"/>
      <c r="F56" s="800"/>
      <c r="G56" s="80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805" t="s">
        <v>29</v>
      </c>
      <c r="C57" s="793"/>
      <c r="D57" s="793"/>
      <c r="E57" s="793"/>
      <c r="F57" s="793"/>
      <c r="G57" s="794"/>
      <c r="H57" s="89"/>
      <c r="I57" s="90"/>
      <c r="J57" s="90"/>
      <c r="K57" s="91"/>
      <c r="L57" s="68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8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8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82">
        <f ca="1">L60+L61</f>
        <v>643100</v>
      </c>
      <c r="M59" s="681">
        <f ca="1">M60+M61</f>
        <v>702640</v>
      </c>
      <c r="N59" s="681">
        <f ca="1">N60+N61</f>
        <v>586093.96</v>
      </c>
      <c r="O59" s="681">
        <f t="shared" ref="O59:O67" ca="1" si="16">IF(L59&gt;0,N59*100/L59,0)</f>
        <v>91.135742497278812</v>
      </c>
      <c r="P59" s="681">
        <f t="shared" ref="P59:P67" ca="1" si="17">IF(M59&gt;0,N59*100/M59,0)</f>
        <v>83.41312194011158</v>
      </c>
      <c r="Q59" s="681">
        <f>Q60+Q61</f>
        <v>0</v>
      </c>
      <c r="R59" s="681">
        <f>R60+R61</f>
        <v>0</v>
      </c>
      <c r="S59" s="681">
        <f>S60+S61</f>
        <v>0</v>
      </c>
      <c r="T59" s="681">
        <f t="shared" ref="T59:T67" si="18">IF(Q59&gt;0,S59*100/Q59,0)</f>
        <v>0</v>
      </c>
      <c r="U59" s="681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80" t="s">
        <v>20</v>
      </c>
      <c r="F60" s="99"/>
      <c r="G60" s="102"/>
      <c r="H60" s="679" t="s">
        <v>14</v>
      </c>
      <c r="I60" s="104"/>
      <c r="J60" s="104"/>
      <c r="K60" s="105"/>
      <c r="L60" s="678">
        <f t="shared" ref="L60:N61" si="20">L63+L66</f>
        <v>0</v>
      </c>
      <c r="M60" s="677">
        <f t="shared" si="20"/>
        <v>0</v>
      </c>
      <c r="N60" s="677">
        <f t="shared" si="20"/>
        <v>0</v>
      </c>
      <c r="O60" s="677">
        <f t="shared" si="16"/>
        <v>0</v>
      </c>
      <c r="P60" s="677">
        <f t="shared" si="17"/>
        <v>0</v>
      </c>
      <c r="Q60" s="677">
        <f t="shared" ref="Q60:S61" si="21">Q63+Q66</f>
        <v>0</v>
      </c>
      <c r="R60" s="677">
        <f t="shared" si="21"/>
        <v>0</v>
      </c>
      <c r="S60" s="677">
        <f t="shared" si="21"/>
        <v>0</v>
      </c>
      <c r="T60" s="677">
        <f t="shared" si="18"/>
        <v>0</v>
      </c>
      <c r="U60" s="677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76">
        <f t="shared" ca="1" si="20"/>
        <v>643100</v>
      </c>
      <c r="M61" s="675">
        <f t="shared" ca="1" si="20"/>
        <v>702640</v>
      </c>
      <c r="N61" s="675">
        <f t="shared" ca="1" si="20"/>
        <v>586093.96</v>
      </c>
      <c r="O61" s="675">
        <f t="shared" ca="1" si="16"/>
        <v>91.135742497278812</v>
      </c>
      <c r="P61" s="675">
        <f t="shared" ca="1" si="17"/>
        <v>83.41312194011158</v>
      </c>
      <c r="Q61" s="675">
        <f t="shared" si="21"/>
        <v>0</v>
      </c>
      <c r="R61" s="675">
        <f t="shared" si="21"/>
        <v>0</v>
      </c>
      <c r="S61" s="675">
        <f t="shared" si="21"/>
        <v>0</v>
      </c>
      <c r="T61" s="675">
        <f t="shared" si="18"/>
        <v>0</v>
      </c>
      <c r="U61" s="675">
        <f t="shared" si="19"/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468">
        <f ca="1">L63+L64</f>
        <v>643100</v>
      </c>
      <c r="M62" s="224">
        <f ca="1">M63+M64</f>
        <v>702640</v>
      </c>
      <c r="N62" s="224">
        <f ca="1">N63+N64</f>
        <v>586093.96</v>
      </c>
      <c r="O62" s="224">
        <f t="shared" ca="1" si="16"/>
        <v>91.135742497278812</v>
      </c>
      <c r="P62" s="224">
        <f t="shared" ca="1" si="17"/>
        <v>83.41312194011158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 t="shared" si="18"/>
        <v>0</v>
      </c>
      <c r="U62" s="224">
        <f t="shared" si="19"/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674" t="s">
        <v>14</v>
      </c>
      <c r="I63" s="44"/>
      <c r="J63" s="44"/>
      <c r="K63" s="45"/>
      <c r="L63" s="469">
        <v>0</v>
      </c>
      <c r="M63" s="83">
        <v>0</v>
      </c>
      <c r="N63" s="83">
        <v>0</v>
      </c>
      <c r="O63" s="83">
        <f t="shared" si="16"/>
        <v>0</v>
      </c>
      <c r="P63" s="83">
        <f t="shared" si="17"/>
        <v>0</v>
      </c>
      <c r="Q63" s="83">
        <v>0</v>
      </c>
      <c r="R63" s="83">
        <v>0</v>
      </c>
      <c r="S63" s="83">
        <v>0</v>
      </c>
      <c r="T63" s="83">
        <f t="shared" si="18"/>
        <v>0</v>
      </c>
      <c r="U63" s="83">
        <f t="shared" si="19"/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468">
        <f ca="1">IFERROR(__xludf.DUMMYFUNCTION("IMPORTRANGE(""https://docs.google.com/spreadsheets/d/1-uDff_7J0KD5mKrp0Vvzr7lt3OU09vwQwhkpOPPYv2Y/edit?usp=sharing"",""งบพรบ!AC18"")"),643100)</f>
        <v>643100</v>
      </c>
      <c r="M64" s="224">
        <f ca="1">IFERROR(__xludf.DUMMYFUNCTION("IMPORTRANGE(""https://docs.google.com/spreadsheets/d/1-uDff_7J0KD5mKrp0Vvzr7lt3OU09vwQwhkpOPPYv2Y/edit?usp=sharing"",""งบพรบ!AH18"")"),702640)</f>
        <v>702640</v>
      </c>
      <c r="N64" s="224">
        <f ca="1">IFERROR(__xludf.DUMMYFUNCTION("IMPORTRANGE(""https://docs.google.com/spreadsheets/d/1-uDff_7J0KD5mKrp0Vvzr7lt3OU09vwQwhkpOPPYv2Y/edit?usp=sharing"",""งบพรบ!AJ18"")"),586093.96)</f>
        <v>586093.96</v>
      </c>
      <c r="O64" s="224">
        <f t="shared" ca="1" si="16"/>
        <v>91.135742497278812</v>
      </c>
      <c r="P64" s="224">
        <f t="shared" ca="1" si="17"/>
        <v>83.41312194011158</v>
      </c>
      <c r="Q64" s="224">
        <v>0</v>
      </c>
      <c r="R64" s="224">
        <v>0</v>
      </c>
      <c r="S64" s="224">
        <v>0</v>
      </c>
      <c r="T64" s="224">
        <f t="shared" si="18"/>
        <v>0</v>
      </c>
      <c r="U64" s="224">
        <f t="shared" si="19"/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468">
        <f ca="1">L66+L67</f>
        <v>0</v>
      </c>
      <c r="M65" s="224">
        <f ca="1">M66+M67</f>
        <v>0</v>
      </c>
      <c r="N65" s="224">
        <f ca="1">N66+N67</f>
        <v>0</v>
      </c>
      <c r="O65" s="224">
        <f t="shared" ca="1" si="16"/>
        <v>0</v>
      </c>
      <c r="P65" s="224">
        <f t="shared" ca="1" si="17"/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 t="shared" si="18"/>
        <v>0</v>
      </c>
      <c r="U65" s="224">
        <f t="shared" si="19"/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674" t="s">
        <v>14</v>
      </c>
      <c r="I66" s="44"/>
      <c r="J66" s="44"/>
      <c r="K66" s="45"/>
      <c r="L66" s="469">
        <v>0</v>
      </c>
      <c r="M66" s="83">
        <v>0</v>
      </c>
      <c r="N66" s="83">
        <v>0</v>
      </c>
      <c r="O66" s="83">
        <f t="shared" si="16"/>
        <v>0</v>
      </c>
      <c r="P66" s="83">
        <f t="shared" si="17"/>
        <v>0</v>
      </c>
      <c r="Q66" s="83">
        <v>0</v>
      </c>
      <c r="R66" s="83">
        <v>0</v>
      </c>
      <c r="S66" s="83">
        <v>0</v>
      </c>
      <c r="T66" s="83">
        <f t="shared" si="18"/>
        <v>0</v>
      </c>
      <c r="U66" s="83">
        <f t="shared" si="19"/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673">
        <f ca="1">IFERROR(__xludf.DUMMYFUNCTION("IMPORTRANGE(""https://docs.google.com/spreadsheets/d/1-uDff_7J0KD5mKrp0Vvzr7lt3OU09vwQwhkpOPPYv2Y/edit?usp=sharing"",""งบพรบ!AF18"")"),0)</f>
        <v>0</v>
      </c>
      <c r="M67" s="455">
        <f ca="1">IFERROR(__xludf.DUMMYFUNCTION("IMPORTRANGE(""https://docs.google.com/spreadsheets/d/1-uDff_7J0KD5mKrp0Vvzr7lt3OU09vwQwhkpOPPYv2Y/edit?usp=sharing"",""งบพรบ!AI18"")"),0)</f>
        <v>0</v>
      </c>
      <c r="N67" s="455">
        <f ca="1">IFERROR(__xludf.DUMMYFUNCTION("IMPORTRANGE(""https://docs.google.com/spreadsheets/d/1-uDff_7J0KD5mKrp0Vvzr7lt3OU09vwQwhkpOPPYv2Y/edit?usp=sharing"",""งบพรบ!AK18"")"),0)</f>
        <v>0</v>
      </c>
      <c r="O67" s="455">
        <f t="shared" ca="1" si="16"/>
        <v>0</v>
      </c>
      <c r="P67" s="455">
        <f t="shared" ca="1" si="17"/>
        <v>0</v>
      </c>
      <c r="Q67" s="455">
        <v>0</v>
      </c>
      <c r="R67" s="455">
        <v>0</v>
      </c>
      <c r="S67" s="455">
        <v>0</v>
      </c>
      <c r="T67" s="455">
        <f t="shared" si="18"/>
        <v>0</v>
      </c>
      <c r="U67" s="455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7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665">
        <f ca="1">I82</f>
        <v>1</v>
      </c>
      <c r="J70" s="665">
        <f>J82</f>
        <v>0</v>
      </c>
      <c r="K70" s="664">
        <f ca="1">IF(I70&gt;0,J70*100/I70,0)</f>
        <v>0</v>
      </c>
      <c r="L70" s="510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665">
        <f ca="1">I83</f>
        <v>31</v>
      </c>
      <c r="J71" s="665">
        <f>J83</f>
        <v>0</v>
      </c>
      <c r="K71" s="664">
        <f ca="1">IF(I71&gt;0,J71*100/I71,0)</f>
        <v>0</v>
      </c>
      <c r="L71" s="510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129" t="s">
        <v>18</v>
      </c>
      <c r="D72" s="472" t="s">
        <v>19</v>
      </c>
      <c r="E72" s="40"/>
      <c r="F72" s="40"/>
      <c r="G72" s="42"/>
      <c r="H72" s="131" t="s">
        <v>14</v>
      </c>
      <c r="I72" s="44"/>
      <c r="J72" s="44"/>
      <c r="K72" s="45"/>
      <c r="L72" s="471">
        <f ca="1">L73+L74</f>
        <v>90000</v>
      </c>
      <c r="M72" s="470">
        <f ca="1">M73+M74</f>
        <v>90000</v>
      </c>
      <c r="N72" s="470">
        <f ca="1">N73+N74</f>
        <v>0</v>
      </c>
      <c r="O72" s="470">
        <f t="shared" ref="O72:O80" ca="1" si="22">IF(L72&gt;0,N72*100/L72,0)</f>
        <v>0</v>
      </c>
      <c r="P72" s="470">
        <f t="shared" ref="P72:P80" ca="1" si="23">IF(M72&gt;0,N72*100/M72,0)</f>
        <v>0</v>
      </c>
      <c r="Q72" s="470">
        <f ca="1">Q73+Q74</f>
        <v>410120</v>
      </c>
      <c r="R72" s="470">
        <f ca="1">R73+R74</f>
        <v>410120</v>
      </c>
      <c r="S72" s="470">
        <f ca="1">S73+S74</f>
        <v>31820</v>
      </c>
      <c r="T72" s="470">
        <f t="shared" ref="T72:T80" ca="1" si="24">IF(Q72&gt;0,S72*100/Q72,0)</f>
        <v>7.7587047693358038</v>
      </c>
      <c r="U72" s="470">
        <f t="shared" ref="U72:U80" ca="1" si="25">IF(R72&gt;0,S72*100/R72,0)</f>
        <v>7.7587047693358038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469">
        <f t="shared" ref="L73:N74" si="26">L76+L79</f>
        <v>0</v>
      </c>
      <c r="M73" s="83">
        <f t="shared" si="26"/>
        <v>0</v>
      </c>
      <c r="N73" s="83">
        <f t="shared" si="26"/>
        <v>0</v>
      </c>
      <c r="O73" s="83">
        <f t="shared" si="22"/>
        <v>0</v>
      </c>
      <c r="P73" s="83">
        <f t="shared" si="23"/>
        <v>0</v>
      </c>
      <c r="Q73" s="83">
        <f t="shared" ref="Q73:S74" si="27">Q76+Q79</f>
        <v>0</v>
      </c>
      <c r="R73" s="83">
        <f t="shared" si="27"/>
        <v>0</v>
      </c>
      <c r="S73" s="83">
        <f t="shared" si="27"/>
        <v>0</v>
      </c>
      <c r="T73" s="83">
        <f t="shared" si="24"/>
        <v>0</v>
      </c>
      <c r="U73" s="83">
        <f t="shared" si="25"/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468">
        <f t="shared" ca="1" si="26"/>
        <v>90000</v>
      </c>
      <c r="M74" s="224">
        <f t="shared" ca="1" si="26"/>
        <v>90000</v>
      </c>
      <c r="N74" s="224">
        <f t="shared" ca="1" si="26"/>
        <v>0</v>
      </c>
      <c r="O74" s="224">
        <f t="shared" ca="1" si="22"/>
        <v>0</v>
      </c>
      <c r="P74" s="224">
        <f t="shared" ca="1" si="23"/>
        <v>0</v>
      </c>
      <c r="Q74" s="224">
        <f t="shared" ca="1" si="27"/>
        <v>410120</v>
      </c>
      <c r="R74" s="224">
        <f t="shared" ca="1" si="27"/>
        <v>410120</v>
      </c>
      <c r="S74" s="224">
        <f t="shared" ca="1" si="27"/>
        <v>31820</v>
      </c>
      <c r="T74" s="224">
        <f t="shared" ca="1" si="24"/>
        <v>7.7587047693358038</v>
      </c>
      <c r="U74" s="224">
        <f t="shared" ca="1" si="25"/>
        <v>7.7587047693358038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468">
        <f ca="1">L76+L77</f>
        <v>90000</v>
      </c>
      <c r="M75" s="224">
        <f ca="1">M76+M77</f>
        <v>90000</v>
      </c>
      <c r="N75" s="224">
        <f ca="1">N76+N77</f>
        <v>0</v>
      </c>
      <c r="O75" s="224">
        <f t="shared" ca="1" si="22"/>
        <v>0</v>
      </c>
      <c r="P75" s="224">
        <f t="shared" ca="1" si="23"/>
        <v>0</v>
      </c>
      <c r="Q75" s="224">
        <f ca="1">Q76+Q77</f>
        <v>410120</v>
      </c>
      <c r="R75" s="224">
        <f ca="1">R76+R77</f>
        <v>410120</v>
      </c>
      <c r="S75" s="224">
        <f ca="1">S76+S77</f>
        <v>31820</v>
      </c>
      <c r="T75" s="224">
        <f t="shared" ca="1" si="24"/>
        <v>7.7587047693358038</v>
      </c>
      <c r="U75" s="224">
        <f t="shared" ca="1" si="25"/>
        <v>7.7587047693358038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469">
        <v>0</v>
      </c>
      <c r="M76" s="83">
        <v>0</v>
      </c>
      <c r="N76" s="83">
        <v>0</v>
      </c>
      <c r="O76" s="83">
        <f t="shared" si="22"/>
        <v>0</v>
      </c>
      <c r="P76" s="83">
        <f t="shared" si="23"/>
        <v>0</v>
      </c>
      <c r="Q76" s="83">
        <v>0</v>
      </c>
      <c r="R76" s="83">
        <v>0</v>
      </c>
      <c r="S76" s="83">
        <v>0</v>
      </c>
      <c r="T76" s="83">
        <f t="shared" si="24"/>
        <v>0</v>
      </c>
      <c r="U76" s="83">
        <f t="shared" si="25"/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468">
        <f ca="1">IFERROR(__xludf.DUMMYFUNCTION("IMPORTRANGE(""https://docs.google.com/spreadsheets/d/1-uDff_7J0KD5mKrp0Vvzr7lt3OU09vwQwhkpOPPYv2Y/edit?usp=sharing"",""งบพรบ!AM18"")"),90000)</f>
        <v>90000</v>
      </c>
      <c r="M77" s="224">
        <f ca="1">IFERROR(__xludf.DUMMYFUNCTION("IMPORTRANGE(""https://docs.google.com/spreadsheets/d/1-uDff_7J0KD5mKrp0Vvzr7lt3OU09vwQwhkpOPPYv2Y/edit?usp=sharing"",""งบพรบ!AR18"")"),90000)</f>
        <v>90000</v>
      </c>
      <c r="N77" s="224">
        <f ca="1">IFERROR(__xludf.DUMMYFUNCTION("IMPORTRANGE(""https://docs.google.com/spreadsheets/d/1-uDff_7J0KD5mKrp0Vvzr7lt3OU09vwQwhkpOPPYv2Y/edit?usp=sharing"",""งบพรบ!AT18"")"),0)</f>
        <v>0</v>
      </c>
      <c r="O77" s="224">
        <f t="shared" ca="1" si="22"/>
        <v>0</v>
      </c>
      <c r="P77" s="224">
        <f t="shared" ca="1" si="23"/>
        <v>0</v>
      </c>
      <c r="Q77" s="224">
        <f ca="1">IFERROR(__xludf.DUMMYFUNCTION("IMPORTRANGE(""https://docs.google.com/spreadsheets/d/1ItG2mGa2ceCfYo0BwxsXqNm01IGEUdYcSSLTEv9YCik/edit?usp=sharing"",""เบิกจ่ายกองทุน!AS18"")"),410120)</f>
        <v>410120</v>
      </c>
      <c r="R77" s="224">
        <f ca="1">IFERROR(__xludf.DUMMYFUNCTION("IMPORTRANGE(""https://docs.google.com/spreadsheets/d/1ItG2mGa2ceCfYo0BwxsXqNm01IGEUdYcSSLTEv9YCik/edit?usp=sharing"",""เบิกจ่ายกองทุน!AT18"")"),410120)</f>
        <v>410120</v>
      </c>
      <c r="S77" s="224">
        <f ca="1">IFERROR(__xludf.DUMMYFUNCTION("IMPORTRANGE(""https://docs.google.com/spreadsheets/d/1ItG2mGa2ceCfYo0BwxsXqNm01IGEUdYcSSLTEv9YCik/edit?usp=sharing"",""เบิกจ่ายกองทุน!AU18"")"),31820)</f>
        <v>31820</v>
      </c>
      <c r="T77" s="224">
        <f t="shared" ca="1" si="24"/>
        <v>7.7587047693358038</v>
      </c>
      <c r="U77" s="224">
        <f t="shared" ca="1" si="25"/>
        <v>7.7587047693358038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468">
        <f ca="1">L79+L80</f>
        <v>0</v>
      </c>
      <c r="M78" s="224">
        <f ca="1">M79+M80</f>
        <v>0</v>
      </c>
      <c r="N78" s="224">
        <f ca="1">N79+N80</f>
        <v>0</v>
      </c>
      <c r="O78" s="224">
        <f t="shared" ca="1" si="22"/>
        <v>0</v>
      </c>
      <c r="P78" s="224">
        <f t="shared" ca="1" si="23"/>
        <v>0</v>
      </c>
      <c r="Q78" s="224">
        <f>Q79+Q80</f>
        <v>0</v>
      </c>
      <c r="R78" s="224">
        <f>R79+R80</f>
        <v>0</v>
      </c>
      <c r="S78" s="224">
        <f>S79+S80</f>
        <v>0</v>
      </c>
      <c r="T78" s="224">
        <f t="shared" si="24"/>
        <v>0</v>
      </c>
      <c r="U78" s="224">
        <f t="shared" si="25"/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469">
        <v>0</v>
      </c>
      <c r="M79" s="224">
        <v>0</v>
      </c>
      <c r="N79" s="224">
        <v>0</v>
      </c>
      <c r="O79" s="83">
        <f t="shared" si="22"/>
        <v>0</v>
      </c>
      <c r="P79" s="83">
        <f t="shared" si="23"/>
        <v>0</v>
      </c>
      <c r="Q79" s="83">
        <v>0</v>
      </c>
      <c r="R79" s="224">
        <v>0</v>
      </c>
      <c r="S79" s="224">
        <v>0</v>
      </c>
      <c r="T79" s="83">
        <f t="shared" si="24"/>
        <v>0</v>
      </c>
      <c r="U79" s="83">
        <f t="shared" si="25"/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468">
        <f ca="1">IFERROR(__xludf.DUMMYFUNCTION("IMPORTRANGE(""https://docs.google.com/spreadsheets/d/1-uDff_7J0KD5mKrp0Vvzr7lt3OU09vwQwhkpOPPYv2Y/edit?usp=sharing"",""งบพรบ!AP18"")"),0)</f>
        <v>0</v>
      </c>
      <c r="M80" s="224">
        <f ca="1">IFERROR(__xludf.DUMMYFUNCTION("IMPORTRANGE(""https://docs.google.com/spreadsheets/d/1-uDff_7J0KD5mKrp0Vvzr7lt3OU09vwQwhkpOPPYv2Y/edit?usp=sharing"",""งบพรบ!AS18"")"),0)</f>
        <v>0</v>
      </c>
      <c r="N80" s="224">
        <f ca="1">IFERROR(__xludf.DUMMYFUNCTION("IMPORTRANGE(""https://docs.google.com/spreadsheets/d/1-uDff_7J0KD5mKrp0Vvzr7lt3OU09vwQwhkpOPPYv2Y/edit?usp=sharing"",""งบพรบ!AU18"")"),0)</f>
        <v>0</v>
      </c>
      <c r="O80" s="224">
        <f t="shared" ca="1" si="22"/>
        <v>0</v>
      </c>
      <c r="P80" s="224">
        <f t="shared" ca="1" si="23"/>
        <v>0</v>
      </c>
      <c r="Q80" s="224">
        <v>0</v>
      </c>
      <c r="R80" s="224">
        <v>0</v>
      </c>
      <c r="S80" s="224">
        <v>0</v>
      </c>
      <c r="T80" s="224">
        <f t="shared" si="24"/>
        <v>0</v>
      </c>
      <c r="U80" s="224">
        <f t="shared" si="25"/>
        <v>0</v>
      </c>
    </row>
    <row r="81" spans="1:21" ht="19.5" x14ac:dyDescent="0.3">
      <c r="A81" s="138"/>
      <c r="B81" s="139"/>
      <c r="C81" s="129" t="s">
        <v>18</v>
      </c>
      <c r="D81" s="498" t="s">
        <v>38</v>
      </c>
      <c r="E81" s="141"/>
      <c r="F81" s="141"/>
      <c r="G81" s="142"/>
      <c r="H81" s="143"/>
      <c r="I81" s="135"/>
      <c r="J81" s="135"/>
      <c r="K81" s="136"/>
      <c r="L81" s="4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ca="1">I84+I86+I88</f>
        <v>1</v>
      </c>
      <c r="J82" s="328">
        <f>J84+J86+J88</f>
        <v>0</v>
      </c>
      <c r="K82" s="582">
        <f t="shared" ref="K82:K90" ca="1" si="28">IF(I82&gt;0,J82*100/I82,0)</f>
        <v>0</v>
      </c>
      <c r="L82" s="4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ca="1">I85+I87+I89</f>
        <v>31</v>
      </c>
      <c r="J83" s="328">
        <f>J85+J87+J89</f>
        <v>0</v>
      </c>
      <c r="K83" s="582">
        <f t="shared" ca="1" si="28"/>
        <v>0</v>
      </c>
      <c r="L83" s="4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581">
        <f ca="1">IFERROR(__xludf.DUMMYFUNCTION("IMPORTRANGE(""https://docs.google.com/spreadsheets/d/1eHaY18a8A9IcSdp1K8H6x8fbOy06t2VsZHhMHf-1x7Y/edit?usp=sharing"",""แผน!H18"")"),1)</f>
        <v>1</v>
      </c>
      <c r="J84" s="466">
        <v>0</v>
      </c>
      <c r="K84" s="497">
        <f t="shared" ca="1" si="28"/>
        <v>0</v>
      </c>
      <c r="L84" s="4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581">
        <f ca="1">IFERROR(__xludf.DUMMYFUNCTION("IMPORTRANGE(""https://docs.google.com/spreadsheets/d/1eHaY18a8A9IcSdp1K8H6x8fbOy06t2VsZHhMHf-1x7Y/edit?usp=sharing"",""แผน!I18"")"),31)</f>
        <v>31</v>
      </c>
      <c r="J85" s="466">
        <v>0</v>
      </c>
      <c r="K85" s="497">
        <f t="shared" ca="1" si="28"/>
        <v>0</v>
      </c>
      <c r="L85" s="4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581">
        <f ca="1">IFERROR(__xludf.DUMMYFUNCTION("IMPORTRANGE(""https://docs.google.com/spreadsheets/d/1eHaY18a8A9IcSdp1K8H6x8fbOy06t2VsZHhMHf-1x7Y/edit?usp=sharing"",""แผน!F18"")"),0)</f>
        <v>0</v>
      </c>
      <c r="J86" s="466">
        <v>0</v>
      </c>
      <c r="K86" s="497">
        <f t="shared" ca="1" si="28"/>
        <v>0</v>
      </c>
      <c r="L86" s="4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581">
        <f ca="1">IFERROR(__xludf.DUMMYFUNCTION("IMPORTRANGE(""https://docs.google.com/spreadsheets/d/1eHaY18a8A9IcSdp1K8H6x8fbOy06t2VsZHhMHf-1x7Y/edit?usp=sharing"",""แผน!G18"")"),0)</f>
        <v>0</v>
      </c>
      <c r="J87" s="466">
        <v>0</v>
      </c>
      <c r="K87" s="497">
        <f t="shared" ca="1" si="28"/>
        <v>0</v>
      </c>
      <c r="L87" s="4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581">
        <f ca="1">IFERROR(__xludf.DUMMYFUNCTION("IMPORTRANGE(""https://docs.google.com/spreadsheets/d/1eHaY18a8A9IcSdp1K8H6x8fbOy06t2VsZHhMHf-1x7Y/edit?usp=sharing"",""แผน!D18"")"),0)</f>
        <v>0</v>
      </c>
      <c r="J88" s="466">
        <v>0</v>
      </c>
      <c r="K88" s="497">
        <f t="shared" ca="1" si="28"/>
        <v>0</v>
      </c>
      <c r="L88" s="4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581">
        <f ca="1">IFERROR(__xludf.DUMMYFUNCTION("IMPORTRANGE(""https://docs.google.com/spreadsheets/d/1eHaY18a8A9IcSdp1K8H6x8fbOy06t2VsZHhMHf-1x7Y/edit?usp=sharing"",""แผน!E18"")"),0)</f>
        <v>0</v>
      </c>
      <c r="J89" s="466">
        <v>0</v>
      </c>
      <c r="K89" s="497">
        <f t="shared" ca="1" si="28"/>
        <v>0</v>
      </c>
      <c r="L89" s="4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581">
        <f ca="1">IFERROR(__xludf.DUMMYFUNCTION("IMPORTRANGE(""https://docs.google.com/spreadsheets/d/1eHaY18a8A9IcSdp1K8H6x8fbOy06t2VsZHhMHf-1x7Y/edit?usp=sharing"",""แผน!J18"")"),1)</f>
        <v>1</v>
      </c>
      <c r="J90" s="466">
        <v>0</v>
      </c>
      <c r="K90" s="497">
        <f t="shared" ca="1" si="28"/>
        <v>0</v>
      </c>
      <c r="L90" s="4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7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665">
        <f ca="1">I108</f>
        <v>30</v>
      </c>
      <c r="J92" s="665">
        <f>J108</f>
        <v>0</v>
      </c>
      <c r="K92" s="664">
        <f ca="1">IF(I92&gt;0,J92*100/I92,0)</f>
        <v>0</v>
      </c>
      <c r="L92" s="510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665">
        <f ca="1">I109</f>
        <v>10</v>
      </c>
      <c r="J93" s="665">
        <f>J109</f>
        <v>0</v>
      </c>
      <c r="K93" s="664">
        <f ca="1">IF(I93&gt;0,J93*100/I93,0)</f>
        <v>0</v>
      </c>
      <c r="L93" s="510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129" t="s">
        <v>18</v>
      </c>
      <c r="D94" s="472" t="s">
        <v>19</v>
      </c>
      <c r="E94" s="40"/>
      <c r="F94" s="40"/>
      <c r="G94" s="42"/>
      <c r="H94" s="131" t="s">
        <v>14</v>
      </c>
      <c r="I94" s="44"/>
      <c r="J94" s="44"/>
      <c r="K94" s="45"/>
      <c r="L94" s="471">
        <f ca="1">L95+L96</f>
        <v>0</v>
      </c>
      <c r="M94" s="470">
        <f ca="1">M95+M96</f>
        <v>19500</v>
      </c>
      <c r="N94" s="470">
        <f ca="1">N95+N96</f>
        <v>0</v>
      </c>
      <c r="O94" s="470">
        <f t="shared" ref="O94:O102" ca="1" si="29">IF(L94&gt;0,N94*100/L94,0)</f>
        <v>0</v>
      </c>
      <c r="P94" s="470">
        <f t="shared" ref="P94:P102" ca="1" si="30">IF(M94&gt;0,N94*100/M94,0)</f>
        <v>0</v>
      </c>
      <c r="Q94" s="470">
        <f ca="1">Q95+Q96</f>
        <v>64920</v>
      </c>
      <c r="R94" s="470">
        <f ca="1">R95+R96</f>
        <v>64920</v>
      </c>
      <c r="S94" s="470">
        <f ca="1">S95+S96</f>
        <v>0</v>
      </c>
      <c r="T94" s="470">
        <f t="shared" ref="T94:T102" ca="1" si="31">IF(Q94&gt;0,S94*100/Q94,0)</f>
        <v>0</v>
      </c>
      <c r="U94" s="470">
        <f t="shared" ref="U94:U102" ca="1" si="32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469">
        <f t="shared" ref="L95:N96" si="33">L98+L101</f>
        <v>0</v>
      </c>
      <c r="M95" s="83">
        <f t="shared" si="33"/>
        <v>0</v>
      </c>
      <c r="N95" s="83">
        <f t="shared" si="33"/>
        <v>0</v>
      </c>
      <c r="O95" s="83">
        <f t="shared" si="29"/>
        <v>0</v>
      </c>
      <c r="P95" s="83">
        <f t="shared" si="30"/>
        <v>0</v>
      </c>
      <c r="Q95" s="83">
        <f t="shared" ref="Q95:S96" si="34">Q98+Q101</f>
        <v>0</v>
      </c>
      <c r="R95" s="83">
        <f t="shared" si="34"/>
        <v>0</v>
      </c>
      <c r="S95" s="83">
        <f t="shared" si="34"/>
        <v>0</v>
      </c>
      <c r="T95" s="83">
        <f t="shared" si="31"/>
        <v>0</v>
      </c>
      <c r="U95" s="83">
        <f t="shared" si="32"/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468">
        <f t="shared" ca="1" si="33"/>
        <v>0</v>
      </c>
      <c r="M96" s="224">
        <f t="shared" ca="1" si="33"/>
        <v>19500</v>
      </c>
      <c r="N96" s="224">
        <f t="shared" ca="1" si="33"/>
        <v>0</v>
      </c>
      <c r="O96" s="224">
        <f t="shared" ca="1" si="29"/>
        <v>0</v>
      </c>
      <c r="P96" s="224">
        <f t="shared" ca="1" si="30"/>
        <v>0</v>
      </c>
      <c r="Q96" s="224">
        <f t="shared" ca="1" si="34"/>
        <v>64920</v>
      </c>
      <c r="R96" s="224">
        <f t="shared" ca="1" si="34"/>
        <v>64920</v>
      </c>
      <c r="S96" s="224">
        <f t="shared" ca="1" si="34"/>
        <v>0</v>
      </c>
      <c r="T96" s="224">
        <f t="shared" ca="1" si="31"/>
        <v>0</v>
      </c>
      <c r="U96" s="224">
        <f t="shared" ca="1" si="32"/>
        <v>0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468">
        <f ca="1">L98+L99</f>
        <v>0</v>
      </c>
      <c r="M97" s="224">
        <f ca="1">M98+M99</f>
        <v>19500</v>
      </c>
      <c r="N97" s="224">
        <f ca="1">N98+N99</f>
        <v>0</v>
      </c>
      <c r="O97" s="224">
        <f t="shared" ca="1" si="29"/>
        <v>0</v>
      </c>
      <c r="P97" s="224">
        <f t="shared" ca="1" si="30"/>
        <v>0</v>
      </c>
      <c r="Q97" s="224">
        <f ca="1">Q98+Q99</f>
        <v>64920</v>
      </c>
      <c r="R97" s="224">
        <f ca="1">R98+R99</f>
        <v>64920</v>
      </c>
      <c r="S97" s="224">
        <f ca="1">S98+S99</f>
        <v>0</v>
      </c>
      <c r="T97" s="224">
        <f t="shared" ca="1" si="31"/>
        <v>0</v>
      </c>
      <c r="U97" s="224">
        <f t="shared" ca="1" si="32"/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469">
        <v>0</v>
      </c>
      <c r="M98" s="83">
        <v>0</v>
      </c>
      <c r="N98" s="83">
        <v>0</v>
      </c>
      <c r="O98" s="83">
        <f t="shared" si="29"/>
        <v>0</v>
      </c>
      <c r="P98" s="83">
        <f t="shared" si="30"/>
        <v>0</v>
      </c>
      <c r="Q98" s="83">
        <v>0</v>
      </c>
      <c r="R98" s="83">
        <v>0</v>
      </c>
      <c r="S98" s="83">
        <v>0</v>
      </c>
      <c r="T98" s="83">
        <f t="shared" si="31"/>
        <v>0</v>
      </c>
      <c r="U98" s="83">
        <f t="shared" si="32"/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468">
        <f ca="1">IFERROR(__xludf.DUMMYFUNCTION("IMPORTRANGE(""https://docs.google.com/spreadsheets/d/1-uDff_7J0KD5mKrp0Vvzr7lt3OU09vwQwhkpOPPYv2Y/edit?usp=sharing"",""งบพรบ!AW18"")"),0)</f>
        <v>0</v>
      </c>
      <c r="M99" s="224">
        <f ca="1">IFERROR(__xludf.DUMMYFUNCTION("IMPORTRANGE(""https://docs.google.com/spreadsheets/d/1-uDff_7J0KD5mKrp0Vvzr7lt3OU09vwQwhkpOPPYv2Y/edit?usp=sharing"",""งบพรบ!BB18"")"),19500)</f>
        <v>19500</v>
      </c>
      <c r="N99" s="224">
        <f ca="1">IFERROR(__xludf.DUMMYFUNCTION("IMPORTRANGE(""https://docs.google.com/spreadsheets/d/1-uDff_7J0KD5mKrp0Vvzr7lt3OU09vwQwhkpOPPYv2Y/edit?usp=sharing"",""งบพรบ!BD18"")"),0)</f>
        <v>0</v>
      </c>
      <c r="O99" s="224">
        <f t="shared" ca="1" si="29"/>
        <v>0</v>
      </c>
      <c r="P99" s="224">
        <f t="shared" ca="1" si="30"/>
        <v>0</v>
      </c>
      <c r="Q99" s="224">
        <f ca="1">IFERROR(__xludf.DUMMYFUNCTION("IMPORTRANGE(""https://docs.google.com/spreadsheets/d/1ItG2mGa2ceCfYo0BwxsXqNm01IGEUdYcSSLTEv9YCik/edit?usp=sharing"",""เบิกจ่ายกองทุน!AD18"")"),64920)</f>
        <v>64920</v>
      </c>
      <c r="R99" s="224">
        <f ca="1">IFERROR(__xludf.DUMMYFUNCTION("IMPORTRANGE(""https://docs.google.com/spreadsheets/d/1ItG2mGa2ceCfYo0BwxsXqNm01IGEUdYcSSLTEv9YCik/edit?usp=sharing"",""เบิกจ่ายกองทุน!AE18"")"),64920)</f>
        <v>64920</v>
      </c>
      <c r="S99" s="224">
        <f ca="1">IFERROR(__xludf.DUMMYFUNCTION("IMPORTRANGE(""https://docs.google.com/spreadsheets/d/1ItG2mGa2ceCfYo0BwxsXqNm01IGEUdYcSSLTEv9YCik/edit?usp=sharing"",""เบิกจ่ายกองทุน!AF18"")"),0)</f>
        <v>0</v>
      </c>
      <c r="T99" s="224">
        <f t="shared" ca="1" si="31"/>
        <v>0</v>
      </c>
      <c r="U99" s="224">
        <f t="shared" ca="1" si="32"/>
        <v>0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468">
        <f ca="1">L101+L102</f>
        <v>0</v>
      </c>
      <c r="M100" s="224">
        <f ca="1">M101+M102</f>
        <v>0</v>
      </c>
      <c r="N100" s="224">
        <f ca="1">N101+N102</f>
        <v>0</v>
      </c>
      <c r="O100" s="224">
        <f t="shared" ca="1" si="29"/>
        <v>0</v>
      </c>
      <c r="P100" s="224">
        <f t="shared" ca="1" si="30"/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 t="shared" si="31"/>
        <v>0</v>
      </c>
      <c r="U100" s="224">
        <f t="shared" si="32"/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469">
        <v>0</v>
      </c>
      <c r="M101" s="83">
        <v>0</v>
      </c>
      <c r="N101" s="83">
        <v>0</v>
      </c>
      <c r="O101" s="83">
        <f t="shared" si="29"/>
        <v>0</v>
      </c>
      <c r="P101" s="83">
        <f t="shared" si="30"/>
        <v>0</v>
      </c>
      <c r="Q101" s="83">
        <v>0</v>
      </c>
      <c r="R101" s="83">
        <v>0</v>
      </c>
      <c r="S101" s="83">
        <v>0</v>
      </c>
      <c r="T101" s="83">
        <f t="shared" si="31"/>
        <v>0</v>
      </c>
      <c r="U101" s="83">
        <f t="shared" si="32"/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468">
        <f ca="1">IFERROR(__xludf.DUMMYFUNCTION("IMPORTRANGE(""https://docs.google.com/spreadsheets/d/1-uDff_7J0KD5mKrp0Vvzr7lt3OU09vwQwhkpOPPYv2Y/edit?usp=sharing"",""งบพรบ!AZ18"")"),0)</f>
        <v>0</v>
      </c>
      <c r="M102" s="224">
        <f ca="1">IFERROR(__xludf.DUMMYFUNCTION("IMPORTRANGE(""https://docs.google.com/spreadsheets/d/1-uDff_7J0KD5mKrp0Vvzr7lt3OU09vwQwhkpOPPYv2Y/edit?usp=sharing"",""งบพรบ!BC18"")"),0)</f>
        <v>0</v>
      </c>
      <c r="N102" s="224">
        <f ca="1">IFERROR(__xludf.DUMMYFUNCTION("IMPORTRANGE(""https://docs.google.com/spreadsheets/d/1-uDff_7J0KD5mKrp0Vvzr7lt3OU09vwQwhkpOPPYv2Y/edit?usp=sharing"",""งบพรบ!BE18"")"),0)</f>
        <v>0</v>
      </c>
      <c r="O102" s="224">
        <f t="shared" ca="1" si="29"/>
        <v>0</v>
      </c>
      <c r="P102" s="224">
        <f t="shared" ca="1" si="30"/>
        <v>0</v>
      </c>
      <c r="Q102" s="224">
        <v>0</v>
      </c>
      <c r="R102" s="224">
        <v>0</v>
      </c>
      <c r="S102" s="224">
        <v>0</v>
      </c>
      <c r="T102" s="224">
        <f t="shared" si="31"/>
        <v>0</v>
      </c>
      <c r="U102" s="224">
        <f t="shared" si="32"/>
        <v>0</v>
      </c>
    </row>
    <row r="103" spans="1:21" ht="19.5" x14ac:dyDescent="0.3">
      <c r="A103" s="138"/>
      <c r="B103" s="139"/>
      <c r="C103" s="129" t="s">
        <v>18</v>
      </c>
      <c r="D103" s="498" t="s">
        <v>38</v>
      </c>
      <c r="E103" s="141"/>
      <c r="F103" s="141"/>
      <c r="G103" s="142"/>
      <c r="H103" s="143"/>
      <c r="I103" s="135"/>
      <c r="J103" s="44"/>
      <c r="K103" s="45"/>
      <c r="L103" s="465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571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571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571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465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IFERROR(__xludf.DUMMYFUNCTION("IMPORTRANGE(""https://docs.google.com/spreadsheets/d/1eHaY18a8A9IcSdp1K8H6x8fbOy06t2VsZHhMHf-1x7Y/edit?usp=sharing"",""แผน!N18"")"),30)</f>
        <v>30</v>
      </c>
      <c r="J108" s="466">
        <v>0</v>
      </c>
      <c r="K108" s="224">
        <f ca="1">IF(I108&gt;0,J108*100/I108,0)</f>
        <v>0</v>
      </c>
      <c r="L108" s="465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IFERROR(__xludf.DUMMYFUNCTION("IMPORTRANGE(""https://docs.google.com/spreadsheets/d/1eHaY18a8A9IcSdp1K8H6x8fbOy06t2VsZHhMHf-1x7Y/edit?usp=sharing"",""แผน!O18"")"),10)</f>
        <v>10</v>
      </c>
      <c r="J109" s="466">
        <v>0</v>
      </c>
      <c r="K109" s="224">
        <f ca="1">IF(I109&gt;0,J109*100/I109,0)</f>
        <v>0</v>
      </c>
      <c r="L109" s="465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571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571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571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749"/>
      <c r="B113" s="438"/>
      <c r="C113" s="438"/>
      <c r="D113" s="748" t="s">
        <v>50</v>
      </c>
      <c r="E113" s="440"/>
      <c r="F113" s="440"/>
      <c r="G113" s="441"/>
      <c r="H113" s="747" t="s">
        <v>46</v>
      </c>
      <c r="I113" s="746">
        <f ca="1">IFERROR(__xludf.DUMMYFUNCTION("IMPORTRANGE(""https://docs.google.com/spreadsheets/d/1eHaY18a8A9IcSdp1K8H6x8fbOy06t2VsZHhMHf-1x7Y/edit?usp=sharing"",""แผน!N18"")"),30)</f>
        <v>30</v>
      </c>
      <c r="J113" s="444">
        <v>0</v>
      </c>
      <c r="K113" s="591">
        <f ca="1">IF(I113&gt;0,J113*100/I113,0)</f>
        <v>0</v>
      </c>
      <c r="L113" s="656"/>
      <c r="M113" s="656"/>
      <c r="N113" s="656"/>
      <c r="O113" s="445"/>
      <c r="P113" s="445"/>
      <c r="Q113" s="656"/>
      <c r="R113" s="656"/>
      <c r="S113" s="656"/>
      <c r="T113" s="445"/>
      <c r="U113" s="445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581">
        <f ca="1">IFERROR(__xludf.DUMMYFUNCTION("IMPORTRANGE(""https://docs.google.com/spreadsheets/d/1eHaY18a8A9IcSdp1K8H6x8fbOy06t2VsZHhMHf-1x7Y/edit?usp=sharing"",""แผน!O18"")"),10)</f>
        <v>10</v>
      </c>
      <c r="J114" s="466">
        <v>0</v>
      </c>
      <c r="K114" s="224">
        <f ca="1">IF(I114&gt;0,J114*100/I114,0)</f>
        <v>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671" t="s">
        <v>51</v>
      </c>
      <c r="B115" s="668"/>
      <c r="C115" s="670"/>
      <c r="D115" s="669"/>
      <c r="E115" s="669"/>
      <c r="F115" s="669"/>
      <c r="G115" s="669"/>
      <c r="H115" s="668"/>
      <c r="I115" s="667"/>
      <c r="J115" s="667"/>
      <c r="K115" s="66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665">
        <f ca="1">I127</f>
        <v>100</v>
      </c>
      <c r="J116" s="665">
        <f>J127</f>
        <v>100</v>
      </c>
      <c r="K116" s="664">
        <f ca="1">IF(I116&gt;0,J116*100/I116,0)</f>
        <v>100</v>
      </c>
      <c r="L116" s="510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472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471">
        <f ca="1">L118+L119</f>
        <v>0</v>
      </c>
      <c r="M117" s="470">
        <f ca="1">M118+M119</f>
        <v>0</v>
      </c>
      <c r="N117" s="470">
        <f ca="1">N118+N119</f>
        <v>0</v>
      </c>
      <c r="O117" s="470">
        <f t="shared" ref="O117:O125" ca="1" si="35">IF(L117&gt;0,N117*100/L117,0)</f>
        <v>0</v>
      </c>
      <c r="P117" s="470">
        <f t="shared" ref="P117:P125" ca="1" si="36">IF(M117&gt;0,N117*100/M117,0)</f>
        <v>0</v>
      </c>
      <c r="Q117" s="470">
        <f ca="1">Q118+Q119</f>
        <v>408480</v>
      </c>
      <c r="R117" s="470">
        <f ca="1">R118+R119</f>
        <v>408480</v>
      </c>
      <c r="S117" s="470">
        <f ca="1">S118+S119</f>
        <v>178571.5</v>
      </c>
      <c r="T117" s="470">
        <f t="shared" ref="T117:T125" ca="1" si="37">IF(Q117&gt;0,S117*100/Q117,0)</f>
        <v>43.716093811202505</v>
      </c>
      <c r="U117" s="470">
        <f t="shared" ref="U117:U125" ca="1" si="38">IF(R117&gt;0,S117*100/R117,0)</f>
        <v>43.716093811202505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469">
        <f t="shared" ref="L118:N119" si="39">L121+L124</f>
        <v>0</v>
      </c>
      <c r="M118" s="83">
        <f t="shared" si="39"/>
        <v>0</v>
      </c>
      <c r="N118" s="83">
        <f t="shared" si="39"/>
        <v>0</v>
      </c>
      <c r="O118" s="83">
        <f t="shared" si="35"/>
        <v>0</v>
      </c>
      <c r="P118" s="83">
        <f t="shared" si="36"/>
        <v>0</v>
      </c>
      <c r="Q118" s="83">
        <f t="shared" ref="Q118:S119" si="40">Q121+Q124</f>
        <v>0</v>
      </c>
      <c r="R118" s="83">
        <f t="shared" si="40"/>
        <v>0</v>
      </c>
      <c r="S118" s="83">
        <f t="shared" si="40"/>
        <v>0</v>
      </c>
      <c r="T118" s="83">
        <f t="shared" si="37"/>
        <v>0</v>
      </c>
      <c r="U118" s="83">
        <f t="shared" si="38"/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468">
        <f t="shared" ca="1" si="39"/>
        <v>0</v>
      </c>
      <c r="M119" s="224">
        <f t="shared" ca="1" si="39"/>
        <v>0</v>
      </c>
      <c r="N119" s="224">
        <f t="shared" ca="1" si="39"/>
        <v>0</v>
      </c>
      <c r="O119" s="224">
        <f t="shared" ca="1" si="35"/>
        <v>0</v>
      </c>
      <c r="P119" s="224">
        <f t="shared" ca="1" si="36"/>
        <v>0</v>
      </c>
      <c r="Q119" s="224">
        <f t="shared" ca="1" si="40"/>
        <v>408480</v>
      </c>
      <c r="R119" s="224">
        <f t="shared" ca="1" si="40"/>
        <v>408480</v>
      </c>
      <c r="S119" s="224">
        <f t="shared" ca="1" si="40"/>
        <v>178571.5</v>
      </c>
      <c r="T119" s="224">
        <f t="shared" ca="1" si="37"/>
        <v>43.716093811202505</v>
      </c>
      <c r="U119" s="224">
        <f t="shared" ca="1" si="38"/>
        <v>43.716093811202505</v>
      </c>
    </row>
    <row r="120" spans="1:21" ht="18.75" x14ac:dyDescent="0.25">
      <c r="A120" s="128"/>
      <c r="B120" s="158"/>
      <c r="C120" s="174"/>
      <c r="D120" s="53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468">
        <f ca="1">L121+L122</f>
        <v>0</v>
      </c>
      <c r="M120" s="224">
        <f ca="1">M121+M122</f>
        <v>0</v>
      </c>
      <c r="N120" s="224">
        <f ca="1">N121+N122</f>
        <v>0</v>
      </c>
      <c r="O120" s="224">
        <f t="shared" ca="1" si="35"/>
        <v>0</v>
      </c>
      <c r="P120" s="224">
        <f t="shared" ca="1" si="36"/>
        <v>0</v>
      </c>
      <c r="Q120" s="224">
        <f ca="1">Q121+Q122</f>
        <v>408480</v>
      </c>
      <c r="R120" s="224">
        <f ca="1">R121+R122</f>
        <v>408480</v>
      </c>
      <c r="S120" s="224">
        <f ca="1">S121+S122</f>
        <v>178571.5</v>
      </c>
      <c r="T120" s="224">
        <f t="shared" ca="1" si="37"/>
        <v>43.716093811202505</v>
      </c>
      <c r="U120" s="224">
        <f t="shared" ca="1" si="38"/>
        <v>43.716093811202505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469">
        <v>0</v>
      </c>
      <c r="M121" s="83">
        <v>0</v>
      </c>
      <c r="N121" s="83">
        <v>0</v>
      </c>
      <c r="O121" s="83">
        <f t="shared" si="35"/>
        <v>0</v>
      </c>
      <c r="P121" s="83">
        <f t="shared" si="36"/>
        <v>0</v>
      </c>
      <c r="Q121" s="83">
        <v>0</v>
      </c>
      <c r="R121" s="83">
        <v>0</v>
      </c>
      <c r="S121" s="83">
        <v>0</v>
      </c>
      <c r="T121" s="83">
        <f t="shared" si="37"/>
        <v>0</v>
      </c>
      <c r="U121" s="83">
        <f t="shared" si="38"/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468">
        <f ca="1">IFERROR(__xludf.DUMMYFUNCTION("IMPORTRANGE(""https://docs.google.com/spreadsheets/d/1-uDff_7J0KD5mKrp0Vvzr7lt3OU09vwQwhkpOPPYv2Y/edit?usp=sharing"",""งบพรบ!BG18"")"),0)</f>
        <v>0</v>
      </c>
      <c r="M122" s="224">
        <f ca="1">IFERROR(__xludf.DUMMYFUNCTION("IMPORTRANGE(""https://docs.google.com/spreadsheets/d/1-uDff_7J0KD5mKrp0Vvzr7lt3OU09vwQwhkpOPPYv2Y/edit?usp=sharing"",""งบพรบ!BL18"")"),0)</f>
        <v>0</v>
      </c>
      <c r="N122" s="224">
        <f ca="1">IFERROR(__xludf.DUMMYFUNCTION("IMPORTRANGE(""https://docs.google.com/spreadsheets/d/1-uDff_7J0KD5mKrp0Vvzr7lt3OU09vwQwhkpOPPYv2Y/edit?usp=sharing"",""งบพรบ!BN18"")"),0)</f>
        <v>0</v>
      </c>
      <c r="O122" s="224">
        <f t="shared" ca="1" si="35"/>
        <v>0</v>
      </c>
      <c r="P122" s="224">
        <f t="shared" ca="1" si="36"/>
        <v>0</v>
      </c>
      <c r="Q122" s="224">
        <f ca="1">IFERROR(__xludf.DUMMYFUNCTION("IMPORTRANGE(""https://docs.google.com/spreadsheets/d/1ItG2mGa2ceCfYo0BwxsXqNm01IGEUdYcSSLTEv9YCik/edit?usp=sharing"",""เบิกจ่ายกองทุน!R18"")"),408480)</f>
        <v>408480</v>
      </c>
      <c r="R122" s="224">
        <f ca="1">IFERROR(__xludf.DUMMYFUNCTION("IMPORTRANGE(""https://docs.google.com/spreadsheets/d/1ItG2mGa2ceCfYo0BwxsXqNm01IGEUdYcSSLTEv9YCik/edit?usp=sharing"",""เบิกจ่ายกองทุน!S18"")"),408480)</f>
        <v>408480</v>
      </c>
      <c r="S122" s="224">
        <f ca="1">IFERROR(__xludf.DUMMYFUNCTION("IMPORTRANGE(""https://docs.google.com/spreadsheets/d/1ItG2mGa2ceCfYo0BwxsXqNm01IGEUdYcSSLTEv9YCik/edit?usp=sharing"",""เบิกจ่ายกองทุน!T18"")"),178571.5)</f>
        <v>178571.5</v>
      </c>
      <c r="T122" s="224">
        <f t="shared" ca="1" si="37"/>
        <v>43.716093811202505</v>
      </c>
      <c r="U122" s="224">
        <f t="shared" ca="1" si="38"/>
        <v>43.716093811202505</v>
      </c>
    </row>
    <row r="123" spans="1:21" ht="18.75" x14ac:dyDescent="0.25">
      <c r="A123" s="128"/>
      <c r="B123" s="40"/>
      <c r="C123" s="174"/>
      <c r="D123" s="53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468">
        <f ca="1">L124+L125</f>
        <v>0</v>
      </c>
      <c r="M123" s="224">
        <f ca="1">M124+M125</f>
        <v>0</v>
      </c>
      <c r="N123" s="224">
        <f ca="1">N124+N125</f>
        <v>0</v>
      </c>
      <c r="O123" s="224">
        <f t="shared" ca="1" si="35"/>
        <v>0</v>
      </c>
      <c r="P123" s="224">
        <f t="shared" ca="1" si="36"/>
        <v>0</v>
      </c>
      <c r="Q123" s="224">
        <f>Q124+Q125</f>
        <v>0</v>
      </c>
      <c r="R123" s="224">
        <f>R124+R125</f>
        <v>0</v>
      </c>
      <c r="S123" s="224">
        <f>S124+S125</f>
        <v>0</v>
      </c>
      <c r="T123" s="224">
        <f t="shared" si="37"/>
        <v>0</v>
      </c>
      <c r="U123" s="224">
        <f t="shared" si="38"/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469">
        <v>0</v>
      </c>
      <c r="M124" s="83">
        <v>0</v>
      </c>
      <c r="N124" s="83">
        <v>0</v>
      </c>
      <c r="O124" s="83">
        <f t="shared" si="35"/>
        <v>0</v>
      </c>
      <c r="P124" s="83">
        <f t="shared" si="36"/>
        <v>0</v>
      </c>
      <c r="Q124" s="83">
        <v>0</v>
      </c>
      <c r="R124" s="83">
        <v>0</v>
      </c>
      <c r="S124" s="83">
        <v>0</v>
      </c>
      <c r="T124" s="83">
        <f t="shared" si="37"/>
        <v>0</v>
      </c>
      <c r="U124" s="83">
        <f t="shared" si="38"/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468">
        <f ca="1">IFERROR(__xludf.DUMMYFUNCTION("IMPORTRANGE(""https://docs.google.com/spreadsheets/d/1-uDff_7J0KD5mKrp0Vvzr7lt3OU09vwQwhkpOPPYv2Y/edit?usp=sharing"",""งบพรบ!BJ18"")"),0)</f>
        <v>0</v>
      </c>
      <c r="M125" s="224">
        <f ca="1">IFERROR(__xludf.DUMMYFUNCTION("IMPORTRANGE(""https://docs.google.com/spreadsheets/d/1-uDff_7J0KD5mKrp0Vvzr7lt3OU09vwQwhkpOPPYv2Y/edit?usp=sharing"",""งบพรบ!BM18"")"),0)</f>
        <v>0</v>
      </c>
      <c r="N125" s="224">
        <f ca="1">IFERROR(__xludf.DUMMYFUNCTION("IMPORTRANGE(""https://docs.google.com/spreadsheets/d/1-uDff_7J0KD5mKrp0Vvzr7lt3OU09vwQwhkpOPPYv2Y/edit?usp=sharing"",""งบพรบ!BO18"")"),0)</f>
        <v>0</v>
      </c>
      <c r="O125" s="224">
        <f t="shared" ca="1" si="35"/>
        <v>0</v>
      </c>
      <c r="P125" s="224">
        <f t="shared" ca="1" si="36"/>
        <v>0</v>
      </c>
      <c r="Q125" s="224">
        <v>0</v>
      </c>
      <c r="R125" s="224">
        <v>0</v>
      </c>
      <c r="S125" s="224">
        <v>0</v>
      </c>
      <c r="T125" s="224">
        <f t="shared" si="37"/>
        <v>0</v>
      </c>
      <c r="U125" s="224">
        <f t="shared" si="38"/>
        <v>0</v>
      </c>
    </row>
    <row r="126" spans="1:21" ht="19.5" x14ac:dyDescent="0.3">
      <c r="A126" s="138"/>
      <c r="B126" s="139"/>
      <c r="C126" s="177" t="s">
        <v>18</v>
      </c>
      <c r="D126" s="498" t="s">
        <v>38</v>
      </c>
      <c r="E126" s="141"/>
      <c r="F126" s="141"/>
      <c r="G126" s="142"/>
      <c r="H126" s="178"/>
      <c r="I126" s="44"/>
      <c r="J126" s="44"/>
      <c r="K126" s="45"/>
      <c r="L126" s="465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IFERROR(__xludf.DUMMYFUNCTION("IMPORTRANGE(""https://docs.google.com/spreadsheets/d/1eHaY18a8A9IcSdp1K8H6x8fbOy06t2VsZHhMHf-1x7Y/edit?usp=sharing"",""แผน!FF18"")"),100)</f>
        <v>100</v>
      </c>
      <c r="J127" s="466">
        <v>100</v>
      </c>
      <c r="K127" s="224">
        <f ca="1">IF(I127&gt;0,J127*100/I127,0)</f>
        <v>100</v>
      </c>
      <c r="L127" s="465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IFERROR(__xludf.DUMMYFUNCTION("IMPORTRANGE(""https://docs.google.com/spreadsheets/d/1eHaY18a8A9IcSdp1K8H6x8fbOy06t2VsZHhMHf-1x7Y/edit?usp=sharing"",""แผน!FG18"")"),0)</f>
        <v>0</v>
      </c>
      <c r="J128" s="466">
        <v>0</v>
      </c>
      <c r="K128" s="224">
        <f ca="1">IF(I128&gt;0,J128*100/I128,0)</f>
        <v>0</v>
      </c>
      <c r="L128" s="465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IFERROR(__xludf.DUMMYFUNCTION("IMPORTRANGE(""https://docs.google.com/spreadsheets/d/1eHaY18a8A9IcSdp1K8H6x8fbOy06t2VsZHhMHf-1x7Y/edit?usp=sharing"",""แผน!FH18"")"),20)</f>
        <v>20</v>
      </c>
      <c r="J129" s="466">
        <v>20</v>
      </c>
      <c r="K129" s="224">
        <f ca="1">IF(I129&gt;0,J129*100/I129,0)</f>
        <v>100</v>
      </c>
      <c r="L129" s="465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IFERROR(__xludf.DUMMYFUNCTION("IMPORTRANGE(""https://docs.google.com/spreadsheets/d/1eHaY18a8A9IcSdp1K8H6x8fbOy06t2VsZHhMHf-1x7Y/edit?usp=sharing"",""แผน!FI18"")"),0)</f>
        <v>0</v>
      </c>
      <c r="J130" s="466">
        <v>0</v>
      </c>
      <c r="K130" s="224">
        <f ca="1">IF(I130&gt;0,J130*100/I130,0)</f>
        <v>0</v>
      </c>
      <c r="L130" s="465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465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465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57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10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665">
        <f ca="1">I154</f>
        <v>0</v>
      </c>
      <c r="J136" s="665">
        <f>J154</f>
        <v>0</v>
      </c>
      <c r="K136" s="664">
        <f ca="1">IF(I136&gt;0,J136*100/I136,0)</f>
        <v>0</v>
      </c>
      <c r="L136" s="510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665">
        <f ca="1">I152</f>
        <v>20</v>
      </c>
      <c r="J137" s="665">
        <f>J152</f>
        <v>20</v>
      </c>
      <c r="K137" s="664">
        <f ca="1">IF(I137&gt;0,J137*100/I137,0)</f>
        <v>100</v>
      </c>
      <c r="L137" s="510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665">
        <f ca="1">I153</f>
        <v>2</v>
      </c>
      <c r="J138" s="665">
        <f>J153</f>
        <v>2</v>
      </c>
      <c r="K138" s="664">
        <f ca="1">IF(I138&gt;0,J138*100/I138,0)</f>
        <v>100</v>
      </c>
      <c r="L138" s="510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129" t="s">
        <v>18</v>
      </c>
      <c r="D139" s="472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471">
        <f ca="1">L140+L141</f>
        <v>31600</v>
      </c>
      <c r="M139" s="470">
        <f ca="1">M140+M141</f>
        <v>26600</v>
      </c>
      <c r="N139" s="470">
        <f ca="1">N140+N141</f>
        <v>19920</v>
      </c>
      <c r="O139" s="470">
        <f t="shared" ref="O139:O147" ca="1" si="41">IF(L139&gt;0,N139*100/L139,0)</f>
        <v>63.037974683544306</v>
      </c>
      <c r="P139" s="470">
        <f t="shared" ref="P139:P147" ca="1" si="42">IF(M139&gt;0,N139*100/M139,0)</f>
        <v>74.887218045112789</v>
      </c>
      <c r="Q139" s="470">
        <f ca="1">Q140+Q141</f>
        <v>0</v>
      </c>
      <c r="R139" s="470">
        <f ca="1">R140+R141</f>
        <v>0</v>
      </c>
      <c r="S139" s="470">
        <f ca="1">S140+S141</f>
        <v>0</v>
      </c>
      <c r="T139" s="470">
        <f t="shared" ref="T139:T147" ca="1" si="43">IF(Q139&gt;0,S139*100/Q139,0)</f>
        <v>0</v>
      </c>
      <c r="U139" s="470">
        <f t="shared" ref="U139:U147" ca="1" si="44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469">
        <f t="shared" ref="L140:N141" si="45">L143+L146</f>
        <v>0</v>
      </c>
      <c r="M140" s="83">
        <f t="shared" si="45"/>
        <v>0</v>
      </c>
      <c r="N140" s="83">
        <f t="shared" si="45"/>
        <v>0</v>
      </c>
      <c r="O140" s="83">
        <f t="shared" si="41"/>
        <v>0</v>
      </c>
      <c r="P140" s="83">
        <f t="shared" si="42"/>
        <v>0</v>
      </c>
      <c r="Q140" s="83">
        <f t="shared" ref="Q140:S141" si="46">Q143+Q146</f>
        <v>0</v>
      </c>
      <c r="R140" s="83">
        <f t="shared" si="46"/>
        <v>0</v>
      </c>
      <c r="S140" s="83">
        <f t="shared" si="46"/>
        <v>0</v>
      </c>
      <c r="T140" s="83">
        <f t="shared" si="43"/>
        <v>0</v>
      </c>
      <c r="U140" s="83">
        <f t="shared" si="44"/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468">
        <f t="shared" ca="1" si="45"/>
        <v>31600</v>
      </c>
      <c r="M141" s="224">
        <f t="shared" ca="1" si="45"/>
        <v>26600</v>
      </c>
      <c r="N141" s="224">
        <f t="shared" ca="1" si="45"/>
        <v>19920</v>
      </c>
      <c r="O141" s="224">
        <f t="shared" ca="1" si="41"/>
        <v>63.037974683544306</v>
      </c>
      <c r="P141" s="224">
        <f t="shared" ca="1" si="42"/>
        <v>74.887218045112789</v>
      </c>
      <c r="Q141" s="224">
        <f t="shared" ca="1" si="46"/>
        <v>0</v>
      </c>
      <c r="R141" s="224">
        <f t="shared" ca="1" si="46"/>
        <v>0</v>
      </c>
      <c r="S141" s="224">
        <f t="shared" ca="1" si="46"/>
        <v>0</v>
      </c>
      <c r="T141" s="224">
        <f t="shared" ca="1" si="43"/>
        <v>0</v>
      </c>
      <c r="U141" s="224">
        <f t="shared" ca="1" si="44"/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468">
        <f ca="1">L143+L144</f>
        <v>31600</v>
      </c>
      <c r="M142" s="224">
        <f ca="1">M143+M144</f>
        <v>26600</v>
      </c>
      <c r="N142" s="224">
        <f ca="1">N143+N144</f>
        <v>19920</v>
      </c>
      <c r="O142" s="224">
        <f t="shared" ca="1" si="41"/>
        <v>63.037974683544306</v>
      </c>
      <c r="P142" s="224">
        <f t="shared" ca="1" si="42"/>
        <v>74.887218045112789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t="shared" ca="1" si="43"/>
        <v>0</v>
      </c>
      <c r="U142" s="224">
        <f t="shared" ca="1" si="44"/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469">
        <v>0</v>
      </c>
      <c r="M143" s="83">
        <v>0</v>
      </c>
      <c r="N143" s="83">
        <v>0</v>
      </c>
      <c r="O143" s="83">
        <f t="shared" si="41"/>
        <v>0</v>
      </c>
      <c r="P143" s="83">
        <f t="shared" si="42"/>
        <v>0</v>
      </c>
      <c r="Q143" s="83">
        <v>0</v>
      </c>
      <c r="R143" s="83">
        <v>0</v>
      </c>
      <c r="S143" s="83">
        <v>0</v>
      </c>
      <c r="T143" s="83">
        <f t="shared" si="43"/>
        <v>0</v>
      </c>
      <c r="U143" s="83">
        <f t="shared" si="44"/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468">
        <f ca="1">IFERROR(__xludf.DUMMYFUNCTION("IMPORTRANGE(""https://docs.google.com/spreadsheets/d/1-uDff_7J0KD5mKrp0Vvzr7lt3OU09vwQwhkpOPPYv2Y/edit?usp=sharing"",""งบพรบ!BQ18"")"),31600)</f>
        <v>31600</v>
      </c>
      <c r="M144" s="224">
        <f ca="1">IFERROR(__xludf.DUMMYFUNCTION("IMPORTRANGE(""https://docs.google.com/spreadsheets/d/1-uDff_7J0KD5mKrp0Vvzr7lt3OU09vwQwhkpOPPYv2Y/edit?usp=sharing"",""งบพรบ!BV18"")"),26600)</f>
        <v>26600</v>
      </c>
      <c r="N144" s="224">
        <f ca="1">IFERROR(__xludf.DUMMYFUNCTION("IMPORTRANGE(""https://docs.google.com/spreadsheets/d/1-uDff_7J0KD5mKrp0Vvzr7lt3OU09vwQwhkpOPPYv2Y/edit?usp=sharing"",""งบพรบ!BX18"")"),19920)</f>
        <v>19920</v>
      </c>
      <c r="O144" s="224">
        <f t="shared" ca="1" si="41"/>
        <v>63.037974683544306</v>
      </c>
      <c r="P144" s="224">
        <f t="shared" ca="1" si="42"/>
        <v>74.887218045112789</v>
      </c>
      <c r="Q144" s="224">
        <f ca="1">IFERROR(__xludf.DUMMYFUNCTION("IMPORTRANGE(""https://docs.google.com/spreadsheets/d/1ItG2mGa2ceCfYo0BwxsXqNm01IGEUdYcSSLTEv9YCik/edit?usp=sharing"",""เบิกจ่ายกองทุน!BB18"")"),0)</f>
        <v>0</v>
      </c>
      <c r="R144" s="224">
        <f ca="1">IFERROR(__xludf.DUMMYFUNCTION("IMPORTRANGE(""https://docs.google.com/spreadsheets/d/1ItG2mGa2ceCfYo0BwxsXqNm01IGEUdYcSSLTEv9YCik/edit?usp=sharing"",""เบิกจ่ายกองทุน!BC18"")"),0)</f>
        <v>0</v>
      </c>
      <c r="S144" s="224">
        <f ca="1">IFERROR(__xludf.DUMMYFUNCTION("IMPORTRANGE(""https://docs.google.com/spreadsheets/d/1ItG2mGa2ceCfYo0BwxsXqNm01IGEUdYcSSLTEv9YCik/edit?usp=sharing"",""เบิกจ่ายกองทุน!BD18"")"),0)</f>
        <v>0</v>
      </c>
      <c r="T144" s="224">
        <f t="shared" ca="1" si="43"/>
        <v>0</v>
      </c>
      <c r="U144" s="224">
        <f t="shared" ca="1" si="44"/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468">
        <f ca="1">L146+L147</f>
        <v>0</v>
      </c>
      <c r="M145" s="224">
        <f ca="1">M146+M147</f>
        <v>0</v>
      </c>
      <c r="N145" s="224">
        <f ca="1">N146+N147</f>
        <v>0</v>
      </c>
      <c r="O145" s="224">
        <f t="shared" ca="1" si="41"/>
        <v>0</v>
      </c>
      <c r="P145" s="224">
        <f t="shared" ca="1" si="42"/>
        <v>0</v>
      </c>
      <c r="Q145" s="224">
        <f>Q146+Q147</f>
        <v>0</v>
      </c>
      <c r="R145" s="224">
        <f>R146+R147</f>
        <v>0</v>
      </c>
      <c r="S145" s="224">
        <f>S146+S147</f>
        <v>0</v>
      </c>
      <c r="T145" s="224">
        <f t="shared" si="43"/>
        <v>0</v>
      </c>
      <c r="U145" s="224">
        <f t="shared" si="44"/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469">
        <v>0</v>
      </c>
      <c r="M146" s="83">
        <v>0</v>
      </c>
      <c r="N146" s="83">
        <v>0</v>
      </c>
      <c r="O146" s="83">
        <f t="shared" si="41"/>
        <v>0</v>
      </c>
      <c r="P146" s="83">
        <f t="shared" si="42"/>
        <v>0</v>
      </c>
      <c r="Q146" s="83">
        <v>0</v>
      </c>
      <c r="R146" s="83">
        <v>0</v>
      </c>
      <c r="S146" s="83">
        <v>0</v>
      </c>
      <c r="T146" s="83">
        <f t="shared" si="43"/>
        <v>0</v>
      </c>
      <c r="U146" s="83">
        <f t="shared" si="44"/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468">
        <f ca="1">IFERROR(__xludf.DUMMYFUNCTION("IMPORTRANGE(""https://docs.google.com/spreadsheets/d/1-uDff_7J0KD5mKrp0Vvzr7lt3OU09vwQwhkpOPPYv2Y/edit?usp=sharing"",""งบพรบ!BT18"")"),0)</f>
        <v>0</v>
      </c>
      <c r="M147" s="224">
        <f ca="1">IFERROR(__xludf.DUMMYFUNCTION("IMPORTRANGE(""https://docs.google.com/spreadsheets/d/1-uDff_7J0KD5mKrp0Vvzr7lt3OU09vwQwhkpOPPYv2Y/edit?usp=sharing"",""งบพรบ!BW18"")"),0)</f>
        <v>0</v>
      </c>
      <c r="N147" s="224">
        <f ca="1">IFERROR(__xludf.DUMMYFUNCTION("IMPORTRANGE(""https://docs.google.com/spreadsheets/d/1-uDff_7J0KD5mKrp0Vvzr7lt3OU09vwQwhkpOPPYv2Y/edit?usp=sharing"",""งบพรบ!BY18"")"),0)</f>
        <v>0</v>
      </c>
      <c r="O147" s="224">
        <f t="shared" ca="1" si="41"/>
        <v>0</v>
      </c>
      <c r="P147" s="224">
        <f t="shared" ca="1" si="42"/>
        <v>0</v>
      </c>
      <c r="Q147" s="224">
        <v>0</v>
      </c>
      <c r="R147" s="224">
        <v>0</v>
      </c>
      <c r="S147" s="224">
        <v>0</v>
      </c>
      <c r="T147" s="224">
        <f t="shared" si="43"/>
        <v>0</v>
      </c>
      <c r="U147" s="224">
        <f t="shared" si="44"/>
        <v>0</v>
      </c>
    </row>
    <row r="148" spans="1:21" ht="19.5" x14ac:dyDescent="0.3">
      <c r="A148" s="138"/>
      <c r="B148" s="139"/>
      <c r="C148" s="129" t="s">
        <v>18</v>
      </c>
      <c r="D148" s="498" t="s">
        <v>38</v>
      </c>
      <c r="E148" s="141"/>
      <c r="F148" s="141"/>
      <c r="G148" s="142"/>
      <c r="H148" s="178"/>
      <c r="I148" s="44"/>
      <c r="J148" s="44"/>
      <c r="K148" s="45"/>
      <c r="L148" s="465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466">
        <v>0</v>
      </c>
      <c r="K149" s="45"/>
      <c r="L149" s="465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IFERROR(__xludf.DUMMYFUNCTION("IMPORTRANGE(""https://docs.google.com/spreadsheets/d/1eHaY18a8A9IcSdp1K8H6x8fbOy06t2VsZHhMHf-1x7Y/edit?usp=sharing"",""แผน!U18"")"),0)</f>
        <v>0</v>
      </c>
      <c r="J150" s="466">
        <v>0</v>
      </c>
      <c r="K150" s="224">
        <f ca="1">IF(I150&gt;0,J150*100/I150,0)</f>
        <v>0</v>
      </c>
      <c r="L150" s="465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IFERROR(__xludf.DUMMYFUNCTION("IMPORTRANGE(""https://docs.google.com/spreadsheets/d/1eHaY18a8A9IcSdp1K8H6x8fbOy06t2VsZHhMHf-1x7Y/edit?usp=sharing"",""แผน!V18"")"),0)</f>
        <v>0</v>
      </c>
      <c r="J151" s="466">
        <v>0</v>
      </c>
      <c r="K151" s="224">
        <f ca="1">IF(I151&gt;0,J151*100/I151,0)</f>
        <v>0</v>
      </c>
      <c r="L151" s="465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IFERROR(__xludf.DUMMYFUNCTION("IMPORTRANGE(""https://docs.google.com/spreadsheets/d/1eHaY18a8A9IcSdp1K8H6x8fbOy06t2VsZHhMHf-1x7Y/edit?usp=sharing"",""แผน!W18"")"),20)</f>
        <v>20</v>
      </c>
      <c r="J152" s="466">
        <v>20</v>
      </c>
      <c r="K152" s="224">
        <f ca="1">IF(I152&gt;0,J152*100/I152,0)</f>
        <v>100</v>
      </c>
      <c r="L152" s="465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IFERROR(__xludf.DUMMYFUNCTION("IMPORTRANGE(""https://docs.google.com/spreadsheets/d/1eHaY18a8A9IcSdp1K8H6x8fbOy06t2VsZHhMHf-1x7Y/edit?usp=sharing"",""แผน!X18"")"),2)</f>
        <v>2</v>
      </c>
      <c r="J153" s="466">
        <v>2</v>
      </c>
      <c r="K153" s="224">
        <f ca="1">IF(I153&gt;0,J153*100/I153,0)</f>
        <v>100</v>
      </c>
      <c r="L153" s="465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IFERROR(__xludf.DUMMYFUNCTION("IMPORTRANGE(""https://docs.google.com/spreadsheets/d/1eHaY18a8A9IcSdp1K8H6x8fbOy06t2VsZHhMHf-1x7Y/edit?usp=sharing"",""แผน!Y18"")"),0)</f>
        <v>0</v>
      </c>
      <c r="J154" s="466">
        <v>0</v>
      </c>
      <c r="K154" s="224">
        <f ca="1">IF(I154&gt;0,J154*100/I154,0)</f>
        <v>0</v>
      </c>
      <c r="L154" s="465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665">
        <f ca="1">I167</f>
        <v>15</v>
      </c>
      <c r="J156" s="665">
        <f>J167</f>
        <v>32</v>
      </c>
      <c r="K156" s="664">
        <f ca="1">IF(I156&gt;0,J156*100/I156,0)</f>
        <v>213.33333333333334</v>
      </c>
      <c r="L156" s="510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129" t="s">
        <v>18</v>
      </c>
      <c r="D157" s="472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471">
        <f ca="1">L158+L159</f>
        <v>4500</v>
      </c>
      <c r="M157" s="470">
        <f ca="1">M158+M159</f>
        <v>6730</v>
      </c>
      <c r="N157" s="470">
        <f ca="1">N158+N159</f>
        <v>2000</v>
      </c>
      <c r="O157" s="470">
        <f t="shared" ref="O157:O165" ca="1" si="47">IF(L157&gt;0,N157*100/L157,0)</f>
        <v>44.444444444444443</v>
      </c>
      <c r="P157" s="470">
        <f t="shared" ref="P157:P165" ca="1" si="48">IF(M157&gt;0,N157*100/M157,0)</f>
        <v>29.717682020802378</v>
      </c>
      <c r="Q157" s="470">
        <f ca="1">Q158+Q159</f>
        <v>0</v>
      </c>
      <c r="R157" s="470">
        <f ca="1">R158+R159</f>
        <v>0</v>
      </c>
      <c r="S157" s="470">
        <f ca="1">S158+S159</f>
        <v>0</v>
      </c>
      <c r="T157" s="470">
        <f t="shared" ref="T157:T165" ca="1" si="49">IF(Q157&gt;0,S157*100/Q157,0)</f>
        <v>0</v>
      </c>
      <c r="U157" s="470">
        <f t="shared" ref="U157:U165" ca="1" si="50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469">
        <f t="shared" ref="L158:N159" si="51">L161+L164</f>
        <v>0</v>
      </c>
      <c r="M158" s="83">
        <f t="shared" si="51"/>
        <v>0</v>
      </c>
      <c r="N158" s="83">
        <f t="shared" si="51"/>
        <v>0</v>
      </c>
      <c r="O158" s="83">
        <f t="shared" si="47"/>
        <v>0</v>
      </c>
      <c r="P158" s="83">
        <f t="shared" si="48"/>
        <v>0</v>
      </c>
      <c r="Q158" s="83">
        <f t="shared" ref="Q158:S159" si="52">Q161+Q164</f>
        <v>0</v>
      </c>
      <c r="R158" s="83">
        <f t="shared" si="52"/>
        <v>0</v>
      </c>
      <c r="S158" s="83">
        <f t="shared" si="52"/>
        <v>0</v>
      </c>
      <c r="T158" s="83">
        <f t="shared" si="49"/>
        <v>0</v>
      </c>
      <c r="U158" s="83">
        <f t="shared" si="50"/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468">
        <f t="shared" ca="1" si="51"/>
        <v>4500</v>
      </c>
      <c r="M159" s="224">
        <f t="shared" ca="1" si="51"/>
        <v>6730</v>
      </c>
      <c r="N159" s="224">
        <f t="shared" ca="1" si="51"/>
        <v>2000</v>
      </c>
      <c r="O159" s="224">
        <f t="shared" ca="1" si="47"/>
        <v>44.444444444444443</v>
      </c>
      <c r="P159" s="224">
        <f t="shared" ca="1" si="48"/>
        <v>29.717682020802378</v>
      </c>
      <c r="Q159" s="224">
        <f t="shared" ca="1" si="52"/>
        <v>0</v>
      </c>
      <c r="R159" s="224">
        <f t="shared" ca="1" si="52"/>
        <v>0</v>
      </c>
      <c r="S159" s="224">
        <f t="shared" ca="1" si="52"/>
        <v>0</v>
      </c>
      <c r="T159" s="224">
        <f t="shared" ca="1" si="49"/>
        <v>0</v>
      </c>
      <c r="U159" s="224">
        <f t="shared" ca="1" si="50"/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468">
        <f ca="1">L161+L162</f>
        <v>4500</v>
      </c>
      <c r="M160" s="224">
        <f ca="1">M161+M162</f>
        <v>6730</v>
      </c>
      <c r="N160" s="224">
        <f ca="1">N161+N162</f>
        <v>2000</v>
      </c>
      <c r="O160" s="224">
        <f t="shared" ca="1" si="47"/>
        <v>44.444444444444443</v>
      </c>
      <c r="P160" s="224">
        <f t="shared" ca="1" si="48"/>
        <v>29.717682020802378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t="shared" ca="1" si="49"/>
        <v>0</v>
      </c>
      <c r="U160" s="224">
        <f t="shared" ca="1" si="50"/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469">
        <v>0</v>
      </c>
      <c r="M161" s="83">
        <v>0</v>
      </c>
      <c r="N161" s="83">
        <v>0</v>
      </c>
      <c r="O161" s="83">
        <f t="shared" si="47"/>
        <v>0</v>
      </c>
      <c r="P161" s="83">
        <f t="shared" si="48"/>
        <v>0</v>
      </c>
      <c r="Q161" s="83">
        <v>0</v>
      </c>
      <c r="R161" s="83">
        <v>0</v>
      </c>
      <c r="S161" s="83">
        <v>0</v>
      </c>
      <c r="T161" s="83">
        <f t="shared" si="49"/>
        <v>0</v>
      </c>
      <c r="U161" s="83">
        <f t="shared" si="50"/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468">
        <f ca="1">IFERROR(__xludf.DUMMYFUNCTION("IMPORTRANGE(""https://docs.google.com/spreadsheets/d/1-uDff_7J0KD5mKrp0Vvzr7lt3OU09vwQwhkpOPPYv2Y/edit?usp=sharing"",""งบพรบ!CA18"")"),4500)</f>
        <v>4500</v>
      </c>
      <c r="M162" s="224">
        <f ca="1">IFERROR(__xludf.DUMMYFUNCTION("IMPORTRANGE(""https://docs.google.com/spreadsheets/d/1-uDff_7J0KD5mKrp0Vvzr7lt3OU09vwQwhkpOPPYv2Y/edit?usp=sharing"",""งบพรบ!CF18"")"),6730)</f>
        <v>6730</v>
      </c>
      <c r="N162" s="224">
        <f ca="1">IFERROR(__xludf.DUMMYFUNCTION("IMPORTRANGE(""https://docs.google.com/spreadsheets/d/1-uDff_7J0KD5mKrp0Vvzr7lt3OU09vwQwhkpOPPYv2Y/edit?usp=sharing"",""งบพรบ!CH18"")"),2000)</f>
        <v>2000</v>
      </c>
      <c r="O162" s="224">
        <f t="shared" ca="1" si="47"/>
        <v>44.444444444444443</v>
      </c>
      <c r="P162" s="224">
        <f t="shared" ca="1" si="48"/>
        <v>29.717682020802378</v>
      </c>
      <c r="Q162" s="224">
        <f ca="1">IFERROR(__xludf.DUMMYFUNCTION("IMPORTRANGE(""https://docs.google.com/spreadsheets/d/1ItG2mGa2ceCfYo0BwxsXqNm01IGEUdYcSSLTEv9YCik/edit?usp=sharing"",""เบิกจ่ายกองทุน!AG18"")"),0)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IFERROR(__xludf.DUMMYFUNCTION("IMPORTRANGE(""https://docs.google.com/spreadsheets/d/1ItG2mGa2ceCfYo0BwxsXqNm01IGEUdYcSSLTEv9YCik/edit?usp=sharing"",""เบิกจ่ายกองทุน!AH18"")"),0)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IFERROR(__xludf.DUMMYFUNCTION("IMPORTRANGE(""https://docs.google.com/spreadsheets/d/1ItG2mGa2ceCfYo0BwxsXqNm01IGEUdYcSSLTEv9YCik/edit?usp=sharing"",""เบิกจ่ายกองทุน!AI18"")"),0)</f>
        <v>0</v>
      </c>
      <c r="T162" s="224">
        <f t="shared" ca="1" si="49"/>
        <v>0</v>
      </c>
      <c r="U162" s="224">
        <f t="shared" ca="1" si="50"/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468">
        <f ca="1">L164+L165</f>
        <v>0</v>
      </c>
      <c r="M163" s="224">
        <f ca="1">M164+M165</f>
        <v>0</v>
      </c>
      <c r="N163" s="224">
        <f ca="1">N164+N165</f>
        <v>0</v>
      </c>
      <c r="O163" s="224">
        <f t="shared" ca="1" si="47"/>
        <v>0</v>
      </c>
      <c r="P163" s="224">
        <f t="shared" ca="1" si="48"/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 t="shared" si="49"/>
        <v>0</v>
      </c>
      <c r="U163" s="224">
        <f t="shared" si="50"/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469">
        <v>0</v>
      </c>
      <c r="M164" s="83">
        <v>0</v>
      </c>
      <c r="N164" s="83">
        <v>0</v>
      </c>
      <c r="O164" s="83">
        <f t="shared" si="47"/>
        <v>0</v>
      </c>
      <c r="P164" s="83">
        <f t="shared" si="48"/>
        <v>0</v>
      </c>
      <c r="Q164" s="83">
        <v>0</v>
      </c>
      <c r="R164" s="83">
        <v>0</v>
      </c>
      <c r="S164" s="83">
        <v>0</v>
      </c>
      <c r="T164" s="83">
        <f t="shared" si="49"/>
        <v>0</v>
      </c>
      <c r="U164" s="83">
        <f t="shared" si="50"/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468">
        <f ca="1">IFERROR(__xludf.DUMMYFUNCTION("IMPORTRANGE(""https://docs.google.com/spreadsheets/d/1-uDff_7J0KD5mKrp0Vvzr7lt3OU09vwQwhkpOPPYv2Y/edit?usp=sharing"",""งบพรบ!CD18"")"),0)</f>
        <v>0</v>
      </c>
      <c r="M165" s="224">
        <f ca="1">IFERROR(__xludf.DUMMYFUNCTION("IMPORTRANGE(""https://docs.google.com/spreadsheets/d/1-uDff_7J0KD5mKrp0Vvzr7lt3OU09vwQwhkpOPPYv2Y/edit?usp=sharing"",""งบพรบ!CG18"")"),0)</f>
        <v>0</v>
      </c>
      <c r="N165" s="224">
        <f ca="1">IFERROR(__xludf.DUMMYFUNCTION("IMPORTRANGE(""https://docs.google.com/spreadsheets/d/1-uDff_7J0KD5mKrp0Vvzr7lt3OU09vwQwhkpOPPYv2Y/edit?usp=sharing"",""งบพรบ!CI18"")"),0)</f>
        <v>0</v>
      </c>
      <c r="O165" s="224">
        <f t="shared" ca="1" si="47"/>
        <v>0</v>
      </c>
      <c r="P165" s="224">
        <f t="shared" ca="1" si="48"/>
        <v>0</v>
      </c>
      <c r="Q165" s="224">
        <v>0</v>
      </c>
      <c r="R165" s="224">
        <v>0</v>
      </c>
      <c r="S165" s="224">
        <v>0</v>
      </c>
      <c r="T165" s="224">
        <f t="shared" si="49"/>
        <v>0</v>
      </c>
      <c r="U165" s="224">
        <f t="shared" si="50"/>
        <v>0</v>
      </c>
    </row>
    <row r="166" spans="1:21" ht="19.5" x14ac:dyDescent="0.3">
      <c r="A166" s="138"/>
      <c r="B166" s="139"/>
      <c r="C166" s="129" t="s">
        <v>18</v>
      </c>
      <c r="D166" s="498" t="s">
        <v>38</v>
      </c>
      <c r="E166" s="141"/>
      <c r="F166" s="141"/>
      <c r="G166" s="142"/>
      <c r="H166" s="178"/>
      <c r="I166" s="44"/>
      <c r="J166" s="44"/>
      <c r="K166" s="45"/>
      <c r="L166" s="465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IFERROR(__xludf.DUMMYFUNCTION("IMPORTRANGE(""https://docs.google.com/spreadsheets/d/1eHaY18a8A9IcSdp1K8H6x8fbOy06t2VsZHhMHf-1x7Y/edit?usp=sharing"",""แผน!Z18"")"),15)</f>
        <v>15</v>
      </c>
      <c r="J167" s="466">
        <v>32</v>
      </c>
      <c r="K167" s="224">
        <f ca="1">IF(I167&gt;0,J167*100/I167,0)</f>
        <v>213.33333333333334</v>
      </c>
      <c r="L167" s="465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375" t="s">
        <v>35</v>
      </c>
      <c r="I168" s="430">
        <f ca="1">I167</f>
        <v>15</v>
      </c>
      <c r="J168" s="525">
        <v>0</v>
      </c>
      <c r="K168" s="83">
        <f ca="1">IF(I168&gt;0,J168*100/I168,0)</f>
        <v>0</v>
      </c>
      <c r="L168" s="465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31" t="s">
        <v>71</v>
      </c>
      <c r="E169" s="1"/>
      <c r="F169" s="1"/>
      <c r="G169" s="52"/>
      <c r="H169" s="663" t="s">
        <v>35</v>
      </c>
      <c r="I169" s="433">
        <f ca="1">I167</f>
        <v>15</v>
      </c>
      <c r="J169" s="522">
        <v>0</v>
      </c>
      <c r="K169" s="521">
        <f ca="1">IF(I169&gt;0,J169*100/I169,0)</f>
        <v>0</v>
      </c>
      <c r="L169" s="46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662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661">
        <f ca="1">I183+I184</f>
        <v>7</v>
      </c>
      <c r="J172" s="661">
        <f>J183+J184</f>
        <v>7</v>
      </c>
      <c r="K172" s="660">
        <f ca="1">IF(I172&gt;0,J172*100/I172,0)</f>
        <v>100</v>
      </c>
      <c r="L172" s="659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472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471">
        <f ca="1">L174+L175</f>
        <v>19590</v>
      </c>
      <c r="M173" s="470">
        <f ca="1">M174+M175</f>
        <v>30550</v>
      </c>
      <c r="N173" s="470">
        <f ca="1">N174+N175</f>
        <v>30550</v>
      </c>
      <c r="O173" s="470">
        <f t="shared" ref="O173:O181" ca="1" si="53">IF(L173&gt;0,N173*100/L173,0)</f>
        <v>155.94691168963757</v>
      </c>
      <c r="P173" s="470">
        <f t="shared" ref="P173:P181" ca="1" si="54">IF(M173&gt;0,N173*100/M173,0)</f>
        <v>100</v>
      </c>
      <c r="Q173" s="470">
        <f ca="1">Q174+Q175</f>
        <v>0</v>
      </c>
      <c r="R173" s="470">
        <f ca="1">R174+R175</f>
        <v>0</v>
      </c>
      <c r="S173" s="470">
        <f ca="1">S174+S175</f>
        <v>0</v>
      </c>
      <c r="T173" s="470">
        <f t="shared" ref="T173:T181" ca="1" si="55">IF(Q173&gt;0,S173*100/Q173,0)</f>
        <v>0</v>
      </c>
      <c r="U173" s="470">
        <f t="shared" ref="U173:U181" ca="1" si="56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469">
        <f t="shared" ref="L174:N175" si="57">L177+L180</f>
        <v>0</v>
      </c>
      <c r="M174" s="83">
        <f t="shared" si="57"/>
        <v>0</v>
      </c>
      <c r="N174" s="83">
        <f t="shared" si="57"/>
        <v>0</v>
      </c>
      <c r="O174" s="83">
        <f t="shared" si="53"/>
        <v>0</v>
      </c>
      <c r="P174" s="83">
        <f t="shared" si="54"/>
        <v>0</v>
      </c>
      <c r="Q174" s="83">
        <f t="shared" ref="Q174:S175" si="58">Q177+Q180</f>
        <v>0</v>
      </c>
      <c r="R174" s="83">
        <f t="shared" si="58"/>
        <v>0</v>
      </c>
      <c r="S174" s="83">
        <f t="shared" si="58"/>
        <v>0</v>
      </c>
      <c r="T174" s="83">
        <f t="shared" si="55"/>
        <v>0</v>
      </c>
      <c r="U174" s="83">
        <f t="shared" si="56"/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468">
        <f t="shared" ca="1" si="57"/>
        <v>19590</v>
      </c>
      <c r="M175" s="224">
        <f t="shared" ca="1" si="57"/>
        <v>30550</v>
      </c>
      <c r="N175" s="224">
        <f t="shared" ca="1" si="57"/>
        <v>30550</v>
      </c>
      <c r="O175" s="224">
        <f t="shared" ca="1" si="53"/>
        <v>155.94691168963757</v>
      </c>
      <c r="P175" s="224">
        <f t="shared" ca="1" si="54"/>
        <v>100</v>
      </c>
      <c r="Q175" s="224">
        <f t="shared" ca="1" si="58"/>
        <v>0</v>
      </c>
      <c r="R175" s="224">
        <f t="shared" ca="1" si="58"/>
        <v>0</v>
      </c>
      <c r="S175" s="224">
        <f t="shared" ca="1" si="58"/>
        <v>0</v>
      </c>
      <c r="T175" s="224">
        <f t="shared" ca="1" si="55"/>
        <v>0</v>
      </c>
      <c r="U175" s="224">
        <f t="shared" ca="1" si="56"/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468">
        <f ca="1">L177+L178</f>
        <v>19590</v>
      </c>
      <c r="M176" s="224">
        <f ca="1">M177+M178</f>
        <v>30550</v>
      </c>
      <c r="N176" s="224">
        <f ca="1">N177+N178</f>
        <v>30550</v>
      </c>
      <c r="O176" s="224">
        <f t="shared" ca="1" si="53"/>
        <v>155.94691168963757</v>
      </c>
      <c r="P176" s="224">
        <f t="shared" ca="1" si="54"/>
        <v>100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t="shared" ca="1" si="55"/>
        <v>0</v>
      </c>
      <c r="U176" s="224">
        <f t="shared" ca="1" si="56"/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469">
        <v>0</v>
      </c>
      <c r="M177" s="83">
        <v>0</v>
      </c>
      <c r="N177" s="83">
        <v>0</v>
      </c>
      <c r="O177" s="83">
        <f t="shared" si="53"/>
        <v>0</v>
      </c>
      <c r="P177" s="83">
        <f t="shared" si="54"/>
        <v>0</v>
      </c>
      <c r="Q177" s="83">
        <v>0</v>
      </c>
      <c r="R177" s="83">
        <v>0</v>
      </c>
      <c r="S177" s="83">
        <v>0</v>
      </c>
      <c r="T177" s="83">
        <f t="shared" si="55"/>
        <v>0</v>
      </c>
      <c r="U177" s="83">
        <f t="shared" si="56"/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468">
        <f ca="1">IFERROR(__xludf.DUMMYFUNCTION("IMPORTRANGE(""https://docs.google.com/spreadsheets/d/1-uDff_7J0KD5mKrp0Vvzr7lt3OU09vwQwhkpOPPYv2Y/edit?usp=sharing"",""งบพรบ!CK18"")"),19590)</f>
        <v>19590</v>
      </c>
      <c r="M178" s="224">
        <f ca="1">IFERROR(__xludf.DUMMYFUNCTION("IMPORTRANGE(""https://docs.google.com/spreadsheets/d/1-uDff_7J0KD5mKrp0Vvzr7lt3OU09vwQwhkpOPPYv2Y/edit?usp=sharing"",""งบพรบ!CP18"")"),30550)</f>
        <v>30550</v>
      </c>
      <c r="N178" s="224">
        <f ca="1">IFERROR(__xludf.DUMMYFUNCTION("IMPORTRANGE(""https://docs.google.com/spreadsheets/d/1-uDff_7J0KD5mKrp0Vvzr7lt3OU09vwQwhkpOPPYv2Y/edit?usp=sharing"",""งบพรบ!CR18"")"),30550)</f>
        <v>30550</v>
      </c>
      <c r="O178" s="224">
        <f t="shared" ca="1" si="53"/>
        <v>155.94691168963757</v>
      </c>
      <c r="P178" s="224">
        <f t="shared" ca="1" si="54"/>
        <v>100</v>
      </c>
      <c r="Q178" s="224">
        <f ca="1">IFERROR(__xludf.DUMMYFUNCTION("IMPORTRANGE(""https://docs.google.com/spreadsheets/d/1ItG2mGa2ceCfYo0BwxsXqNm01IGEUdYcSSLTEv9YCik/edit?usp=sharing"",""เบิกจ่ายกองทุน!BE18"")"),0)</f>
        <v>0</v>
      </c>
      <c r="R178" s="224">
        <f ca="1">IFERROR(__xludf.DUMMYFUNCTION("IMPORTRANGE(""https://docs.google.com/spreadsheets/d/1ItG2mGa2ceCfYo0BwxsXqNm01IGEUdYcSSLTEv9YCik/edit?usp=sharing"",""เบิกจ่ายกองทุน!BF18"")"),0)</f>
        <v>0</v>
      </c>
      <c r="S178" s="224">
        <f ca="1">IFERROR(__xludf.DUMMYFUNCTION("IMPORTRANGE(""https://docs.google.com/spreadsheets/d/1ItG2mGa2ceCfYo0BwxsXqNm01IGEUdYcSSLTEv9YCik/edit?usp=sharing"",""เบิกจ่ายกองทุน!BG18"")"),0)</f>
        <v>0</v>
      </c>
      <c r="T178" s="224">
        <f t="shared" ca="1" si="55"/>
        <v>0</v>
      </c>
      <c r="U178" s="224">
        <f t="shared" ca="1" si="56"/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468">
        <f ca="1">L180+L181</f>
        <v>0</v>
      </c>
      <c r="M179" s="224">
        <f ca="1">M180+M181</f>
        <v>0</v>
      </c>
      <c r="N179" s="224">
        <f ca="1">N180+N181</f>
        <v>0</v>
      </c>
      <c r="O179" s="224">
        <f t="shared" ca="1" si="53"/>
        <v>0</v>
      </c>
      <c r="P179" s="224">
        <f t="shared" ca="1" si="54"/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 t="shared" si="55"/>
        <v>0</v>
      </c>
      <c r="U179" s="224">
        <f t="shared" si="56"/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469">
        <v>0</v>
      </c>
      <c r="M180" s="83">
        <v>0</v>
      </c>
      <c r="N180" s="83">
        <v>0</v>
      </c>
      <c r="O180" s="83">
        <f t="shared" si="53"/>
        <v>0</v>
      </c>
      <c r="P180" s="83">
        <f t="shared" si="54"/>
        <v>0</v>
      </c>
      <c r="Q180" s="83">
        <v>0</v>
      </c>
      <c r="R180" s="83">
        <v>0</v>
      </c>
      <c r="S180" s="83">
        <v>0</v>
      </c>
      <c r="T180" s="83">
        <f t="shared" si="55"/>
        <v>0</v>
      </c>
      <c r="U180" s="83">
        <f t="shared" si="56"/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468">
        <f ca="1">IFERROR(__xludf.DUMMYFUNCTION("IMPORTRANGE(""https://docs.google.com/spreadsheets/d/1-uDff_7J0KD5mKrp0Vvzr7lt3OU09vwQwhkpOPPYv2Y/edit?usp=sharing"",""งบพรบ!CN18"")"),0)</f>
        <v>0</v>
      </c>
      <c r="M181" s="224">
        <f ca="1">IFERROR(__xludf.DUMMYFUNCTION("IMPORTRANGE(""https://docs.google.com/spreadsheets/d/1-uDff_7J0KD5mKrp0Vvzr7lt3OU09vwQwhkpOPPYv2Y/edit?usp=sharing"",""งบพรบ!CQ18"")"),0)</f>
        <v>0</v>
      </c>
      <c r="N181" s="224">
        <f ca="1">IFERROR(__xludf.DUMMYFUNCTION("IMPORTRANGE(""https://docs.google.com/spreadsheets/d/1-uDff_7J0KD5mKrp0Vvzr7lt3OU09vwQwhkpOPPYv2Y/edit?usp=sharing"",""งบพรบ!CS18"")"),0)</f>
        <v>0</v>
      </c>
      <c r="O181" s="224">
        <f t="shared" ca="1" si="53"/>
        <v>0</v>
      </c>
      <c r="P181" s="224">
        <f t="shared" ca="1" si="54"/>
        <v>0</v>
      </c>
      <c r="Q181" s="224">
        <v>0</v>
      </c>
      <c r="R181" s="224">
        <v>0</v>
      </c>
      <c r="S181" s="224">
        <v>0</v>
      </c>
      <c r="T181" s="224">
        <f t="shared" si="55"/>
        <v>0</v>
      </c>
      <c r="U181" s="224">
        <f t="shared" si="56"/>
        <v>0</v>
      </c>
    </row>
    <row r="182" spans="1:21" ht="19.5" x14ac:dyDescent="0.3">
      <c r="A182" s="138"/>
      <c r="B182" s="139"/>
      <c r="C182" s="129" t="s">
        <v>18</v>
      </c>
      <c r="D182" s="498" t="s">
        <v>38</v>
      </c>
      <c r="E182" s="141"/>
      <c r="F182" s="141"/>
      <c r="G182" s="142"/>
      <c r="H182" s="178"/>
      <c r="I182" s="44"/>
      <c r="J182" s="44"/>
      <c r="K182" s="45"/>
      <c r="L182" s="465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IFERROR(__xludf.DUMMYFUNCTION("IMPORTRANGE(""https://docs.google.com/spreadsheets/d/1eHaY18a8A9IcSdp1K8H6x8fbOy06t2VsZHhMHf-1x7Y/edit?usp=sharing"",""แผน!AA18"")"),7)</f>
        <v>7</v>
      </c>
      <c r="J183" s="466">
        <v>7</v>
      </c>
      <c r="K183" s="224">
        <f ca="1">IF(I183&gt;0,J183*100/I183,0)</f>
        <v>100</v>
      </c>
      <c r="L183" s="465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14" t="s">
        <v>76</v>
      </c>
      <c r="E184" s="40"/>
      <c r="F184" s="40"/>
      <c r="G184" s="42"/>
      <c r="H184" s="526" t="s">
        <v>35</v>
      </c>
      <c r="I184" s="430">
        <v>0</v>
      </c>
      <c r="J184" s="430">
        <v>0</v>
      </c>
      <c r="K184" s="83">
        <f>IF(I184&gt;0,J184*100/I184,0)</f>
        <v>0</v>
      </c>
      <c r="L184" s="465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661">
        <f ca="1">I230+I231</f>
        <v>0</v>
      </c>
      <c r="J185" s="661">
        <f>J230+J231</f>
        <v>0</v>
      </c>
      <c r="K185" s="660">
        <f ca="1">IF(I185&gt;0,J185*100/I185,0)</f>
        <v>0</v>
      </c>
      <c r="L185" s="659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472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471">
        <f ca="1">L187+L188</f>
        <v>161500</v>
      </c>
      <c r="M186" s="470">
        <f ca="1">M187+M188</f>
        <v>134500</v>
      </c>
      <c r="N186" s="470">
        <f ca="1">N187+N188</f>
        <v>68568</v>
      </c>
      <c r="O186" s="470">
        <f t="shared" ref="O186:O194" ca="1" si="59">IF(L186&gt;0,N186*100/L186,0)</f>
        <v>42.456965944272447</v>
      </c>
      <c r="P186" s="470">
        <f t="shared" ref="P186:P194" ca="1" si="60">IF(M186&gt;0,N186*100/M186,0)</f>
        <v>50.979925650557618</v>
      </c>
      <c r="Q186" s="470">
        <f ca="1">Q187+Q188</f>
        <v>56000</v>
      </c>
      <c r="R186" s="470">
        <f ca="1">R187+R188</f>
        <v>70000</v>
      </c>
      <c r="S186" s="470">
        <f ca="1">S187+S188</f>
        <v>0</v>
      </c>
      <c r="T186" s="470">
        <f t="shared" ref="T186:T194" ca="1" si="61">IF(Q186&gt;0,S186*100/Q186,0)</f>
        <v>0</v>
      </c>
      <c r="U186" s="470">
        <f t="shared" ref="U186:U194" ca="1" si="62">IF(R186&gt;0,S186*100/R186,0)</f>
        <v>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469">
        <f t="shared" ref="L187:N188" si="63">L190+L193</f>
        <v>0</v>
      </c>
      <c r="M187" s="83">
        <f t="shared" si="63"/>
        <v>0</v>
      </c>
      <c r="N187" s="83">
        <f t="shared" si="63"/>
        <v>0</v>
      </c>
      <c r="O187" s="83">
        <f t="shared" si="59"/>
        <v>0</v>
      </c>
      <c r="P187" s="83">
        <f t="shared" si="60"/>
        <v>0</v>
      </c>
      <c r="Q187" s="83">
        <f t="shared" ref="Q187:S188" si="64">Q190+Q193</f>
        <v>0</v>
      </c>
      <c r="R187" s="83">
        <f t="shared" si="64"/>
        <v>0</v>
      </c>
      <c r="S187" s="83">
        <f t="shared" si="64"/>
        <v>0</v>
      </c>
      <c r="T187" s="83">
        <f t="shared" si="61"/>
        <v>0</v>
      </c>
      <c r="U187" s="83">
        <f t="shared" si="62"/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468">
        <f t="shared" ca="1" si="63"/>
        <v>161500</v>
      </c>
      <c r="M188" s="224">
        <f t="shared" ca="1" si="63"/>
        <v>134500</v>
      </c>
      <c r="N188" s="224">
        <f t="shared" ca="1" si="63"/>
        <v>68568</v>
      </c>
      <c r="O188" s="224">
        <f t="shared" ca="1" si="59"/>
        <v>42.456965944272447</v>
      </c>
      <c r="P188" s="224">
        <f t="shared" ca="1" si="60"/>
        <v>50.979925650557618</v>
      </c>
      <c r="Q188" s="224">
        <f t="shared" ca="1" si="64"/>
        <v>56000</v>
      </c>
      <c r="R188" s="224">
        <f t="shared" ca="1" si="64"/>
        <v>70000</v>
      </c>
      <c r="S188" s="224">
        <f t="shared" ca="1" si="64"/>
        <v>0</v>
      </c>
      <c r="T188" s="224">
        <f t="shared" ca="1" si="61"/>
        <v>0</v>
      </c>
      <c r="U188" s="224">
        <f t="shared" ca="1" si="62"/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468">
        <f ca="1">L190+L191</f>
        <v>161500</v>
      </c>
      <c r="M189" s="224">
        <f ca="1">M190+M191</f>
        <v>134500</v>
      </c>
      <c r="N189" s="224">
        <f ca="1">N190+N191</f>
        <v>68568</v>
      </c>
      <c r="O189" s="224">
        <f t="shared" ca="1" si="59"/>
        <v>42.456965944272447</v>
      </c>
      <c r="P189" s="224">
        <f t="shared" ca="1" si="60"/>
        <v>50.979925650557618</v>
      </c>
      <c r="Q189" s="224">
        <f ca="1">Q190+Q191</f>
        <v>56000</v>
      </c>
      <c r="R189" s="224">
        <f ca="1">R190+R191</f>
        <v>70000</v>
      </c>
      <c r="S189" s="224">
        <f ca="1">S190+S191</f>
        <v>0</v>
      </c>
      <c r="T189" s="224">
        <f t="shared" ca="1" si="61"/>
        <v>0</v>
      </c>
      <c r="U189" s="224">
        <f t="shared" ca="1" si="62"/>
        <v>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469">
        <v>0</v>
      </c>
      <c r="M190" s="83">
        <v>0</v>
      </c>
      <c r="N190" s="83">
        <v>0</v>
      </c>
      <c r="O190" s="83">
        <f t="shared" si="59"/>
        <v>0</v>
      </c>
      <c r="P190" s="83">
        <f t="shared" si="60"/>
        <v>0</v>
      </c>
      <c r="Q190" s="83">
        <v>0</v>
      </c>
      <c r="R190" s="83">
        <v>0</v>
      </c>
      <c r="S190" s="83">
        <v>0</v>
      </c>
      <c r="T190" s="83">
        <f t="shared" si="61"/>
        <v>0</v>
      </c>
      <c r="U190" s="83">
        <f t="shared" si="62"/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468">
        <f ca="1">IFERROR(__xludf.DUMMYFUNCTION("IMPORTRANGE(""https://docs.google.com/spreadsheets/d/1-uDff_7J0KD5mKrp0Vvzr7lt3OU09vwQwhkpOPPYv2Y/edit?usp=sharing"",""งบพรบ!CU18"")"),161500)</f>
        <v>161500</v>
      </c>
      <c r="M191" s="224">
        <f ca="1">IFERROR(__xludf.DUMMYFUNCTION("IMPORTRANGE(""https://docs.google.com/spreadsheets/d/1-uDff_7J0KD5mKrp0Vvzr7lt3OU09vwQwhkpOPPYv2Y/edit?usp=sharing"",""งบพรบ!CZ18"")"),134500)</f>
        <v>134500</v>
      </c>
      <c r="N191" s="224">
        <f ca="1">IFERROR(__xludf.DUMMYFUNCTION("IMPORTRANGE(""https://docs.google.com/spreadsheets/d/1-uDff_7J0KD5mKrp0Vvzr7lt3OU09vwQwhkpOPPYv2Y/edit?usp=sharing"",""งบพรบ!DB18"")"),68568)</f>
        <v>68568</v>
      </c>
      <c r="O191" s="224">
        <f t="shared" ca="1" si="59"/>
        <v>42.456965944272447</v>
      </c>
      <c r="P191" s="224">
        <f t="shared" ca="1" si="60"/>
        <v>50.979925650557618</v>
      </c>
      <c r="Q191" s="224">
        <f ca="1">IFERROR(__xludf.DUMMYFUNCTION("IMPORTRANGE(""https://docs.google.com/spreadsheets/d/1ItG2mGa2ceCfYo0BwxsXqNm01IGEUdYcSSLTEv9YCik/edit?usp=sharing"",""เบิกจ่ายกองทุน!AV18"")"),56000)</f>
        <v>56000</v>
      </c>
      <c r="R191" s="224">
        <f ca="1">IFERROR(__xludf.DUMMYFUNCTION("IMPORTRANGE(""https://docs.google.com/spreadsheets/d/1ItG2mGa2ceCfYo0BwxsXqNm01IGEUdYcSSLTEv9YCik/edit?usp=sharing"",""เบิกจ่ายกองทุน!AW18"")"),70000)</f>
        <v>70000</v>
      </c>
      <c r="S191" s="224">
        <f ca="1">IFERROR(__xludf.DUMMYFUNCTION("IMPORTRANGE(""https://docs.google.com/spreadsheets/d/1ItG2mGa2ceCfYo0BwxsXqNm01IGEUdYcSSLTEv9YCik/edit?usp=sharing"",""เบิกจ่ายกองทุน!AX18"")"),0)</f>
        <v>0</v>
      </c>
      <c r="T191" s="224">
        <f t="shared" ca="1" si="61"/>
        <v>0</v>
      </c>
      <c r="U191" s="224">
        <f t="shared" ca="1" si="62"/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468">
        <f ca="1">L193+L194</f>
        <v>0</v>
      </c>
      <c r="M192" s="224">
        <f ca="1">M193+M194</f>
        <v>0</v>
      </c>
      <c r="N192" s="224">
        <f ca="1">N193+N194</f>
        <v>0</v>
      </c>
      <c r="O192" s="224">
        <f t="shared" ca="1" si="59"/>
        <v>0</v>
      </c>
      <c r="P192" s="224">
        <f t="shared" ca="1" si="60"/>
        <v>0</v>
      </c>
      <c r="Q192" s="224">
        <f>Q193+Q194</f>
        <v>0</v>
      </c>
      <c r="R192" s="224">
        <f>R193+R194</f>
        <v>0</v>
      </c>
      <c r="S192" s="224">
        <f>S193+S194</f>
        <v>0</v>
      </c>
      <c r="T192" s="224">
        <f t="shared" si="61"/>
        <v>0</v>
      </c>
      <c r="U192" s="224">
        <f t="shared" si="62"/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469">
        <v>0</v>
      </c>
      <c r="M193" s="83">
        <v>0</v>
      </c>
      <c r="N193" s="83">
        <v>0</v>
      </c>
      <c r="O193" s="83">
        <f t="shared" si="59"/>
        <v>0</v>
      </c>
      <c r="P193" s="83">
        <f t="shared" si="60"/>
        <v>0</v>
      </c>
      <c r="Q193" s="83">
        <v>0</v>
      </c>
      <c r="R193" s="83">
        <v>0</v>
      </c>
      <c r="S193" s="83">
        <v>0</v>
      </c>
      <c r="T193" s="83">
        <f t="shared" si="61"/>
        <v>0</v>
      </c>
      <c r="U193" s="83">
        <f t="shared" si="62"/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468">
        <f ca="1">IFERROR(__xludf.DUMMYFUNCTION("IMPORTRANGE(""https://docs.google.com/spreadsheets/d/1-uDff_7J0KD5mKrp0Vvzr7lt3OU09vwQwhkpOPPYv2Y/edit?usp=sharing"",""งบพรบ!CX18"")"),0)</f>
        <v>0</v>
      </c>
      <c r="M194" s="224">
        <f ca="1">IFERROR(__xludf.DUMMYFUNCTION("IMPORTRANGE(""https://docs.google.com/spreadsheets/d/1-uDff_7J0KD5mKrp0Vvzr7lt3OU09vwQwhkpOPPYv2Y/edit?usp=sharing"",""งบพรบ!DA18"")"),0)</f>
        <v>0</v>
      </c>
      <c r="N194" s="224">
        <f ca="1">IFERROR(__xludf.DUMMYFUNCTION("IMPORTRANGE(""https://docs.google.com/spreadsheets/d/1-uDff_7J0KD5mKrp0Vvzr7lt3OU09vwQwhkpOPPYv2Y/edit?usp=sharing"",""งบพรบ!DC18"")"),0)</f>
        <v>0</v>
      </c>
      <c r="O194" s="224">
        <f t="shared" ca="1" si="59"/>
        <v>0</v>
      </c>
      <c r="P194" s="224">
        <f t="shared" ca="1" si="60"/>
        <v>0</v>
      </c>
      <c r="Q194" s="224">
        <v>0</v>
      </c>
      <c r="R194" s="224">
        <v>0</v>
      </c>
      <c r="S194" s="224">
        <v>0</v>
      </c>
      <c r="T194" s="224">
        <f t="shared" si="61"/>
        <v>0</v>
      </c>
      <c r="U194" s="224">
        <f t="shared" si="62"/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ca="1">I198</f>
        <v>4</v>
      </c>
      <c r="J195" s="303">
        <f>J198</f>
        <v>2</v>
      </c>
      <c r="K195" s="304">
        <f ca="1">IF(I195&gt;0,J195*100/I195,0)</f>
        <v>50</v>
      </c>
      <c r="L195" s="557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654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471">
        <f ca="1">IFERROR(__xludf.DUMMYFUNCTION("IMPORTRANGE(""https://docs.google.com/spreadsheets/d/1eHaY18a8A9IcSdp1K8H6x8fbOy06t2VsZHhMHf-1x7Y/edit?usp=sharing"",""แผน!AB18"")"),6000)</f>
        <v>6000</v>
      </c>
      <c r="M196" s="45"/>
      <c r="N196" s="658">
        <v>0</v>
      </c>
      <c r="O196" s="470">
        <f ca="1">IF(L196&gt;0,N196*100/L196,0)</f>
        <v>0</v>
      </c>
      <c r="P196" s="47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498" t="s">
        <v>38</v>
      </c>
      <c r="E197" s="141"/>
      <c r="F197" s="141"/>
      <c r="G197" s="142"/>
      <c r="H197" s="143"/>
      <c r="I197" s="44"/>
      <c r="J197" s="44"/>
      <c r="K197" s="45"/>
      <c r="L197" s="465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IFERROR(__xludf.DUMMYFUNCTION("IMPORTRANGE(""https://docs.google.com/spreadsheets/d/1eHaY18a8A9IcSdp1K8H6x8fbOy06t2VsZHhMHf-1x7Y/edit?usp=sharing"",""แผน!AE18"")"),4)</f>
        <v>4</v>
      </c>
      <c r="J198" s="466">
        <v>2</v>
      </c>
      <c r="K198" s="224">
        <f ca="1">IF(I198&gt;0,J198*100/I198,0)</f>
        <v>50</v>
      </c>
      <c r="L198" s="465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40</v>
      </c>
      <c r="K199" s="45"/>
      <c r="L199" s="465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466">
        <v>40</v>
      </c>
      <c r="K200" s="45"/>
      <c r="L200" s="465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466">
        <v>0</v>
      </c>
      <c r="K201" s="45"/>
      <c r="L201" s="465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ca="1">I209</f>
        <v>4</v>
      </c>
      <c r="J202" s="303">
        <f>J209</f>
        <v>0</v>
      </c>
      <c r="K202" s="304">
        <f ca="1">IF(I202&gt;0,J202*100/I202,0)</f>
        <v>0</v>
      </c>
      <c r="L202" s="557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654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471">
        <f ca="1">L204+L205+L206+L207</f>
        <v>20000</v>
      </c>
      <c r="M203" s="45"/>
      <c r="N203" s="470">
        <f>N204+N205+N206+N207</f>
        <v>0</v>
      </c>
      <c r="O203" s="470">
        <f ca="1">IF(L203&gt;0,N203*100/L203,0)</f>
        <v>0</v>
      </c>
      <c r="P203" s="470">
        <f>IF(M203&gt;0,N203*100/M203,0)</f>
        <v>0</v>
      </c>
      <c r="Q203" s="657">
        <f ca="1">Q204+Q205+Q206+Q207</f>
        <v>56000</v>
      </c>
      <c r="R203" s="656"/>
      <c r="S203" s="655">
        <f>S204+S205+S206+S207</f>
        <v>0</v>
      </c>
      <c r="T203" s="655">
        <f ca="1">IF(Q203&gt;0,S203*100/Q203,0)</f>
        <v>0</v>
      </c>
      <c r="U203" s="655">
        <f>IF(R203&gt;0,S203*100/R203,0)</f>
        <v>0</v>
      </c>
    </row>
    <row r="204" spans="1:21" ht="18.75" x14ac:dyDescent="0.25">
      <c r="A204" s="128"/>
      <c r="B204" s="158"/>
      <c r="C204" s="40"/>
      <c r="D204" s="653" t="s">
        <v>311</v>
      </c>
      <c r="E204" s="40"/>
      <c r="F204" s="40"/>
      <c r="G204" s="42"/>
      <c r="H204" s="134" t="s">
        <v>14</v>
      </c>
      <c r="I204" s="135"/>
      <c r="J204" s="135"/>
      <c r="K204" s="136"/>
      <c r="L204" s="468">
        <f ca="1">IFERROR(__xludf.DUMMYFUNCTION("IMPORTRANGE(""https://docs.google.com/spreadsheets/d/1eHaY18a8A9IcSdp1K8H6x8fbOy06t2VsZHhMHf-1x7Y/edit?usp=sharing"",""แผน!AG18"")"),4000)</f>
        <v>4000</v>
      </c>
      <c r="M204" s="45"/>
      <c r="N204" s="644">
        <v>0</v>
      </c>
      <c r="O204" s="136"/>
      <c r="P204" s="45"/>
      <c r="Q204" s="468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307</v>
      </c>
      <c r="E205" s="40"/>
      <c r="F205" s="40"/>
      <c r="G205" s="42"/>
      <c r="H205" s="43" t="s">
        <v>14</v>
      </c>
      <c r="I205" s="44"/>
      <c r="J205" s="44"/>
      <c r="K205" s="45"/>
      <c r="L205" s="468">
        <f ca="1">IFERROR(__xludf.DUMMYFUNCTION("IMPORTRANGE(""https://docs.google.com/spreadsheets/d/1eHaY18a8A9IcSdp1K8H6x8fbOy06t2VsZHhMHf-1x7Y/edit?usp=sharing"",""แผน!AH18"")"),0)</f>
        <v>0</v>
      </c>
      <c r="M205" s="45"/>
      <c r="N205" s="644">
        <v>0</v>
      </c>
      <c r="O205" s="136"/>
      <c r="P205" s="45"/>
      <c r="Q205" s="468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468">
        <f ca="1">IFERROR(__xludf.DUMMYFUNCTION("IMPORTRANGE(""https://docs.google.com/spreadsheets/d/1eHaY18a8A9IcSdp1K8H6x8fbOy06t2VsZHhMHf-1x7Y/edit?usp=sharing"",""แผน!AI18"")"),0)</f>
        <v>0</v>
      </c>
      <c r="M206" s="45"/>
      <c r="N206" s="644">
        <v>0</v>
      </c>
      <c r="O206" s="136"/>
      <c r="P206" s="45"/>
      <c r="Q206" s="468">
        <f ca="1">IFERROR(__xludf.DUMMYFUNCTION("IMPORTRANGE(""https://docs.google.com/spreadsheets/d/1eHaY18a8A9IcSdp1K8H6x8fbOy06t2VsZHhMHf-1x7Y/edit?usp=sharing"",""แผน!LV18"")"),56000)</f>
        <v>56000</v>
      </c>
      <c r="R206" s="45"/>
      <c r="S206" s="644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468">
        <f ca="1">IFERROR(__xludf.DUMMYFUNCTION("IMPORTRANGE(""https://docs.google.com/spreadsheets/d/1eHaY18a8A9IcSdp1K8H6x8fbOy06t2VsZHhMHf-1x7Y/edit?usp=sharing"",""แผน!AJ18"")"),16000)</f>
        <v>16000</v>
      </c>
      <c r="M207" s="45"/>
      <c r="N207" s="644">
        <v>0</v>
      </c>
      <c r="O207" s="136"/>
      <c r="P207" s="45"/>
      <c r="Q207" s="468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498" t="s">
        <v>38</v>
      </c>
      <c r="E208" s="141"/>
      <c r="F208" s="141"/>
      <c r="G208" s="142"/>
      <c r="H208" s="143"/>
      <c r="I208" s="135"/>
      <c r="J208" s="135"/>
      <c r="K208" s="136"/>
      <c r="L208" s="492"/>
      <c r="M208" s="136"/>
      <c r="N208" s="136"/>
      <c r="O208" s="136"/>
      <c r="P208" s="136"/>
      <c r="Q208" s="4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IFERROR(__xludf.DUMMYFUNCTION("IMPORTRANGE(""https://docs.google.com/spreadsheets/d/1eHaY18a8A9IcSdp1K8H6x8fbOy06t2VsZHhMHf-1x7Y/edit?usp=sharing"",""แผน!AK18"")"),4)</f>
        <v>4</v>
      </c>
      <c r="J209" s="466">
        <v>0</v>
      </c>
      <c r="K209" s="497">
        <f ca="1">IF(I209&gt;0,J209*100/I209,0)</f>
        <v>0</v>
      </c>
      <c r="L209" s="465"/>
      <c r="M209" s="45"/>
      <c r="N209" s="45"/>
      <c r="O209" s="45"/>
      <c r="P209" s="45"/>
      <c r="Q209" s="465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465"/>
      <c r="M210" s="45"/>
      <c r="N210" s="45"/>
      <c r="O210" s="45"/>
      <c r="P210" s="45"/>
      <c r="Q210" s="46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IFERROR(__xludf.DUMMYFUNCTION("IMPORTRANGE(""https://docs.google.com/spreadsheets/d/1eHaY18a8A9IcSdp1K8H6x8fbOy06t2VsZHhMHf-1x7Y/edit?usp=sharing"",""แผน!JX18"")"),4)</f>
        <v>4</v>
      </c>
      <c r="J211" s="466">
        <v>0</v>
      </c>
      <c r="K211" s="497">
        <f ca="1">IF(I211&gt;0,J211*100/I211,0)</f>
        <v>0</v>
      </c>
      <c r="L211" s="465"/>
      <c r="M211" s="45"/>
      <c r="N211" s="45"/>
      <c r="O211" s="45"/>
      <c r="P211" s="45"/>
      <c r="Q211" s="46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IFERROR(__xludf.DUMMYFUNCTION("IMPORTRANGE(""https://docs.google.com/spreadsheets/d/1eHaY18a8A9IcSdp1K8H6x8fbOy06t2VsZHhMHf-1x7Y/edit?usp=sharing"",""แผน!JY18"")"),0)</f>
        <v>0</v>
      </c>
      <c r="J212" s="466">
        <v>0</v>
      </c>
      <c r="K212" s="497">
        <f ca="1">IF(I212&gt;0,J212*100/I212,0)</f>
        <v>0</v>
      </c>
      <c r="L212" s="465"/>
      <c r="M212" s="45"/>
      <c r="N212" s="45"/>
      <c r="O212" s="45"/>
      <c r="P212" s="45"/>
      <c r="Q212" s="465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ca="1">I220</f>
        <v>0</v>
      </c>
      <c r="J213" s="303">
        <f>J220</f>
        <v>0</v>
      </c>
      <c r="K213" s="304">
        <f ca="1">IF(I213&gt;0,J213*100/I213,0)</f>
        <v>0</v>
      </c>
      <c r="L213" s="557"/>
      <c r="M213" s="219"/>
      <c r="N213" s="219"/>
      <c r="O213" s="219"/>
      <c r="P213" s="219"/>
      <c r="Q213" s="557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654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471">
        <f ca="1">L215+L216+L217</f>
        <v>0</v>
      </c>
      <c r="M214" s="45"/>
      <c r="N214" s="470">
        <f>N215+N216+N217</f>
        <v>0</v>
      </c>
      <c r="O214" s="470">
        <f ca="1">IF(L214&gt;0,N214*100/L214,0)</f>
        <v>0</v>
      </c>
      <c r="P214" s="470">
        <f>IF(M214&gt;0,N214*100/M214,0)</f>
        <v>0</v>
      </c>
      <c r="Q214" s="471">
        <f ca="1">Q215+Q216+Q217</f>
        <v>0</v>
      </c>
      <c r="R214" s="45"/>
      <c r="S214" s="470">
        <f>S215+S216+S217</f>
        <v>0</v>
      </c>
      <c r="T214" s="470">
        <f ca="1">IF(Q214&gt;0,S214*100/Q214,0)</f>
        <v>0</v>
      </c>
      <c r="U214" s="470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468">
        <f ca="1">IFERROR(__xludf.DUMMYFUNCTION("IMPORTRANGE(""https://docs.google.com/spreadsheets/d/1eHaY18a8A9IcSdp1K8H6x8fbOy06t2VsZHhMHf-1x7Y/edit?usp=sharing"",""แผน!AM18"")"),0)</f>
        <v>0</v>
      </c>
      <c r="M215" s="45"/>
      <c r="N215" s="644">
        <v>0</v>
      </c>
      <c r="O215" s="136"/>
      <c r="P215" s="45"/>
      <c r="Q215" s="468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468">
        <f ca="1">IFERROR(__xludf.DUMMYFUNCTION("IMPORTRANGE(""https://docs.google.com/spreadsheets/d/1eHaY18a8A9IcSdp1K8H6x8fbOy06t2VsZHhMHf-1x7Y/edit?usp=sharing"",""แผน!AN18"")"),0)</f>
        <v>0</v>
      </c>
      <c r="M216" s="45"/>
      <c r="N216" s="644">
        <v>0</v>
      </c>
      <c r="O216" s="136"/>
      <c r="P216" s="45"/>
      <c r="Q216" s="468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468">
        <f ca="1">IFERROR(__xludf.DUMMYFUNCTION("IMPORTRANGE(""https://docs.google.com/spreadsheets/d/1eHaY18a8A9IcSdp1K8H6x8fbOy06t2VsZHhMHf-1x7Y/edit?usp=sharing"",""แผน!AO18"")"),0)</f>
        <v>0</v>
      </c>
      <c r="M217" s="45"/>
      <c r="N217" s="644">
        <v>0</v>
      </c>
      <c r="O217" s="136"/>
      <c r="P217" s="45"/>
      <c r="Q217" s="468">
        <f ca="1">IFERROR(__xludf.DUMMYFUNCTION("IMPORTRANGE(""https://docs.google.com/spreadsheets/d/1eHaY18a8A9IcSdp1K8H6x8fbOy06t2VsZHhMHf-1x7Y/edit?usp=sharing"",""แผน!LY18"")"),0)</f>
        <v>0</v>
      </c>
      <c r="R217" s="45"/>
      <c r="S217" s="644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498" t="s">
        <v>38</v>
      </c>
      <c r="E218" s="141"/>
      <c r="F218" s="141"/>
      <c r="G218" s="142"/>
      <c r="H218" s="143"/>
      <c r="I218" s="135"/>
      <c r="J218" s="44"/>
      <c r="K218" s="45"/>
      <c r="L218" s="465"/>
      <c r="M218" s="45"/>
      <c r="N218" s="45"/>
      <c r="O218" s="136"/>
      <c r="P218" s="136"/>
      <c r="Q218" s="465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IFERROR(__xludf.DUMMYFUNCTION("IMPORTRANGE(""https://docs.google.com/spreadsheets/d/1eHaY18a8A9IcSdp1K8H6x8fbOy06t2VsZHhMHf-1x7Y/edit?usp=sharing"",""แผน!AP18"")"),0)</f>
        <v>0</v>
      </c>
      <c r="J219" s="466">
        <v>0</v>
      </c>
      <c r="K219" s="224">
        <f ca="1">IF(I219&gt;0,J219*100/I219,0)</f>
        <v>0</v>
      </c>
      <c r="L219" s="465"/>
      <c r="M219" s="45"/>
      <c r="N219" s="45"/>
      <c r="O219" s="45"/>
      <c r="P219" s="45"/>
      <c r="Q219" s="465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IFERROR(__xludf.DUMMYFUNCTION("IMPORTRANGE(""https://docs.google.com/spreadsheets/d/1eHaY18a8A9IcSdp1K8H6x8fbOy06t2VsZHhMHf-1x7Y/edit?usp=sharing"",""แผน!AP18"")"),0)</f>
        <v>0</v>
      </c>
      <c r="J220" s="466">
        <v>0</v>
      </c>
      <c r="K220" s="224">
        <f ca="1">IF(I220&gt;0,J220*100/I220,0)</f>
        <v>0</v>
      </c>
      <c r="L220" s="465"/>
      <c r="M220" s="45"/>
      <c r="N220" s="45"/>
      <c r="O220" s="45"/>
      <c r="P220" s="45"/>
      <c r="Q220" s="465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ca="1">I229</f>
        <v>100000</v>
      </c>
      <c r="J221" s="303">
        <f>J229</f>
        <v>0</v>
      </c>
      <c r="K221" s="304">
        <f ca="1">IF(I221&gt;0,J221*100/I221,0)</f>
        <v>0</v>
      </c>
      <c r="L221" s="557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654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471">
        <f ca="1">L223+L224+L225</f>
        <v>12500</v>
      </c>
      <c r="M222" s="45"/>
      <c r="N222" s="470">
        <f>N223+N224+N225</f>
        <v>0</v>
      </c>
      <c r="O222" s="470">
        <f ca="1">IF(L222&gt;0,N222*100/L222,0)</f>
        <v>0</v>
      </c>
      <c r="P222" s="47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653" t="s">
        <v>308</v>
      </c>
      <c r="E223" s="40"/>
      <c r="F223" s="40"/>
      <c r="G223" s="42"/>
      <c r="H223" s="134" t="s">
        <v>14</v>
      </c>
      <c r="I223" s="135"/>
      <c r="J223" s="135"/>
      <c r="K223" s="136"/>
      <c r="L223" s="468">
        <f ca="1">IFERROR(__xludf.DUMMYFUNCTION("IMPORTRANGE(""https://docs.google.com/spreadsheets/d/1eHaY18a8A9IcSdp1K8H6x8fbOy06t2VsZHhMHf-1x7Y/edit?usp=sharing"",""แผน!AR18"")"),2500)</f>
        <v>2500</v>
      </c>
      <c r="M223" s="45"/>
      <c r="N223" s="644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307</v>
      </c>
      <c r="E224" s="40"/>
      <c r="F224" s="40"/>
      <c r="G224" s="42"/>
      <c r="H224" s="134" t="s">
        <v>14</v>
      </c>
      <c r="I224" s="44"/>
      <c r="J224" s="44"/>
      <c r="K224" s="45"/>
      <c r="L224" s="468">
        <f ca="1">IFERROR(__xludf.DUMMYFUNCTION("IMPORTRANGE(""https://docs.google.com/spreadsheets/d/1eHaY18a8A9IcSdp1K8H6x8fbOy06t2VsZHhMHf-1x7Y/edit?usp=sharing"",""แผน!AS18"")"),10000)</f>
        <v>10000</v>
      </c>
      <c r="M224" s="45"/>
      <c r="N224" s="644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468">
        <f ca="1">IFERROR(__xludf.DUMMYFUNCTION("IMPORTRANGE(""https://docs.google.com/spreadsheets/d/1eHaY18a8A9IcSdp1K8H6x8fbOy06t2VsZHhMHf-1x7Y/edit?usp=sharing"",""แผน!AT18"")"),0)</f>
        <v>0</v>
      </c>
      <c r="M225" s="45"/>
      <c r="N225" s="644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498" t="s">
        <v>38</v>
      </c>
      <c r="E226" s="141"/>
      <c r="F226" s="141"/>
      <c r="G226" s="142"/>
      <c r="H226" s="143"/>
      <c r="I226" s="135"/>
      <c r="J226" s="135"/>
      <c r="K226" s="136"/>
      <c r="L226" s="4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4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IFERROR(__xludf.DUMMYFUNCTION("IMPORTRANGE(""https://docs.google.com/spreadsheets/d/1eHaY18a8A9IcSdp1K8H6x8fbOy06t2VsZHhMHf-1x7Y/edit?usp=sharing"",""แผน!AV18"")"),100000)</f>
        <v>100000</v>
      </c>
      <c r="J228" s="466">
        <v>100000</v>
      </c>
      <c r="K228" s="497">
        <f ca="1">IF(I228&gt;0,J228*100/I228,0)</f>
        <v>100</v>
      </c>
      <c r="L228" s="4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IFERROR(__xludf.DUMMYFUNCTION("IMPORTRANGE(""https://docs.google.com/spreadsheets/d/1eHaY18a8A9IcSdp1K8H6x8fbOy06t2VsZHhMHf-1x7Y/edit?usp=sharing"",""แผน!AV18"")"),100000)</f>
        <v>100000</v>
      </c>
      <c r="J229" s="466">
        <v>0</v>
      </c>
      <c r="K229" s="497">
        <f ca="1">IF(I229&gt;0,J229*100/I229,0)</f>
        <v>0</v>
      </c>
      <c r="L229" s="465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IFERROR(__xludf.DUMMYFUNCTION("IMPORTRANGE(""https://docs.google.com/spreadsheets/d/1eHaY18a8A9IcSdp1K8H6x8fbOy06t2VsZHhMHf-1x7Y/edit?usp=sharing"",""แผน!AU18"")"),0)</f>
        <v>0</v>
      </c>
      <c r="J230" s="466">
        <v>0</v>
      </c>
      <c r="K230" s="497">
        <f ca="1">IF(I230&gt;0,J230*100/I230,0)</f>
        <v>0</v>
      </c>
      <c r="L230" s="465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3">
        <f ca="1">I242+I253</f>
        <v>0</v>
      </c>
      <c r="J231" s="303">
        <f>J242+J253</f>
        <v>0</v>
      </c>
      <c r="K231" s="304">
        <f ca="1">IF(I231&gt;0,J231*100/I231,0)</f>
        <v>0</v>
      </c>
      <c r="L231" s="557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472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652">
        <f ca="1">L243+L254</f>
        <v>0</v>
      </c>
      <c r="M232" s="45"/>
      <c r="N232" s="651">
        <f>N243+N254</f>
        <v>0</v>
      </c>
      <c r="O232" s="45"/>
      <c r="P232" s="45"/>
      <c r="Q232" s="45"/>
      <c r="R232" s="45"/>
      <c r="S232" s="45"/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469">
        <f ca="1">L244+L255</f>
        <v>0</v>
      </c>
      <c r="M233" s="45"/>
      <c r="N233" s="83">
        <f>N244+N255</f>
        <v>0</v>
      </c>
      <c r="O233" s="45"/>
      <c r="P233" s="45"/>
      <c r="Q233" s="713">
        <v>0</v>
      </c>
      <c r="R233" s="712">
        <v>0</v>
      </c>
      <c r="S233" s="712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469">
        <f ca="1">L245+L256</f>
        <v>0</v>
      </c>
      <c r="M234" s="45"/>
      <c r="N234" s="83">
        <f>N245+N256</f>
        <v>0</v>
      </c>
      <c r="O234" s="45"/>
      <c r="P234" s="45"/>
      <c r="Q234" s="711">
        <v>0</v>
      </c>
      <c r="R234" s="710">
        <v>0</v>
      </c>
      <c r="S234" s="710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469">
        <f ca="1">L246+L257</f>
        <v>0</v>
      </c>
      <c r="M235" s="45"/>
      <c r="N235" s="83">
        <f>N246+N257</f>
        <v>0</v>
      </c>
      <c r="O235" s="45"/>
      <c r="P235" s="45"/>
      <c r="Q235" s="711">
        <v>0</v>
      </c>
      <c r="R235" s="710">
        <v>0</v>
      </c>
      <c r="S235" s="710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469">
        <f ca="1">L247+L258</f>
        <v>0</v>
      </c>
      <c r="M236" s="45"/>
      <c r="N236" s="83">
        <f>N247+N258</f>
        <v>0</v>
      </c>
      <c r="O236" s="45"/>
      <c r="P236" s="45"/>
      <c r="Q236" s="711">
        <v>0</v>
      </c>
      <c r="R236" s="710">
        <v>0</v>
      </c>
      <c r="S236" s="710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498" t="s">
        <v>38</v>
      </c>
      <c r="E237" s="141"/>
      <c r="F237" s="141"/>
      <c r="G237" s="142"/>
      <c r="H237" s="143"/>
      <c r="I237" s="135"/>
      <c r="J237" s="44"/>
      <c r="K237" s="45"/>
      <c r="L237" s="465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465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465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465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465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649" t="s">
        <v>111</v>
      </c>
      <c r="D242" s="214"/>
      <c r="E242" s="214"/>
      <c r="F242" s="214"/>
      <c r="G242" s="215"/>
      <c r="H242" s="648" t="s">
        <v>35</v>
      </c>
      <c r="I242" s="647">
        <f ca="1">I249</f>
        <v>0</v>
      </c>
      <c r="J242" s="647">
        <f>J249</f>
        <v>0</v>
      </c>
      <c r="K242" s="646">
        <f ca="1">IF(I242&gt;0,J242*100/I242,0)</f>
        <v>0</v>
      </c>
      <c r="L242" s="557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527" t="s">
        <v>18</v>
      </c>
      <c r="D243" s="494" t="s">
        <v>19</v>
      </c>
      <c r="E243" s="40"/>
      <c r="F243" s="40"/>
      <c r="G243" s="42"/>
      <c r="H243" s="372" t="s">
        <v>14</v>
      </c>
      <c r="I243" s="135"/>
      <c r="J243" s="135"/>
      <c r="K243" s="136"/>
      <c r="L243" s="471">
        <f ca="1">L244+L245+L246+L247</f>
        <v>0</v>
      </c>
      <c r="M243" s="45"/>
      <c r="N243" s="470">
        <f>N244+N245+N246+N247</f>
        <v>0</v>
      </c>
      <c r="O243" s="470">
        <f ca="1">IF(L243&gt;0,N243*100/L243,0)</f>
        <v>0</v>
      </c>
      <c r="P243" s="470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468">
        <f ca="1">IFERROR(__xludf.DUMMYFUNCTION("IMPORTRANGE(""https://docs.google.com/spreadsheets/d/1eHaY18a8A9IcSdp1K8H6x8fbOy06t2VsZHhMHf-1x7Y/edit?usp=sharing"",""แผน!AX18"")"),0)</f>
        <v>0</v>
      </c>
      <c r="M244" s="45"/>
      <c r="N244" s="644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468">
        <f ca="1">IFERROR(__xludf.DUMMYFUNCTION("IMPORTRANGE(""https://docs.google.com/spreadsheets/d/1eHaY18a8A9IcSdp1K8H6x8fbOy06t2VsZHhMHf-1x7Y/edit?usp=sharing"",""แผน!AY18"")"),0)</f>
        <v>0</v>
      </c>
      <c r="M245" s="45"/>
      <c r="N245" s="644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468">
        <f ca="1">IFERROR(__xludf.DUMMYFUNCTION("IMPORTRANGE(""https://docs.google.com/spreadsheets/d/1eHaY18a8A9IcSdp1K8H6x8fbOy06t2VsZHhMHf-1x7Y/edit?usp=sharing"",""แผน!AZ18"")"),0)</f>
        <v>0</v>
      </c>
      <c r="M246" s="45"/>
      <c r="N246" s="644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468">
        <f ca="1">IFERROR(__xludf.DUMMYFUNCTION("IMPORTRANGE(""https://docs.google.com/spreadsheets/d/1eHaY18a8A9IcSdp1K8H6x8fbOy06t2VsZHhMHf-1x7Y/edit?usp=sharing"",""แผน!BA18"")"),0)</f>
        <v>0</v>
      </c>
      <c r="M247" s="45"/>
      <c r="N247" s="644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643" t="s">
        <v>18</v>
      </c>
      <c r="D248" s="509" t="s">
        <v>38</v>
      </c>
      <c r="E248" s="141"/>
      <c r="F248" s="141"/>
      <c r="G248" s="142"/>
      <c r="H248" s="143"/>
      <c r="I248" s="135"/>
      <c r="J248" s="44"/>
      <c r="K248" s="45"/>
      <c r="L248" s="465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640" t="s">
        <v>35</v>
      </c>
      <c r="I249" s="430">
        <f ca="1">IFERROR(__xludf.DUMMYFUNCTION("IMPORTRANGE(""https://docs.google.com/spreadsheets/d/1eHaY18a8A9IcSdp1K8H6x8fbOy06t2VsZHhMHf-1x7Y/edit?usp=sharing"",""แผน!BG18"")"),0)</f>
        <v>0</v>
      </c>
      <c r="J249" s="525">
        <v>0</v>
      </c>
      <c r="K249" s="83">
        <f ca="1">IF(I249&gt;0,J249*100/I249,0)</f>
        <v>0</v>
      </c>
      <c r="L249" s="465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642" t="s">
        <v>43</v>
      </c>
      <c r="E250" s="145"/>
      <c r="F250" s="145"/>
      <c r="G250" s="143"/>
      <c r="H250" s="143"/>
      <c r="I250" s="44"/>
      <c r="J250" s="44"/>
      <c r="K250" s="45"/>
      <c r="L250" s="465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1" t="s">
        <v>109</v>
      </c>
      <c r="F251" s="145"/>
      <c r="G251" s="143"/>
      <c r="H251" s="640" t="s">
        <v>35</v>
      </c>
      <c r="I251" s="430">
        <v>0</v>
      </c>
      <c r="J251" s="525">
        <v>0</v>
      </c>
      <c r="K251" s="83">
        <f>IF(I251&gt;0,J251*100/I251,0)</f>
        <v>0</v>
      </c>
      <c r="L251" s="465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641" t="s">
        <v>110</v>
      </c>
      <c r="F252" s="145"/>
      <c r="G252" s="143"/>
      <c r="H252" s="640" t="s">
        <v>61</v>
      </c>
      <c r="I252" s="430">
        <v>0</v>
      </c>
      <c r="J252" s="525">
        <v>0</v>
      </c>
      <c r="K252" s="83">
        <f>IF(I252&gt;0,J252*100/I252,0)</f>
        <v>0</v>
      </c>
      <c r="L252" s="465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649" t="s">
        <v>112</v>
      </c>
      <c r="D253" s="214"/>
      <c r="E253" s="214"/>
      <c r="F253" s="214"/>
      <c r="G253" s="215"/>
      <c r="H253" s="648" t="s">
        <v>35</v>
      </c>
      <c r="I253" s="647">
        <f ca="1">I260</f>
        <v>0</v>
      </c>
      <c r="J253" s="647">
        <f>J260</f>
        <v>0</v>
      </c>
      <c r="K253" s="646">
        <f ca="1">IF(I253&gt;0,J253*100/I253,0)</f>
        <v>0</v>
      </c>
      <c r="L253" s="557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527" t="s">
        <v>18</v>
      </c>
      <c r="D254" s="645" t="s">
        <v>19</v>
      </c>
      <c r="E254" s="40"/>
      <c r="F254" s="40"/>
      <c r="G254" s="42"/>
      <c r="H254" s="372" t="s">
        <v>14</v>
      </c>
      <c r="I254" s="135"/>
      <c r="J254" s="135"/>
      <c r="K254" s="136"/>
      <c r="L254" s="471">
        <f ca="1">L255+L256+L257+L258</f>
        <v>0</v>
      </c>
      <c r="M254" s="45"/>
      <c r="N254" s="470">
        <f>N255+N256+N257+N258</f>
        <v>0</v>
      </c>
      <c r="O254" s="470">
        <f ca="1">IF(L254&gt;0,N254*100/L254,0)</f>
        <v>0</v>
      </c>
      <c r="P254" s="470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468">
        <f ca="1">IFERROR(__xludf.DUMMYFUNCTION("IMPORTRANGE(""https://docs.google.com/spreadsheets/d/1eHaY18a8A9IcSdp1K8H6x8fbOy06t2VsZHhMHf-1x7Y/edit?usp=sharing"",""แผน!BB18"")"),0)</f>
        <v>0</v>
      </c>
      <c r="M255" s="45"/>
      <c r="N255" s="644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468">
        <f ca="1">IFERROR(__xludf.DUMMYFUNCTION("IMPORTRANGE(""https://docs.google.com/spreadsheets/d/1eHaY18a8A9IcSdp1K8H6x8fbOy06t2VsZHhMHf-1x7Y/edit?usp=sharing"",""แผน!BC18"")"),0)</f>
        <v>0</v>
      </c>
      <c r="M256" s="45"/>
      <c r="N256" s="644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468">
        <f ca="1">IFERROR(__xludf.DUMMYFUNCTION("IMPORTRANGE(""https://docs.google.com/spreadsheets/d/1eHaY18a8A9IcSdp1K8H6x8fbOy06t2VsZHhMHf-1x7Y/edit?usp=sharing"",""แผน!BD18"")"),0)</f>
        <v>0</v>
      </c>
      <c r="M257" s="45"/>
      <c r="N257" s="644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468">
        <f ca="1">IFERROR(__xludf.DUMMYFUNCTION("IMPORTRANGE(""https://docs.google.com/spreadsheets/d/1eHaY18a8A9IcSdp1K8H6x8fbOy06t2VsZHhMHf-1x7Y/edit?usp=sharing"",""แผน!BE18"")"),0)</f>
        <v>0</v>
      </c>
      <c r="M258" s="45"/>
      <c r="N258" s="644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643" t="s">
        <v>18</v>
      </c>
      <c r="D259" s="509" t="s">
        <v>38</v>
      </c>
      <c r="E259" s="141"/>
      <c r="F259" s="141"/>
      <c r="G259" s="142"/>
      <c r="H259" s="143"/>
      <c r="I259" s="135"/>
      <c r="J259" s="44"/>
      <c r="K259" s="45"/>
      <c r="L259" s="465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640" t="s">
        <v>35</v>
      </c>
      <c r="I260" s="430">
        <f ca="1">IFERROR(__xludf.DUMMYFUNCTION("IMPORTRANGE(""https://docs.google.com/spreadsheets/d/1eHaY18a8A9IcSdp1K8H6x8fbOy06t2VsZHhMHf-1x7Y/edit?usp=sharing"",""แผน!BH18"")"),0)</f>
        <v>0</v>
      </c>
      <c r="J260" s="525">
        <v>0</v>
      </c>
      <c r="K260" s="83">
        <f ca="1">IF(I260&gt;0,J260*100/I260,0)</f>
        <v>0</v>
      </c>
      <c r="L260" s="465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642" t="s">
        <v>43</v>
      </c>
      <c r="E261" s="145"/>
      <c r="F261" s="145"/>
      <c r="G261" s="143"/>
      <c r="H261" s="143"/>
      <c r="I261" s="44"/>
      <c r="J261" s="44"/>
      <c r="K261" s="45"/>
      <c r="L261" s="465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1" t="s">
        <v>109</v>
      </c>
      <c r="F262" s="145"/>
      <c r="G262" s="143"/>
      <c r="H262" s="640" t="s">
        <v>35</v>
      </c>
      <c r="I262" s="44"/>
      <c r="J262" s="525">
        <v>0</v>
      </c>
      <c r="K262" s="83">
        <f>IF(I262&gt;0,J262*100/I262,0)</f>
        <v>0</v>
      </c>
      <c r="L262" s="465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641" t="s">
        <v>110</v>
      </c>
      <c r="F263" s="145"/>
      <c r="G263" s="143"/>
      <c r="H263" s="640" t="s">
        <v>61</v>
      </c>
      <c r="I263" s="44"/>
      <c r="J263" s="525">
        <v>0</v>
      </c>
      <c r="K263" s="83">
        <f>IF(I263&gt;0,J263*100/I263,0)</f>
        <v>0</v>
      </c>
      <c r="L263" s="465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639" t="s">
        <v>113</v>
      </c>
      <c r="B264" s="638"/>
      <c r="C264" s="638"/>
      <c r="D264" s="637"/>
      <c r="E264" s="637"/>
      <c r="F264" s="637"/>
      <c r="G264" s="636"/>
      <c r="H264" s="636"/>
      <c r="I264" s="635"/>
      <c r="J264" s="635"/>
      <c r="K264" s="633"/>
      <c r="L264" s="634"/>
      <c r="M264" s="633"/>
      <c r="N264" s="633"/>
      <c r="O264" s="633"/>
      <c r="P264" s="633"/>
      <c r="Q264" s="633"/>
      <c r="R264" s="633"/>
      <c r="S264" s="633"/>
      <c r="T264" s="633"/>
      <c r="U264" s="633"/>
    </row>
    <row r="265" spans="1:21" ht="19.5" x14ac:dyDescent="0.3">
      <c r="A265" s="632"/>
      <c r="B265" s="631" t="s">
        <v>114</v>
      </c>
      <c r="C265" s="630"/>
      <c r="D265" s="603"/>
      <c r="E265" s="603"/>
      <c r="F265" s="603"/>
      <c r="G265" s="602"/>
      <c r="H265" s="629" t="s">
        <v>35</v>
      </c>
      <c r="I265" s="628">
        <f ca="1">I276</f>
        <v>24</v>
      </c>
      <c r="J265" s="628">
        <f>J276</f>
        <v>24</v>
      </c>
      <c r="K265" s="627">
        <f ca="1">IF(I265&gt;0,J265*100/I265,0)</f>
        <v>100</v>
      </c>
      <c r="L265" s="626"/>
      <c r="M265" s="625"/>
      <c r="N265" s="625"/>
      <c r="O265" s="625"/>
      <c r="P265" s="625"/>
      <c r="Q265" s="625"/>
      <c r="R265" s="625"/>
      <c r="S265" s="625"/>
      <c r="T265" s="625"/>
      <c r="U265" s="625"/>
    </row>
    <row r="266" spans="1:21" ht="19.5" x14ac:dyDescent="0.3">
      <c r="A266" s="610"/>
      <c r="B266" s="609"/>
      <c r="C266" s="624" t="s">
        <v>18</v>
      </c>
      <c r="D266" s="623" t="s">
        <v>19</v>
      </c>
      <c r="E266" s="609"/>
      <c r="F266" s="609"/>
      <c r="G266" s="608"/>
      <c r="H266" s="622" t="s">
        <v>14</v>
      </c>
      <c r="I266" s="479"/>
      <c r="J266" s="479"/>
      <c r="K266" s="476"/>
      <c r="L266" s="621">
        <f ca="1">L267+L268</f>
        <v>0</v>
      </c>
      <c r="M266" s="620">
        <f ca="1">M267+M268</f>
        <v>5000</v>
      </c>
      <c r="N266" s="620">
        <f ca="1">N267+N268</f>
        <v>0</v>
      </c>
      <c r="O266" s="620">
        <f t="shared" ref="O266:O274" ca="1" si="65">IF(L266&gt;0,N266*100/L266,0)</f>
        <v>0</v>
      </c>
      <c r="P266" s="620">
        <f t="shared" ref="P266:P274" ca="1" si="66">IF(M266&gt;0,N266*100/M266,0)</f>
        <v>0</v>
      </c>
      <c r="Q266" s="620">
        <f ca="1">Q267+Q268</f>
        <v>53440</v>
      </c>
      <c r="R266" s="620">
        <f ca="1">R267+R268</f>
        <v>53440</v>
      </c>
      <c r="S266" s="620">
        <f ca="1">S267+S268</f>
        <v>46520</v>
      </c>
      <c r="T266" s="620">
        <f t="shared" ref="T266:T274" ca="1" si="67">IF(Q266&gt;0,S266*100/Q266,0)</f>
        <v>87.050898203592808</v>
      </c>
      <c r="U266" s="620">
        <f t="shared" ref="U266:U274" ca="1" si="68">IF(R266&gt;0,S266*100/R266,0)</f>
        <v>87.050898203592808</v>
      </c>
    </row>
    <row r="267" spans="1:21" ht="18.75" hidden="1" x14ac:dyDescent="0.25">
      <c r="A267" s="615"/>
      <c r="B267" s="614"/>
      <c r="C267" s="614"/>
      <c r="D267" s="614"/>
      <c r="E267" s="156" t="s">
        <v>20</v>
      </c>
      <c r="F267" s="614"/>
      <c r="G267" s="613"/>
      <c r="H267" s="157" t="s">
        <v>14</v>
      </c>
      <c r="I267" s="619"/>
      <c r="J267" s="619"/>
      <c r="K267" s="618"/>
      <c r="L267" s="469">
        <f t="shared" ref="L267:N268" si="69">L270+L273</f>
        <v>0</v>
      </c>
      <c r="M267" s="83">
        <f t="shared" si="69"/>
        <v>0</v>
      </c>
      <c r="N267" s="83">
        <f t="shared" si="69"/>
        <v>0</v>
      </c>
      <c r="O267" s="83">
        <f t="shared" si="65"/>
        <v>0</v>
      </c>
      <c r="P267" s="83">
        <f t="shared" si="66"/>
        <v>0</v>
      </c>
      <c r="Q267" s="83">
        <f t="shared" ref="Q267:S268" si="70">Q270+Q273</f>
        <v>0</v>
      </c>
      <c r="R267" s="83">
        <f t="shared" si="70"/>
        <v>0</v>
      </c>
      <c r="S267" s="83">
        <f t="shared" si="70"/>
        <v>0</v>
      </c>
      <c r="T267" s="83">
        <f t="shared" si="67"/>
        <v>0</v>
      </c>
      <c r="U267" s="83">
        <f t="shared" si="68"/>
        <v>0</v>
      </c>
    </row>
    <row r="268" spans="1:21" ht="18.75" hidden="1" x14ac:dyDescent="0.25">
      <c r="A268" s="610"/>
      <c r="B268" s="609"/>
      <c r="C268" s="609"/>
      <c r="D268" s="609"/>
      <c r="E268" s="605" t="s">
        <v>21</v>
      </c>
      <c r="F268" s="609"/>
      <c r="G268" s="608"/>
      <c r="H268" s="480" t="s">
        <v>14</v>
      </c>
      <c r="I268" s="479"/>
      <c r="J268" s="479"/>
      <c r="K268" s="476"/>
      <c r="L268" s="606">
        <f t="shared" ca="1" si="69"/>
        <v>0</v>
      </c>
      <c r="M268" s="486">
        <f t="shared" ca="1" si="69"/>
        <v>5000</v>
      </c>
      <c r="N268" s="486">
        <f t="shared" ca="1" si="69"/>
        <v>0</v>
      </c>
      <c r="O268" s="486">
        <f t="shared" ca="1" si="65"/>
        <v>0</v>
      </c>
      <c r="P268" s="486">
        <f t="shared" ca="1" si="66"/>
        <v>0</v>
      </c>
      <c r="Q268" s="486">
        <f t="shared" ca="1" si="70"/>
        <v>53440</v>
      </c>
      <c r="R268" s="486">
        <f t="shared" ca="1" si="70"/>
        <v>53440</v>
      </c>
      <c r="S268" s="486">
        <f t="shared" ca="1" si="70"/>
        <v>46520</v>
      </c>
      <c r="T268" s="486">
        <f t="shared" ca="1" si="67"/>
        <v>87.050898203592808</v>
      </c>
      <c r="U268" s="486">
        <f t="shared" ca="1" si="68"/>
        <v>87.050898203592808</v>
      </c>
    </row>
    <row r="269" spans="1:21" ht="18.75" x14ac:dyDescent="0.25">
      <c r="A269" s="610"/>
      <c r="B269" s="609"/>
      <c r="C269" s="609"/>
      <c r="D269" s="616" t="s">
        <v>22</v>
      </c>
      <c r="E269" s="609"/>
      <c r="F269" s="609"/>
      <c r="G269" s="608"/>
      <c r="H269" s="617" t="s">
        <v>14</v>
      </c>
      <c r="I269" s="601"/>
      <c r="J269" s="601"/>
      <c r="K269" s="599"/>
      <c r="L269" s="606">
        <f ca="1">L270+L271</f>
        <v>0</v>
      </c>
      <c r="M269" s="486">
        <f ca="1">M270+M271</f>
        <v>5000</v>
      </c>
      <c r="N269" s="486">
        <f ca="1">N270+N271</f>
        <v>0</v>
      </c>
      <c r="O269" s="486">
        <f t="shared" ca="1" si="65"/>
        <v>0</v>
      </c>
      <c r="P269" s="486">
        <f t="shared" ca="1" si="66"/>
        <v>0</v>
      </c>
      <c r="Q269" s="486">
        <f ca="1">Q270+Q271</f>
        <v>53440</v>
      </c>
      <c r="R269" s="486">
        <f ca="1">R270+R271</f>
        <v>53440</v>
      </c>
      <c r="S269" s="486">
        <f ca="1">S270+S271</f>
        <v>46520</v>
      </c>
      <c r="T269" s="486">
        <f t="shared" ca="1" si="67"/>
        <v>87.050898203592808</v>
      </c>
      <c r="U269" s="486">
        <f t="shared" ca="1" si="68"/>
        <v>87.050898203592808</v>
      </c>
    </row>
    <row r="270" spans="1:21" ht="18.75" hidden="1" x14ac:dyDescent="0.25">
      <c r="A270" s="615"/>
      <c r="B270" s="614"/>
      <c r="C270" s="614"/>
      <c r="D270" s="614"/>
      <c r="E270" s="156" t="s">
        <v>36</v>
      </c>
      <c r="F270" s="614"/>
      <c r="G270" s="613"/>
      <c r="H270" s="159" t="s">
        <v>14</v>
      </c>
      <c r="I270" s="612"/>
      <c r="J270" s="612"/>
      <c r="K270" s="611"/>
      <c r="L270" s="469">
        <v>0</v>
      </c>
      <c r="M270" s="83">
        <v>0</v>
      </c>
      <c r="N270" s="83">
        <v>0</v>
      </c>
      <c r="O270" s="83">
        <f t="shared" si="65"/>
        <v>0</v>
      </c>
      <c r="P270" s="83">
        <f t="shared" si="66"/>
        <v>0</v>
      </c>
      <c r="Q270" s="83">
        <v>0</v>
      </c>
      <c r="R270" s="83">
        <v>0</v>
      </c>
      <c r="S270" s="83">
        <v>0</v>
      </c>
      <c r="T270" s="83">
        <f t="shared" si="67"/>
        <v>0</v>
      </c>
      <c r="U270" s="83">
        <f t="shared" si="68"/>
        <v>0</v>
      </c>
    </row>
    <row r="271" spans="1:21" ht="18.75" hidden="1" x14ac:dyDescent="0.25">
      <c r="A271" s="610"/>
      <c r="B271" s="609"/>
      <c r="C271" s="609"/>
      <c r="D271" s="609"/>
      <c r="E271" s="605" t="s">
        <v>37</v>
      </c>
      <c r="F271" s="609"/>
      <c r="G271" s="608"/>
      <c r="H271" s="617" t="s">
        <v>14</v>
      </c>
      <c r="I271" s="601"/>
      <c r="J271" s="601"/>
      <c r="K271" s="599"/>
      <c r="L271" s="606">
        <f ca="1">IFERROR(__xludf.DUMMYFUNCTION("IMPORTRANGE(""https://docs.google.com/spreadsheets/d/1-uDff_7J0KD5mKrp0Vvzr7lt3OU09vwQwhkpOPPYv2Y/edit?usp=sharing"",""งบพรบ!DE18"")"),0)</f>
        <v>0</v>
      </c>
      <c r="M271" s="486">
        <f ca="1">IFERROR(__xludf.DUMMYFUNCTION("IMPORTRANGE(""https://docs.google.com/spreadsheets/d/1-uDff_7J0KD5mKrp0Vvzr7lt3OU09vwQwhkpOPPYv2Y/edit?usp=sharing"",""งบพรบ!DJ18"")"),5000)</f>
        <v>5000</v>
      </c>
      <c r="N271" s="486">
        <f ca="1">IFERROR(__xludf.DUMMYFUNCTION("IMPORTRANGE(""https://docs.google.com/spreadsheets/d/1-uDff_7J0KD5mKrp0Vvzr7lt3OU09vwQwhkpOPPYv2Y/edit?usp=sharing"",""งบพรบ!DL18"")"),0)</f>
        <v>0</v>
      </c>
      <c r="O271" s="486">
        <f t="shared" ca="1" si="65"/>
        <v>0</v>
      </c>
      <c r="P271" s="486">
        <f t="shared" ca="1" si="66"/>
        <v>0</v>
      </c>
      <c r="Q271" s="486">
        <f ca="1">IFERROR(__xludf.DUMMYFUNCTION("IMPORTRANGE(""https://docs.google.com/spreadsheets/d/1ItG2mGa2ceCfYo0BwxsXqNm01IGEUdYcSSLTEv9YCik/edit?usp=sharing"",""เบิกจ่ายกองทุน!AJ18"")"),53440)</f>
        <v>53440</v>
      </c>
      <c r="R271" s="486">
        <f ca="1">IFERROR(__xludf.DUMMYFUNCTION("IMPORTRANGE(""https://docs.google.com/spreadsheets/d/1ItG2mGa2ceCfYo0BwxsXqNm01IGEUdYcSSLTEv9YCik/edit?usp=sharing"",""เบิกจ่ายกองทุน!AK18"")"),53440)</f>
        <v>53440</v>
      </c>
      <c r="S271" s="486">
        <f ca="1">IFERROR(__xludf.DUMMYFUNCTION("IMPORTRANGE(""https://docs.google.com/spreadsheets/d/1ItG2mGa2ceCfYo0BwxsXqNm01IGEUdYcSSLTEv9YCik/edit?usp=sharing"",""เบิกจ่ายกองทุน!AL18"")"),46520)</f>
        <v>46520</v>
      </c>
      <c r="T271" s="486">
        <f t="shared" ca="1" si="67"/>
        <v>87.050898203592808</v>
      </c>
      <c r="U271" s="486">
        <f t="shared" ca="1" si="68"/>
        <v>87.050898203592808</v>
      </c>
    </row>
    <row r="272" spans="1:21" ht="18.75" x14ac:dyDescent="0.25">
      <c r="A272" s="610"/>
      <c r="B272" s="609"/>
      <c r="C272" s="609"/>
      <c r="D272" s="616" t="s">
        <v>23</v>
      </c>
      <c r="E272" s="609"/>
      <c r="F272" s="609"/>
      <c r="G272" s="608"/>
      <c r="H272" s="607" t="s">
        <v>14</v>
      </c>
      <c r="I272" s="601"/>
      <c r="J272" s="601"/>
      <c r="K272" s="599"/>
      <c r="L272" s="606">
        <f ca="1">L273+L274</f>
        <v>0</v>
      </c>
      <c r="M272" s="486">
        <f ca="1">M273+M274</f>
        <v>0</v>
      </c>
      <c r="N272" s="486">
        <f ca="1">N273+N274</f>
        <v>0</v>
      </c>
      <c r="O272" s="486">
        <f t="shared" ca="1" si="65"/>
        <v>0</v>
      </c>
      <c r="P272" s="486">
        <f t="shared" ca="1" si="66"/>
        <v>0</v>
      </c>
      <c r="Q272" s="486">
        <f>Q273+Q274</f>
        <v>0</v>
      </c>
      <c r="R272" s="486">
        <f>R273+R274</f>
        <v>0</v>
      </c>
      <c r="S272" s="486">
        <f>S273+S274</f>
        <v>0</v>
      </c>
      <c r="T272" s="486">
        <f t="shared" si="67"/>
        <v>0</v>
      </c>
      <c r="U272" s="486">
        <f t="shared" si="68"/>
        <v>0</v>
      </c>
    </row>
    <row r="273" spans="1:21" ht="18.75" hidden="1" x14ac:dyDescent="0.25">
      <c r="A273" s="615"/>
      <c r="B273" s="614"/>
      <c r="C273" s="614"/>
      <c r="D273" s="614"/>
      <c r="E273" s="156" t="s">
        <v>20</v>
      </c>
      <c r="F273" s="614"/>
      <c r="G273" s="613"/>
      <c r="H273" s="159" t="s">
        <v>14</v>
      </c>
      <c r="I273" s="612"/>
      <c r="J273" s="612"/>
      <c r="K273" s="611"/>
      <c r="L273" s="469">
        <v>0</v>
      </c>
      <c r="M273" s="83">
        <v>0</v>
      </c>
      <c r="N273" s="83">
        <v>0</v>
      </c>
      <c r="O273" s="83">
        <f t="shared" si="65"/>
        <v>0</v>
      </c>
      <c r="P273" s="83">
        <f t="shared" si="66"/>
        <v>0</v>
      </c>
      <c r="Q273" s="83">
        <v>0</v>
      </c>
      <c r="R273" s="83">
        <v>0</v>
      </c>
      <c r="S273" s="83">
        <v>0</v>
      </c>
      <c r="T273" s="83">
        <f t="shared" si="67"/>
        <v>0</v>
      </c>
      <c r="U273" s="83">
        <f t="shared" si="68"/>
        <v>0</v>
      </c>
    </row>
    <row r="274" spans="1:21" ht="18.75" hidden="1" x14ac:dyDescent="0.25">
      <c r="A274" s="610"/>
      <c r="B274" s="609"/>
      <c r="C274" s="609"/>
      <c r="D274" s="609"/>
      <c r="E274" s="605" t="s">
        <v>21</v>
      </c>
      <c r="F274" s="609"/>
      <c r="G274" s="608"/>
      <c r="H274" s="607" t="s">
        <v>14</v>
      </c>
      <c r="I274" s="601"/>
      <c r="J274" s="601"/>
      <c r="K274" s="599"/>
      <c r="L274" s="606">
        <f ca="1">IFERROR(__xludf.DUMMYFUNCTION("IMPORTRANGE(""https://docs.google.com/spreadsheets/d/1-uDff_7J0KD5mKrp0Vvzr7lt3OU09vwQwhkpOPPYv2Y/edit?usp=sharing"",""งบพรบ!DH18"")"),0)</f>
        <v>0</v>
      </c>
      <c r="M274" s="486">
        <f ca="1">IFERROR(__xludf.DUMMYFUNCTION("IMPORTRANGE(""https://docs.google.com/spreadsheets/d/1-uDff_7J0KD5mKrp0Vvzr7lt3OU09vwQwhkpOPPYv2Y/edit?usp=sharing"",""งบพรบ!DK18"")"),0)</f>
        <v>0</v>
      </c>
      <c r="N274" s="486">
        <f ca="1">IFERROR(__xludf.DUMMYFUNCTION("IMPORTRANGE(""https://docs.google.com/spreadsheets/d/1-uDff_7J0KD5mKrp0Vvzr7lt3OU09vwQwhkpOPPYv2Y/edit?usp=sharing"",""งบพรบ!DM18"")"),0)</f>
        <v>0</v>
      </c>
      <c r="O274" s="486">
        <f t="shared" ca="1" si="65"/>
        <v>0</v>
      </c>
      <c r="P274" s="486">
        <f t="shared" ca="1" si="66"/>
        <v>0</v>
      </c>
      <c r="Q274" s="486">
        <v>0</v>
      </c>
      <c r="R274" s="486">
        <v>0</v>
      </c>
      <c r="S274" s="486">
        <v>0</v>
      </c>
      <c r="T274" s="486">
        <f t="shared" si="67"/>
        <v>0</v>
      </c>
      <c r="U274" s="486">
        <f t="shared" si="68"/>
        <v>0</v>
      </c>
    </row>
    <row r="275" spans="1:21" ht="19.5" x14ac:dyDescent="0.3">
      <c r="A275" s="485"/>
      <c r="B275" s="484"/>
      <c r="C275" s="605" t="s">
        <v>18</v>
      </c>
      <c r="D275" s="604" t="s">
        <v>38</v>
      </c>
      <c r="E275" s="603"/>
      <c r="F275" s="603"/>
      <c r="G275" s="602"/>
      <c r="H275" s="481"/>
      <c r="I275" s="601"/>
      <c r="J275" s="601"/>
      <c r="K275" s="599"/>
      <c r="L275" s="600"/>
      <c r="M275" s="599"/>
      <c r="N275" s="599"/>
      <c r="O275" s="599"/>
      <c r="P275" s="599"/>
      <c r="Q275" s="599"/>
      <c r="R275" s="599"/>
      <c r="S275" s="599"/>
      <c r="T275" s="599"/>
      <c r="U275" s="599"/>
    </row>
    <row r="276" spans="1:21" ht="18.75" x14ac:dyDescent="0.25">
      <c r="A276" s="598"/>
      <c r="B276" s="597"/>
      <c r="C276" s="597"/>
      <c r="D276" s="596" t="s">
        <v>115</v>
      </c>
      <c r="E276" s="595"/>
      <c r="F276" s="595"/>
      <c r="G276" s="594"/>
      <c r="H276" s="593" t="s">
        <v>35</v>
      </c>
      <c r="I276" s="592">
        <f ca="1">IFERROR(__xludf.DUMMYFUNCTION("IMPORTRANGE(""https://docs.google.com/spreadsheets/d/1eHaY18a8A9IcSdp1K8H6x8fbOy06t2VsZHhMHf-1x7Y/edit?usp=sharing"",""แผน!EC18"")"),24)</f>
        <v>24</v>
      </c>
      <c r="J276" s="444">
        <v>24</v>
      </c>
      <c r="K276" s="591">
        <f ca="1">IF(I276&gt;0,J276*100/I276,0)</f>
        <v>100</v>
      </c>
      <c r="L276" s="465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590" t="s">
        <v>116</v>
      </c>
      <c r="E277" s="252"/>
      <c r="F277" s="252"/>
      <c r="G277" s="253"/>
      <c r="H277" s="589" t="s">
        <v>35</v>
      </c>
      <c r="I277" s="433">
        <v>0</v>
      </c>
      <c r="J277" s="433">
        <v>0</v>
      </c>
      <c r="K277" s="588">
        <v>0</v>
      </c>
      <c r="L277" s="587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58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585">
        <f ca="1">I293</f>
        <v>50</v>
      </c>
      <c r="J280" s="585">
        <f>J293</f>
        <v>50</v>
      </c>
      <c r="K280" s="584">
        <f ca="1">IF(I280&gt;0,J280*100/I280,0)</f>
        <v>100</v>
      </c>
      <c r="L280" s="583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585">
        <f ca="1">I292</f>
        <v>500</v>
      </c>
      <c r="J281" s="585">
        <f>J292</f>
        <v>500</v>
      </c>
      <c r="K281" s="584">
        <f ca="1">IF(I281&gt;0,J281*100/I281,0)</f>
        <v>100</v>
      </c>
      <c r="L281" s="583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472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471">
        <f ca="1">L283+L284</f>
        <v>193220</v>
      </c>
      <c r="M282" s="470">
        <f ca="1">M283+M284</f>
        <v>193220</v>
      </c>
      <c r="N282" s="470">
        <f ca="1">N283+N284</f>
        <v>173376</v>
      </c>
      <c r="O282" s="470">
        <f t="shared" ref="O282:O290" ca="1" si="71">IF(L282&gt;0,N282*100/L282,0)</f>
        <v>89.729841631301113</v>
      </c>
      <c r="P282" s="470">
        <f t="shared" ref="P282:P290" ca="1" si="72">IF(M282&gt;0,N282*100/M282,0)</f>
        <v>89.729841631301113</v>
      </c>
      <c r="Q282" s="470">
        <f>Q283+Q284</f>
        <v>0</v>
      </c>
      <c r="R282" s="470">
        <f>R283+R284</f>
        <v>0</v>
      </c>
      <c r="S282" s="470">
        <f>S283+S284</f>
        <v>0</v>
      </c>
      <c r="T282" s="470">
        <f t="shared" ref="T282:T290" si="73">IF(Q282&gt;0,S282*100/Q282,0)</f>
        <v>0</v>
      </c>
      <c r="U282" s="470">
        <f t="shared" ref="U282:U290" si="74"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469">
        <f t="shared" ref="L283:N284" si="75">L286+L289</f>
        <v>0</v>
      </c>
      <c r="M283" s="83">
        <f t="shared" si="75"/>
        <v>0</v>
      </c>
      <c r="N283" s="83">
        <f t="shared" si="75"/>
        <v>0</v>
      </c>
      <c r="O283" s="83">
        <f t="shared" si="71"/>
        <v>0</v>
      </c>
      <c r="P283" s="83">
        <f t="shared" si="72"/>
        <v>0</v>
      </c>
      <c r="Q283" s="83">
        <f t="shared" ref="Q283:S284" si="76">Q286+Q289</f>
        <v>0</v>
      </c>
      <c r="R283" s="83">
        <f t="shared" si="76"/>
        <v>0</v>
      </c>
      <c r="S283" s="83">
        <f t="shared" si="76"/>
        <v>0</v>
      </c>
      <c r="T283" s="83">
        <f t="shared" si="73"/>
        <v>0</v>
      </c>
      <c r="U283" s="83">
        <f t="shared" si="74"/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468">
        <f t="shared" ca="1" si="75"/>
        <v>193220</v>
      </c>
      <c r="M284" s="224">
        <f t="shared" ca="1" si="75"/>
        <v>193220</v>
      </c>
      <c r="N284" s="224">
        <f t="shared" ca="1" si="75"/>
        <v>173376</v>
      </c>
      <c r="O284" s="224">
        <f t="shared" ca="1" si="71"/>
        <v>89.729841631301113</v>
      </c>
      <c r="P284" s="224">
        <f t="shared" ca="1" si="72"/>
        <v>89.729841631301113</v>
      </c>
      <c r="Q284" s="224">
        <f t="shared" si="76"/>
        <v>0</v>
      </c>
      <c r="R284" s="224">
        <f t="shared" si="76"/>
        <v>0</v>
      </c>
      <c r="S284" s="224">
        <f t="shared" si="76"/>
        <v>0</v>
      </c>
      <c r="T284" s="224">
        <f t="shared" si="73"/>
        <v>0</v>
      </c>
      <c r="U284" s="224">
        <f t="shared" si="74"/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468">
        <f ca="1">L286+L287</f>
        <v>193220</v>
      </c>
      <c r="M285" s="224">
        <f ca="1">M286+M287</f>
        <v>193220</v>
      </c>
      <c r="N285" s="224">
        <f ca="1">N286+N287</f>
        <v>173376</v>
      </c>
      <c r="O285" s="224">
        <f t="shared" ca="1" si="71"/>
        <v>89.729841631301113</v>
      </c>
      <c r="P285" s="224">
        <f t="shared" ca="1" si="72"/>
        <v>89.729841631301113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 t="shared" si="73"/>
        <v>0</v>
      </c>
      <c r="U285" s="224">
        <f t="shared" si="74"/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469">
        <v>0</v>
      </c>
      <c r="M286" s="83">
        <v>0</v>
      </c>
      <c r="N286" s="83">
        <v>0</v>
      </c>
      <c r="O286" s="83">
        <f t="shared" si="71"/>
        <v>0</v>
      </c>
      <c r="P286" s="83">
        <f t="shared" si="72"/>
        <v>0</v>
      </c>
      <c r="Q286" s="83">
        <v>0</v>
      </c>
      <c r="R286" s="83">
        <v>0</v>
      </c>
      <c r="S286" s="83">
        <v>0</v>
      </c>
      <c r="T286" s="83">
        <f t="shared" si="73"/>
        <v>0</v>
      </c>
      <c r="U286" s="83">
        <f t="shared" si="74"/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468">
        <f ca="1">IFERROR(__xludf.DUMMYFUNCTION("IMPORTRANGE(""https://docs.google.com/spreadsheets/d/1-uDff_7J0KD5mKrp0Vvzr7lt3OU09vwQwhkpOPPYv2Y/edit?usp=sharing"",""งบพรบ!DO18"")"),193220)</f>
        <v>193220</v>
      </c>
      <c r="M287" s="224">
        <f ca="1">IFERROR(__xludf.DUMMYFUNCTION("IMPORTRANGE(""https://docs.google.com/spreadsheets/d/1-uDff_7J0KD5mKrp0Vvzr7lt3OU09vwQwhkpOPPYv2Y/edit?usp=sharing"",""งบพรบ!DT18"")"),193220)</f>
        <v>193220</v>
      </c>
      <c r="N287" s="224">
        <f ca="1">IFERROR(__xludf.DUMMYFUNCTION("IMPORTRANGE(""https://docs.google.com/spreadsheets/d/1-uDff_7J0KD5mKrp0Vvzr7lt3OU09vwQwhkpOPPYv2Y/edit?usp=sharing"",""งบพรบ!DV18"")"),173376)</f>
        <v>173376</v>
      </c>
      <c r="O287" s="224">
        <f t="shared" ca="1" si="71"/>
        <v>89.729841631301113</v>
      </c>
      <c r="P287" s="224">
        <f t="shared" ca="1" si="72"/>
        <v>89.729841631301113</v>
      </c>
      <c r="Q287" s="224">
        <v>0</v>
      </c>
      <c r="R287" s="224">
        <v>0</v>
      </c>
      <c r="S287" s="224">
        <v>0</v>
      </c>
      <c r="T287" s="83">
        <f t="shared" si="73"/>
        <v>0</v>
      </c>
      <c r="U287" s="83">
        <f t="shared" si="74"/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468">
        <f ca="1">L289+L290</f>
        <v>0</v>
      </c>
      <c r="M288" s="224">
        <f ca="1">M289+M290</f>
        <v>0</v>
      </c>
      <c r="N288" s="224">
        <f ca="1">N289+N290</f>
        <v>0</v>
      </c>
      <c r="O288" s="224">
        <f t="shared" ca="1" si="71"/>
        <v>0</v>
      </c>
      <c r="P288" s="224">
        <f t="shared" ca="1" si="72"/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 t="shared" si="73"/>
        <v>0</v>
      </c>
      <c r="U288" s="224">
        <f t="shared" si="74"/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469">
        <v>0</v>
      </c>
      <c r="M289" s="83">
        <v>0</v>
      </c>
      <c r="N289" s="83">
        <v>0</v>
      </c>
      <c r="O289" s="83">
        <f t="shared" si="71"/>
        <v>0</v>
      </c>
      <c r="P289" s="83">
        <f t="shared" si="72"/>
        <v>0</v>
      </c>
      <c r="Q289" s="83">
        <v>0</v>
      </c>
      <c r="R289" s="83">
        <v>0</v>
      </c>
      <c r="S289" s="83">
        <v>0</v>
      </c>
      <c r="T289" s="83">
        <f t="shared" si="73"/>
        <v>0</v>
      </c>
      <c r="U289" s="83">
        <f t="shared" si="74"/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468">
        <f ca="1">IFERROR(__xludf.DUMMYFUNCTION("IMPORTRANGE(""https://docs.google.com/spreadsheets/d/1-uDff_7J0KD5mKrp0Vvzr7lt3OU09vwQwhkpOPPYv2Y/edit?usp=sharing"",""งบพรบ!DR18"")"),0)</f>
        <v>0</v>
      </c>
      <c r="M290" s="224">
        <f ca="1">IFERROR(__xludf.DUMMYFUNCTION("IMPORTRANGE(""https://docs.google.com/spreadsheets/d/1-uDff_7J0KD5mKrp0Vvzr7lt3OU09vwQwhkpOPPYv2Y/edit?usp=sharing"",""งบพรบ!DU18"")"),0)</f>
        <v>0</v>
      </c>
      <c r="N290" s="224">
        <f ca="1">IFERROR(__xludf.DUMMYFUNCTION("IMPORTRANGE(""https://docs.google.com/spreadsheets/d/1-uDff_7J0KD5mKrp0Vvzr7lt3OU09vwQwhkpOPPYv2Y/edit?usp=sharing"",""งบพรบ!DW18"")"),0)</f>
        <v>0</v>
      </c>
      <c r="O290" s="224">
        <f t="shared" ca="1" si="71"/>
        <v>0</v>
      </c>
      <c r="P290" s="224">
        <f t="shared" ca="1" si="72"/>
        <v>0</v>
      </c>
      <c r="Q290" s="224">
        <v>0</v>
      </c>
      <c r="R290" s="224">
        <v>0</v>
      </c>
      <c r="S290" s="224">
        <v>0</v>
      </c>
      <c r="T290" s="224">
        <f t="shared" si="73"/>
        <v>0</v>
      </c>
      <c r="U290" s="224">
        <f t="shared" si="74"/>
        <v>0</v>
      </c>
    </row>
    <row r="291" spans="1:21" ht="19.5" x14ac:dyDescent="0.3">
      <c r="A291" s="138"/>
      <c r="B291" s="139"/>
      <c r="C291" s="129" t="s">
        <v>18</v>
      </c>
      <c r="D291" s="498" t="s">
        <v>38</v>
      </c>
      <c r="E291" s="141"/>
      <c r="F291" s="141"/>
      <c r="G291" s="142"/>
      <c r="H291" s="143"/>
      <c r="I291" s="135"/>
      <c r="J291" s="135"/>
      <c r="K291" s="136"/>
      <c r="L291" s="4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IFERROR(__xludf.DUMMYFUNCTION("IMPORTRANGE(""https://docs.google.com/spreadsheets/d/1eHaY18a8A9IcSdp1K8H6x8fbOy06t2VsZHhMHf-1x7Y/edit?usp=sharing"",""แผน!EE18"")"),500)</f>
        <v>500</v>
      </c>
      <c r="J292" s="466">
        <v>500</v>
      </c>
      <c r="K292" s="497">
        <f ca="1">IF(I292&gt;0,J292*100/I292,0)</f>
        <v>100</v>
      </c>
      <c r="L292" s="4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IFERROR(__xludf.DUMMYFUNCTION("IMPORTRANGE(""https://docs.google.com/spreadsheets/d/1eHaY18a8A9IcSdp1K8H6x8fbOy06t2VsZHhMHf-1x7Y/edit?usp=sharing"",""แผน!ED18"")"),50)</f>
        <v>50</v>
      </c>
      <c r="J293" s="328">
        <f>J296</f>
        <v>50</v>
      </c>
      <c r="K293" s="582">
        <f ca="1">IF(I293&gt;0,J293*100/I293,0)</f>
        <v>100</v>
      </c>
      <c r="L293" s="4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4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581">
        <f ca="1">IFERROR(__xludf.DUMMYFUNCTION("IMPORTRANGE(""https://docs.google.com/spreadsheets/d/1eHaY18a8A9IcSdp1K8H6x8fbOy06t2VsZHhMHf-1x7Y/edit?usp=sharing"",""แผน!ED18"")"),50)</f>
        <v>50</v>
      </c>
      <c r="J295" s="466">
        <v>50</v>
      </c>
      <c r="K295" s="497">
        <f ca="1">IF(I295&gt;0,J295*100/I295,0)</f>
        <v>100</v>
      </c>
      <c r="L295" s="4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581">
        <f ca="1">IFERROR(__xludf.DUMMYFUNCTION("IMPORTRANGE(""https://docs.google.com/spreadsheets/d/1eHaY18a8A9IcSdp1K8H6x8fbOy06t2VsZHhMHf-1x7Y/edit?usp=sharing"",""แผน!ED18"")"),50)</f>
        <v>50</v>
      </c>
      <c r="J296" s="466">
        <v>50</v>
      </c>
      <c r="K296" s="497">
        <f ca="1">IF(I296&gt;0,J296*100/I296,0)</f>
        <v>100</v>
      </c>
      <c r="L296" s="4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571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hidden="1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571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580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57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541">
        <f ca="1">I314</f>
        <v>25</v>
      </c>
      <c r="J302" s="541">
        <f>J314</f>
        <v>25</v>
      </c>
      <c r="K302" s="540">
        <f ca="1">IF(I302&gt;0,J302*100/I302,0)</f>
        <v>100</v>
      </c>
      <c r="L302" s="539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472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471">
        <f ca="1">L304+L305</f>
        <v>152100</v>
      </c>
      <c r="M303" s="470">
        <f ca="1">M304+M305</f>
        <v>152100</v>
      </c>
      <c r="N303" s="470">
        <f ca="1">N304+N305</f>
        <v>136200</v>
      </c>
      <c r="O303" s="470">
        <f t="shared" ref="O303:O311" ca="1" si="77">IF(L303&gt;0,N303*100/L303,0)</f>
        <v>89.546351084812628</v>
      </c>
      <c r="P303" s="470">
        <f t="shared" ref="P303:P311" ca="1" si="78">IF(M303&gt;0,N303*100/M303,0)</f>
        <v>89.546351084812628</v>
      </c>
      <c r="Q303" s="470">
        <f ca="1">Q304+Q305</f>
        <v>166057.24</v>
      </c>
      <c r="R303" s="470">
        <f ca="1">R304+R305</f>
        <v>166057</v>
      </c>
      <c r="S303" s="470">
        <f ca="1">S304+S305</f>
        <v>0</v>
      </c>
      <c r="T303" s="470">
        <f t="shared" ref="T303:T311" ca="1" si="79">IF(Q303&gt;0,S303*100/Q303,0)</f>
        <v>0</v>
      </c>
      <c r="U303" s="470">
        <f t="shared" ref="U303:U311" ca="1" si="80">IF(R303&gt;0,S303*100/R303,0)</f>
        <v>0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469">
        <f t="shared" ref="L304:N305" si="81">L307+L310</f>
        <v>0</v>
      </c>
      <c r="M304" s="83">
        <f t="shared" si="81"/>
        <v>0</v>
      </c>
      <c r="N304" s="83">
        <f t="shared" si="81"/>
        <v>0</v>
      </c>
      <c r="O304" s="83">
        <f t="shared" si="77"/>
        <v>0</v>
      </c>
      <c r="P304" s="83">
        <f t="shared" si="78"/>
        <v>0</v>
      </c>
      <c r="Q304" s="83">
        <f t="shared" ref="Q304:S305" si="82">Q307+Q310</f>
        <v>0</v>
      </c>
      <c r="R304" s="83">
        <f t="shared" si="82"/>
        <v>0</v>
      </c>
      <c r="S304" s="83">
        <f t="shared" si="82"/>
        <v>0</v>
      </c>
      <c r="T304" s="83">
        <f t="shared" si="79"/>
        <v>0</v>
      </c>
      <c r="U304" s="83">
        <f t="shared" si="80"/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468">
        <f t="shared" ca="1" si="81"/>
        <v>152100</v>
      </c>
      <c r="M305" s="224">
        <f t="shared" ca="1" si="81"/>
        <v>152100</v>
      </c>
      <c r="N305" s="224">
        <f t="shared" ca="1" si="81"/>
        <v>136200</v>
      </c>
      <c r="O305" s="224">
        <f t="shared" ca="1" si="77"/>
        <v>89.546351084812628</v>
      </c>
      <c r="P305" s="224">
        <f t="shared" ca="1" si="78"/>
        <v>89.546351084812628</v>
      </c>
      <c r="Q305" s="224">
        <f t="shared" ca="1" si="82"/>
        <v>166057.24</v>
      </c>
      <c r="R305" s="224">
        <f t="shared" ca="1" si="82"/>
        <v>166057</v>
      </c>
      <c r="S305" s="224">
        <f t="shared" ca="1" si="82"/>
        <v>0</v>
      </c>
      <c r="T305" s="224">
        <f t="shared" ca="1" si="79"/>
        <v>0</v>
      </c>
      <c r="U305" s="224">
        <f t="shared" ca="1" si="80"/>
        <v>0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468">
        <f ca="1">L307+L308</f>
        <v>152100</v>
      </c>
      <c r="M306" s="224">
        <f ca="1">M307+M308</f>
        <v>152100</v>
      </c>
      <c r="N306" s="224">
        <f ca="1">N307+N308</f>
        <v>136200</v>
      </c>
      <c r="O306" s="224">
        <f t="shared" ca="1" si="77"/>
        <v>89.546351084812628</v>
      </c>
      <c r="P306" s="224">
        <f t="shared" ca="1" si="78"/>
        <v>89.546351084812628</v>
      </c>
      <c r="Q306" s="224">
        <f ca="1">Q307+Q308</f>
        <v>166057.24</v>
      </c>
      <c r="R306" s="224">
        <f ca="1">R307+R308</f>
        <v>166057</v>
      </c>
      <c r="S306" s="224">
        <f ca="1">S307+S308</f>
        <v>0</v>
      </c>
      <c r="T306" s="224">
        <f t="shared" ca="1" si="79"/>
        <v>0</v>
      </c>
      <c r="U306" s="224">
        <f t="shared" ca="1" si="80"/>
        <v>0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469">
        <v>0</v>
      </c>
      <c r="M307" s="83">
        <v>0</v>
      </c>
      <c r="N307" s="83">
        <v>0</v>
      </c>
      <c r="O307" s="83">
        <f t="shared" si="77"/>
        <v>0</v>
      </c>
      <c r="P307" s="83">
        <f t="shared" si="78"/>
        <v>0</v>
      </c>
      <c r="Q307" s="83">
        <v>0</v>
      </c>
      <c r="R307" s="83">
        <v>0</v>
      </c>
      <c r="S307" s="83">
        <v>0</v>
      </c>
      <c r="T307" s="83">
        <f t="shared" si="79"/>
        <v>0</v>
      </c>
      <c r="U307" s="83">
        <f t="shared" si="80"/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468">
        <f ca="1">IFERROR(__xludf.DUMMYFUNCTION("IMPORTRANGE(""https://docs.google.com/spreadsheets/d/1-uDff_7J0KD5mKrp0Vvzr7lt3OU09vwQwhkpOPPYv2Y/edit?usp=sharing"",""งบพรบ!DY18"")"),152100)</f>
        <v>152100</v>
      </c>
      <c r="M308" s="224">
        <f ca="1">IFERROR(__xludf.DUMMYFUNCTION("IMPORTRANGE(""https://docs.google.com/spreadsheets/d/1-uDff_7J0KD5mKrp0Vvzr7lt3OU09vwQwhkpOPPYv2Y/edit?usp=sharing"",""งบพรบ!ED18"")"),152100)</f>
        <v>152100</v>
      </c>
      <c r="N308" s="224">
        <f ca="1">IFERROR(__xludf.DUMMYFUNCTION("IMPORTRANGE(""https://docs.google.com/spreadsheets/d/1-uDff_7J0KD5mKrp0Vvzr7lt3OU09vwQwhkpOPPYv2Y/edit?usp=sharing"",""งบพรบ!EF18"")"),136200)</f>
        <v>136200</v>
      </c>
      <c r="O308" s="224">
        <f t="shared" ca="1" si="77"/>
        <v>89.546351084812628</v>
      </c>
      <c r="P308" s="224">
        <f t="shared" ca="1" si="78"/>
        <v>89.546351084812628</v>
      </c>
      <c r="Q308" s="224">
        <f ca="1">IFERROR(__xludf.DUMMYFUNCTION("IMPORTRANGE(""https://docs.google.com/spreadsheets/d/1ItG2mGa2ceCfYo0BwxsXqNm01IGEUdYcSSLTEv9YCik/edit?usp=sharing"",""เบิกจ่ายกองทุน!AP18"")"),166057.24)</f>
        <v>166057.24</v>
      </c>
      <c r="R308" s="224">
        <f ca="1">IFERROR(__xludf.DUMMYFUNCTION("IMPORTRANGE(""https://docs.google.com/spreadsheets/d/1ItG2mGa2ceCfYo0BwxsXqNm01IGEUdYcSSLTEv9YCik/edit?usp=sharing"",""เบิกจ่ายกองทุน!AQ18"")"),166057)</f>
        <v>166057</v>
      </c>
      <c r="S308" s="224">
        <f ca="1">IFERROR(__xludf.DUMMYFUNCTION("IMPORTRANGE(""https://docs.google.com/spreadsheets/d/1ItG2mGa2ceCfYo0BwxsXqNm01IGEUdYcSSLTEv9YCik/edit?usp=sharing"",""เบิกจ่ายกองทุน!AR18"")"),0)</f>
        <v>0</v>
      </c>
      <c r="T308" s="224">
        <f t="shared" ca="1" si="79"/>
        <v>0</v>
      </c>
      <c r="U308" s="224">
        <f t="shared" ca="1" si="80"/>
        <v>0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468">
        <f ca="1">L310+L311</f>
        <v>0</v>
      </c>
      <c r="M309" s="224">
        <f ca="1">M310+M311</f>
        <v>0</v>
      </c>
      <c r="N309" s="224">
        <f ca="1">N310+N311</f>
        <v>0</v>
      </c>
      <c r="O309" s="224">
        <f t="shared" ca="1" si="77"/>
        <v>0</v>
      </c>
      <c r="P309" s="224">
        <f t="shared" ca="1" si="78"/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 t="shared" si="79"/>
        <v>0</v>
      </c>
      <c r="U309" s="224">
        <f t="shared" si="80"/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469">
        <v>0</v>
      </c>
      <c r="M310" s="83">
        <v>0</v>
      </c>
      <c r="N310" s="83">
        <v>0</v>
      </c>
      <c r="O310" s="83">
        <f t="shared" si="77"/>
        <v>0</v>
      </c>
      <c r="P310" s="83">
        <f t="shared" si="78"/>
        <v>0</v>
      </c>
      <c r="Q310" s="83">
        <v>0</v>
      </c>
      <c r="R310" s="83">
        <v>0</v>
      </c>
      <c r="S310" s="83">
        <v>0</v>
      </c>
      <c r="T310" s="83">
        <f t="shared" si="79"/>
        <v>0</v>
      </c>
      <c r="U310" s="83">
        <f t="shared" si="80"/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468">
        <f ca="1">IFERROR(__xludf.DUMMYFUNCTION("IMPORTRANGE(""https://docs.google.com/spreadsheets/d/1-uDff_7J0KD5mKrp0Vvzr7lt3OU09vwQwhkpOPPYv2Y/edit?usp=sharing"",""งบพรบ!EB18"")"),0)</f>
        <v>0</v>
      </c>
      <c r="M311" s="224">
        <f ca="1">IFERROR(__xludf.DUMMYFUNCTION("IMPORTRANGE(""https://docs.google.com/spreadsheets/d/1-uDff_7J0KD5mKrp0Vvzr7lt3OU09vwQwhkpOPPYv2Y/edit?usp=sharing"",""งบพรบ!EE18"")"),0)</f>
        <v>0</v>
      </c>
      <c r="N311" s="224">
        <f ca="1">IFERROR(__xludf.DUMMYFUNCTION("IMPORTRANGE(""https://docs.google.com/spreadsheets/d/1-uDff_7J0KD5mKrp0Vvzr7lt3OU09vwQwhkpOPPYv2Y/edit?usp=sharing"",""งบพรบ!EG18"")"),0)</f>
        <v>0</v>
      </c>
      <c r="O311" s="224">
        <f t="shared" ca="1" si="77"/>
        <v>0</v>
      </c>
      <c r="P311" s="224">
        <f t="shared" ca="1" si="78"/>
        <v>0</v>
      </c>
      <c r="Q311" s="224">
        <v>0</v>
      </c>
      <c r="R311" s="224">
        <v>0</v>
      </c>
      <c r="S311" s="224">
        <v>0</v>
      </c>
      <c r="T311" s="224">
        <f t="shared" si="79"/>
        <v>0</v>
      </c>
      <c r="U311" s="224">
        <f t="shared" si="80"/>
        <v>0</v>
      </c>
    </row>
    <row r="312" spans="1:21" ht="19.5" x14ac:dyDescent="0.3">
      <c r="A312" s="138"/>
      <c r="B312" s="139"/>
      <c r="C312" s="129" t="s">
        <v>18</v>
      </c>
      <c r="D312" s="498" t="s">
        <v>38</v>
      </c>
      <c r="E312" s="141"/>
      <c r="F312" s="141"/>
      <c r="G312" s="142"/>
      <c r="H312" s="143"/>
      <c r="I312" s="44"/>
      <c r="J312" s="44"/>
      <c r="K312" s="45"/>
      <c r="L312" s="465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579"/>
      <c r="E313" s="18"/>
      <c r="F313" s="18"/>
      <c r="G313" s="19"/>
      <c r="H313" s="19"/>
      <c r="I313" s="20"/>
      <c r="J313" s="577"/>
      <c r="K313" s="21"/>
      <c r="L313" s="571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IFERROR(__xludf.DUMMYFUNCTION("IMPORTRANGE(""https://docs.google.com/spreadsheets/d/1eHaY18a8A9IcSdp1K8H6x8fbOy06t2VsZHhMHf-1x7Y/edit?usp=sharing"",""แผน!EF18"")"),25)</f>
        <v>25</v>
      </c>
      <c r="J314" s="466">
        <v>25</v>
      </c>
      <c r="K314" s="224">
        <f ca="1">IF(I314&gt;0,J314*100/I314,0)</f>
        <v>100</v>
      </c>
      <c r="L314" s="465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579"/>
      <c r="E315" s="18"/>
      <c r="F315" s="18"/>
      <c r="G315" s="19"/>
      <c r="H315" s="578"/>
      <c r="I315" s="577"/>
      <c r="J315" s="577"/>
      <c r="K315" s="576"/>
      <c r="L315" s="571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579"/>
      <c r="E316" s="18"/>
      <c r="F316" s="18"/>
      <c r="G316" s="19"/>
      <c r="H316" s="578"/>
      <c r="I316" s="577"/>
      <c r="J316" s="577"/>
      <c r="K316" s="576"/>
      <c r="L316" s="571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575"/>
      <c r="E317" s="18"/>
      <c r="F317" s="18"/>
      <c r="G317" s="19"/>
      <c r="H317" s="574"/>
      <c r="I317" s="573"/>
      <c r="J317" s="573"/>
      <c r="K317" s="572"/>
      <c r="L317" s="571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57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hidden="1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541">
        <f ca="1">I330</f>
        <v>0</v>
      </c>
      <c r="J319" s="541">
        <f>J330</f>
        <v>0</v>
      </c>
      <c r="K319" s="540">
        <f ca="1">IF(I319&gt;0,J319*100/I319,0)</f>
        <v>0</v>
      </c>
      <c r="L319" s="539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hidden="1" x14ac:dyDescent="0.3">
      <c r="A320" s="128"/>
      <c r="B320" s="40"/>
      <c r="C320" s="129" t="s">
        <v>18</v>
      </c>
      <c r="D320" s="472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471">
        <f ca="1">L321+L322</f>
        <v>0</v>
      </c>
      <c r="M320" s="470">
        <f ca="1">M321+M322</f>
        <v>0</v>
      </c>
      <c r="N320" s="470">
        <f ca="1">N321+N322</f>
        <v>0</v>
      </c>
      <c r="O320" s="470">
        <f t="shared" ref="O320:O328" ca="1" si="83">IF(L320&gt;0,N320*100/L320,0)</f>
        <v>0</v>
      </c>
      <c r="P320" s="470">
        <f t="shared" ref="P320:P328" ca="1" si="84">IF(M320&gt;0,N320*100/M320,0)</f>
        <v>0</v>
      </c>
      <c r="Q320" s="470">
        <f>Q321+Q322</f>
        <v>0</v>
      </c>
      <c r="R320" s="470">
        <f>R321+R322</f>
        <v>0</v>
      </c>
      <c r="S320" s="470">
        <f>S321+S322</f>
        <v>0</v>
      </c>
      <c r="T320" s="470">
        <f t="shared" ref="T320:T328" si="85">IF(Q320&gt;0,S320*100/Q320,0)</f>
        <v>0</v>
      </c>
      <c r="U320" s="470">
        <f t="shared" ref="U320:U328" si="86"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469">
        <f t="shared" ref="L321:N322" si="87">L324+L327</f>
        <v>0</v>
      </c>
      <c r="M321" s="83">
        <f t="shared" si="87"/>
        <v>0</v>
      </c>
      <c r="N321" s="83">
        <f t="shared" si="87"/>
        <v>0</v>
      </c>
      <c r="O321" s="83">
        <f t="shared" si="83"/>
        <v>0</v>
      </c>
      <c r="P321" s="83">
        <f t="shared" si="84"/>
        <v>0</v>
      </c>
      <c r="Q321" s="83">
        <f t="shared" ref="Q321:S322" si="88">Q324+Q327</f>
        <v>0</v>
      </c>
      <c r="R321" s="83">
        <f t="shared" si="88"/>
        <v>0</v>
      </c>
      <c r="S321" s="83">
        <f t="shared" si="88"/>
        <v>0</v>
      </c>
      <c r="T321" s="83">
        <f t="shared" si="85"/>
        <v>0</v>
      </c>
      <c r="U321" s="83">
        <f t="shared" si="86"/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468">
        <f t="shared" ca="1" si="87"/>
        <v>0</v>
      </c>
      <c r="M322" s="224">
        <f t="shared" ca="1" si="87"/>
        <v>0</v>
      </c>
      <c r="N322" s="224">
        <f t="shared" ca="1" si="87"/>
        <v>0</v>
      </c>
      <c r="O322" s="224">
        <f t="shared" ca="1" si="83"/>
        <v>0</v>
      </c>
      <c r="P322" s="224">
        <f t="shared" ca="1" si="84"/>
        <v>0</v>
      </c>
      <c r="Q322" s="224">
        <f t="shared" si="88"/>
        <v>0</v>
      </c>
      <c r="R322" s="224">
        <f t="shared" si="88"/>
        <v>0</v>
      </c>
      <c r="S322" s="224">
        <f t="shared" si="88"/>
        <v>0</v>
      </c>
      <c r="T322" s="224">
        <f t="shared" si="85"/>
        <v>0</v>
      </c>
      <c r="U322" s="224">
        <f t="shared" si="86"/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468">
        <f ca="1">L324+L325</f>
        <v>0</v>
      </c>
      <c r="M323" s="224">
        <f ca="1">M324+M325</f>
        <v>0</v>
      </c>
      <c r="N323" s="224">
        <f ca="1">N324+N325</f>
        <v>0</v>
      </c>
      <c r="O323" s="224">
        <f t="shared" ca="1" si="83"/>
        <v>0</v>
      </c>
      <c r="P323" s="224">
        <f t="shared" ca="1" si="84"/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 t="shared" si="85"/>
        <v>0</v>
      </c>
      <c r="U323" s="224">
        <f t="shared" si="86"/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469">
        <v>0</v>
      </c>
      <c r="M324" s="83">
        <v>0</v>
      </c>
      <c r="N324" s="83">
        <v>0</v>
      </c>
      <c r="O324" s="83">
        <f t="shared" si="83"/>
        <v>0</v>
      </c>
      <c r="P324" s="83">
        <f t="shared" si="84"/>
        <v>0</v>
      </c>
      <c r="Q324" s="83">
        <v>0</v>
      </c>
      <c r="R324" s="83">
        <v>0</v>
      </c>
      <c r="S324" s="83">
        <v>0</v>
      </c>
      <c r="T324" s="83">
        <f t="shared" si="85"/>
        <v>0</v>
      </c>
      <c r="U324" s="83">
        <f t="shared" si="86"/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468">
        <f ca="1">IFERROR(__xludf.DUMMYFUNCTION("IMPORTRANGE(""https://docs.google.com/spreadsheets/d/1-uDff_7J0KD5mKrp0Vvzr7lt3OU09vwQwhkpOPPYv2Y/edit?usp=sharing"",""งบพรบ!EI18"")"),0)</f>
        <v>0</v>
      </c>
      <c r="M325" s="224">
        <f ca="1">IFERROR(__xludf.DUMMYFUNCTION("IMPORTRANGE(""https://docs.google.com/spreadsheets/d/1-uDff_7J0KD5mKrp0Vvzr7lt3OU09vwQwhkpOPPYv2Y/edit?usp=sharing"",""งบพรบ!EN18"")"),0)</f>
        <v>0</v>
      </c>
      <c r="N325" s="224">
        <f ca="1">IFERROR(__xludf.DUMMYFUNCTION("IMPORTRANGE(""https://docs.google.com/spreadsheets/d/1-uDff_7J0KD5mKrp0Vvzr7lt3OU09vwQwhkpOPPYv2Y/edit?usp=sharing"",""งบพรบ!EP18"")"),0)</f>
        <v>0</v>
      </c>
      <c r="O325" s="224">
        <f t="shared" ca="1" si="83"/>
        <v>0</v>
      </c>
      <c r="P325" s="224">
        <f t="shared" ca="1" si="84"/>
        <v>0</v>
      </c>
      <c r="Q325" s="224">
        <v>0</v>
      </c>
      <c r="R325" s="224">
        <v>0</v>
      </c>
      <c r="S325" s="224">
        <v>0</v>
      </c>
      <c r="T325" s="224">
        <f t="shared" si="85"/>
        <v>0</v>
      </c>
      <c r="U325" s="224">
        <f t="shared" si="86"/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468">
        <f ca="1">L327+L328</f>
        <v>0</v>
      </c>
      <c r="M326" s="224">
        <f ca="1">M327+M328</f>
        <v>0</v>
      </c>
      <c r="N326" s="224">
        <f ca="1">N327+N328</f>
        <v>0</v>
      </c>
      <c r="O326" s="224">
        <f t="shared" ca="1" si="83"/>
        <v>0</v>
      </c>
      <c r="P326" s="224">
        <f t="shared" ca="1" si="84"/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 t="shared" si="85"/>
        <v>0</v>
      </c>
      <c r="U326" s="224">
        <f t="shared" si="86"/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469">
        <v>0</v>
      </c>
      <c r="M327" s="83">
        <v>0</v>
      </c>
      <c r="N327" s="83">
        <v>0</v>
      </c>
      <c r="O327" s="83">
        <f t="shared" si="83"/>
        <v>0</v>
      </c>
      <c r="P327" s="83">
        <f t="shared" si="84"/>
        <v>0</v>
      </c>
      <c r="Q327" s="83">
        <v>0</v>
      </c>
      <c r="R327" s="83">
        <v>0</v>
      </c>
      <c r="S327" s="83">
        <v>0</v>
      </c>
      <c r="T327" s="83">
        <f t="shared" si="85"/>
        <v>0</v>
      </c>
      <c r="U327" s="83">
        <f t="shared" si="86"/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468">
        <f ca="1">IFERROR(__xludf.DUMMYFUNCTION("IMPORTRANGE(""https://docs.google.com/spreadsheets/d/1-uDff_7J0KD5mKrp0Vvzr7lt3OU09vwQwhkpOPPYv2Y/edit?usp=sharing"",""งบพรบ!EL18"")"),0)</f>
        <v>0</v>
      </c>
      <c r="M328" s="224">
        <f ca="1">IFERROR(__xludf.DUMMYFUNCTION("IMPORTRANGE(""https://docs.google.com/spreadsheets/d/1-uDff_7J0KD5mKrp0Vvzr7lt3OU09vwQwhkpOPPYv2Y/edit?usp=sharing"",""งบพรบ!EO18"")"),0)</f>
        <v>0</v>
      </c>
      <c r="N328" s="224">
        <f ca="1">IFERROR(__xludf.DUMMYFUNCTION("IMPORTRANGE(""https://docs.google.com/spreadsheets/d/1-uDff_7J0KD5mKrp0Vvzr7lt3OU09vwQwhkpOPPYv2Y/edit?usp=sharing"",""งบพรบ!EQ18"")"),0)</f>
        <v>0</v>
      </c>
      <c r="O328" s="224">
        <f t="shared" ca="1" si="83"/>
        <v>0</v>
      </c>
      <c r="P328" s="224">
        <f t="shared" ca="1" si="84"/>
        <v>0</v>
      </c>
      <c r="Q328" s="224">
        <v>0</v>
      </c>
      <c r="R328" s="224">
        <v>0</v>
      </c>
      <c r="S328" s="224">
        <v>0</v>
      </c>
      <c r="T328" s="224">
        <f t="shared" si="85"/>
        <v>0</v>
      </c>
      <c r="U328" s="224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8" t="s">
        <v>38</v>
      </c>
      <c r="E329" s="141"/>
      <c r="F329" s="141"/>
      <c r="G329" s="142"/>
      <c r="H329" s="143"/>
      <c r="I329" s="135"/>
      <c r="J329" s="44"/>
      <c r="K329" s="45"/>
      <c r="L329" s="465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IFERROR(__xludf.DUMMYFUNCTION("IMPORTRANGE(""https://docs.google.com/spreadsheets/d/1eHaY18a8A9IcSdp1K8H6x8fbOy06t2VsZHhMHf-1x7Y/edit?usp=sharing"",""แผน!EJ18"")"),0)</f>
        <v>0</v>
      </c>
      <c r="J330" s="466">
        <v>0</v>
      </c>
      <c r="K330" s="224">
        <f ca="1">IF(I330&gt;0,J330*100/I330,0)</f>
        <v>0</v>
      </c>
      <c r="L330" s="465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57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569">
        <f ca="1">I344</f>
        <v>2340</v>
      </c>
      <c r="J332" s="568">
        <f ca="1">J344+J347+J348+J349+J353</f>
        <v>2736</v>
      </c>
      <c r="K332" s="567">
        <f ca="1">IF(I332&gt;0,J332*100/I332,0)</f>
        <v>116.92307692307692</v>
      </c>
      <c r="L332" s="539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472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471">
        <f ca="1">L334+L335</f>
        <v>113000</v>
      </c>
      <c r="M333" s="470">
        <f ca="1">M334+M335</f>
        <v>118000</v>
      </c>
      <c r="N333" s="470">
        <f ca="1">N334+N335</f>
        <v>82084</v>
      </c>
      <c r="O333" s="470">
        <f t="shared" ref="O333:O341" ca="1" si="89">IF(L333&gt;0,N333*100/L333,0)</f>
        <v>72.640707964601773</v>
      </c>
      <c r="P333" s="470">
        <f t="shared" ref="P333:P341" ca="1" si="90">IF(M333&gt;0,N333*100/M333,0)</f>
        <v>69.562711864406779</v>
      </c>
      <c r="Q333" s="470">
        <f>Q334+Q335</f>
        <v>0</v>
      </c>
      <c r="R333" s="470">
        <f>R334+R335</f>
        <v>0</v>
      </c>
      <c r="S333" s="470">
        <f>S334+S335</f>
        <v>0</v>
      </c>
      <c r="T333" s="470">
        <f t="shared" ref="T333:T341" si="91">IF(Q333&gt;0,S333*100/Q333,0)</f>
        <v>0</v>
      </c>
      <c r="U333" s="470">
        <f t="shared" ref="U333:U341" si="92"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469">
        <f t="shared" ref="L334:N335" si="93">L337+L340</f>
        <v>0</v>
      </c>
      <c r="M334" s="83">
        <f t="shared" si="93"/>
        <v>0</v>
      </c>
      <c r="N334" s="83">
        <f t="shared" si="93"/>
        <v>0</v>
      </c>
      <c r="O334" s="83">
        <f t="shared" si="89"/>
        <v>0</v>
      </c>
      <c r="P334" s="83">
        <f t="shared" si="90"/>
        <v>0</v>
      </c>
      <c r="Q334" s="83">
        <f t="shared" ref="Q334:S335" si="94">Q337+Q340</f>
        <v>0</v>
      </c>
      <c r="R334" s="83">
        <f t="shared" si="94"/>
        <v>0</v>
      </c>
      <c r="S334" s="83">
        <f t="shared" si="94"/>
        <v>0</v>
      </c>
      <c r="T334" s="83">
        <f t="shared" si="91"/>
        <v>0</v>
      </c>
      <c r="U334" s="83">
        <f t="shared" si="92"/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468">
        <f t="shared" ca="1" si="93"/>
        <v>113000</v>
      </c>
      <c r="M335" s="224">
        <f t="shared" ca="1" si="93"/>
        <v>118000</v>
      </c>
      <c r="N335" s="224">
        <f t="shared" ca="1" si="93"/>
        <v>82084</v>
      </c>
      <c r="O335" s="224">
        <f t="shared" ca="1" si="89"/>
        <v>72.640707964601773</v>
      </c>
      <c r="P335" s="224">
        <f t="shared" ca="1" si="90"/>
        <v>69.562711864406779</v>
      </c>
      <c r="Q335" s="224">
        <f t="shared" si="94"/>
        <v>0</v>
      </c>
      <c r="R335" s="224">
        <f t="shared" si="94"/>
        <v>0</v>
      </c>
      <c r="S335" s="224">
        <f t="shared" si="94"/>
        <v>0</v>
      </c>
      <c r="T335" s="224">
        <f t="shared" si="91"/>
        <v>0</v>
      </c>
      <c r="U335" s="224">
        <f t="shared" si="92"/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468">
        <f ca="1">L337+L338</f>
        <v>113000</v>
      </c>
      <c r="M336" s="224">
        <f ca="1">M337+M338</f>
        <v>118000</v>
      </c>
      <c r="N336" s="224">
        <f ca="1">N337+N338</f>
        <v>82084</v>
      </c>
      <c r="O336" s="224">
        <f t="shared" ca="1" si="89"/>
        <v>72.640707964601773</v>
      </c>
      <c r="P336" s="224">
        <f t="shared" ca="1" si="90"/>
        <v>69.562711864406779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 t="shared" si="91"/>
        <v>0</v>
      </c>
      <c r="U336" s="224">
        <f t="shared" si="92"/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469">
        <v>0</v>
      </c>
      <c r="M337" s="83">
        <v>0</v>
      </c>
      <c r="N337" s="83">
        <v>0</v>
      </c>
      <c r="O337" s="83">
        <f t="shared" si="89"/>
        <v>0</v>
      </c>
      <c r="P337" s="83">
        <f t="shared" si="90"/>
        <v>0</v>
      </c>
      <c r="Q337" s="83">
        <v>0</v>
      </c>
      <c r="R337" s="83">
        <v>0</v>
      </c>
      <c r="S337" s="83">
        <v>0</v>
      </c>
      <c r="T337" s="83">
        <f t="shared" si="91"/>
        <v>0</v>
      </c>
      <c r="U337" s="83">
        <f t="shared" si="92"/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468">
        <f ca="1">IFERROR(__xludf.DUMMYFUNCTION("IMPORTRANGE(""https://docs.google.com/spreadsheets/d/1-uDff_7J0KD5mKrp0Vvzr7lt3OU09vwQwhkpOPPYv2Y/edit?usp=sharing"",""งบพรบ!ES18"")"),113000)</f>
        <v>113000</v>
      </c>
      <c r="M338" s="224">
        <f ca="1">IFERROR(__xludf.DUMMYFUNCTION("IMPORTRANGE(""https://docs.google.com/spreadsheets/d/1-uDff_7J0KD5mKrp0Vvzr7lt3OU09vwQwhkpOPPYv2Y/edit?usp=sharing"",""งบพรบ!EX18"")"),118000)</f>
        <v>118000</v>
      </c>
      <c r="N338" s="224">
        <f ca="1">IFERROR(__xludf.DUMMYFUNCTION("IMPORTRANGE(""https://docs.google.com/spreadsheets/d/1-uDff_7J0KD5mKrp0Vvzr7lt3OU09vwQwhkpOPPYv2Y/edit?usp=sharing"",""งบพรบ!EZ18"")"),82084)</f>
        <v>82084</v>
      </c>
      <c r="O338" s="224">
        <f t="shared" ca="1" si="89"/>
        <v>72.640707964601773</v>
      </c>
      <c r="P338" s="224">
        <f t="shared" ca="1" si="90"/>
        <v>69.562711864406779</v>
      </c>
      <c r="Q338" s="224">
        <v>0</v>
      </c>
      <c r="R338" s="224">
        <v>0</v>
      </c>
      <c r="S338" s="224">
        <v>0</v>
      </c>
      <c r="T338" s="224">
        <f t="shared" si="91"/>
        <v>0</v>
      </c>
      <c r="U338" s="224">
        <f t="shared" si="92"/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468">
        <f ca="1">L340+L341</f>
        <v>0</v>
      </c>
      <c r="M339" s="224">
        <f ca="1">M340+M341</f>
        <v>0</v>
      </c>
      <c r="N339" s="224">
        <f ca="1">N340+N341</f>
        <v>0</v>
      </c>
      <c r="O339" s="224">
        <f t="shared" ca="1" si="89"/>
        <v>0</v>
      </c>
      <c r="P339" s="224">
        <f t="shared" ca="1" si="90"/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 t="shared" si="91"/>
        <v>0</v>
      </c>
      <c r="U339" s="224">
        <f t="shared" si="92"/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469">
        <v>0</v>
      </c>
      <c r="M340" s="83">
        <v>0</v>
      </c>
      <c r="N340" s="83">
        <v>0</v>
      </c>
      <c r="O340" s="83">
        <f t="shared" si="89"/>
        <v>0</v>
      </c>
      <c r="P340" s="83">
        <f t="shared" si="90"/>
        <v>0</v>
      </c>
      <c r="Q340" s="83">
        <v>0</v>
      </c>
      <c r="R340" s="83">
        <v>0</v>
      </c>
      <c r="S340" s="83">
        <v>0</v>
      </c>
      <c r="T340" s="83">
        <f t="shared" si="91"/>
        <v>0</v>
      </c>
      <c r="U340" s="83">
        <f t="shared" si="92"/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468">
        <f ca="1">IFERROR(__xludf.DUMMYFUNCTION("IMPORTRANGE(""https://docs.google.com/spreadsheets/d/1-uDff_7J0KD5mKrp0Vvzr7lt3OU09vwQwhkpOPPYv2Y/edit?usp=sharing"",""งบพรบ!EV18"")"),0)</f>
        <v>0</v>
      </c>
      <c r="M341" s="224">
        <f ca="1">IFERROR(__xludf.DUMMYFUNCTION("IMPORTRANGE(""https://docs.google.com/spreadsheets/d/1-uDff_7J0KD5mKrp0Vvzr7lt3OU09vwQwhkpOPPYv2Y/edit?usp=sharing"",""งบพรบ!EY18"")"),0)</f>
        <v>0</v>
      </c>
      <c r="N341" s="224">
        <f ca="1">IFERROR(__xludf.DUMMYFUNCTION("IMPORTRANGE(""https://docs.google.com/spreadsheets/d/1-uDff_7J0KD5mKrp0Vvzr7lt3OU09vwQwhkpOPPYv2Y/edit?usp=sharing"",""งบพรบ!FA18"")"),0)</f>
        <v>0</v>
      </c>
      <c r="O341" s="224">
        <f t="shared" ca="1" si="89"/>
        <v>0</v>
      </c>
      <c r="P341" s="224">
        <f t="shared" ca="1" si="90"/>
        <v>0</v>
      </c>
      <c r="Q341" s="224">
        <v>0</v>
      </c>
      <c r="R341" s="224">
        <v>0</v>
      </c>
      <c r="S341" s="224">
        <v>0</v>
      </c>
      <c r="T341" s="224">
        <f t="shared" si="91"/>
        <v>0</v>
      </c>
      <c r="U341" s="224">
        <f t="shared" si="92"/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465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566"/>
      <c r="B343" s="563"/>
      <c r="C343" s="565"/>
      <c r="D343" s="563"/>
      <c r="E343" s="564" t="s">
        <v>137</v>
      </c>
      <c r="F343" s="563"/>
      <c r="G343" s="562"/>
      <c r="H343" s="561" t="s">
        <v>35</v>
      </c>
      <c r="I343" s="560">
        <v>0</v>
      </c>
      <c r="J343" s="560">
        <f ca="1">J344+J347+J348+J349</f>
        <v>1745</v>
      </c>
      <c r="K343" s="559">
        <v>0</v>
      </c>
      <c r="L343" s="557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IFERROR(__xludf.DUMMYFUNCTION("IMPORTRANGE(""https://docs.google.com/spreadsheets/d/1eHaY18a8A9IcSdp1K8H6x8fbOy06t2VsZHhMHf-1x7Y/edit?usp=sharing"",""แผน!EK18"")"),2340)</f>
        <v>2340</v>
      </c>
      <c r="J344" s="184">
        <f ca="1">IFERROR(__xludf.DUMMYFUNCTION("IMPORTRANGE(""https://docs.google.com/spreadsheets/d/1awYsYK3VOup2i3Pq_Yjnu8DRu_mYwSBnCR2QPthd0rU/edit?usp=sharing"",""ศูนย์ยกเว้นโฉนด!D18"")"),1568)</f>
        <v>1568</v>
      </c>
      <c r="K344" s="224">
        <f ca="1">IF(I344&gt;0,J344*100/I344,0)</f>
        <v>67.008547008547012</v>
      </c>
      <c r="L344" s="465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465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IFERROR(__xludf.DUMMYFUNCTION("IMPORTRANGE(""https://docs.google.com/spreadsheets/d/1eHaY18a8A9IcSdp1K8H6x8fbOy06t2VsZHhMHf-1x7Y/edit?usp=sharing"",""แผน!EL18"")"),5)</f>
        <v>5</v>
      </c>
      <c r="J346" s="184">
        <f ca="1">IFERROR(__xludf.DUMMYFUNCTION("IMPORTRANGE(""https://docs.google.com/spreadsheets/d/1awYsYK3VOup2i3Pq_Yjnu8DRu_mYwSBnCR2QPthd0rU/edit?usp=sharing"",""ศูนย์รวม!E18"")"),4)</f>
        <v>4</v>
      </c>
      <c r="K346" s="224">
        <f ca="1">IF(I346&gt;0,J346*100/I346,0)</f>
        <v>80</v>
      </c>
      <c r="L346" s="465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IFERROR(__xludf.DUMMYFUNCTION("IMPORTRANGE(""https://docs.google.com/spreadsheets/d/1awYsYK3VOup2i3Pq_Yjnu8DRu_mYwSBnCR2QPthd0rU/edit?usp=sharing"",""ศูนย์ยกเว้นโฉนด!F18"")"),176)</f>
        <v>176</v>
      </c>
      <c r="K347" s="45"/>
      <c r="L347" s="465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IFERROR(__xludf.DUMMYFUNCTION("IMPORTRANGE(""https://docs.google.com/spreadsheets/d/1awYsYK3VOup2i3Pq_Yjnu8DRu_mYwSBnCR2QPthd0rU/edit?usp=sharing"",""ศูนย์ยกเว้นโฉนด!G18"")"),1)</f>
        <v>1</v>
      </c>
      <c r="K348" s="45"/>
      <c r="L348" s="465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IFERROR(__xludf.DUMMYFUNCTION("IMPORTRANGE(""https://docs.google.com/spreadsheets/d/1awYsYK3VOup2i3Pq_Yjnu8DRu_mYwSBnCR2QPthd0rU/edit?usp=sharing"",""ศูนย์ยกเว้นโฉนด!H18"")"),0)</f>
        <v>0</v>
      </c>
      <c r="K349" s="45"/>
      <c r="L349" s="465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0"/>
      <c r="F350" s="40"/>
      <c r="G350" s="42"/>
      <c r="H350" s="180"/>
      <c r="I350" s="44"/>
      <c r="J350" s="44"/>
      <c r="K350" s="45"/>
      <c r="L350" s="465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558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3121</v>
      </c>
      <c r="K351" s="304">
        <v>0</v>
      </c>
      <c r="L351" s="557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IFERROR(__xludf.DUMMYFUNCTION("IMPORTRANGE(""https://docs.google.com/spreadsheets/d/1awYsYK3VOup2i3Pq_Yjnu8DRu_mYwSBnCR2QPthd0rU/edit?usp=sharing"",""โฉนดM3!G18"")"),2130)</f>
        <v>2130</v>
      </c>
      <c r="K352" s="45"/>
      <c r="L352" s="465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IFERROR(__xludf.DUMMYFUNCTION("IMPORTRANGE(""https://docs.google.com/spreadsheets/d/1awYsYK3VOup2i3Pq_Yjnu8DRu_mYwSBnCR2QPthd0rU/edit?usp=sharing"",""โฉนดM3!H18"")"),991)</f>
        <v>991</v>
      </c>
      <c r="K353" s="45"/>
      <c r="L353" s="465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0"/>
      <c r="F354" s="40"/>
      <c r="G354" s="42"/>
      <c r="H354" s="180"/>
      <c r="I354" s="44"/>
      <c r="J354" s="44"/>
      <c r="K354" s="45"/>
      <c r="L354" s="465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539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472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471">
        <f ca="1">L357+L358</f>
        <v>536435</v>
      </c>
      <c r="M356" s="470">
        <f ca="1">M357+M358</f>
        <v>543755</v>
      </c>
      <c r="N356" s="470">
        <f ca="1">N357+N358</f>
        <v>374365</v>
      </c>
      <c r="O356" s="470">
        <f t="shared" ref="O356:O364" ca="1" si="95">IF(L356&gt;0,N356*100/L356,0)</f>
        <v>69.787579110237033</v>
      </c>
      <c r="P356" s="470">
        <f t="shared" ref="P356:P364" ca="1" si="96">IF(M356&gt;0,N356*100/M356,0)</f>
        <v>68.848102546183483</v>
      </c>
      <c r="Q356" s="470">
        <f>Q357+Q358</f>
        <v>0</v>
      </c>
      <c r="R356" s="470">
        <f>R357+R358</f>
        <v>0</v>
      </c>
      <c r="S356" s="470">
        <f>S357+S358</f>
        <v>0</v>
      </c>
      <c r="T356" s="470">
        <f t="shared" ref="T356:T364" si="97">IF(Q356&gt;0,S356*100/Q356,0)</f>
        <v>0</v>
      </c>
      <c r="U356" s="470">
        <f t="shared" ref="U356:U364" si="98"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469">
        <f t="shared" ref="L357:N358" si="99">L360+L363</f>
        <v>0</v>
      </c>
      <c r="M357" s="83">
        <f t="shared" si="99"/>
        <v>0</v>
      </c>
      <c r="N357" s="83">
        <f t="shared" si="99"/>
        <v>0</v>
      </c>
      <c r="O357" s="83">
        <f t="shared" si="95"/>
        <v>0</v>
      </c>
      <c r="P357" s="83">
        <f t="shared" si="96"/>
        <v>0</v>
      </c>
      <c r="Q357" s="83">
        <f t="shared" ref="Q357:S358" si="100">Q360+Q363</f>
        <v>0</v>
      </c>
      <c r="R357" s="83">
        <f t="shared" si="100"/>
        <v>0</v>
      </c>
      <c r="S357" s="83">
        <f t="shared" si="100"/>
        <v>0</v>
      </c>
      <c r="T357" s="83">
        <f t="shared" si="97"/>
        <v>0</v>
      </c>
      <c r="U357" s="83">
        <f t="shared" si="98"/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468">
        <f t="shared" ca="1" si="99"/>
        <v>536435</v>
      </c>
      <c r="M358" s="224">
        <f t="shared" ca="1" si="99"/>
        <v>543755</v>
      </c>
      <c r="N358" s="224">
        <f t="shared" ca="1" si="99"/>
        <v>374365</v>
      </c>
      <c r="O358" s="224">
        <f t="shared" ca="1" si="95"/>
        <v>69.787579110237033</v>
      </c>
      <c r="P358" s="224">
        <f t="shared" ca="1" si="96"/>
        <v>68.848102546183483</v>
      </c>
      <c r="Q358" s="224">
        <f t="shared" si="100"/>
        <v>0</v>
      </c>
      <c r="R358" s="224">
        <f t="shared" si="100"/>
        <v>0</v>
      </c>
      <c r="S358" s="224">
        <f t="shared" si="100"/>
        <v>0</v>
      </c>
      <c r="T358" s="224">
        <f t="shared" si="97"/>
        <v>0</v>
      </c>
      <c r="U358" s="224">
        <f t="shared" si="98"/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468">
        <f ca="1">L360+L361</f>
        <v>536435</v>
      </c>
      <c r="M359" s="224">
        <f ca="1">M360+M361</f>
        <v>543755</v>
      </c>
      <c r="N359" s="224">
        <f ca="1">N360+N361</f>
        <v>374365</v>
      </c>
      <c r="O359" s="224">
        <f t="shared" ca="1" si="95"/>
        <v>69.787579110237033</v>
      </c>
      <c r="P359" s="224">
        <f t="shared" ca="1" si="96"/>
        <v>68.848102546183483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 t="shared" si="97"/>
        <v>0</v>
      </c>
      <c r="U359" s="224">
        <f t="shared" si="98"/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469">
        <v>0</v>
      </c>
      <c r="M360" s="83">
        <v>0</v>
      </c>
      <c r="N360" s="83">
        <v>0</v>
      </c>
      <c r="O360" s="83">
        <f t="shared" si="95"/>
        <v>0</v>
      </c>
      <c r="P360" s="83">
        <f t="shared" si="96"/>
        <v>0</v>
      </c>
      <c r="Q360" s="83">
        <v>0</v>
      </c>
      <c r="R360" s="83">
        <v>0</v>
      </c>
      <c r="S360" s="83">
        <v>0</v>
      </c>
      <c r="T360" s="83">
        <f t="shared" si="97"/>
        <v>0</v>
      </c>
      <c r="U360" s="83">
        <f t="shared" si="98"/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468">
        <f ca="1">IFERROR(__xludf.DUMMYFUNCTION("IMPORTRANGE(""https://docs.google.com/spreadsheets/d/1-uDff_7J0KD5mKrp0Vvzr7lt3OU09vwQwhkpOPPYv2Y/edit?usp=sharing"",""งบพรบ!FC18"")"),536435)</f>
        <v>536435</v>
      </c>
      <c r="M361" s="224">
        <f ca="1">IFERROR(__xludf.DUMMYFUNCTION("IMPORTRANGE(""https://docs.google.com/spreadsheets/d/1-uDff_7J0KD5mKrp0Vvzr7lt3OU09vwQwhkpOPPYv2Y/edit?usp=sharing"",""งบพรบ!FH18"")"),543755)</f>
        <v>543755</v>
      </c>
      <c r="N361" s="224">
        <f ca="1">IFERROR(__xludf.DUMMYFUNCTION("IMPORTRANGE(""https://docs.google.com/spreadsheets/d/1-uDff_7J0KD5mKrp0Vvzr7lt3OU09vwQwhkpOPPYv2Y/edit?usp=sharing"",""งบพรบ!FJ18"")"),374365)</f>
        <v>374365</v>
      </c>
      <c r="O361" s="224">
        <f t="shared" ca="1" si="95"/>
        <v>69.787579110237033</v>
      </c>
      <c r="P361" s="224">
        <f t="shared" ca="1" si="96"/>
        <v>68.848102546183483</v>
      </c>
      <c r="Q361" s="224">
        <v>0</v>
      </c>
      <c r="R361" s="224">
        <v>0</v>
      </c>
      <c r="S361" s="224">
        <v>0</v>
      </c>
      <c r="T361" s="224">
        <f t="shared" si="97"/>
        <v>0</v>
      </c>
      <c r="U361" s="224">
        <f t="shared" si="98"/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468">
        <f ca="1">L363+L364</f>
        <v>0</v>
      </c>
      <c r="M362" s="224">
        <f ca="1">M363+M364</f>
        <v>0</v>
      </c>
      <c r="N362" s="224">
        <f ca="1">N363+N364</f>
        <v>0</v>
      </c>
      <c r="O362" s="224">
        <f t="shared" ca="1" si="95"/>
        <v>0</v>
      </c>
      <c r="P362" s="224">
        <f t="shared" ca="1" si="96"/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 t="shared" si="97"/>
        <v>0</v>
      </c>
      <c r="U362" s="224">
        <f t="shared" si="98"/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469">
        <v>0</v>
      </c>
      <c r="M363" s="83">
        <v>0</v>
      </c>
      <c r="N363" s="83">
        <v>0</v>
      </c>
      <c r="O363" s="83">
        <f t="shared" si="95"/>
        <v>0</v>
      </c>
      <c r="P363" s="83">
        <f t="shared" si="96"/>
        <v>0</v>
      </c>
      <c r="Q363" s="83">
        <v>0</v>
      </c>
      <c r="R363" s="83">
        <v>0</v>
      </c>
      <c r="S363" s="83">
        <v>0</v>
      </c>
      <c r="T363" s="83">
        <f t="shared" si="97"/>
        <v>0</v>
      </c>
      <c r="U363" s="83">
        <f t="shared" si="98"/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468">
        <f ca="1">IFERROR(__xludf.DUMMYFUNCTION("IMPORTRANGE(""https://docs.google.com/spreadsheets/d/1-uDff_7J0KD5mKrp0Vvzr7lt3OU09vwQwhkpOPPYv2Y/edit?usp=sharing"",""งบพรบ!FF18"")"),0)</f>
        <v>0</v>
      </c>
      <c r="M364" s="224">
        <f ca="1">IFERROR(__xludf.DUMMYFUNCTION("IMPORTRANGE(""https://docs.google.com/spreadsheets/d/1-uDff_7J0KD5mKrp0Vvzr7lt3OU09vwQwhkpOPPYv2Y/edit?usp=sharing"",""งบพรบ!FI18"")"),0)</f>
        <v>0</v>
      </c>
      <c r="N364" s="224">
        <f ca="1">IFERROR(__xludf.DUMMYFUNCTION("IMPORTRANGE(""https://docs.google.com/spreadsheets/d/1-uDff_7J0KD5mKrp0Vvzr7lt3OU09vwQwhkpOPPYv2Y/edit?usp=sharing"",""งบพรบ!FK18"")"),0)</f>
        <v>0</v>
      </c>
      <c r="O364" s="224">
        <f t="shared" ca="1" si="95"/>
        <v>0</v>
      </c>
      <c r="P364" s="224">
        <f t="shared" ca="1" si="96"/>
        <v>0</v>
      </c>
      <c r="Q364" s="224">
        <v>0</v>
      </c>
      <c r="R364" s="224">
        <v>0</v>
      </c>
      <c r="S364" s="224">
        <v>0</v>
      </c>
      <c r="T364" s="224">
        <f t="shared" si="97"/>
        <v>0</v>
      </c>
      <c r="U364" s="224">
        <f t="shared" si="98"/>
        <v>0</v>
      </c>
    </row>
    <row r="365" spans="1:21" ht="19.5" x14ac:dyDescent="0.3">
      <c r="A365" s="211"/>
      <c r="B365" s="212"/>
      <c r="C365" s="214"/>
      <c r="D365" s="558" t="s">
        <v>149</v>
      </c>
      <c r="E365" s="214"/>
      <c r="F365" s="214"/>
      <c r="G365" s="215"/>
      <c r="H365" s="223" t="s">
        <v>35</v>
      </c>
      <c r="I365" s="303">
        <f ca="1">I371</f>
        <v>198</v>
      </c>
      <c r="J365" s="303">
        <f ca="1">J371</f>
        <v>268</v>
      </c>
      <c r="K365" s="304">
        <f ca="1">IF(I365&gt;0,J365*100/I365,0)</f>
        <v>135.35353535353536</v>
      </c>
      <c r="L365" s="557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498" t="s">
        <v>38</v>
      </c>
      <c r="E366" s="141"/>
      <c r="F366" s="141"/>
      <c r="G366" s="142"/>
      <c r="H366" s="143"/>
      <c r="I366" s="44"/>
      <c r="J366" s="44"/>
      <c r="K366" s="45"/>
      <c r="L366" s="4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IFERROR(__xludf.DUMMYFUNCTION("IMPORTRANGE(""https://docs.google.com/spreadsheets/d/1tdoBKaGub7dwA3U6UFTqxio9LNnvDCQjHKmttSEBsFQ/edit?usp=sharing"",""จัดที่ดิน!AB18"")"),119)</f>
        <v>119</v>
      </c>
      <c r="K367" s="224">
        <f t="shared" ref="K367:K372" si="101">IF(I367&gt;0,J367*100/I367,0)</f>
        <v>0</v>
      </c>
      <c r="L367" s="4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IFERROR(__xludf.DUMMYFUNCTION("IMPORTRANGE(""https://docs.google.com/spreadsheets/d/1eHaY18a8A9IcSdp1K8H6x8fbOy06t2VsZHhMHf-1x7Y/edit?usp=sharing"",""แผน!EW18"")"),1255)</f>
        <v>1255</v>
      </c>
      <c r="J368" s="556">
        <f ca="1">IFERROR(__xludf.DUMMYFUNCTION("IMPORTRANGE(""https://docs.google.com/spreadsheets/d/1tdoBKaGub7dwA3U6UFTqxio9LNnvDCQjHKmttSEBsFQ/edit?usp=sharing"",""จัดที่ดิน!AC18"")"),1696.42)</f>
        <v>1696.42</v>
      </c>
      <c r="K368" s="224">
        <f t="shared" ca="1" si="101"/>
        <v>135.17290836653387</v>
      </c>
      <c r="L368" s="4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IFERROR(__xludf.DUMMYFUNCTION("IMPORTRANGE(""https://docs.google.com/spreadsheets/d/1eHaY18a8A9IcSdp1K8H6x8fbOy06t2VsZHhMHf-1x7Y/edit?usp=sharing"",""แผน!EX18"")"),198)</f>
        <v>198</v>
      </c>
      <c r="J369" s="184">
        <f ca="1">IFERROR(__xludf.DUMMYFUNCTION("IMPORTRANGE(""https://docs.google.com/spreadsheets/d/1tdoBKaGub7dwA3U6UFTqxio9LNnvDCQjHKmttSEBsFQ/edit?usp=sharing"",""จัดที่ดิน!AD18"")"),270)</f>
        <v>270</v>
      </c>
      <c r="K369" s="224">
        <f t="shared" ca="1" si="101"/>
        <v>136.36363636363637</v>
      </c>
      <c r="L369" s="4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556">
        <f ca="1">IFERROR(__xludf.DUMMYFUNCTION("IMPORTRANGE(""https://docs.google.com/spreadsheets/d/1tdoBKaGub7dwA3U6UFTqxio9LNnvDCQjHKmttSEBsFQ/edit?usp=sharing"",""จัดที่ดิน!AE18"")"),4688.54)</f>
        <v>4688.54</v>
      </c>
      <c r="K370" s="224">
        <f t="shared" si="101"/>
        <v>0</v>
      </c>
      <c r="L370" s="4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IFERROR(__xludf.DUMMYFUNCTION("IMPORTRANGE(""https://docs.google.com/spreadsheets/d/1eHaY18a8A9IcSdp1K8H6x8fbOy06t2VsZHhMHf-1x7Y/edit?usp=sharing"",""แผน!EY18"")"),198)</f>
        <v>198</v>
      </c>
      <c r="J371" s="184">
        <f ca="1">IFERROR(__xludf.DUMMYFUNCTION("IMPORTRANGE(""https://docs.google.com/spreadsheets/d/1tdoBKaGub7dwA3U6UFTqxio9LNnvDCQjHKmttSEBsFQ/edit?usp=sharing"",""จัดที่ดิน!AF18"")"),268)</f>
        <v>268</v>
      </c>
      <c r="K371" s="224">
        <f t="shared" ca="1" si="101"/>
        <v>135.35353535353536</v>
      </c>
      <c r="L371" s="4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556">
        <f ca="1">IFERROR(__xludf.DUMMYFUNCTION("IMPORTRANGE(""https://docs.google.com/spreadsheets/d/1tdoBKaGub7dwA3U6UFTqxio9LNnvDCQjHKmttSEBsFQ/edit?usp=sharing"",""จัดที่ดิน!AG18"")"),4663.58)</f>
        <v>4663.58</v>
      </c>
      <c r="K372" s="224">
        <f t="shared" si="101"/>
        <v>0</v>
      </c>
      <c r="L372" s="4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2"/>
      <c r="H373" s="52"/>
      <c r="I373" s="54"/>
      <c r="J373" s="54"/>
      <c r="K373" s="3"/>
      <c r="L373" s="46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555"/>
      <c r="B374" s="554" t="s">
        <v>153</v>
      </c>
      <c r="C374" s="553"/>
      <c r="D374" s="552"/>
      <c r="E374" s="551"/>
      <c r="F374" s="551"/>
      <c r="G374" s="550"/>
      <c r="H374" s="549" t="s">
        <v>46</v>
      </c>
      <c r="I374" s="720">
        <f ca="1">I386+I388</f>
        <v>2000</v>
      </c>
      <c r="J374" s="548">
        <f ca="1">J386+J388</f>
        <v>0</v>
      </c>
      <c r="K374" s="547">
        <f ca="1">IF(I374&gt;0,J374*100/I374,0)</f>
        <v>0</v>
      </c>
      <c r="L374" s="539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128"/>
      <c r="B375" s="158"/>
      <c r="C375" s="161" t="s">
        <v>18</v>
      </c>
      <c r="D375" s="544" t="s">
        <v>19</v>
      </c>
      <c r="E375" s="40"/>
      <c r="F375" s="40"/>
      <c r="G375" s="42"/>
      <c r="H375" s="131" t="s">
        <v>14</v>
      </c>
      <c r="I375" s="719"/>
      <c r="J375" s="44"/>
      <c r="K375" s="45"/>
      <c r="L375" s="471">
        <f>L376+L377</f>
        <v>0</v>
      </c>
      <c r="M375" s="470">
        <f>M376+M377</f>
        <v>0</v>
      </c>
      <c r="N375" s="470">
        <f>N376+N377</f>
        <v>0</v>
      </c>
      <c r="O375" s="470">
        <f t="shared" ref="O375:O383" si="102">IF(L375&gt;0,N375*100/L375,0)</f>
        <v>0</v>
      </c>
      <c r="P375" s="470">
        <f t="shared" ref="P375:P383" si="103">IF(M375&gt;0,N375*100/M375,0)</f>
        <v>0</v>
      </c>
      <c r="Q375" s="470">
        <f ca="1">Q376+Q377</f>
        <v>125000</v>
      </c>
      <c r="R375" s="470">
        <f ca="1">R376+R377</f>
        <v>0</v>
      </c>
      <c r="S375" s="470">
        <f ca="1">S376+S377</f>
        <v>0</v>
      </c>
      <c r="T375" s="470">
        <f t="shared" ref="T375:T383" ca="1" si="104">IF(Q375&gt;0,S375*100/Q375,0)</f>
        <v>0</v>
      </c>
      <c r="U375" s="470">
        <f t="shared" ref="U375:U383" ca="1" si="105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719"/>
      <c r="J376" s="44"/>
      <c r="K376" s="45"/>
      <c r="L376" s="469">
        <f t="shared" ref="L376:N377" si="106">L379+L382</f>
        <v>0</v>
      </c>
      <c r="M376" s="83">
        <f t="shared" si="106"/>
        <v>0</v>
      </c>
      <c r="N376" s="83">
        <f t="shared" si="106"/>
        <v>0</v>
      </c>
      <c r="O376" s="83">
        <f t="shared" si="102"/>
        <v>0</v>
      </c>
      <c r="P376" s="83">
        <f t="shared" si="103"/>
        <v>0</v>
      </c>
      <c r="Q376" s="83">
        <f t="shared" ref="Q376:S377" si="107">Q379+Q382</f>
        <v>0</v>
      </c>
      <c r="R376" s="83">
        <f t="shared" si="107"/>
        <v>0</v>
      </c>
      <c r="S376" s="83">
        <f t="shared" si="107"/>
        <v>0</v>
      </c>
      <c r="T376" s="83">
        <f t="shared" si="104"/>
        <v>0</v>
      </c>
      <c r="U376" s="83">
        <f t="shared" si="105"/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719"/>
      <c r="J377" s="44"/>
      <c r="K377" s="45"/>
      <c r="L377" s="468">
        <f t="shared" si="106"/>
        <v>0</v>
      </c>
      <c r="M377" s="224">
        <f t="shared" si="106"/>
        <v>0</v>
      </c>
      <c r="N377" s="224">
        <f t="shared" si="106"/>
        <v>0</v>
      </c>
      <c r="O377" s="224">
        <f t="shared" si="102"/>
        <v>0</v>
      </c>
      <c r="P377" s="224">
        <f t="shared" si="103"/>
        <v>0</v>
      </c>
      <c r="Q377" s="224">
        <f t="shared" ca="1" si="107"/>
        <v>125000</v>
      </c>
      <c r="R377" s="224">
        <f t="shared" ca="1" si="107"/>
        <v>0</v>
      </c>
      <c r="S377" s="224">
        <f t="shared" ca="1" si="107"/>
        <v>0</v>
      </c>
      <c r="T377" s="224">
        <f t="shared" ca="1" si="104"/>
        <v>0</v>
      </c>
      <c r="U377" s="224">
        <f t="shared" ca="1" si="105"/>
        <v>0</v>
      </c>
    </row>
    <row r="378" spans="1:21" ht="18.75" x14ac:dyDescent="0.25">
      <c r="A378" s="128"/>
      <c r="B378" s="158"/>
      <c r="C378" s="158"/>
      <c r="D378" s="538" t="s">
        <v>22</v>
      </c>
      <c r="E378" s="40"/>
      <c r="F378" s="40"/>
      <c r="G378" s="42"/>
      <c r="H378" s="134" t="s">
        <v>14</v>
      </c>
      <c r="I378" s="718"/>
      <c r="J378" s="135"/>
      <c r="K378" s="136"/>
      <c r="L378" s="468">
        <f>L379+L380</f>
        <v>0</v>
      </c>
      <c r="M378" s="224">
        <f>M379+M380</f>
        <v>0</v>
      </c>
      <c r="N378" s="224">
        <f>N379+N380</f>
        <v>0</v>
      </c>
      <c r="O378" s="224">
        <f t="shared" si="102"/>
        <v>0</v>
      </c>
      <c r="P378" s="224">
        <f t="shared" si="103"/>
        <v>0</v>
      </c>
      <c r="Q378" s="224">
        <f ca="1">Q379+Q380</f>
        <v>125000</v>
      </c>
      <c r="R378" s="224">
        <f ca="1">R379+R380</f>
        <v>0</v>
      </c>
      <c r="S378" s="224">
        <f ca="1">S379+S380</f>
        <v>0</v>
      </c>
      <c r="T378" s="224">
        <f t="shared" ca="1" si="104"/>
        <v>0</v>
      </c>
      <c r="U378" s="224">
        <f t="shared" ca="1" si="105"/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718"/>
      <c r="J379" s="135"/>
      <c r="K379" s="136"/>
      <c r="L379" s="469">
        <v>0</v>
      </c>
      <c r="M379" s="83">
        <v>0</v>
      </c>
      <c r="N379" s="83">
        <v>0</v>
      </c>
      <c r="O379" s="83">
        <f t="shared" si="102"/>
        <v>0</v>
      </c>
      <c r="P379" s="83">
        <f t="shared" si="103"/>
        <v>0</v>
      </c>
      <c r="Q379" s="83">
        <v>0</v>
      </c>
      <c r="R379" s="83">
        <v>0</v>
      </c>
      <c r="S379" s="83">
        <v>0</v>
      </c>
      <c r="T379" s="83">
        <f t="shared" si="104"/>
        <v>0</v>
      </c>
      <c r="U379" s="83">
        <f t="shared" si="105"/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718"/>
      <c r="J380" s="135"/>
      <c r="K380" s="136"/>
      <c r="L380" s="468">
        <v>0</v>
      </c>
      <c r="M380" s="224">
        <v>0</v>
      </c>
      <c r="N380" s="224">
        <v>0</v>
      </c>
      <c r="O380" s="224">
        <f t="shared" si="102"/>
        <v>0</v>
      </c>
      <c r="P380" s="224">
        <f t="shared" si="103"/>
        <v>0</v>
      </c>
      <c r="Q380" s="224">
        <f ca="1">IFERROR(__xludf.DUMMYFUNCTION("IMPORTRANGE(""https://docs.google.com/spreadsheets/d/1ItG2mGa2ceCfYo0BwxsXqNm01IGEUdYcSSLTEv9YCik/edit?usp=sharing"",""เบิกจ่ายกองทุน!AY18"")"),125000)</f>
        <v>125000</v>
      </c>
      <c r="R380" s="224">
        <f ca="1">IFERROR(__xludf.DUMMYFUNCTION("IMPORTRANGE(""https://docs.google.com/spreadsheets/d/1ItG2mGa2ceCfYo0BwxsXqNm01IGEUdYcSSLTEv9YCik/edit?usp=sharing"",""เบิกจ่ายกองทุน!AZ18"")"),0)</f>
        <v>0</v>
      </c>
      <c r="S380" s="224">
        <f ca="1">IFERROR(__xludf.DUMMYFUNCTION("IMPORTRANGE(""https://docs.google.com/spreadsheets/d/1ItG2mGa2ceCfYo0BwxsXqNm01IGEUdYcSSLTEv9YCik/edit?usp=sharing"",""เบิกจ่ายกองทุน!BA18"")"),0)</f>
        <v>0</v>
      </c>
      <c r="T380" s="224">
        <f t="shared" ca="1" si="104"/>
        <v>0</v>
      </c>
      <c r="U380" s="224">
        <f t="shared" ca="1" si="105"/>
        <v>0</v>
      </c>
    </row>
    <row r="381" spans="1:21" ht="18.75" x14ac:dyDescent="0.25">
      <c r="A381" s="128"/>
      <c r="B381" s="158"/>
      <c r="C381" s="158"/>
      <c r="D381" s="538" t="s">
        <v>23</v>
      </c>
      <c r="E381" s="40"/>
      <c r="F381" s="40"/>
      <c r="G381" s="42"/>
      <c r="H381" s="137" t="s">
        <v>14</v>
      </c>
      <c r="I381" s="718"/>
      <c r="J381" s="135"/>
      <c r="K381" s="136"/>
      <c r="L381" s="468">
        <f>L382+L383</f>
        <v>0</v>
      </c>
      <c r="M381" s="224">
        <f>M382+M383</f>
        <v>0</v>
      </c>
      <c r="N381" s="224">
        <f>N382+N383</f>
        <v>0</v>
      </c>
      <c r="O381" s="224">
        <f t="shared" si="102"/>
        <v>0</v>
      </c>
      <c r="P381" s="224">
        <f t="shared" si="103"/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 t="shared" si="104"/>
        <v>0</v>
      </c>
      <c r="U381" s="224">
        <f t="shared" si="105"/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718"/>
      <c r="J382" s="135"/>
      <c r="K382" s="136"/>
      <c r="L382" s="469">
        <v>0</v>
      </c>
      <c r="M382" s="83">
        <v>0</v>
      </c>
      <c r="N382" s="83">
        <v>0</v>
      </c>
      <c r="O382" s="83">
        <f t="shared" si="102"/>
        <v>0</v>
      </c>
      <c r="P382" s="83">
        <f t="shared" si="103"/>
        <v>0</v>
      </c>
      <c r="Q382" s="83">
        <v>0</v>
      </c>
      <c r="R382" s="83">
        <v>0</v>
      </c>
      <c r="S382" s="83">
        <v>0</v>
      </c>
      <c r="T382" s="83">
        <f t="shared" si="104"/>
        <v>0</v>
      </c>
      <c r="U382" s="83">
        <f t="shared" si="105"/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718"/>
      <c r="J383" s="135"/>
      <c r="K383" s="136"/>
      <c r="L383" s="468">
        <v>0</v>
      </c>
      <c r="M383" s="224">
        <v>0</v>
      </c>
      <c r="N383" s="224">
        <v>0</v>
      </c>
      <c r="O383" s="224">
        <f t="shared" si="102"/>
        <v>0</v>
      </c>
      <c r="P383" s="224">
        <f t="shared" si="103"/>
        <v>0</v>
      </c>
      <c r="Q383" s="224">
        <v>0</v>
      </c>
      <c r="R383" s="224">
        <v>0</v>
      </c>
      <c r="S383" s="224">
        <v>0</v>
      </c>
      <c r="T383" s="224">
        <f t="shared" si="104"/>
        <v>0</v>
      </c>
      <c r="U383" s="224">
        <f t="shared" si="105"/>
        <v>0</v>
      </c>
    </row>
    <row r="384" spans="1:21" ht="19.5" x14ac:dyDescent="0.3">
      <c r="A384" s="138"/>
      <c r="B384" s="139"/>
      <c r="C384" s="161" t="s">
        <v>18</v>
      </c>
      <c r="D384" s="491" t="s">
        <v>38</v>
      </c>
      <c r="E384" s="141"/>
      <c r="F384" s="141"/>
      <c r="G384" s="142"/>
      <c r="H384" s="178"/>
      <c r="I384" s="718"/>
      <c r="J384" s="44"/>
      <c r="K384" s="45"/>
      <c r="L384" s="465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717">
        <v>0</v>
      </c>
      <c r="J385" s="184">
        <f ca="1">IFERROR(__xludf.DUMMYFUNCTION("IMPORTRANGE(""https://docs.google.com/spreadsheets/d/1w5rwWK1o49a35cNtocGL0gxDwhFSTZUQu90BiH9_zqM/edit?usp=sharing"",""RTK!H18"")"),0)</f>
        <v>0</v>
      </c>
      <c r="K385" s="224">
        <f>IF(I385&gt;0,J385*100/I385,0)</f>
        <v>0</v>
      </c>
      <c r="L385" s="465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717">
        <f ca="1">IFERROR(__xludf.DUMMYFUNCTION("IMPORTRANGE(""https://docs.google.com/spreadsheets/d/1w5rwWK1o49a35cNtocGL0gxDwhFSTZUQu90BiH9_zqM/edit?usp=sharing"",""RTK!G18"")"),2000)</f>
        <v>2000</v>
      </c>
      <c r="J386" s="184">
        <f ca="1">IFERROR(__xludf.DUMMYFUNCTION("IMPORTRANGE(""https://docs.google.com/spreadsheets/d/1w5rwWK1o49a35cNtocGL0gxDwhFSTZUQu90BiH9_zqM/edit?usp=sharing"",""RTK!I18"")"),0)</f>
        <v>0</v>
      </c>
      <c r="K386" s="224">
        <f ca="1">IF(I386&gt;0,J386*100/I386,0)</f>
        <v>0</v>
      </c>
      <c r="L386" s="465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545"/>
      <c r="B387" s="545"/>
      <c r="C387" s="545"/>
      <c r="D387" s="545"/>
      <c r="E387" s="546" t="s">
        <v>155</v>
      </c>
      <c r="F387" s="545"/>
      <c r="G387" s="488"/>
      <c r="H387" s="480" t="s">
        <v>34</v>
      </c>
      <c r="I387" s="716">
        <v>0</v>
      </c>
      <c r="J387" s="487">
        <f ca="1">IFERROR(__xludf.DUMMYFUNCTION("IMPORTRANGE(""https://docs.google.com/spreadsheets/d/1w5rwWK1o49a35cNtocGL0gxDwhFSTZUQu90BiH9_zqM/edit?usp=sharing"",""RTK!L18"")"),0)</f>
        <v>0</v>
      </c>
      <c r="K387" s="486">
        <f>IF(I387&gt;0,J387*100/I387,0)</f>
        <v>0</v>
      </c>
      <c r="L387" s="465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545"/>
      <c r="B388" s="545"/>
      <c r="C388" s="545"/>
      <c r="D388" s="545"/>
      <c r="E388" s="545"/>
      <c r="F388" s="545"/>
      <c r="G388" s="488"/>
      <c r="H388" s="480" t="s">
        <v>46</v>
      </c>
      <c r="I388" s="716">
        <f ca="1">IFERROR(__xludf.DUMMYFUNCTION("IMPORTRANGE(""https://docs.google.com/spreadsheets/d/1w5rwWK1o49a35cNtocGL0gxDwhFSTZUQu90BiH9_zqM/edit?usp=sharing"",""RTK!K18"")"),0)</f>
        <v>0</v>
      </c>
      <c r="J388" s="487">
        <f ca="1">IFERROR(__xludf.DUMMYFUNCTION("IMPORTRANGE(""https://docs.google.com/spreadsheets/d/1w5rwWK1o49a35cNtocGL0gxDwhFSTZUQu90BiH9_zqM/edit?usp=sharing"",""RTK!M18"")"),0)</f>
        <v>0</v>
      </c>
      <c r="K388" s="486">
        <f ca="1">IF(I388&gt;0,J388*100/I388,0)</f>
        <v>0</v>
      </c>
      <c r="L388" s="465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228"/>
      <c r="B389" s="228"/>
      <c r="C389" s="228"/>
      <c r="D389" s="228"/>
      <c r="E389" s="228"/>
      <c r="F389" s="228"/>
      <c r="G389" s="231"/>
      <c r="H389" s="231"/>
      <c r="I389" s="715"/>
      <c r="J389" s="232"/>
      <c r="K389" s="233"/>
      <c r="L389" s="511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16"/>
      <c r="B390" s="316"/>
      <c r="C390" s="316"/>
      <c r="D390" s="316"/>
      <c r="E390" s="316"/>
      <c r="F390" s="316"/>
      <c r="G390" s="317"/>
      <c r="H390" s="317"/>
      <c r="I390" s="714"/>
      <c r="J390" s="318"/>
      <c r="K390" s="319"/>
      <c r="L390" s="496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hidden="1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>I402</f>
        <v>0</v>
      </c>
      <c r="J391" s="307">
        <f>J402</f>
        <v>0</v>
      </c>
      <c r="K391" s="540">
        <f>IF(I391&gt;0,J391*100/I391,0)</f>
        <v>0</v>
      </c>
      <c r="L391" s="539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hidden="1" x14ac:dyDescent="0.3">
      <c r="A392" s="128"/>
      <c r="B392" s="158"/>
      <c r="C392" s="161" t="s">
        <v>18</v>
      </c>
      <c r="D392" s="54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471">
        <f>L393+L394</f>
        <v>0</v>
      </c>
      <c r="M392" s="470">
        <f>M393+M394</f>
        <v>0</v>
      </c>
      <c r="N392" s="470">
        <f>N393+N394</f>
        <v>0</v>
      </c>
      <c r="O392" s="470">
        <f t="shared" ref="O392:O400" si="108">IF(L392&gt;0,N392*100/L392,0)</f>
        <v>0</v>
      </c>
      <c r="P392" s="470">
        <f t="shared" ref="P392:P400" si="109">IF(M392&gt;0,N392*100/M392,0)</f>
        <v>0</v>
      </c>
      <c r="Q392" s="470">
        <f>Q393+Q394</f>
        <v>0</v>
      </c>
      <c r="R392" s="470">
        <f>R393+R394</f>
        <v>0</v>
      </c>
      <c r="S392" s="470">
        <f>S393+S394</f>
        <v>0</v>
      </c>
      <c r="T392" s="470">
        <f t="shared" ref="T392:T400" si="110">IF(Q392&gt;0,S392*100/Q392,0)</f>
        <v>0</v>
      </c>
      <c r="U392" s="470">
        <f t="shared" ref="U392:U400" si="11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469">
        <f t="shared" ref="L393:N394" si="112">L396+L399</f>
        <v>0</v>
      </c>
      <c r="M393" s="83">
        <f t="shared" si="112"/>
        <v>0</v>
      </c>
      <c r="N393" s="83">
        <f t="shared" si="112"/>
        <v>0</v>
      </c>
      <c r="O393" s="83">
        <f t="shared" si="108"/>
        <v>0</v>
      </c>
      <c r="P393" s="83">
        <f t="shared" si="109"/>
        <v>0</v>
      </c>
      <c r="Q393" s="83">
        <f t="shared" ref="Q393:S394" si="113">Q396+Q399</f>
        <v>0</v>
      </c>
      <c r="R393" s="83">
        <f t="shared" si="113"/>
        <v>0</v>
      </c>
      <c r="S393" s="83">
        <f t="shared" si="113"/>
        <v>0</v>
      </c>
      <c r="T393" s="83">
        <f t="shared" si="110"/>
        <v>0</v>
      </c>
      <c r="U393" s="83">
        <f t="shared" si="111"/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468">
        <f t="shared" si="112"/>
        <v>0</v>
      </c>
      <c r="M394" s="224">
        <f t="shared" si="112"/>
        <v>0</v>
      </c>
      <c r="N394" s="224">
        <f t="shared" si="112"/>
        <v>0</v>
      </c>
      <c r="O394" s="224">
        <f t="shared" si="108"/>
        <v>0</v>
      </c>
      <c r="P394" s="224">
        <f t="shared" si="109"/>
        <v>0</v>
      </c>
      <c r="Q394" s="224">
        <f t="shared" si="113"/>
        <v>0</v>
      </c>
      <c r="R394" s="224">
        <f t="shared" si="113"/>
        <v>0</v>
      </c>
      <c r="S394" s="224">
        <f t="shared" si="113"/>
        <v>0</v>
      </c>
      <c r="T394" s="224">
        <f t="shared" si="110"/>
        <v>0</v>
      </c>
      <c r="U394" s="224">
        <f t="shared" si="111"/>
        <v>0</v>
      </c>
    </row>
    <row r="395" spans="1:21" ht="18.75" hidden="1" x14ac:dyDescent="0.25">
      <c r="A395" s="128"/>
      <c r="B395" s="158"/>
      <c r="C395" s="158"/>
      <c r="D395" s="53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468">
        <f>L396+L397</f>
        <v>0</v>
      </c>
      <c r="M395" s="224">
        <f>M396+M397</f>
        <v>0</v>
      </c>
      <c r="N395" s="224">
        <f>N396+N397</f>
        <v>0</v>
      </c>
      <c r="O395" s="224">
        <f t="shared" si="108"/>
        <v>0</v>
      </c>
      <c r="P395" s="224">
        <f t="shared" si="109"/>
        <v>0</v>
      </c>
      <c r="Q395" s="224">
        <f>Q396+Q397</f>
        <v>0</v>
      </c>
      <c r="R395" s="224">
        <f>R396+R397</f>
        <v>0</v>
      </c>
      <c r="S395" s="224">
        <f>S396+S397</f>
        <v>0</v>
      </c>
      <c r="T395" s="224">
        <f t="shared" si="110"/>
        <v>0</v>
      </c>
      <c r="U395" s="224">
        <f t="shared" si="111"/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469">
        <v>0</v>
      </c>
      <c r="M396" s="83">
        <v>0</v>
      </c>
      <c r="N396" s="83">
        <v>0</v>
      </c>
      <c r="O396" s="83">
        <f t="shared" si="108"/>
        <v>0</v>
      </c>
      <c r="P396" s="83">
        <f t="shared" si="109"/>
        <v>0</v>
      </c>
      <c r="Q396" s="83">
        <v>0</v>
      </c>
      <c r="R396" s="83">
        <v>0</v>
      </c>
      <c r="S396" s="83">
        <v>0</v>
      </c>
      <c r="T396" s="83">
        <f t="shared" si="110"/>
        <v>0</v>
      </c>
      <c r="U396" s="83">
        <f t="shared" si="111"/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468">
        <v>0</v>
      </c>
      <c r="M397" s="224">
        <v>0</v>
      </c>
      <c r="N397" s="224">
        <v>0</v>
      </c>
      <c r="O397" s="224">
        <f t="shared" si="108"/>
        <v>0</v>
      </c>
      <c r="P397" s="224">
        <f t="shared" si="109"/>
        <v>0</v>
      </c>
      <c r="Q397" s="224">
        <v>0</v>
      </c>
      <c r="R397" s="224">
        <v>0</v>
      </c>
      <c r="S397" s="224">
        <v>0</v>
      </c>
      <c r="T397" s="224">
        <f t="shared" si="110"/>
        <v>0</v>
      </c>
      <c r="U397" s="224">
        <f t="shared" si="111"/>
        <v>0</v>
      </c>
    </row>
    <row r="398" spans="1:21" ht="18.75" hidden="1" x14ac:dyDescent="0.25">
      <c r="A398" s="128"/>
      <c r="B398" s="158"/>
      <c r="C398" s="158"/>
      <c r="D398" s="53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468">
        <f>L399+L400</f>
        <v>0</v>
      </c>
      <c r="M398" s="224">
        <f>M399+M400</f>
        <v>0</v>
      </c>
      <c r="N398" s="224">
        <f>N399+N400</f>
        <v>0</v>
      </c>
      <c r="O398" s="224">
        <f t="shared" si="108"/>
        <v>0</v>
      </c>
      <c r="P398" s="224">
        <f t="shared" si="109"/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 t="shared" si="110"/>
        <v>0</v>
      </c>
      <c r="U398" s="224">
        <f t="shared" si="111"/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469">
        <v>0</v>
      </c>
      <c r="M399" s="83">
        <v>0</v>
      </c>
      <c r="N399" s="83">
        <v>0</v>
      </c>
      <c r="O399" s="83">
        <f t="shared" si="108"/>
        <v>0</v>
      </c>
      <c r="P399" s="83">
        <f t="shared" si="109"/>
        <v>0</v>
      </c>
      <c r="Q399" s="83">
        <v>0</v>
      </c>
      <c r="R399" s="83">
        <v>0</v>
      </c>
      <c r="S399" s="83">
        <v>0</v>
      </c>
      <c r="T399" s="83">
        <f t="shared" si="110"/>
        <v>0</v>
      </c>
      <c r="U399" s="83">
        <f t="shared" si="111"/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468">
        <v>0</v>
      </c>
      <c r="M400" s="224">
        <v>0</v>
      </c>
      <c r="N400" s="224">
        <v>0</v>
      </c>
      <c r="O400" s="224">
        <f t="shared" si="108"/>
        <v>0</v>
      </c>
      <c r="P400" s="224">
        <f t="shared" si="109"/>
        <v>0</v>
      </c>
      <c r="Q400" s="224">
        <v>0</v>
      </c>
      <c r="R400" s="224">
        <v>0</v>
      </c>
      <c r="S400" s="224">
        <v>0</v>
      </c>
      <c r="T400" s="224">
        <f t="shared" si="110"/>
        <v>0</v>
      </c>
      <c r="U400" s="224">
        <f t="shared" si="111"/>
        <v>0</v>
      </c>
    </row>
    <row r="401" spans="1:21" ht="19.5" hidden="1" x14ac:dyDescent="0.3">
      <c r="A401" s="138"/>
      <c r="B401" s="139"/>
      <c r="C401" s="161" t="s">
        <v>18</v>
      </c>
      <c r="D401" s="491" t="s">
        <v>38</v>
      </c>
      <c r="E401" s="141"/>
      <c r="F401" s="141"/>
      <c r="G401" s="142"/>
      <c r="H401" s="178"/>
      <c r="I401" s="135"/>
      <c r="J401" s="44"/>
      <c r="K401" s="45"/>
      <c r="L401" s="465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11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11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11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11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11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11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11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11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11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496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hidden="1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541">
        <f ca="1">I423</f>
        <v>0</v>
      </c>
      <c r="J412" s="541">
        <f>J423</f>
        <v>0</v>
      </c>
      <c r="K412" s="540">
        <f ca="1">IF(I412&gt;0,J412*100/I412,0)</f>
        <v>0</v>
      </c>
      <c r="L412" s="539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hidden="1" x14ac:dyDescent="0.3">
      <c r="A413" s="128"/>
      <c r="B413" s="158"/>
      <c r="C413" s="322" t="s">
        <v>18</v>
      </c>
      <c r="D413" s="819" t="s">
        <v>19</v>
      </c>
      <c r="E413" s="800"/>
      <c r="F413" s="800"/>
      <c r="G413" s="801"/>
      <c r="H413" s="323" t="s">
        <v>14</v>
      </c>
      <c r="I413" s="44"/>
      <c r="J413" s="44"/>
      <c r="K413" s="45"/>
      <c r="L413" s="471">
        <f>L414+L415</f>
        <v>0</v>
      </c>
      <c r="M413" s="470">
        <f>M414+M415</f>
        <v>0</v>
      </c>
      <c r="N413" s="470">
        <f>N414+N415</f>
        <v>0</v>
      </c>
      <c r="O413" s="470">
        <f t="shared" ref="O413:O421" si="114">IF(L413&gt;0,N413*100/L413,0)</f>
        <v>0</v>
      </c>
      <c r="P413" s="470">
        <f t="shared" ref="P413:P421" si="115">IF(M413&gt;0,N413*100/M413,0)</f>
        <v>0</v>
      </c>
      <c r="Q413" s="470">
        <f ca="1">Q414+Q415</f>
        <v>0</v>
      </c>
      <c r="R413" s="470">
        <f ca="1">R414+R415</f>
        <v>0</v>
      </c>
      <c r="S413" s="470">
        <f ca="1">S414+S415</f>
        <v>0</v>
      </c>
      <c r="T413" s="470">
        <f t="shared" ref="T413:T421" ca="1" si="116">IF(Q413&gt;0,S413*100/Q413,0)</f>
        <v>0</v>
      </c>
      <c r="U413" s="470">
        <f t="shared" ref="U413:U421" ca="1" si="117">IF(R413&gt;0,S413*100/R413,0)</f>
        <v>0</v>
      </c>
    </row>
    <row r="414" spans="1:21" ht="18.75" hidden="1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469">
        <f t="shared" ref="L414:N415" si="118">L417+L420</f>
        <v>0</v>
      </c>
      <c r="M414" s="83">
        <f t="shared" si="118"/>
        <v>0</v>
      </c>
      <c r="N414" s="83">
        <f t="shared" si="118"/>
        <v>0</v>
      </c>
      <c r="O414" s="83">
        <f t="shared" si="114"/>
        <v>0</v>
      </c>
      <c r="P414" s="83">
        <f t="shared" si="115"/>
        <v>0</v>
      </c>
      <c r="Q414" s="83">
        <f t="shared" ref="Q414:S415" si="119">Q417+Q420</f>
        <v>0</v>
      </c>
      <c r="R414" s="83">
        <f t="shared" si="119"/>
        <v>0</v>
      </c>
      <c r="S414" s="83">
        <f t="shared" si="119"/>
        <v>0</v>
      </c>
      <c r="T414" s="83">
        <f t="shared" si="116"/>
        <v>0</v>
      </c>
      <c r="U414" s="83">
        <f t="shared" si="117"/>
        <v>0</v>
      </c>
    </row>
    <row r="415" spans="1:21" ht="18.75" hidden="1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468">
        <f t="shared" si="118"/>
        <v>0</v>
      </c>
      <c r="M415" s="224">
        <f t="shared" si="118"/>
        <v>0</v>
      </c>
      <c r="N415" s="224">
        <f t="shared" si="118"/>
        <v>0</v>
      </c>
      <c r="O415" s="224">
        <f t="shared" si="114"/>
        <v>0</v>
      </c>
      <c r="P415" s="224">
        <f t="shared" si="115"/>
        <v>0</v>
      </c>
      <c r="Q415" s="224">
        <f t="shared" ca="1" si="119"/>
        <v>0</v>
      </c>
      <c r="R415" s="224">
        <f t="shared" ca="1" si="119"/>
        <v>0</v>
      </c>
      <c r="S415" s="224">
        <f t="shared" ca="1" si="119"/>
        <v>0</v>
      </c>
      <c r="T415" s="224">
        <f t="shared" ca="1" si="116"/>
        <v>0</v>
      </c>
      <c r="U415" s="224">
        <f t="shared" ca="1" si="117"/>
        <v>0</v>
      </c>
    </row>
    <row r="416" spans="1:21" ht="19.5" hidden="1" x14ac:dyDescent="0.3">
      <c r="A416" s="128"/>
      <c r="B416" s="158"/>
      <c r="C416" s="158"/>
      <c r="D416" s="54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468">
        <f>L417+L418</f>
        <v>0</v>
      </c>
      <c r="M416" s="224">
        <f>M417+M418</f>
        <v>0</v>
      </c>
      <c r="N416" s="224">
        <f>N417+N418</f>
        <v>0</v>
      </c>
      <c r="O416" s="224">
        <f t="shared" si="114"/>
        <v>0</v>
      </c>
      <c r="P416" s="224">
        <f t="shared" si="115"/>
        <v>0</v>
      </c>
      <c r="Q416" s="224">
        <f ca="1">Q417+Q418</f>
        <v>0</v>
      </c>
      <c r="R416" s="224">
        <f ca="1">R417+R418</f>
        <v>0</v>
      </c>
      <c r="S416" s="224">
        <f ca="1">S417+S418</f>
        <v>0</v>
      </c>
      <c r="T416" s="224">
        <f t="shared" ca="1" si="116"/>
        <v>0</v>
      </c>
      <c r="U416" s="224">
        <f t="shared" ca="1" si="117"/>
        <v>0</v>
      </c>
    </row>
    <row r="417" spans="1:21" ht="18.75" hidden="1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469">
        <v>0</v>
      </c>
      <c r="M417" s="83">
        <v>0</v>
      </c>
      <c r="N417" s="83">
        <v>0</v>
      </c>
      <c r="O417" s="83">
        <f t="shared" si="114"/>
        <v>0</v>
      </c>
      <c r="P417" s="83">
        <f t="shared" si="115"/>
        <v>0</v>
      </c>
      <c r="Q417" s="83">
        <v>0</v>
      </c>
      <c r="R417" s="83">
        <v>0</v>
      </c>
      <c r="S417" s="83">
        <v>0</v>
      </c>
      <c r="T417" s="83">
        <f t="shared" si="116"/>
        <v>0</v>
      </c>
      <c r="U417" s="83">
        <f t="shared" si="117"/>
        <v>0</v>
      </c>
    </row>
    <row r="418" spans="1:21" ht="18.75" hidden="1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468">
        <v>0</v>
      </c>
      <c r="M418" s="224">
        <v>0</v>
      </c>
      <c r="N418" s="224">
        <v>0</v>
      </c>
      <c r="O418" s="224">
        <f t="shared" si="114"/>
        <v>0</v>
      </c>
      <c r="P418" s="224">
        <f t="shared" si="115"/>
        <v>0</v>
      </c>
      <c r="Q418" s="224">
        <f ca="1">IFERROR(__xludf.DUMMYFUNCTION("IMPORTRANGE(""https://docs.google.com/spreadsheets/d/1ItG2mGa2ceCfYo0BwxsXqNm01IGEUdYcSSLTEv9YCik/edit?usp=sharing"",""เบิกจ่ายกองทุน!BH18"")"),0)</f>
        <v>0</v>
      </c>
      <c r="R418" s="224">
        <f ca="1">IFERROR(__xludf.DUMMYFUNCTION("IMPORTRANGE(""https://docs.google.com/spreadsheets/d/1ItG2mGa2ceCfYo0BwxsXqNm01IGEUdYcSSLTEv9YCik/edit?usp=sharing"",""เบิกจ่ายกองทุน!BI18"")"),0)</f>
        <v>0</v>
      </c>
      <c r="S418" s="224">
        <f ca="1">IFERROR(__xludf.DUMMYFUNCTION("IMPORTRANGE(""https://docs.google.com/spreadsheets/d/1ItG2mGa2ceCfYo0BwxsXqNm01IGEUdYcSSLTEv9YCik/edit?usp=sharing"",""เบิกจ่ายกองทุน!BJ18"")"),0)</f>
        <v>0</v>
      </c>
      <c r="T418" s="224">
        <f t="shared" ca="1" si="116"/>
        <v>0</v>
      </c>
      <c r="U418" s="224">
        <f t="shared" ca="1" si="117"/>
        <v>0</v>
      </c>
    </row>
    <row r="419" spans="1:21" ht="19.5" hidden="1" x14ac:dyDescent="0.3">
      <c r="A419" s="128"/>
      <c r="B419" s="158"/>
      <c r="C419" s="158"/>
      <c r="D419" s="54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468">
        <f>L420+L421</f>
        <v>0</v>
      </c>
      <c r="M419" s="224">
        <f>M420+M421</f>
        <v>0</v>
      </c>
      <c r="N419" s="224">
        <f>N420+N421</f>
        <v>0</v>
      </c>
      <c r="O419" s="224">
        <f t="shared" si="114"/>
        <v>0</v>
      </c>
      <c r="P419" s="224">
        <f t="shared" si="115"/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 t="shared" si="116"/>
        <v>0</v>
      </c>
      <c r="U419" s="224">
        <f t="shared" si="117"/>
        <v>0</v>
      </c>
    </row>
    <row r="420" spans="1:21" ht="18.75" hidden="1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469">
        <v>0</v>
      </c>
      <c r="M420" s="83">
        <v>0</v>
      </c>
      <c r="N420" s="83">
        <v>0</v>
      </c>
      <c r="O420" s="83">
        <f t="shared" si="114"/>
        <v>0</v>
      </c>
      <c r="P420" s="83">
        <f t="shared" si="115"/>
        <v>0</v>
      </c>
      <c r="Q420" s="83">
        <v>0</v>
      </c>
      <c r="R420" s="83">
        <v>0</v>
      </c>
      <c r="S420" s="83">
        <v>0</v>
      </c>
      <c r="T420" s="83">
        <f t="shared" si="116"/>
        <v>0</v>
      </c>
      <c r="U420" s="83">
        <f t="shared" si="117"/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468">
        <v>0</v>
      </c>
      <c r="M421" s="224">
        <v>0</v>
      </c>
      <c r="N421" s="224">
        <v>0</v>
      </c>
      <c r="O421" s="224">
        <f t="shared" si="114"/>
        <v>0</v>
      </c>
      <c r="P421" s="224">
        <f t="shared" si="115"/>
        <v>0</v>
      </c>
      <c r="Q421" s="224">
        <v>0</v>
      </c>
      <c r="R421" s="224">
        <v>0</v>
      </c>
      <c r="S421" s="224">
        <v>0</v>
      </c>
      <c r="T421" s="224">
        <f t="shared" si="116"/>
        <v>0</v>
      </c>
      <c r="U421" s="224">
        <f t="shared" si="117"/>
        <v>0</v>
      </c>
    </row>
    <row r="422" spans="1:21" ht="19.5" hidden="1" x14ac:dyDescent="0.3">
      <c r="A422" s="208"/>
      <c r="B422" s="158"/>
      <c r="C422" s="322" t="s">
        <v>18</v>
      </c>
      <c r="D422" s="543" t="s">
        <v>38</v>
      </c>
      <c r="E422" s="158"/>
      <c r="F422" s="158"/>
      <c r="G422" s="180"/>
      <c r="H422" s="180"/>
      <c r="I422" s="44"/>
      <c r="J422" s="44"/>
      <c r="K422" s="45"/>
      <c r="L422" s="465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ca="1">I440</f>
        <v>0</v>
      </c>
      <c r="J423" s="328">
        <f>J440</f>
        <v>0</v>
      </c>
      <c r="K423" s="470">
        <f ca="1">IF(I423&gt;0,J423*100/I423,0)</f>
        <v>0</v>
      </c>
      <c r="L423" s="465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IFERROR(__xludf.DUMMYFUNCTION("IMPORTRANGE(""https://docs.google.com/spreadsheets/d/1eHaY18a8A9IcSdp1K8H6x8fbOy06t2VsZHhMHf-1x7Y/edit?usp=sharing"",""แผน!HJ18"")"),0)</f>
        <v>0</v>
      </c>
      <c r="J424" s="328">
        <f>J426+J428+J430</f>
        <v>0</v>
      </c>
      <c r="K424" s="470">
        <f ca="1">IF(I424&gt;0,J424*100/I424,0)</f>
        <v>0</v>
      </c>
      <c r="L424" s="465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IFERROR(__xludf.DUMMYFUNCTION("IMPORTRANGE(""https://docs.google.com/spreadsheets/d/1eHaY18a8A9IcSdp1K8H6x8fbOy06t2VsZHhMHf-1x7Y/edit?usp=sharing"",""แผน!HK18"")"),0)</f>
        <v>0</v>
      </c>
      <c r="J425" s="328">
        <f>J427+J429+J431</f>
        <v>0</v>
      </c>
      <c r="K425" s="470">
        <f ca="1">IF(I425&gt;0,J425*100/I425,0)</f>
        <v>0</v>
      </c>
      <c r="L425" s="465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465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465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465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465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465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465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IFERROR(__xludf.DUMMYFUNCTION("IMPORTRANGE(""https://docs.google.com/spreadsheets/d/1eHaY18a8A9IcSdp1K8H6x8fbOy06t2VsZHhMHf-1x7Y/edit?usp=sharing"",""แผน!HJ18"")"),0)</f>
        <v>0</v>
      </c>
      <c r="J432" s="328">
        <f>J434+J436+J438</f>
        <v>0</v>
      </c>
      <c r="K432" s="470">
        <f ca="1">IF(I432&gt;0,J432*100/I432,0)</f>
        <v>0</v>
      </c>
      <c r="L432" s="465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IFERROR(__xludf.DUMMYFUNCTION("IMPORTRANGE(""https://docs.google.com/spreadsheets/d/1eHaY18a8A9IcSdp1K8H6x8fbOy06t2VsZHhMHf-1x7Y/edit?usp=sharing"",""แผน!HK18"")"),0)</f>
        <v>0</v>
      </c>
      <c r="J433" s="328">
        <f>J435+J437+J439</f>
        <v>0</v>
      </c>
      <c r="K433" s="470">
        <f ca="1">IF(I433&gt;0,J433*100/I433,0)</f>
        <v>0</v>
      </c>
      <c r="L433" s="465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465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465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465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465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465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465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IFERROR(__xludf.DUMMYFUNCTION("IMPORTRANGE(""https://docs.google.com/spreadsheets/d/1eHaY18a8A9IcSdp1K8H6x8fbOy06t2VsZHhMHf-1x7Y/edit?usp=sharing"",""แผน!HJ18"")"),0)</f>
        <v>0</v>
      </c>
      <c r="J440" s="328">
        <f>J442+J444+J446+J452+J454</f>
        <v>0</v>
      </c>
      <c r="K440" s="470">
        <f ca="1">IF(I440&gt;0,J440*100/I440,0)</f>
        <v>0</v>
      </c>
      <c r="L440" s="465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IFERROR(__xludf.DUMMYFUNCTION("IMPORTRANGE(""https://docs.google.com/spreadsheets/d/1eHaY18a8A9IcSdp1K8H6x8fbOy06t2VsZHhMHf-1x7Y/edit?usp=sharing"",""แผน!HK18"")"),0)</f>
        <v>0</v>
      </c>
      <c r="J441" s="328">
        <f>J443+J445+J447+J453+J455</f>
        <v>0</v>
      </c>
      <c r="K441" s="470">
        <f ca="1">IF(I441&gt;0,J441*100/I441,0)</f>
        <v>0</v>
      </c>
      <c r="L441" s="465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465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465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465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465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>J448+J450</f>
        <v>0</v>
      </c>
      <c r="K446" s="45"/>
      <c r="L446" s="465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>J449+J451</f>
        <v>0</v>
      </c>
      <c r="K447" s="45"/>
      <c r="L447" s="465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465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465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465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465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465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465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542"/>
      <c r="K454" s="45"/>
      <c r="L454" s="465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465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hidden="1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ca="1">I457</f>
        <v>0</v>
      </c>
      <c r="J456" s="328">
        <f>J457</f>
        <v>0</v>
      </c>
      <c r="K456" s="470">
        <f ca="1">IF(I456&gt;0,J456*100/I456,0)</f>
        <v>0</v>
      </c>
      <c r="L456" s="465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IFERROR(__xludf.DUMMYFUNCTION("IMPORTRANGE(""https://docs.google.com/spreadsheets/d/1eHaY18a8A9IcSdp1K8H6x8fbOy06t2VsZHhMHf-1x7Y/edit?usp=sharing"",""แผน!HL18"")"),0)</f>
        <v>0</v>
      </c>
      <c r="J457" s="328">
        <f>J459+J467+J473</f>
        <v>0</v>
      </c>
      <c r="K457" s="470">
        <f ca="1">IF(I457&gt;0,J457*100/I457,0)</f>
        <v>0</v>
      </c>
      <c r="L457" s="465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IFERROR(__xludf.DUMMYFUNCTION("IMPORTRANGE(""https://docs.google.com/spreadsheets/d/1eHaY18a8A9IcSdp1K8H6x8fbOy06t2VsZHhMHf-1x7Y/edit?usp=sharing"",""แผน!HM18"")"),0)</f>
        <v>0</v>
      </c>
      <c r="J458" s="328">
        <f>J460+J468+J474</f>
        <v>0</v>
      </c>
      <c r="K458" s="470">
        <f ca="1">IF(I458&gt;0,J458*100/I458,0)</f>
        <v>0</v>
      </c>
      <c r="L458" s="465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hidden="1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>J461+J463</f>
        <v>0</v>
      </c>
      <c r="K459" s="45"/>
      <c r="L459" s="465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>J462+J464</f>
        <v>0</v>
      </c>
      <c r="K460" s="45"/>
      <c r="L460" s="465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465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465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465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465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465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465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>J469+J471</f>
        <v>0</v>
      </c>
      <c r="K467" s="45"/>
      <c r="L467" s="465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>J470+J472</f>
        <v>0</v>
      </c>
      <c r="K468" s="45"/>
      <c r="L468" s="465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465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465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465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465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465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465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470">
        <f>IF(I475&gt;0,J475*100/I475,0)</f>
        <v>0</v>
      </c>
      <c r="L475" s="465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>J478+J480</f>
        <v>0</v>
      </c>
      <c r="K476" s="470">
        <f>IF(I476&gt;0,J476*100/I476,0)</f>
        <v>0</v>
      </c>
      <c r="L476" s="465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>J479+J481</f>
        <v>0</v>
      </c>
      <c r="K477" s="470">
        <f>IF(I477&gt;0,J477*100/I477,0)</f>
        <v>0</v>
      </c>
      <c r="L477" s="465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hidden="1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465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465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465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465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IFERROR(__xludf.DUMMYFUNCTION("IMPORTRANGE(""https://docs.google.com/spreadsheets/d/1eHaY18a8A9IcSdp1K8H6x8fbOy06t2VsZHhMHf-1x7Y/edit?usp=sharing"",""แผน!HN18"")"),0)</f>
        <v>0</v>
      </c>
      <c r="K482" s="45"/>
      <c r="L482" s="465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IFERROR(__xludf.DUMMYFUNCTION("IMPORTRANGE(""https://docs.google.com/spreadsheets/d/1eHaY18a8A9IcSdp1K8H6x8fbOy06t2VsZHhMHf-1x7Y/edit?usp=sharing"",""แผน!HO18"")"),0)</f>
        <v>0</v>
      </c>
      <c r="K483" s="45"/>
      <c r="L483" s="465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>J480</f>
        <v>0</v>
      </c>
      <c r="J484" s="328">
        <f>J486+J488+J490</f>
        <v>0</v>
      </c>
      <c r="K484" s="470">
        <f>IF(I484&gt;0,J484*100/I484,0)</f>
        <v>0</v>
      </c>
      <c r="L484" s="465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>J481</f>
        <v>0</v>
      </c>
      <c r="J485" s="328">
        <f>J487+J489+J491</f>
        <v>0</v>
      </c>
      <c r="K485" s="470">
        <f>IF(I485&gt;0,J485*100/I485,0)</f>
        <v>0</v>
      </c>
      <c r="L485" s="465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hidden="1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465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465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465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465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465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46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541">
        <f ca="1">I503</f>
        <v>0</v>
      </c>
      <c r="J492" s="541">
        <f ca="1">J503</f>
        <v>0</v>
      </c>
      <c r="K492" s="540">
        <f ca="1">IF(I492&gt;0,J492*100/I492,0)</f>
        <v>0</v>
      </c>
      <c r="L492" s="539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hidden="1" x14ac:dyDescent="0.3">
      <c r="A493" s="128"/>
      <c r="B493" s="158"/>
      <c r="C493" s="177" t="s">
        <v>18</v>
      </c>
      <c r="D493" s="819" t="s">
        <v>19</v>
      </c>
      <c r="E493" s="800"/>
      <c r="F493" s="800"/>
      <c r="G493" s="42"/>
      <c r="H493" s="221" t="s">
        <v>14</v>
      </c>
      <c r="I493" s="44"/>
      <c r="J493" s="44"/>
      <c r="K493" s="45"/>
      <c r="L493" s="471">
        <f>L494+L495</f>
        <v>0</v>
      </c>
      <c r="M493" s="470">
        <f>M494+M495</f>
        <v>0</v>
      </c>
      <c r="N493" s="470">
        <f>N494+N495</f>
        <v>0</v>
      </c>
      <c r="O493" s="470">
        <f t="shared" ref="O493:O501" si="120">IF(L493&gt;0,N493*100/L493,0)</f>
        <v>0</v>
      </c>
      <c r="P493" s="470">
        <f t="shared" ref="P493:P501" si="121">IF(M493&gt;0,N493*100/M493,0)</f>
        <v>0</v>
      </c>
      <c r="Q493" s="470">
        <f ca="1">Q494+Q495</f>
        <v>0</v>
      </c>
      <c r="R493" s="470">
        <f ca="1">R494+R495</f>
        <v>0</v>
      </c>
      <c r="S493" s="470">
        <f ca="1">S494+S495</f>
        <v>0</v>
      </c>
      <c r="T493" s="470">
        <f t="shared" ref="T493:T501" ca="1" si="122">IF(Q493&gt;0,S493*100/Q493,0)</f>
        <v>0</v>
      </c>
      <c r="U493" s="470">
        <f t="shared" ref="U493:U501" ca="1" si="123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469">
        <f t="shared" ref="L494:N495" si="124">L497+L500</f>
        <v>0</v>
      </c>
      <c r="M494" s="83">
        <f t="shared" si="124"/>
        <v>0</v>
      </c>
      <c r="N494" s="83">
        <f t="shared" si="124"/>
        <v>0</v>
      </c>
      <c r="O494" s="83">
        <f t="shared" si="120"/>
        <v>0</v>
      </c>
      <c r="P494" s="83">
        <f t="shared" si="121"/>
        <v>0</v>
      </c>
      <c r="Q494" s="83">
        <f t="shared" ref="Q494:S495" si="125">Q497+Q500</f>
        <v>0</v>
      </c>
      <c r="R494" s="83">
        <f t="shared" si="125"/>
        <v>0</v>
      </c>
      <c r="S494" s="83">
        <f t="shared" si="125"/>
        <v>0</v>
      </c>
      <c r="T494" s="83">
        <f t="shared" si="122"/>
        <v>0</v>
      </c>
      <c r="U494" s="83">
        <f t="shared" si="123"/>
        <v>0</v>
      </c>
    </row>
    <row r="495" spans="1:21" ht="18.75" hidden="1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468">
        <f t="shared" si="124"/>
        <v>0</v>
      </c>
      <c r="M495" s="224">
        <f t="shared" si="124"/>
        <v>0</v>
      </c>
      <c r="N495" s="224">
        <f t="shared" si="124"/>
        <v>0</v>
      </c>
      <c r="O495" s="224">
        <f t="shared" si="120"/>
        <v>0</v>
      </c>
      <c r="P495" s="224">
        <f t="shared" si="121"/>
        <v>0</v>
      </c>
      <c r="Q495" s="224">
        <f t="shared" ca="1" si="125"/>
        <v>0</v>
      </c>
      <c r="R495" s="224">
        <f t="shared" ca="1" si="125"/>
        <v>0</v>
      </c>
      <c r="S495" s="224">
        <f t="shared" ca="1" si="125"/>
        <v>0</v>
      </c>
      <c r="T495" s="224">
        <f t="shared" ca="1" si="122"/>
        <v>0</v>
      </c>
      <c r="U495" s="224">
        <f t="shared" ca="1" si="123"/>
        <v>0</v>
      </c>
    </row>
    <row r="496" spans="1:21" ht="18.75" hidden="1" x14ac:dyDescent="0.25">
      <c r="A496" s="128"/>
      <c r="B496" s="158"/>
      <c r="C496" s="158"/>
      <c r="D496" s="53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468">
        <f>L497+L498</f>
        <v>0</v>
      </c>
      <c r="M496" s="224">
        <f>M497+M498</f>
        <v>0</v>
      </c>
      <c r="N496" s="224">
        <f>N497+N498</f>
        <v>0</v>
      </c>
      <c r="O496" s="224">
        <f t="shared" si="120"/>
        <v>0</v>
      </c>
      <c r="P496" s="224">
        <f t="shared" si="121"/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t="shared" ca="1" si="122"/>
        <v>0</v>
      </c>
      <c r="U496" s="224">
        <f t="shared" ca="1" si="123"/>
        <v>0</v>
      </c>
    </row>
    <row r="497" spans="1:21" ht="18.75" hidden="1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469">
        <v>0</v>
      </c>
      <c r="M497" s="83">
        <v>0</v>
      </c>
      <c r="N497" s="83">
        <v>0</v>
      </c>
      <c r="O497" s="83">
        <f t="shared" si="120"/>
        <v>0</v>
      </c>
      <c r="P497" s="83">
        <f t="shared" si="121"/>
        <v>0</v>
      </c>
      <c r="Q497" s="83">
        <v>0</v>
      </c>
      <c r="R497" s="83">
        <v>0</v>
      </c>
      <c r="S497" s="83">
        <v>0</v>
      </c>
      <c r="T497" s="83">
        <f t="shared" si="122"/>
        <v>0</v>
      </c>
      <c r="U497" s="83">
        <f t="shared" si="123"/>
        <v>0</v>
      </c>
    </row>
    <row r="498" spans="1:21" ht="18.75" hidden="1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468">
        <v>0</v>
      </c>
      <c r="M498" s="224">
        <v>0</v>
      </c>
      <c r="N498" s="224">
        <v>0</v>
      </c>
      <c r="O498" s="224">
        <f t="shared" si="120"/>
        <v>0</v>
      </c>
      <c r="P498" s="224">
        <f t="shared" si="121"/>
        <v>0</v>
      </c>
      <c r="Q498" s="224">
        <f ca="1">IFERROR(__xludf.DUMMYFUNCTION("IMPORTRANGE(""https://docs.google.com/spreadsheets/d/1ItG2mGa2ceCfYo0BwxsXqNm01IGEUdYcSSLTEv9YCik/edit?usp=sharing"",""เบิกจ่ายกองทุน!X18"")"),0)</f>
        <v>0</v>
      </c>
      <c r="R498" s="224">
        <f ca="1">IFERROR(__xludf.DUMMYFUNCTION("IMPORTRANGE(""https://docs.google.com/spreadsheets/d/1ItG2mGa2ceCfYo0BwxsXqNm01IGEUdYcSSLTEv9YCik/edit?usp=sharing"",""เบิกจ่ายกองทุน!Y18"")"),0)</f>
        <v>0</v>
      </c>
      <c r="S498" s="224">
        <f ca="1">IFERROR(__xludf.DUMMYFUNCTION("IMPORTRANGE(""https://docs.google.com/spreadsheets/d/1ItG2mGa2ceCfYo0BwxsXqNm01IGEUdYcSSLTEv9YCik/edit?usp=sharing"",""เบิกจ่ายกองทุน!Z18"")"),0)</f>
        <v>0</v>
      </c>
      <c r="T498" s="224">
        <f t="shared" ca="1" si="122"/>
        <v>0</v>
      </c>
      <c r="U498" s="224">
        <f t="shared" ca="1" si="123"/>
        <v>0</v>
      </c>
    </row>
    <row r="499" spans="1:21" ht="18.75" hidden="1" x14ac:dyDescent="0.25">
      <c r="A499" s="128"/>
      <c r="B499" s="158"/>
      <c r="C499" s="158"/>
      <c r="D499" s="53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468">
        <f>L500+L501</f>
        <v>0</v>
      </c>
      <c r="M499" s="224">
        <f>M500+M501</f>
        <v>0</v>
      </c>
      <c r="N499" s="224">
        <f>N500+N501</f>
        <v>0</v>
      </c>
      <c r="O499" s="224">
        <f t="shared" si="120"/>
        <v>0</v>
      </c>
      <c r="P499" s="224">
        <f t="shared" si="121"/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 t="shared" si="122"/>
        <v>0</v>
      </c>
      <c r="U499" s="224">
        <f t="shared" si="123"/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469">
        <v>0</v>
      </c>
      <c r="M500" s="83">
        <v>0</v>
      </c>
      <c r="N500" s="83">
        <v>0</v>
      </c>
      <c r="O500" s="83">
        <f t="shared" si="120"/>
        <v>0</v>
      </c>
      <c r="P500" s="83">
        <f t="shared" si="121"/>
        <v>0</v>
      </c>
      <c r="Q500" s="83">
        <v>0</v>
      </c>
      <c r="R500" s="83">
        <v>0</v>
      </c>
      <c r="S500" s="83">
        <v>0</v>
      </c>
      <c r="T500" s="83">
        <f t="shared" si="122"/>
        <v>0</v>
      </c>
      <c r="U500" s="83">
        <f t="shared" si="123"/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468">
        <v>0</v>
      </c>
      <c r="M501" s="224">
        <v>0</v>
      </c>
      <c r="N501" s="224">
        <v>0</v>
      </c>
      <c r="O501" s="224">
        <f t="shared" si="120"/>
        <v>0</v>
      </c>
      <c r="P501" s="224">
        <f t="shared" si="121"/>
        <v>0</v>
      </c>
      <c r="Q501" s="224">
        <v>0</v>
      </c>
      <c r="R501" s="224">
        <v>0</v>
      </c>
      <c r="S501" s="224">
        <v>0</v>
      </c>
      <c r="T501" s="224">
        <f t="shared" si="122"/>
        <v>0</v>
      </c>
      <c r="U501" s="224">
        <f t="shared" si="123"/>
        <v>0</v>
      </c>
    </row>
    <row r="502" spans="1:21" ht="19.5" hidden="1" x14ac:dyDescent="0.3">
      <c r="A502" s="138"/>
      <c r="B502" s="139"/>
      <c r="C502" s="177" t="s">
        <v>18</v>
      </c>
      <c r="D502" s="491" t="s">
        <v>38</v>
      </c>
      <c r="E502" s="141"/>
      <c r="F502" s="141"/>
      <c r="G502" s="142"/>
      <c r="H502" s="178"/>
      <c r="I502" s="135"/>
      <c r="J502" s="135"/>
      <c r="K502" s="136"/>
      <c r="L502" s="4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IFERROR(__xludf.DUMMYFUNCTION("IMPORTRANGE(""https://docs.google.com/spreadsheets/d/1eHaY18a8A9IcSdp1K8H6x8fbOy06t2VsZHhMHf-1x7Y/edit?usp=sharing"",""แผน!GX18"")"),0)</f>
        <v>0</v>
      </c>
      <c r="J503" s="328">
        <f ca="1">IF(AND(J504=I504,J505=I505,J506=I506,J507=I507),I503,0)</f>
        <v>0</v>
      </c>
      <c r="K503" s="470">
        <f t="shared" ref="K503:K509" ca="1" si="126">IF(I503&gt;0,J503*100/I503,0)</f>
        <v>0</v>
      </c>
      <c r="L503" s="465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IFERROR(__xludf.DUMMYFUNCTION("IMPORTRANGE(""https://docs.google.com/spreadsheets/d/1eHaY18a8A9IcSdp1K8H6x8fbOy06t2VsZHhMHf-1x7Y/edit?usp=sharing"",""แผน!GY18"")"),0)</f>
        <v>0</v>
      </c>
      <c r="J504" s="466">
        <v>0</v>
      </c>
      <c r="K504" s="224">
        <f t="shared" ca="1" si="126"/>
        <v>0</v>
      </c>
      <c r="L504" s="465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IFERROR(__xludf.DUMMYFUNCTION("IMPORTRANGE(""https://docs.google.com/spreadsheets/d/1eHaY18a8A9IcSdp1K8H6x8fbOy06t2VsZHhMHf-1x7Y/edit?usp=sharing"",""แผน!GZ18"")"),0)</f>
        <v>0</v>
      </c>
      <c r="J505" s="466">
        <v>0</v>
      </c>
      <c r="K505" s="224">
        <f t="shared" ca="1" si="126"/>
        <v>0</v>
      </c>
      <c r="L505" s="465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IFERROR(__xludf.DUMMYFUNCTION("IMPORTRANGE(""https://docs.google.com/spreadsheets/d/1eHaY18a8A9IcSdp1K8H6x8fbOy06t2VsZHhMHf-1x7Y/edit?usp=sharing"",""แผน!HA18"")"),0)</f>
        <v>0</v>
      </c>
      <c r="J506" s="466">
        <v>0</v>
      </c>
      <c r="K506" s="224">
        <f t="shared" ca="1" si="126"/>
        <v>0</v>
      </c>
      <c r="L506" s="465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IFERROR(__xludf.DUMMYFUNCTION("IMPORTRANGE(""https://docs.google.com/spreadsheets/d/1eHaY18a8A9IcSdp1K8H6x8fbOy06t2VsZHhMHf-1x7Y/edit?usp=sharing"",""แผน!HB18"")"),0)</f>
        <v>0</v>
      </c>
      <c r="J507" s="466">
        <v>0</v>
      </c>
      <c r="K507" s="224">
        <f t="shared" ca="1" si="126"/>
        <v>0</v>
      </c>
      <c r="L507" s="465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 t="shared" si="126"/>
        <v>0</v>
      </c>
      <c r="L508" s="465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IFERROR(__xludf.DUMMYFUNCTION("IMPORTRANGE(""https://docs.google.com/spreadsheets/d/1eHaY18a8A9IcSdp1K8H6x8fbOy06t2VsZHhMHf-1x7Y/edit?usp=sharing"",""แผน!HC18"")"),0)</f>
        <v>0</v>
      </c>
      <c r="J509" s="464">
        <v>0</v>
      </c>
      <c r="K509" s="455">
        <f t="shared" ca="1" si="126"/>
        <v>0</v>
      </c>
      <c r="L509" s="46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537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536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hidden="1" x14ac:dyDescent="0.3">
      <c r="A511" s="535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534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hidden="1" x14ac:dyDescent="0.3">
      <c r="A512" s="349"/>
      <c r="B512" s="533" t="s">
        <v>207</v>
      </c>
      <c r="C512" s="351"/>
      <c r="D512" s="352"/>
      <c r="E512" s="352"/>
      <c r="F512" s="352"/>
      <c r="G512" s="353"/>
      <c r="H512" s="532" t="s">
        <v>61</v>
      </c>
      <c r="I512" s="531">
        <f>I524</f>
        <v>0</v>
      </c>
      <c r="J512" s="531">
        <f>J524</f>
        <v>0</v>
      </c>
      <c r="K512" s="530">
        <f>IF(I512&gt;0,J512*100/I512,0)</f>
        <v>0</v>
      </c>
      <c r="L512" s="512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hidden="1" x14ac:dyDescent="0.3">
      <c r="A513" s="128"/>
      <c r="B513" s="40"/>
      <c r="C513" s="527" t="s">
        <v>18</v>
      </c>
      <c r="D513" s="494" t="s">
        <v>19</v>
      </c>
      <c r="E513" s="40"/>
      <c r="F513" s="40"/>
      <c r="G513" s="42"/>
      <c r="H513" s="529" t="s">
        <v>14</v>
      </c>
      <c r="I513" s="44"/>
      <c r="J513" s="44"/>
      <c r="K513" s="45"/>
      <c r="L513" s="471">
        <f ca="1">L514+L515</f>
        <v>0</v>
      </c>
      <c r="M513" s="470">
        <f ca="1">M514+M515</f>
        <v>0</v>
      </c>
      <c r="N513" s="470">
        <f ca="1">N514+N515</f>
        <v>0</v>
      </c>
      <c r="O513" s="470">
        <f t="shared" ref="O513:O521" ca="1" si="127">IF(L513&gt;0,N513*100/L513,0)</f>
        <v>0</v>
      </c>
      <c r="P513" s="470">
        <f t="shared" ref="P513:P521" ca="1" si="128">IF(M513&gt;0,N513*100/M513,0)</f>
        <v>0</v>
      </c>
      <c r="Q513" s="470">
        <f>Q514+Q515</f>
        <v>0</v>
      </c>
      <c r="R513" s="470">
        <f>R514+R515</f>
        <v>0</v>
      </c>
      <c r="S513" s="470">
        <f>S514+S515</f>
        <v>0</v>
      </c>
      <c r="T513" s="470">
        <f t="shared" ref="T513:T521" si="129">IF(Q513&gt;0,S513*100/Q513,0)</f>
        <v>0</v>
      </c>
      <c r="U513" s="470">
        <f t="shared" ref="U513:U521" si="130"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469">
        <f t="shared" ref="L514:N515" si="131">L517+L520</f>
        <v>0</v>
      </c>
      <c r="M514" s="83">
        <f t="shared" si="131"/>
        <v>0</v>
      </c>
      <c r="N514" s="83">
        <f t="shared" si="131"/>
        <v>0</v>
      </c>
      <c r="O514" s="83">
        <f t="shared" si="127"/>
        <v>0</v>
      </c>
      <c r="P514" s="83">
        <f t="shared" si="128"/>
        <v>0</v>
      </c>
      <c r="Q514" s="83">
        <f t="shared" ref="Q514:S515" si="132">Q517+Q520</f>
        <v>0</v>
      </c>
      <c r="R514" s="83">
        <f t="shared" si="132"/>
        <v>0</v>
      </c>
      <c r="S514" s="83">
        <f t="shared" si="132"/>
        <v>0</v>
      </c>
      <c r="T514" s="83">
        <f t="shared" si="129"/>
        <v>0</v>
      </c>
      <c r="U514" s="83">
        <f t="shared" si="130"/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468">
        <f t="shared" ca="1" si="131"/>
        <v>0</v>
      </c>
      <c r="M515" s="224">
        <f t="shared" ca="1" si="131"/>
        <v>0</v>
      </c>
      <c r="N515" s="224">
        <f t="shared" ca="1" si="131"/>
        <v>0</v>
      </c>
      <c r="O515" s="224">
        <f t="shared" ca="1" si="127"/>
        <v>0</v>
      </c>
      <c r="P515" s="224">
        <f t="shared" ca="1" si="128"/>
        <v>0</v>
      </c>
      <c r="Q515" s="224">
        <f t="shared" si="132"/>
        <v>0</v>
      </c>
      <c r="R515" s="224">
        <f t="shared" si="132"/>
        <v>0</v>
      </c>
      <c r="S515" s="224">
        <f t="shared" si="132"/>
        <v>0</v>
      </c>
      <c r="T515" s="224">
        <f t="shared" si="129"/>
        <v>0</v>
      </c>
      <c r="U515" s="224">
        <f t="shared" si="130"/>
        <v>0</v>
      </c>
    </row>
    <row r="516" spans="1:21" ht="18.75" hidden="1" x14ac:dyDescent="0.25">
      <c r="A516" s="128"/>
      <c r="B516" s="40"/>
      <c r="C516" s="40"/>
      <c r="D516" s="52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468">
        <f ca="1">L517+L518</f>
        <v>0</v>
      </c>
      <c r="M516" s="224">
        <f ca="1">M517+M518</f>
        <v>0</v>
      </c>
      <c r="N516" s="224">
        <f ca="1">N517+N518</f>
        <v>0</v>
      </c>
      <c r="O516" s="224">
        <f t="shared" ca="1" si="127"/>
        <v>0</v>
      </c>
      <c r="P516" s="224">
        <f t="shared" ca="1" si="128"/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 t="shared" si="129"/>
        <v>0</v>
      </c>
      <c r="U516" s="224">
        <f t="shared" si="130"/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469">
        <v>0</v>
      </c>
      <c r="M517" s="83">
        <v>0</v>
      </c>
      <c r="N517" s="83">
        <v>0</v>
      </c>
      <c r="O517" s="83">
        <f t="shared" si="127"/>
        <v>0</v>
      </c>
      <c r="P517" s="83">
        <f t="shared" si="128"/>
        <v>0</v>
      </c>
      <c r="Q517" s="83">
        <v>0</v>
      </c>
      <c r="R517" s="83">
        <v>0</v>
      </c>
      <c r="S517" s="83">
        <v>0</v>
      </c>
      <c r="T517" s="83">
        <f t="shared" si="129"/>
        <v>0</v>
      </c>
      <c r="U517" s="83">
        <f t="shared" si="130"/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468">
        <f ca="1">IFERROR(__xludf.DUMMYFUNCTION("IMPORTRANGE(""https://docs.google.com/spreadsheets/d/1-uDff_7J0KD5mKrp0Vvzr7lt3OU09vwQwhkpOPPYv2Y/edit?usp=sharing"",""งบพรบ!FM18"")"),0)</f>
        <v>0</v>
      </c>
      <c r="M518" s="224">
        <f ca="1">IFERROR(__xludf.DUMMYFUNCTION("IMPORTRANGE(""https://docs.google.com/spreadsheets/d/1-uDff_7J0KD5mKrp0Vvzr7lt3OU09vwQwhkpOPPYv2Y/edit?usp=sharing"",""งบพรบ!FR18"")"),0)</f>
        <v>0</v>
      </c>
      <c r="N518" s="224">
        <f ca="1">IFERROR(__xludf.DUMMYFUNCTION("IMPORTRANGE(""https://docs.google.com/spreadsheets/d/1-uDff_7J0KD5mKrp0Vvzr7lt3OU09vwQwhkpOPPYv2Y/edit?usp=sharing"",""งบพรบ!FT18"")"),0)</f>
        <v>0</v>
      </c>
      <c r="O518" s="224">
        <f t="shared" ca="1" si="127"/>
        <v>0</v>
      </c>
      <c r="P518" s="224">
        <f t="shared" ca="1" si="128"/>
        <v>0</v>
      </c>
      <c r="Q518" s="224">
        <v>0</v>
      </c>
      <c r="R518" s="224">
        <v>0</v>
      </c>
      <c r="S518" s="224">
        <v>0</v>
      </c>
      <c r="T518" s="224">
        <f t="shared" si="129"/>
        <v>0</v>
      </c>
      <c r="U518" s="224">
        <f t="shared" si="130"/>
        <v>0</v>
      </c>
    </row>
    <row r="519" spans="1:21" ht="18.75" hidden="1" x14ac:dyDescent="0.25">
      <c r="A519" s="128"/>
      <c r="B519" s="40"/>
      <c r="C519" s="40"/>
      <c r="D519" s="528" t="s">
        <v>23</v>
      </c>
      <c r="E519" s="40"/>
      <c r="F519" s="40"/>
      <c r="G519" s="42"/>
      <c r="H519" s="375" t="s">
        <v>14</v>
      </c>
      <c r="I519" s="135"/>
      <c r="J519" s="135"/>
      <c r="K519" s="136"/>
      <c r="L519" s="468">
        <f ca="1">L520+L521</f>
        <v>0</v>
      </c>
      <c r="M519" s="224">
        <f ca="1">M520+M521</f>
        <v>0</v>
      </c>
      <c r="N519" s="224">
        <f ca="1">N520+N521</f>
        <v>0</v>
      </c>
      <c r="O519" s="224">
        <f t="shared" ca="1" si="127"/>
        <v>0</v>
      </c>
      <c r="P519" s="224">
        <f t="shared" ca="1" si="128"/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 t="shared" si="129"/>
        <v>0</v>
      </c>
      <c r="U519" s="224">
        <f t="shared" si="130"/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469">
        <v>0</v>
      </c>
      <c r="M520" s="83">
        <v>0</v>
      </c>
      <c r="N520" s="83">
        <v>0</v>
      </c>
      <c r="O520" s="83">
        <f t="shared" si="127"/>
        <v>0</v>
      </c>
      <c r="P520" s="83">
        <f t="shared" si="128"/>
        <v>0</v>
      </c>
      <c r="Q520" s="83">
        <v>0</v>
      </c>
      <c r="R520" s="83">
        <v>0</v>
      </c>
      <c r="S520" s="83">
        <v>0</v>
      </c>
      <c r="T520" s="83">
        <f t="shared" si="129"/>
        <v>0</v>
      </c>
      <c r="U520" s="83">
        <f t="shared" si="130"/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375" t="s">
        <v>14</v>
      </c>
      <c r="I521" s="135"/>
      <c r="J521" s="135"/>
      <c r="K521" s="136"/>
      <c r="L521" s="468">
        <f ca="1">IFERROR(__xludf.DUMMYFUNCTION("IMPORTRANGE(""https://docs.google.com/spreadsheets/d/1-uDff_7J0KD5mKrp0Vvzr7lt3OU09vwQwhkpOPPYv2Y/edit?usp=sharing"",""งบพรบ!FP18"")"),0)</f>
        <v>0</v>
      </c>
      <c r="M521" s="224">
        <f ca="1">IFERROR(__xludf.DUMMYFUNCTION("IMPORTRANGE(""https://docs.google.com/spreadsheets/d/1-uDff_7J0KD5mKrp0Vvzr7lt3OU09vwQwhkpOPPYv2Y/edit?usp=sharing"",""งบพรบ!FS18"")"),0)</f>
        <v>0</v>
      </c>
      <c r="N521" s="224">
        <f ca="1">IFERROR(__xludf.DUMMYFUNCTION("IMPORTRANGE(""https://docs.google.com/spreadsheets/d/1-uDff_7J0KD5mKrp0Vvzr7lt3OU09vwQwhkpOPPYv2Y/edit?usp=sharing"",""งบพรบ!FU18"")"),0)</f>
        <v>0</v>
      </c>
      <c r="O521" s="224">
        <f t="shared" ca="1" si="127"/>
        <v>0</v>
      </c>
      <c r="P521" s="224">
        <f t="shared" ca="1" si="128"/>
        <v>0</v>
      </c>
      <c r="Q521" s="224">
        <v>0</v>
      </c>
      <c r="R521" s="224">
        <v>0</v>
      </c>
      <c r="S521" s="224">
        <v>0</v>
      </c>
      <c r="T521" s="224">
        <f t="shared" si="129"/>
        <v>0</v>
      </c>
      <c r="U521" s="224">
        <f t="shared" si="130"/>
        <v>0</v>
      </c>
    </row>
    <row r="522" spans="1:21" ht="19.5" hidden="1" x14ac:dyDescent="0.3">
      <c r="A522" s="138"/>
      <c r="B522" s="139"/>
      <c r="C522" s="527" t="s">
        <v>18</v>
      </c>
      <c r="D522" s="509" t="s">
        <v>38</v>
      </c>
      <c r="E522" s="141"/>
      <c r="F522" s="141"/>
      <c r="G522" s="142"/>
      <c r="H522" s="143"/>
      <c r="I522" s="135"/>
      <c r="J522" s="44"/>
      <c r="K522" s="45"/>
      <c r="L522" s="465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208</v>
      </c>
      <c r="E523" s="139"/>
      <c r="F523" s="40"/>
      <c r="G523" s="42"/>
      <c r="H523" s="526" t="s">
        <v>11</v>
      </c>
      <c r="I523" s="430">
        <v>0</v>
      </c>
      <c r="J523" s="525">
        <v>0</v>
      </c>
      <c r="K523" s="83">
        <f>IF(I523&gt;0,J523*100/I523,0)</f>
        <v>0</v>
      </c>
      <c r="L523" s="465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29"/>
      <c r="B524" s="1"/>
      <c r="C524" s="2"/>
      <c r="D524" s="524" t="s">
        <v>209</v>
      </c>
      <c r="E524" s="250"/>
      <c r="F524" s="1"/>
      <c r="G524" s="52"/>
      <c r="H524" s="523" t="s">
        <v>61</v>
      </c>
      <c r="I524" s="433">
        <v>0</v>
      </c>
      <c r="J524" s="522">
        <v>0</v>
      </c>
      <c r="K524" s="521">
        <f>IF(I524&gt;0,J524*100/I524,0)</f>
        <v>0</v>
      </c>
      <c r="L524" s="465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520"/>
      <c r="B525" s="519"/>
      <c r="C525" s="519"/>
      <c r="D525" s="518"/>
      <c r="E525" s="518"/>
      <c r="F525" s="518"/>
      <c r="G525" s="517"/>
      <c r="H525" s="516"/>
      <c r="I525" s="515"/>
      <c r="J525" s="515"/>
      <c r="K525" s="514"/>
      <c r="L525" s="511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11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11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11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11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11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11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496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hidden="1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64">
        <f>I545</f>
        <v>0</v>
      </c>
      <c r="J533" s="364">
        <f>J545</f>
        <v>0</v>
      </c>
      <c r="K533" s="513">
        <f>IF(I533&gt;0,J533*100/I533,0)</f>
        <v>0</v>
      </c>
      <c r="L533" s="512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hidden="1" x14ac:dyDescent="0.3">
      <c r="A534" s="128"/>
      <c r="B534" s="40"/>
      <c r="C534" s="129" t="s">
        <v>18</v>
      </c>
      <c r="D534" s="472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471">
        <f>L535+L536</f>
        <v>0</v>
      </c>
      <c r="M534" s="470">
        <f>M535+M536</f>
        <v>0</v>
      </c>
      <c r="N534" s="470">
        <f>N535+N536</f>
        <v>0</v>
      </c>
      <c r="O534" s="470">
        <f t="shared" ref="O534:O542" si="133">IF(L534&gt;0,N534*100/L534,0)</f>
        <v>0</v>
      </c>
      <c r="P534" s="470">
        <f t="shared" ref="P534:P542" si="134">IF(M534&gt;0,N534*100/M534,0)</f>
        <v>0</v>
      </c>
      <c r="Q534" s="470">
        <f>Q535+Q536</f>
        <v>0</v>
      </c>
      <c r="R534" s="470">
        <f>R535+R536</f>
        <v>0</v>
      </c>
      <c r="S534" s="470">
        <f>S535+S536</f>
        <v>0</v>
      </c>
      <c r="T534" s="470">
        <f t="shared" ref="T534:T542" si="135">IF(Q534&gt;0,S534*100/Q534,0)</f>
        <v>0</v>
      </c>
      <c r="U534" s="470">
        <f t="shared" ref="U534:U542" si="136"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469">
        <f t="shared" ref="L535:N536" si="137">L538+L541</f>
        <v>0</v>
      </c>
      <c r="M535" s="83">
        <f t="shared" si="137"/>
        <v>0</v>
      </c>
      <c r="N535" s="83">
        <f t="shared" si="137"/>
        <v>0</v>
      </c>
      <c r="O535" s="83">
        <f t="shared" si="133"/>
        <v>0</v>
      </c>
      <c r="P535" s="83">
        <f t="shared" si="134"/>
        <v>0</v>
      </c>
      <c r="Q535" s="83">
        <f t="shared" ref="Q535:S536" si="138">Q538+Q541</f>
        <v>0</v>
      </c>
      <c r="R535" s="83">
        <f t="shared" si="138"/>
        <v>0</v>
      </c>
      <c r="S535" s="83">
        <f t="shared" si="138"/>
        <v>0</v>
      </c>
      <c r="T535" s="83">
        <f t="shared" si="135"/>
        <v>0</v>
      </c>
      <c r="U535" s="83">
        <f t="shared" si="136"/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468">
        <f t="shared" si="137"/>
        <v>0</v>
      </c>
      <c r="M536" s="224">
        <f t="shared" si="137"/>
        <v>0</v>
      </c>
      <c r="N536" s="224">
        <f t="shared" si="137"/>
        <v>0</v>
      </c>
      <c r="O536" s="224">
        <f t="shared" si="133"/>
        <v>0</v>
      </c>
      <c r="P536" s="224">
        <f t="shared" si="134"/>
        <v>0</v>
      </c>
      <c r="Q536" s="224">
        <f t="shared" si="138"/>
        <v>0</v>
      </c>
      <c r="R536" s="224">
        <f t="shared" si="138"/>
        <v>0</v>
      </c>
      <c r="S536" s="224">
        <f t="shared" si="138"/>
        <v>0</v>
      </c>
      <c r="T536" s="224">
        <f t="shared" si="135"/>
        <v>0</v>
      </c>
      <c r="U536" s="224">
        <f t="shared" si="136"/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468">
        <f>L538+L539</f>
        <v>0</v>
      </c>
      <c r="M537" s="224">
        <f>M538+M539</f>
        <v>0</v>
      </c>
      <c r="N537" s="224">
        <f>N538+N539</f>
        <v>0</v>
      </c>
      <c r="O537" s="224">
        <f t="shared" si="133"/>
        <v>0</v>
      </c>
      <c r="P537" s="224">
        <f t="shared" si="134"/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 t="shared" si="135"/>
        <v>0</v>
      </c>
      <c r="U537" s="224">
        <f t="shared" si="136"/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469">
        <v>0</v>
      </c>
      <c r="M538" s="83">
        <v>0</v>
      </c>
      <c r="N538" s="83">
        <v>0</v>
      </c>
      <c r="O538" s="83">
        <f t="shared" si="133"/>
        <v>0</v>
      </c>
      <c r="P538" s="83">
        <f t="shared" si="134"/>
        <v>0</v>
      </c>
      <c r="Q538" s="83">
        <v>0</v>
      </c>
      <c r="R538" s="83">
        <v>0</v>
      </c>
      <c r="S538" s="83">
        <v>0</v>
      </c>
      <c r="T538" s="83">
        <f t="shared" si="135"/>
        <v>0</v>
      </c>
      <c r="U538" s="83">
        <f t="shared" si="136"/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468">
        <v>0</v>
      </c>
      <c r="M539" s="224">
        <v>0</v>
      </c>
      <c r="N539" s="224">
        <v>0</v>
      </c>
      <c r="O539" s="224">
        <f t="shared" si="133"/>
        <v>0</v>
      </c>
      <c r="P539" s="224">
        <f t="shared" si="134"/>
        <v>0</v>
      </c>
      <c r="Q539" s="224">
        <v>0</v>
      </c>
      <c r="R539" s="224">
        <v>0</v>
      </c>
      <c r="S539" s="224">
        <v>0</v>
      </c>
      <c r="T539" s="224">
        <f t="shared" si="135"/>
        <v>0</v>
      </c>
      <c r="U539" s="224">
        <f t="shared" si="136"/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468">
        <f>L541+L542</f>
        <v>0</v>
      </c>
      <c r="M540" s="224">
        <f>M541+M542</f>
        <v>0</v>
      </c>
      <c r="N540" s="224">
        <f>N541+N542</f>
        <v>0</v>
      </c>
      <c r="O540" s="224">
        <f t="shared" si="133"/>
        <v>0</v>
      </c>
      <c r="P540" s="224">
        <f t="shared" si="134"/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 t="shared" si="135"/>
        <v>0</v>
      </c>
      <c r="U540" s="224">
        <f t="shared" si="136"/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469">
        <v>0</v>
      </c>
      <c r="M541" s="83">
        <v>0</v>
      </c>
      <c r="N541" s="83">
        <v>0</v>
      </c>
      <c r="O541" s="83">
        <f t="shared" si="133"/>
        <v>0</v>
      </c>
      <c r="P541" s="83">
        <f t="shared" si="134"/>
        <v>0</v>
      </c>
      <c r="Q541" s="83">
        <v>0</v>
      </c>
      <c r="R541" s="83">
        <v>0</v>
      </c>
      <c r="S541" s="83">
        <v>0</v>
      </c>
      <c r="T541" s="83">
        <f t="shared" si="135"/>
        <v>0</v>
      </c>
      <c r="U541" s="83">
        <f t="shared" si="136"/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468">
        <v>0</v>
      </c>
      <c r="M542" s="224">
        <v>0</v>
      </c>
      <c r="N542" s="224">
        <v>0</v>
      </c>
      <c r="O542" s="224">
        <f t="shared" si="133"/>
        <v>0</v>
      </c>
      <c r="P542" s="224">
        <f t="shared" si="134"/>
        <v>0</v>
      </c>
      <c r="Q542" s="224">
        <v>0</v>
      </c>
      <c r="R542" s="224">
        <v>0</v>
      </c>
      <c r="S542" s="224">
        <v>0</v>
      </c>
      <c r="T542" s="224">
        <f t="shared" si="135"/>
        <v>0</v>
      </c>
      <c r="U542" s="224">
        <f t="shared" si="136"/>
        <v>0</v>
      </c>
    </row>
    <row r="543" spans="1:21" ht="19.5" hidden="1" x14ac:dyDescent="0.3">
      <c r="A543" s="138"/>
      <c r="B543" s="139"/>
      <c r="C543" s="365" t="s">
        <v>18</v>
      </c>
      <c r="D543" s="498" t="s">
        <v>38</v>
      </c>
      <c r="E543" s="141"/>
      <c r="F543" s="141"/>
      <c r="G543" s="142"/>
      <c r="H543" s="143"/>
      <c r="I543" s="135"/>
      <c r="J543" s="44"/>
      <c r="K543" s="45"/>
      <c r="L543" s="465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11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11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11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11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11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11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11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11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11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496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hidden="1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64">
        <f>I566</f>
        <v>0</v>
      </c>
      <c r="J554" s="364">
        <f>J566</f>
        <v>0</v>
      </c>
      <c r="K554" s="513">
        <f>IF(I554&gt;0,J554*100/I554,0)</f>
        <v>0</v>
      </c>
      <c r="L554" s="512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hidden="1" x14ac:dyDescent="0.3">
      <c r="A555" s="128"/>
      <c r="B555" s="40"/>
      <c r="C555" s="129" t="s">
        <v>18</v>
      </c>
      <c r="D555" s="472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471">
        <f>L556+L557</f>
        <v>0</v>
      </c>
      <c r="M555" s="470">
        <f>M556+M557</f>
        <v>0</v>
      </c>
      <c r="N555" s="470">
        <f>N556+N557</f>
        <v>0</v>
      </c>
      <c r="O555" s="470">
        <f t="shared" ref="O555:O563" si="139">IF(L555&gt;0,N555*100/L555,0)</f>
        <v>0</v>
      </c>
      <c r="P555" s="470">
        <f t="shared" ref="P555:P563" si="140">IF(M555&gt;0,N555*100/M555,0)</f>
        <v>0</v>
      </c>
      <c r="Q555" s="470">
        <f>Q556+Q557</f>
        <v>0</v>
      </c>
      <c r="R555" s="470">
        <f>R556+R557</f>
        <v>0</v>
      </c>
      <c r="S555" s="470">
        <f>S556+S557</f>
        <v>0</v>
      </c>
      <c r="T555" s="470">
        <f t="shared" ref="T555:T563" si="141">IF(Q555&gt;0,S555*100/Q555,0)</f>
        <v>0</v>
      </c>
      <c r="U555" s="470">
        <f t="shared" ref="U555:U563" si="142"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469">
        <f t="shared" ref="L556:N557" si="143">L559+L562</f>
        <v>0</v>
      </c>
      <c r="M556" s="83">
        <f t="shared" si="143"/>
        <v>0</v>
      </c>
      <c r="N556" s="83">
        <f t="shared" si="143"/>
        <v>0</v>
      </c>
      <c r="O556" s="83">
        <f t="shared" si="139"/>
        <v>0</v>
      </c>
      <c r="P556" s="83">
        <f t="shared" si="140"/>
        <v>0</v>
      </c>
      <c r="Q556" s="83">
        <f t="shared" ref="Q556:S557" si="144">Q559+Q562</f>
        <v>0</v>
      </c>
      <c r="R556" s="83">
        <f t="shared" si="144"/>
        <v>0</v>
      </c>
      <c r="S556" s="83">
        <f t="shared" si="144"/>
        <v>0</v>
      </c>
      <c r="T556" s="83">
        <f t="shared" si="141"/>
        <v>0</v>
      </c>
      <c r="U556" s="83">
        <f t="shared" si="142"/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468">
        <f t="shared" si="143"/>
        <v>0</v>
      </c>
      <c r="M557" s="224">
        <f t="shared" si="143"/>
        <v>0</v>
      </c>
      <c r="N557" s="224">
        <f t="shared" si="143"/>
        <v>0</v>
      </c>
      <c r="O557" s="224">
        <f t="shared" si="139"/>
        <v>0</v>
      </c>
      <c r="P557" s="224">
        <f t="shared" si="140"/>
        <v>0</v>
      </c>
      <c r="Q557" s="224">
        <f t="shared" si="144"/>
        <v>0</v>
      </c>
      <c r="R557" s="224">
        <f t="shared" si="144"/>
        <v>0</v>
      </c>
      <c r="S557" s="224">
        <f t="shared" si="144"/>
        <v>0</v>
      </c>
      <c r="T557" s="224">
        <f t="shared" si="141"/>
        <v>0</v>
      </c>
      <c r="U557" s="224">
        <f t="shared" si="142"/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468">
        <f>L559+L560</f>
        <v>0</v>
      </c>
      <c r="M558" s="224">
        <f>M559+M560</f>
        <v>0</v>
      </c>
      <c r="N558" s="224">
        <f>N559+N560</f>
        <v>0</v>
      </c>
      <c r="O558" s="224">
        <f t="shared" si="139"/>
        <v>0</v>
      </c>
      <c r="P558" s="224">
        <f t="shared" si="140"/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 t="shared" si="141"/>
        <v>0</v>
      </c>
      <c r="U558" s="224">
        <f t="shared" si="142"/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469">
        <v>0</v>
      </c>
      <c r="M559" s="83">
        <v>0</v>
      </c>
      <c r="N559" s="83">
        <v>0</v>
      </c>
      <c r="O559" s="83">
        <f t="shared" si="139"/>
        <v>0</v>
      </c>
      <c r="P559" s="83">
        <f t="shared" si="140"/>
        <v>0</v>
      </c>
      <c r="Q559" s="83">
        <v>0</v>
      </c>
      <c r="R559" s="83">
        <v>0</v>
      </c>
      <c r="S559" s="83">
        <v>0</v>
      </c>
      <c r="T559" s="83">
        <f t="shared" si="141"/>
        <v>0</v>
      </c>
      <c r="U559" s="83">
        <f t="shared" si="142"/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468">
        <v>0</v>
      </c>
      <c r="M560" s="224">
        <v>0</v>
      </c>
      <c r="N560" s="224">
        <v>0</v>
      </c>
      <c r="O560" s="224">
        <f t="shared" si="139"/>
        <v>0</v>
      </c>
      <c r="P560" s="224">
        <f t="shared" si="140"/>
        <v>0</v>
      </c>
      <c r="Q560" s="224">
        <v>0</v>
      </c>
      <c r="R560" s="224">
        <v>0</v>
      </c>
      <c r="S560" s="224">
        <v>0</v>
      </c>
      <c r="T560" s="224">
        <f t="shared" si="141"/>
        <v>0</v>
      </c>
      <c r="U560" s="224">
        <f t="shared" si="142"/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468">
        <f>L562+L563</f>
        <v>0</v>
      </c>
      <c r="M561" s="224">
        <f>M562+M563</f>
        <v>0</v>
      </c>
      <c r="N561" s="224">
        <f>N562+N563</f>
        <v>0</v>
      </c>
      <c r="O561" s="224">
        <f t="shared" si="139"/>
        <v>0</v>
      </c>
      <c r="P561" s="224">
        <f t="shared" si="140"/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 t="shared" si="141"/>
        <v>0</v>
      </c>
      <c r="U561" s="224">
        <f t="shared" si="142"/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469">
        <v>0</v>
      </c>
      <c r="M562" s="83">
        <v>0</v>
      </c>
      <c r="N562" s="83">
        <v>0</v>
      </c>
      <c r="O562" s="83">
        <f t="shared" si="139"/>
        <v>0</v>
      </c>
      <c r="P562" s="83">
        <f t="shared" si="140"/>
        <v>0</v>
      </c>
      <c r="Q562" s="83">
        <v>0</v>
      </c>
      <c r="R562" s="83">
        <v>0</v>
      </c>
      <c r="S562" s="83">
        <v>0</v>
      </c>
      <c r="T562" s="83">
        <f t="shared" si="141"/>
        <v>0</v>
      </c>
      <c r="U562" s="83">
        <f t="shared" si="142"/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468">
        <v>0</v>
      </c>
      <c r="M563" s="224">
        <v>0</v>
      </c>
      <c r="N563" s="224">
        <v>0</v>
      </c>
      <c r="O563" s="224">
        <f t="shared" si="139"/>
        <v>0</v>
      </c>
      <c r="P563" s="224">
        <f t="shared" si="140"/>
        <v>0</v>
      </c>
      <c r="Q563" s="224">
        <v>0</v>
      </c>
      <c r="R563" s="224">
        <v>0</v>
      </c>
      <c r="S563" s="224">
        <v>0</v>
      </c>
      <c r="T563" s="224">
        <f t="shared" si="141"/>
        <v>0</v>
      </c>
      <c r="U563" s="224">
        <f t="shared" si="142"/>
        <v>0</v>
      </c>
    </row>
    <row r="564" spans="1:21" ht="19.5" hidden="1" x14ac:dyDescent="0.3">
      <c r="A564" s="138"/>
      <c r="B564" s="139"/>
      <c r="C564" s="365" t="s">
        <v>18</v>
      </c>
      <c r="D564" s="498" t="s">
        <v>38</v>
      </c>
      <c r="E564" s="141"/>
      <c r="F564" s="141"/>
      <c r="G564" s="142"/>
      <c r="H564" s="143"/>
      <c r="I564" s="135"/>
      <c r="J564" s="44"/>
      <c r="K564" s="45"/>
      <c r="L564" s="465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11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11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11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11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11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11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11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11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11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496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hidden="1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64">
        <f>I587</f>
        <v>0</v>
      </c>
      <c r="J575" s="364">
        <f>J587</f>
        <v>0</v>
      </c>
      <c r="K575" s="513">
        <f>IF(I575&gt;0,J575*100/I575,0)</f>
        <v>0</v>
      </c>
      <c r="L575" s="512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hidden="1" x14ac:dyDescent="0.3">
      <c r="A576" s="128"/>
      <c r="B576" s="40"/>
      <c r="C576" s="129" t="s">
        <v>18</v>
      </c>
      <c r="D576" s="472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471">
        <f>L577+L578</f>
        <v>0</v>
      </c>
      <c r="M576" s="470">
        <f>M577+M578</f>
        <v>0</v>
      </c>
      <c r="N576" s="470">
        <f>N577+N578</f>
        <v>0</v>
      </c>
      <c r="O576" s="470">
        <f t="shared" ref="O576:O584" si="145">IF(L576&gt;0,N576*100/L576,0)</f>
        <v>0</v>
      </c>
      <c r="P576" s="470">
        <f t="shared" ref="P576:P584" si="146">IF(M576&gt;0,N576*100/M576,0)</f>
        <v>0</v>
      </c>
      <c r="Q576" s="470">
        <f>Q577+Q578</f>
        <v>0</v>
      </c>
      <c r="R576" s="470">
        <f>R577+R578</f>
        <v>0</v>
      </c>
      <c r="S576" s="470">
        <f>S577+S578</f>
        <v>0</v>
      </c>
      <c r="T576" s="470">
        <f t="shared" ref="T576:T584" si="147">IF(Q576&gt;0,S576*100/Q576,0)</f>
        <v>0</v>
      </c>
      <c r="U576" s="470">
        <f t="shared" ref="U576:U584" si="148"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469">
        <f t="shared" ref="L577:N578" si="149">L580+L583</f>
        <v>0</v>
      </c>
      <c r="M577" s="83">
        <f t="shared" si="149"/>
        <v>0</v>
      </c>
      <c r="N577" s="83">
        <f t="shared" si="149"/>
        <v>0</v>
      </c>
      <c r="O577" s="83">
        <f t="shared" si="145"/>
        <v>0</v>
      </c>
      <c r="P577" s="83">
        <f t="shared" si="146"/>
        <v>0</v>
      </c>
      <c r="Q577" s="83">
        <f t="shared" ref="Q577:S578" si="150">Q580+Q583</f>
        <v>0</v>
      </c>
      <c r="R577" s="83">
        <f t="shared" si="150"/>
        <v>0</v>
      </c>
      <c r="S577" s="83">
        <f t="shared" si="150"/>
        <v>0</v>
      </c>
      <c r="T577" s="83">
        <f t="shared" si="147"/>
        <v>0</v>
      </c>
      <c r="U577" s="83">
        <f t="shared" si="148"/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468">
        <f t="shared" si="149"/>
        <v>0</v>
      </c>
      <c r="M578" s="224">
        <f t="shared" si="149"/>
        <v>0</v>
      </c>
      <c r="N578" s="224">
        <f t="shared" si="149"/>
        <v>0</v>
      </c>
      <c r="O578" s="224">
        <f t="shared" si="145"/>
        <v>0</v>
      </c>
      <c r="P578" s="224">
        <f t="shared" si="146"/>
        <v>0</v>
      </c>
      <c r="Q578" s="224">
        <f t="shared" si="150"/>
        <v>0</v>
      </c>
      <c r="R578" s="224">
        <f t="shared" si="150"/>
        <v>0</v>
      </c>
      <c r="S578" s="224">
        <f t="shared" si="150"/>
        <v>0</v>
      </c>
      <c r="T578" s="224">
        <f t="shared" si="147"/>
        <v>0</v>
      </c>
      <c r="U578" s="224">
        <f t="shared" si="148"/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468">
        <f>L580+L581</f>
        <v>0</v>
      </c>
      <c r="M579" s="224">
        <f>M580+M581</f>
        <v>0</v>
      </c>
      <c r="N579" s="224">
        <f>N580+N581</f>
        <v>0</v>
      </c>
      <c r="O579" s="224">
        <f t="shared" si="145"/>
        <v>0</v>
      </c>
      <c r="P579" s="224">
        <f t="shared" si="146"/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 t="shared" si="147"/>
        <v>0</v>
      </c>
      <c r="U579" s="224">
        <f t="shared" si="148"/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469">
        <v>0</v>
      </c>
      <c r="M580" s="83">
        <v>0</v>
      </c>
      <c r="N580" s="83">
        <v>0</v>
      </c>
      <c r="O580" s="83">
        <f t="shared" si="145"/>
        <v>0</v>
      </c>
      <c r="P580" s="83">
        <f t="shared" si="146"/>
        <v>0</v>
      </c>
      <c r="Q580" s="83">
        <v>0</v>
      </c>
      <c r="R580" s="83">
        <v>0</v>
      </c>
      <c r="S580" s="83">
        <v>0</v>
      </c>
      <c r="T580" s="83">
        <f t="shared" si="147"/>
        <v>0</v>
      </c>
      <c r="U580" s="83">
        <f t="shared" si="148"/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468">
        <v>0</v>
      </c>
      <c r="M581" s="224">
        <v>0</v>
      </c>
      <c r="N581" s="224">
        <v>0</v>
      </c>
      <c r="O581" s="224">
        <f t="shared" si="145"/>
        <v>0</v>
      </c>
      <c r="P581" s="224">
        <f t="shared" si="146"/>
        <v>0</v>
      </c>
      <c r="Q581" s="224">
        <v>0</v>
      </c>
      <c r="R581" s="224">
        <v>0</v>
      </c>
      <c r="S581" s="224">
        <v>0</v>
      </c>
      <c r="T581" s="224">
        <f t="shared" si="147"/>
        <v>0</v>
      </c>
      <c r="U581" s="224">
        <f t="shared" si="148"/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468">
        <f>L583+L584</f>
        <v>0</v>
      </c>
      <c r="M582" s="224">
        <f>M583+M584</f>
        <v>0</v>
      </c>
      <c r="N582" s="224">
        <f>N583+N584</f>
        <v>0</v>
      </c>
      <c r="O582" s="224">
        <f t="shared" si="145"/>
        <v>0</v>
      </c>
      <c r="P582" s="224">
        <f t="shared" si="146"/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 t="shared" si="147"/>
        <v>0</v>
      </c>
      <c r="U582" s="224">
        <f t="shared" si="148"/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469">
        <v>0</v>
      </c>
      <c r="M583" s="83">
        <v>0</v>
      </c>
      <c r="N583" s="83">
        <v>0</v>
      </c>
      <c r="O583" s="83">
        <f t="shared" si="145"/>
        <v>0</v>
      </c>
      <c r="P583" s="83">
        <f t="shared" si="146"/>
        <v>0</v>
      </c>
      <c r="Q583" s="83">
        <v>0</v>
      </c>
      <c r="R583" s="83">
        <v>0</v>
      </c>
      <c r="S583" s="83">
        <v>0</v>
      </c>
      <c r="T583" s="83">
        <f t="shared" si="147"/>
        <v>0</v>
      </c>
      <c r="U583" s="83">
        <f t="shared" si="148"/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468">
        <v>0</v>
      </c>
      <c r="M584" s="224">
        <v>0</v>
      </c>
      <c r="N584" s="224">
        <v>0</v>
      </c>
      <c r="O584" s="224">
        <f t="shared" si="145"/>
        <v>0</v>
      </c>
      <c r="P584" s="224">
        <f t="shared" si="146"/>
        <v>0</v>
      </c>
      <c r="Q584" s="224">
        <v>0</v>
      </c>
      <c r="R584" s="224">
        <v>0</v>
      </c>
      <c r="S584" s="224">
        <v>0</v>
      </c>
      <c r="T584" s="224">
        <f t="shared" si="147"/>
        <v>0</v>
      </c>
      <c r="U584" s="224">
        <f t="shared" si="148"/>
        <v>0</v>
      </c>
    </row>
    <row r="585" spans="1:21" ht="19.5" hidden="1" x14ac:dyDescent="0.3">
      <c r="A585" s="138"/>
      <c r="B585" s="139"/>
      <c r="C585" s="365" t="s">
        <v>18</v>
      </c>
      <c r="D585" s="498" t="s">
        <v>38</v>
      </c>
      <c r="E585" s="141"/>
      <c r="F585" s="141"/>
      <c r="G585" s="142"/>
      <c r="H585" s="143"/>
      <c r="I585" s="135"/>
      <c r="J585" s="44"/>
      <c r="K585" s="45"/>
      <c r="L585" s="465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11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11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11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11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11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11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11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11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11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496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hidden="1" x14ac:dyDescent="0.3">
      <c r="A596" s="366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67" t="s">
        <v>214</v>
      </c>
      <c r="C597" s="172"/>
      <c r="D597" s="125"/>
      <c r="E597" s="27"/>
      <c r="F597" s="27"/>
      <c r="G597" s="27"/>
      <c r="H597" s="368" t="s">
        <v>99</v>
      </c>
      <c r="I597" s="182"/>
      <c r="J597" s="32"/>
      <c r="K597" s="33"/>
      <c r="L597" s="510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369"/>
      <c r="B598" s="370" t="s">
        <v>215</v>
      </c>
      <c r="C598" s="125"/>
      <c r="D598" s="27"/>
      <c r="E598" s="27"/>
      <c r="F598" s="27"/>
      <c r="G598" s="30"/>
      <c r="H598" s="371" t="s">
        <v>35</v>
      </c>
      <c r="I598" s="32"/>
      <c r="J598" s="32"/>
      <c r="K598" s="33"/>
      <c r="L598" s="510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820" t="s">
        <v>19</v>
      </c>
      <c r="E599" s="793"/>
      <c r="F599" s="793"/>
      <c r="G599" s="794"/>
      <c r="H599" s="372" t="s">
        <v>14</v>
      </c>
      <c r="I599" s="44"/>
      <c r="J599" s="44"/>
      <c r="K599" s="45"/>
      <c r="L599" s="471">
        <f>L600+L601</f>
        <v>0</v>
      </c>
      <c r="M599" s="470">
        <f>M600+M601</f>
        <v>0</v>
      </c>
      <c r="N599" s="470">
        <f>N600+N601</f>
        <v>0</v>
      </c>
      <c r="O599" s="470">
        <f t="shared" ref="O599:O607" si="151">IF(L599&gt;0,N599*100/L599,0)</f>
        <v>0</v>
      </c>
      <c r="P599" s="470">
        <f t="shared" ref="P599:P607" si="152">IF(M599&gt;0,N599*100/M599,0)</f>
        <v>0</v>
      </c>
      <c r="Q599" s="470">
        <f>Q600+Q601</f>
        <v>0</v>
      </c>
      <c r="R599" s="470">
        <f>R600+R601</f>
        <v>0</v>
      </c>
      <c r="S599" s="470">
        <f>S600+S601</f>
        <v>0</v>
      </c>
      <c r="T599" s="470">
        <f t="shared" ref="T599:T607" si="153">IF(Q599&gt;0,S599*100/Q599,0)</f>
        <v>0</v>
      </c>
      <c r="U599" s="470">
        <f t="shared" ref="U599:U607" si="154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469">
        <f t="shared" ref="L600:N601" si="155">L603+L606</f>
        <v>0</v>
      </c>
      <c r="M600" s="83">
        <f t="shared" si="155"/>
        <v>0</v>
      </c>
      <c r="N600" s="83">
        <f t="shared" si="155"/>
        <v>0</v>
      </c>
      <c r="O600" s="83">
        <f t="shared" si="151"/>
        <v>0</v>
      </c>
      <c r="P600" s="83">
        <f t="shared" si="152"/>
        <v>0</v>
      </c>
      <c r="Q600" s="83">
        <f t="shared" ref="Q600:S601" si="156">Q603+Q606</f>
        <v>0</v>
      </c>
      <c r="R600" s="83">
        <f t="shared" si="156"/>
        <v>0</v>
      </c>
      <c r="S600" s="83">
        <f t="shared" si="156"/>
        <v>0</v>
      </c>
      <c r="T600" s="83">
        <f t="shared" si="153"/>
        <v>0</v>
      </c>
      <c r="U600" s="83">
        <f t="shared" si="154"/>
        <v>0</v>
      </c>
    </row>
    <row r="601" spans="1:21" ht="18.75" hidden="1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468">
        <f t="shared" si="155"/>
        <v>0</v>
      </c>
      <c r="M601" s="224">
        <f t="shared" si="155"/>
        <v>0</v>
      </c>
      <c r="N601" s="224">
        <f t="shared" si="155"/>
        <v>0</v>
      </c>
      <c r="O601" s="224">
        <f t="shared" si="151"/>
        <v>0</v>
      </c>
      <c r="P601" s="224">
        <f t="shared" si="152"/>
        <v>0</v>
      </c>
      <c r="Q601" s="224">
        <f t="shared" si="156"/>
        <v>0</v>
      </c>
      <c r="R601" s="224">
        <f t="shared" si="156"/>
        <v>0</v>
      </c>
      <c r="S601" s="224">
        <f t="shared" si="156"/>
        <v>0</v>
      </c>
      <c r="T601" s="224">
        <f t="shared" si="153"/>
        <v>0</v>
      </c>
      <c r="U601" s="224">
        <f t="shared" si="154"/>
        <v>0</v>
      </c>
    </row>
    <row r="602" spans="1:21" ht="19.5" hidden="1" x14ac:dyDescent="0.3">
      <c r="A602" s="128"/>
      <c r="B602" s="158"/>
      <c r="C602" s="158"/>
      <c r="D602" s="494" t="s">
        <v>22</v>
      </c>
      <c r="E602" s="40"/>
      <c r="F602" s="40"/>
      <c r="G602" s="42"/>
      <c r="H602" s="372" t="s">
        <v>14</v>
      </c>
      <c r="I602" s="135"/>
      <c r="J602" s="135"/>
      <c r="K602" s="136"/>
      <c r="L602" s="468">
        <f>L603+L604</f>
        <v>0</v>
      </c>
      <c r="M602" s="224">
        <f>M603+M604</f>
        <v>0</v>
      </c>
      <c r="N602" s="224">
        <f>N603+N604</f>
        <v>0</v>
      </c>
      <c r="O602" s="224">
        <f t="shared" si="151"/>
        <v>0</v>
      </c>
      <c r="P602" s="224">
        <f t="shared" si="152"/>
        <v>0</v>
      </c>
      <c r="Q602" s="224">
        <f>Q603+Q604</f>
        <v>0</v>
      </c>
      <c r="R602" s="224">
        <f>R603+R604</f>
        <v>0</v>
      </c>
      <c r="S602" s="224">
        <f>S603+S604</f>
        <v>0</v>
      </c>
      <c r="T602" s="224">
        <f t="shared" si="153"/>
        <v>0</v>
      </c>
      <c r="U602" s="224">
        <f t="shared" si="154"/>
        <v>0</v>
      </c>
    </row>
    <row r="603" spans="1:21" ht="18.75" hidden="1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469">
        <v>0</v>
      </c>
      <c r="M603" s="83">
        <v>0</v>
      </c>
      <c r="N603" s="83">
        <v>0</v>
      </c>
      <c r="O603" s="83">
        <f t="shared" si="151"/>
        <v>0</v>
      </c>
      <c r="P603" s="83">
        <f t="shared" si="152"/>
        <v>0</v>
      </c>
      <c r="Q603" s="83">
        <v>0</v>
      </c>
      <c r="R603" s="83">
        <v>0</v>
      </c>
      <c r="S603" s="83">
        <v>0</v>
      </c>
      <c r="T603" s="83">
        <f t="shared" si="153"/>
        <v>0</v>
      </c>
      <c r="U603" s="83">
        <f t="shared" si="154"/>
        <v>0</v>
      </c>
    </row>
    <row r="604" spans="1:21" ht="18.75" hidden="1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468">
        <v>0</v>
      </c>
      <c r="M604" s="224">
        <v>0</v>
      </c>
      <c r="N604" s="224">
        <v>0</v>
      </c>
      <c r="O604" s="224">
        <f t="shared" si="151"/>
        <v>0</v>
      </c>
      <c r="P604" s="224">
        <f t="shared" si="152"/>
        <v>0</v>
      </c>
      <c r="Q604" s="224">
        <v>0</v>
      </c>
      <c r="R604" s="224">
        <v>0</v>
      </c>
      <c r="S604" s="224">
        <v>0</v>
      </c>
      <c r="T604" s="224">
        <f t="shared" si="153"/>
        <v>0</v>
      </c>
      <c r="U604" s="224">
        <f t="shared" si="154"/>
        <v>0</v>
      </c>
    </row>
    <row r="605" spans="1:21" ht="19.5" hidden="1" x14ac:dyDescent="0.3">
      <c r="A605" s="128"/>
      <c r="B605" s="158"/>
      <c r="C605" s="158"/>
      <c r="D605" s="494" t="s">
        <v>23</v>
      </c>
      <c r="E605" s="158"/>
      <c r="F605" s="40"/>
      <c r="G605" s="42"/>
      <c r="H605" s="374" t="s">
        <v>14</v>
      </c>
      <c r="I605" s="135"/>
      <c r="J605" s="135"/>
      <c r="K605" s="136"/>
      <c r="L605" s="468">
        <f>L606+L607</f>
        <v>0</v>
      </c>
      <c r="M605" s="224">
        <f>M606+M607</f>
        <v>0</v>
      </c>
      <c r="N605" s="224">
        <f>N606+N607</f>
        <v>0</v>
      </c>
      <c r="O605" s="224">
        <f t="shared" si="151"/>
        <v>0</v>
      </c>
      <c r="P605" s="224">
        <f t="shared" si="152"/>
        <v>0</v>
      </c>
      <c r="Q605" s="224">
        <f>Q606+Q607</f>
        <v>0</v>
      </c>
      <c r="R605" s="224">
        <f>R606+R607</f>
        <v>0</v>
      </c>
      <c r="S605" s="224">
        <f>S606+S607</f>
        <v>0</v>
      </c>
      <c r="T605" s="224">
        <f t="shared" si="153"/>
        <v>0</v>
      </c>
      <c r="U605" s="224">
        <f t="shared" si="154"/>
        <v>0</v>
      </c>
    </row>
    <row r="606" spans="1:21" ht="18.75" hidden="1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469">
        <v>0</v>
      </c>
      <c r="M606" s="83">
        <v>0</v>
      </c>
      <c r="N606" s="83">
        <v>0</v>
      </c>
      <c r="O606" s="83">
        <f t="shared" si="151"/>
        <v>0</v>
      </c>
      <c r="P606" s="83">
        <f t="shared" si="152"/>
        <v>0</v>
      </c>
      <c r="Q606" s="83">
        <v>0</v>
      </c>
      <c r="R606" s="83">
        <v>0</v>
      </c>
      <c r="S606" s="83">
        <v>0</v>
      </c>
      <c r="T606" s="83">
        <f t="shared" si="153"/>
        <v>0</v>
      </c>
      <c r="U606" s="83">
        <f t="shared" si="154"/>
        <v>0</v>
      </c>
    </row>
    <row r="607" spans="1:21" ht="18.75" hidden="1" x14ac:dyDescent="0.25">
      <c r="A607" s="128"/>
      <c r="B607" s="158"/>
      <c r="C607" s="158"/>
      <c r="D607" s="40"/>
      <c r="E607" s="314" t="s">
        <v>21</v>
      </c>
      <c r="F607" s="40"/>
      <c r="G607" s="42"/>
      <c r="H607" s="375" t="s">
        <v>14</v>
      </c>
      <c r="I607" s="135"/>
      <c r="J607" s="135"/>
      <c r="K607" s="136"/>
      <c r="L607" s="468">
        <v>0</v>
      </c>
      <c r="M607" s="224">
        <v>0</v>
      </c>
      <c r="N607" s="224">
        <v>0</v>
      </c>
      <c r="O607" s="224">
        <f t="shared" si="151"/>
        <v>0</v>
      </c>
      <c r="P607" s="224">
        <f t="shared" si="152"/>
        <v>0</v>
      </c>
      <c r="Q607" s="224">
        <v>0</v>
      </c>
      <c r="R607" s="224">
        <v>0</v>
      </c>
      <c r="S607" s="224">
        <v>0</v>
      </c>
      <c r="T607" s="224">
        <f t="shared" si="153"/>
        <v>0</v>
      </c>
      <c r="U607" s="224">
        <f t="shared" si="154"/>
        <v>0</v>
      </c>
    </row>
    <row r="608" spans="1:21" ht="19.5" hidden="1" x14ac:dyDescent="0.3">
      <c r="A608" s="138"/>
      <c r="B608" s="139"/>
      <c r="C608" s="177" t="s">
        <v>18</v>
      </c>
      <c r="D608" s="509" t="s">
        <v>38</v>
      </c>
      <c r="E608" s="141"/>
      <c r="F608" s="141"/>
      <c r="G608" s="142"/>
      <c r="H608" s="178"/>
      <c r="I608" s="135"/>
      <c r="J608" s="135"/>
      <c r="K608" s="136"/>
      <c r="L608" s="465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377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465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377" t="s">
        <v>217</v>
      </c>
      <c r="E610" s="145"/>
      <c r="F610" s="145"/>
      <c r="G610" s="143"/>
      <c r="H610" s="372" t="s">
        <v>35</v>
      </c>
      <c r="I610" s="44"/>
      <c r="J610" s="44"/>
      <c r="K610" s="136"/>
      <c r="L610" s="465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377" t="s">
        <v>218</v>
      </c>
      <c r="F611" s="145"/>
      <c r="G611" s="143"/>
      <c r="H611" s="375" t="s">
        <v>35</v>
      </c>
      <c r="I611" s="44"/>
      <c r="J611" s="44"/>
      <c r="K611" s="136"/>
      <c r="L611" s="465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378"/>
      <c r="B612" s="379"/>
      <c r="C612" s="379"/>
      <c r="D612" s="379"/>
      <c r="E612" s="380" t="s">
        <v>219</v>
      </c>
      <c r="F612" s="381"/>
      <c r="G612" s="382"/>
      <c r="H612" s="383" t="s">
        <v>35</v>
      </c>
      <c r="I612" s="384"/>
      <c r="J612" s="384"/>
      <c r="K612" s="385"/>
      <c r="L612" s="508"/>
      <c r="M612" s="386"/>
      <c r="N612" s="386"/>
      <c r="O612" s="386"/>
      <c r="P612" s="386"/>
      <c r="Q612" s="386"/>
      <c r="R612" s="386"/>
      <c r="S612" s="386"/>
      <c r="T612" s="386"/>
      <c r="U612" s="386"/>
    </row>
    <row r="613" spans="1:21" ht="19.5" hidden="1" x14ac:dyDescent="0.3">
      <c r="A613" s="387" t="s">
        <v>220</v>
      </c>
      <c r="B613" s="388"/>
      <c r="C613" s="388"/>
      <c r="D613" s="389"/>
      <c r="E613" s="389"/>
      <c r="F613" s="389"/>
      <c r="G613" s="390"/>
      <c r="H613" s="391"/>
      <c r="I613" s="392"/>
      <c r="J613" s="392"/>
      <c r="K613" s="393"/>
      <c r="L613" s="507"/>
      <c r="M613" s="393"/>
      <c r="N613" s="393"/>
      <c r="O613" s="393"/>
      <c r="P613" s="393"/>
      <c r="Q613" s="393"/>
      <c r="R613" s="393"/>
      <c r="S613" s="393"/>
      <c r="T613" s="393"/>
      <c r="U613" s="393"/>
    </row>
    <row r="614" spans="1:21" ht="19.5" x14ac:dyDescent="0.3">
      <c r="A614" s="394"/>
      <c r="B614" s="395" t="s">
        <v>221</v>
      </c>
      <c r="C614" s="394"/>
      <c r="D614" s="396"/>
      <c r="E614" s="396"/>
      <c r="F614" s="396"/>
      <c r="G614" s="397"/>
      <c r="H614" s="398"/>
      <c r="I614" s="399"/>
      <c r="J614" s="399"/>
      <c r="K614" s="400"/>
      <c r="L614" s="473"/>
      <c r="M614" s="400"/>
      <c r="N614" s="400"/>
      <c r="O614" s="400"/>
      <c r="P614" s="400"/>
      <c r="Q614" s="400"/>
      <c r="R614" s="400"/>
      <c r="S614" s="400"/>
      <c r="T614" s="400"/>
      <c r="U614" s="400"/>
    </row>
    <row r="615" spans="1:21" ht="19.5" x14ac:dyDescent="0.3">
      <c r="A615" s="401"/>
      <c r="B615" s="402" t="s">
        <v>222</v>
      </c>
      <c r="C615" s="401"/>
      <c r="D615" s="403"/>
      <c r="E615" s="403"/>
      <c r="F615" s="403"/>
      <c r="G615" s="404"/>
      <c r="H615" s="405" t="s">
        <v>46</v>
      </c>
      <c r="I615" s="506">
        <f ca="1">I626</f>
        <v>50</v>
      </c>
      <c r="J615" s="506">
        <f>J626</f>
        <v>0</v>
      </c>
      <c r="K615" s="505">
        <f ca="1">IF(I615&gt;0,J615*100/I615,0)</f>
        <v>0</v>
      </c>
      <c r="L615" s="504"/>
      <c r="M615" s="408"/>
      <c r="N615" s="408"/>
      <c r="O615" s="408"/>
      <c r="P615" s="408"/>
      <c r="Q615" s="408"/>
      <c r="R615" s="408"/>
      <c r="S615" s="408"/>
      <c r="T615" s="408"/>
      <c r="U615" s="408"/>
    </row>
    <row r="616" spans="1:21" ht="19.5" x14ac:dyDescent="0.3">
      <c r="A616" s="128"/>
      <c r="B616" s="158"/>
      <c r="C616" s="177" t="s">
        <v>18</v>
      </c>
      <c r="D616" s="821" t="s">
        <v>19</v>
      </c>
      <c r="E616" s="793"/>
      <c r="F616" s="793"/>
      <c r="G616" s="794"/>
      <c r="H616" s="221" t="s">
        <v>14</v>
      </c>
      <c r="I616" s="44"/>
      <c r="J616" s="44"/>
      <c r="K616" s="45"/>
      <c r="L616" s="471">
        <f>L617+L618</f>
        <v>0</v>
      </c>
      <c r="M616" s="470">
        <f>M617+M618</f>
        <v>0</v>
      </c>
      <c r="N616" s="470">
        <f>N617+N618</f>
        <v>0</v>
      </c>
      <c r="O616" s="470">
        <f t="shared" ref="O616:O624" si="157">IF(L616&gt;0,N616*100/L616,0)</f>
        <v>0</v>
      </c>
      <c r="P616" s="470">
        <f t="shared" ref="P616:P624" si="158">IF(M616&gt;0,N616*100/M616,0)</f>
        <v>0</v>
      </c>
      <c r="Q616" s="470">
        <f ca="1">Q617+Q618</f>
        <v>7475</v>
      </c>
      <c r="R616" s="470">
        <f ca="1">R617+R618</f>
        <v>7475</v>
      </c>
      <c r="S616" s="470">
        <f ca="1">S617+S618</f>
        <v>2140</v>
      </c>
      <c r="T616" s="470">
        <f t="shared" ref="T616:T624" ca="1" si="159">IF(Q616&gt;0,S616*100/Q616,0)</f>
        <v>28.628762541806019</v>
      </c>
      <c r="U616" s="470">
        <f t="shared" ref="U616:U624" ca="1" si="160">IF(R616&gt;0,S616*100/R616,0)</f>
        <v>28.628762541806019</v>
      </c>
    </row>
    <row r="617" spans="1:21" ht="18.75" hidden="1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469">
        <f t="shared" ref="L617:N618" si="161">L620+L623</f>
        <v>0</v>
      </c>
      <c r="M617" s="83">
        <f t="shared" si="161"/>
        <v>0</v>
      </c>
      <c r="N617" s="83">
        <f t="shared" si="161"/>
        <v>0</v>
      </c>
      <c r="O617" s="83">
        <f t="shared" si="157"/>
        <v>0</v>
      </c>
      <c r="P617" s="83">
        <f t="shared" si="158"/>
        <v>0</v>
      </c>
      <c r="Q617" s="83">
        <f t="shared" ref="Q617:S618" si="162">Q620+Q623</f>
        <v>0</v>
      </c>
      <c r="R617" s="83">
        <f t="shared" si="162"/>
        <v>0</v>
      </c>
      <c r="S617" s="83">
        <f t="shared" si="162"/>
        <v>0</v>
      </c>
      <c r="T617" s="83">
        <f t="shared" si="159"/>
        <v>0</v>
      </c>
      <c r="U617" s="83">
        <f t="shared" si="160"/>
        <v>0</v>
      </c>
    </row>
    <row r="618" spans="1:21" ht="18.75" hidden="1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468">
        <f t="shared" si="161"/>
        <v>0</v>
      </c>
      <c r="M618" s="224">
        <f t="shared" si="161"/>
        <v>0</v>
      </c>
      <c r="N618" s="224">
        <f t="shared" si="161"/>
        <v>0</v>
      </c>
      <c r="O618" s="224">
        <f t="shared" si="157"/>
        <v>0</v>
      </c>
      <c r="P618" s="224">
        <f t="shared" si="158"/>
        <v>0</v>
      </c>
      <c r="Q618" s="224">
        <f t="shared" ca="1" si="162"/>
        <v>7475</v>
      </c>
      <c r="R618" s="224">
        <f t="shared" ca="1" si="162"/>
        <v>7475</v>
      </c>
      <c r="S618" s="224">
        <f t="shared" ca="1" si="162"/>
        <v>2140</v>
      </c>
      <c r="T618" s="224">
        <f t="shared" ca="1" si="159"/>
        <v>28.628762541806019</v>
      </c>
      <c r="U618" s="224">
        <f t="shared" ca="1" si="160"/>
        <v>28.628762541806019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468">
        <f>L620+L621</f>
        <v>0</v>
      </c>
      <c r="M619" s="224">
        <f>M620+M621</f>
        <v>0</v>
      </c>
      <c r="N619" s="224">
        <f>N620+N621</f>
        <v>0</v>
      </c>
      <c r="O619" s="224">
        <f t="shared" si="157"/>
        <v>0</v>
      </c>
      <c r="P619" s="224">
        <f t="shared" si="158"/>
        <v>0</v>
      </c>
      <c r="Q619" s="224">
        <f ca="1">Q620+Q621</f>
        <v>7475</v>
      </c>
      <c r="R619" s="224">
        <f ca="1">R620+R621</f>
        <v>7475</v>
      </c>
      <c r="S619" s="224">
        <f ca="1">S620+S621</f>
        <v>2140</v>
      </c>
      <c r="T619" s="224">
        <f t="shared" ca="1" si="159"/>
        <v>28.628762541806019</v>
      </c>
      <c r="U619" s="224">
        <f t="shared" ca="1" si="160"/>
        <v>28.628762541806019</v>
      </c>
    </row>
    <row r="620" spans="1:21" ht="18.75" hidden="1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469">
        <v>0</v>
      </c>
      <c r="M620" s="83">
        <v>0</v>
      </c>
      <c r="N620" s="83">
        <v>0</v>
      </c>
      <c r="O620" s="83">
        <f t="shared" si="157"/>
        <v>0</v>
      </c>
      <c r="P620" s="83">
        <f t="shared" si="158"/>
        <v>0</v>
      </c>
      <c r="Q620" s="83">
        <v>0</v>
      </c>
      <c r="R620" s="83">
        <v>0</v>
      </c>
      <c r="S620" s="83">
        <v>0</v>
      </c>
      <c r="T620" s="83">
        <f t="shared" si="159"/>
        <v>0</v>
      </c>
      <c r="U620" s="83">
        <f t="shared" si="160"/>
        <v>0</v>
      </c>
    </row>
    <row r="621" spans="1:21" ht="18.75" hidden="1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468">
        <v>0</v>
      </c>
      <c r="M621" s="224">
        <v>0</v>
      </c>
      <c r="N621" s="224">
        <v>0</v>
      </c>
      <c r="O621" s="224">
        <f t="shared" si="157"/>
        <v>0</v>
      </c>
      <c r="P621" s="224">
        <f t="shared" si="158"/>
        <v>0</v>
      </c>
      <c r="Q621" s="224">
        <f ca="1">IFERROR(__xludf.DUMMYFUNCTION("IMPORTRANGE(""https://docs.google.com/spreadsheets/d/1ItG2mGa2ceCfYo0BwxsXqNm01IGEUdYcSSLTEv9YCik/edit?usp=sharing"",""เบิกจ่ายกองทุน!F18"")"),7475)</f>
        <v>7475</v>
      </c>
      <c r="R621" s="224">
        <f ca="1">IFERROR(__xludf.DUMMYFUNCTION("IMPORTRANGE(""https://docs.google.com/spreadsheets/d/1ItG2mGa2ceCfYo0BwxsXqNm01IGEUdYcSSLTEv9YCik/edit?usp=sharing"",""เบิกจ่ายกองทุน!G18"")"),7475)</f>
        <v>7475</v>
      </c>
      <c r="S621" s="224">
        <f ca="1">IFERROR(__xludf.DUMMYFUNCTION("IMPORTRANGE(""https://docs.google.com/spreadsheets/d/1ItG2mGa2ceCfYo0BwxsXqNm01IGEUdYcSSLTEv9YCik/edit?usp=sharing"",""เบิกจ่ายกองทุน!H18"")"),2140)</f>
        <v>2140</v>
      </c>
      <c r="T621" s="224">
        <f t="shared" ca="1" si="159"/>
        <v>28.628762541806019</v>
      </c>
      <c r="U621" s="224">
        <f t="shared" ca="1" si="160"/>
        <v>28.628762541806019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468">
        <f>L623+L624</f>
        <v>0</v>
      </c>
      <c r="M622" s="224">
        <f>M623+M624</f>
        <v>0</v>
      </c>
      <c r="N622" s="224">
        <f>N623+N624</f>
        <v>0</v>
      </c>
      <c r="O622" s="224">
        <f t="shared" si="157"/>
        <v>0</v>
      </c>
      <c r="P622" s="224">
        <f t="shared" si="158"/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 t="shared" si="159"/>
        <v>0</v>
      </c>
      <c r="U622" s="224">
        <f t="shared" si="160"/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469">
        <v>0</v>
      </c>
      <c r="M623" s="83">
        <v>0</v>
      </c>
      <c r="N623" s="83">
        <v>0</v>
      </c>
      <c r="O623" s="83">
        <f t="shared" si="157"/>
        <v>0</v>
      </c>
      <c r="P623" s="83">
        <f t="shared" si="158"/>
        <v>0</v>
      </c>
      <c r="Q623" s="83">
        <v>0</v>
      </c>
      <c r="R623" s="83">
        <v>0</v>
      </c>
      <c r="S623" s="83">
        <v>0</v>
      </c>
      <c r="T623" s="83">
        <f t="shared" si="159"/>
        <v>0</v>
      </c>
      <c r="U623" s="83">
        <f t="shared" si="160"/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468">
        <v>0</v>
      </c>
      <c r="M624" s="224">
        <v>0</v>
      </c>
      <c r="N624" s="224">
        <v>0</v>
      </c>
      <c r="O624" s="224">
        <f t="shared" si="157"/>
        <v>0</v>
      </c>
      <c r="P624" s="224">
        <f t="shared" si="158"/>
        <v>0</v>
      </c>
      <c r="Q624" s="224">
        <v>0</v>
      </c>
      <c r="R624" s="224">
        <v>0</v>
      </c>
      <c r="S624" s="224">
        <v>0</v>
      </c>
      <c r="T624" s="224">
        <f t="shared" si="159"/>
        <v>0</v>
      </c>
      <c r="U624" s="224">
        <f t="shared" si="160"/>
        <v>0</v>
      </c>
    </row>
    <row r="625" spans="1:21" ht="19.5" x14ac:dyDescent="0.3">
      <c r="A625" s="138"/>
      <c r="B625" s="139"/>
      <c r="C625" s="177" t="s">
        <v>18</v>
      </c>
      <c r="D625" s="467" t="s">
        <v>38</v>
      </c>
      <c r="E625" s="141"/>
      <c r="F625" s="141"/>
      <c r="G625" s="142"/>
      <c r="H625" s="178"/>
      <c r="I625" s="135"/>
      <c r="J625" s="135"/>
      <c r="K625" s="136"/>
      <c r="L625" s="4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10" t="s">
        <v>223</v>
      </c>
      <c r="E626" s="145"/>
      <c r="F626" s="145"/>
      <c r="G626" s="143"/>
      <c r="H626" s="411" t="s">
        <v>46</v>
      </c>
      <c r="I626" s="328">
        <f ca="1">IFERROR(__xludf.DUMMYFUNCTION("IMPORTRANGE(""https://docs.google.com/spreadsheets/d/1eHaY18a8A9IcSdp1K8H6x8fbOy06t2VsZHhMHf-1x7Y/edit?usp=sharing"",""แผน!ID18"")"),50)</f>
        <v>50</v>
      </c>
      <c r="J626" s="328">
        <f>J632</f>
        <v>0</v>
      </c>
      <c r="K626" s="470">
        <f ca="1">IF(I626&gt;0,J626*100/I626,0)</f>
        <v>0</v>
      </c>
      <c r="L626" s="4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IFERROR(__xludf.DUMMYFUNCTION("IMPORTRANGE(""https://docs.google.com/spreadsheets/d/1eHaY18a8A9IcSdp1K8H6x8fbOy06t2VsZHhMHf-1x7Y/edit?usp=sharing"",""แผน!IC18"")"),1)</f>
        <v>1</v>
      </c>
      <c r="J627" s="466">
        <v>1</v>
      </c>
      <c r="K627" s="224">
        <f ca="1">IF(I627&gt;0,(J627*100)/I627,0)</f>
        <v>100</v>
      </c>
      <c r="L627" s="4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IFERROR(__xludf.DUMMYFUNCTION("IMPORTRANGE(""https://docs.google.com/spreadsheets/d/1eHaY18a8A9IcSdp1K8H6x8fbOy06t2VsZHhMHf-1x7Y/edit?usp=sharing"",""แผน!IC18"")"),1)</f>
        <v>1</v>
      </c>
      <c r="J628" s="466">
        <v>1</v>
      </c>
      <c r="K628" s="224">
        <f ca="1">IF(I628&gt;0,(J628*100)/I628,0)</f>
        <v>100</v>
      </c>
      <c r="L628" s="4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466">
        <v>0</v>
      </c>
      <c r="K629" s="224">
        <f ca="1">IF(I$626&gt;0,J629*100/I$626,0)</f>
        <v>0</v>
      </c>
      <c r="L629" s="4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466">
        <v>0</v>
      </c>
      <c r="K630" s="224">
        <f ca="1">IF(I$626&gt;0,J630*100/I$626,0)</f>
        <v>0</v>
      </c>
      <c r="L630" s="4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466">
        <v>0</v>
      </c>
      <c r="K631" s="224">
        <f ca="1">IF(I$626&gt;0,J631*100/I$626,0)</f>
        <v>0</v>
      </c>
      <c r="L631" s="4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470">
        <f ca="1">IF(I626&gt;0,J632*100/I626,0)</f>
        <v>0</v>
      </c>
      <c r="L632" s="4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466">
        <v>0</v>
      </c>
      <c r="K633" s="45"/>
      <c r="L633" s="4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466">
        <v>0</v>
      </c>
      <c r="K634" s="45"/>
      <c r="L634" s="4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10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IFERROR(__xludf.DUMMYFUNCTION("IMPORTRANGE(""https://docs.google.com/spreadsheets/d/1eHaY18a8A9IcSdp1K8H6x8fbOy06t2VsZHhMHf-1x7Y/edit?usp=sharing"",""แผน!IE18"")"),0)</f>
        <v>0</v>
      </c>
      <c r="J635" s="328">
        <f>J636</f>
        <v>0</v>
      </c>
      <c r="K635" s="470">
        <f ca="1">IF(I635&gt;0,J635*100/I635,0)</f>
        <v>0</v>
      </c>
      <c r="L635" s="4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4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466">
        <v>0</v>
      </c>
      <c r="K637" s="45"/>
      <c r="L637" s="4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466">
        <v>0</v>
      </c>
      <c r="K638" s="45"/>
      <c r="L638" s="4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466">
        <v>0</v>
      </c>
      <c r="K639" s="45"/>
      <c r="L639" s="4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466">
        <v>0</v>
      </c>
      <c r="K640" s="45"/>
      <c r="L640" s="4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01"/>
      <c r="B641" s="402" t="s">
        <v>236</v>
      </c>
      <c r="C641" s="401"/>
      <c r="D641" s="403"/>
      <c r="E641" s="403"/>
      <c r="F641" s="403"/>
      <c r="G641" s="404"/>
      <c r="H641" s="412"/>
      <c r="I641" s="413"/>
      <c r="J641" s="413"/>
      <c r="K641" s="408"/>
      <c r="L641" s="504"/>
      <c r="M641" s="408"/>
      <c r="N641" s="408"/>
      <c r="O641" s="408"/>
      <c r="P641" s="408"/>
      <c r="Q641" s="408"/>
      <c r="R641" s="408"/>
      <c r="S641" s="408"/>
      <c r="T641" s="408"/>
      <c r="U641" s="408"/>
    </row>
    <row r="642" spans="1:21" ht="19.5" x14ac:dyDescent="0.3">
      <c r="A642" s="128"/>
      <c r="B642" s="158"/>
      <c r="C642" s="209" t="s">
        <v>18</v>
      </c>
      <c r="D642" s="821" t="s">
        <v>19</v>
      </c>
      <c r="E642" s="793"/>
      <c r="F642" s="793"/>
      <c r="G642" s="794"/>
      <c r="H642" s="221" t="s">
        <v>14</v>
      </c>
      <c r="I642" s="44"/>
      <c r="J642" s="44"/>
      <c r="K642" s="45"/>
      <c r="L642" s="471">
        <f>L643+L644</f>
        <v>0</v>
      </c>
      <c r="M642" s="470">
        <f>M643+M644</f>
        <v>0</v>
      </c>
      <c r="N642" s="470">
        <f>N643+N644</f>
        <v>0</v>
      </c>
      <c r="O642" s="470">
        <f t="shared" ref="O642:O650" si="163">IF(L642&gt;0,N642*100/L642,0)</f>
        <v>0</v>
      </c>
      <c r="P642" s="470">
        <f t="shared" ref="P642:P650" si="164">IF(M642&gt;0,N642*100/M642,0)</f>
        <v>0</v>
      </c>
      <c r="Q642" s="470">
        <f ca="1">Q643+Q644</f>
        <v>284040</v>
      </c>
      <c r="R642" s="470">
        <f ca="1">R643+R644</f>
        <v>284040</v>
      </c>
      <c r="S642" s="470">
        <f ca="1">S643+S644</f>
        <v>10040</v>
      </c>
      <c r="T642" s="470">
        <f t="shared" ref="T642:T650" ca="1" si="165">IF(Q642&gt;0,S642*100/Q642,0)</f>
        <v>3.5347134206449797</v>
      </c>
      <c r="U642" s="470">
        <f t="shared" ref="U642:U650" ca="1" si="166">IF(R642&gt;0,S642*100/R642,0)</f>
        <v>3.5347134206449797</v>
      </c>
    </row>
    <row r="643" spans="1:21" ht="18.75" hidden="1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469">
        <f t="shared" ref="L643:N644" si="167">L646+L649</f>
        <v>0</v>
      </c>
      <c r="M643" s="83">
        <f t="shared" si="167"/>
        <v>0</v>
      </c>
      <c r="N643" s="83">
        <f t="shared" si="167"/>
        <v>0</v>
      </c>
      <c r="O643" s="83">
        <f t="shared" si="163"/>
        <v>0</v>
      </c>
      <c r="P643" s="83">
        <f t="shared" si="164"/>
        <v>0</v>
      </c>
      <c r="Q643" s="83">
        <f t="shared" ref="Q643:S644" si="168">Q646+Q649</f>
        <v>0</v>
      </c>
      <c r="R643" s="83">
        <f t="shared" si="168"/>
        <v>0</v>
      </c>
      <c r="S643" s="83">
        <f t="shared" si="168"/>
        <v>0</v>
      </c>
      <c r="T643" s="83">
        <f t="shared" si="165"/>
        <v>0</v>
      </c>
      <c r="U643" s="83">
        <f t="shared" si="166"/>
        <v>0</v>
      </c>
    </row>
    <row r="644" spans="1:21" ht="18.75" hidden="1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468">
        <f t="shared" si="167"/>
        <v>0</v>
      </c>
      <c r="M644" s="224">
        <f t="shared" si="167"/>
        <v>0</v>
      </c>
      <c r="N644" s="224">
        <f t="shared" si="167"/>
        <v>0</v>
      </c>
      <c r="O644" s="224">
        <f t="shared" si="163"/>
        <v>0</v>
      </c>
      <c r="P644" s="224">
        <f t="shared" si="164"/>
        <v>0</v>
      </c>
      <c r="Q644" s="224">
        <f t="shared" ca="1" si="168"/>
        <v>284040</v>
      </c>
      <c r="R644" s="224">
        <f t="shared" ca="1" si="168"/>
        <v>284040</v>
      </c>
      <c r="S644" s="224">
        <f t="shared" ca="1" si="168"/>
        <v>10040</v>
      </c>
      <c r="T644" s="224">
        <f t="shared" ca="1" si="165"/>
        <v>3.5347134206449797</v>
      </c>
      <c r="U644" s="224">
        <f t="shared" ca="1" si="166"/>
        <v>3.5347134206449797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468">
        <f>L646+L647</f>
        <v>0</v>
      </c>
      <c r="M645" s="224">
        <f>M646+M647</f>
        <v>0</v>
      </c>
      <c r="N645" s="224">
        <f>N646+N647</f>
        <v>0</v>
      </c>
      <c r="O645" s="224">
        <f t="shared" si="163"/>
        <v>0</v>
      </c>
      <c r="P645" s="224">
        <f t="shared" si="164"/>
        <v>0</v>
      </c>
      <c r="Q645" s="224">
        <f ca="1">Q646+Q647</f>
        <v>284040</v>
      </c>
      <c r="R645" s="224">
        <f ca="1">R646+R647</f>
        <v>284040</v>
      </c>
      <c r="S645" s="224">
        <f ca="1">S646+S647</f>
        <v>10040</v>
      </c>
      <c r="T645" s="224">
        <f t="shared" ca="1" si="165"/>
        <v>3.5347134206449797</v>
      </c>
      <c r="U645" s="224">
        <f t="shared" ca="1" si="166"/>
        <v>3.5347134206449797</v>
      </c>
    </row>
    <row r="646" spans="1:21" ht="18.75" hidden="1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469">
        <v>0</v>
      </c>
      <c r="M646" s="83">
        <v>0</v>
      </c>
      <c r="N646" s="83">
        <v>0</v>
      </c>
      <c r="O646" s="83">
        <f t="shared" si="163"/>
        <v>0</v>
      </c>
      <c r="P646" s="83">
        <f t="shared" si="164"/>
        <v>0</v>
      </c>
      <c r="Q646" s="83">
        <v>0</v>
      </c>
      <c r="R646" s="83">
        <v>0</v>
      </c>
      <c r="S646" s="83">
        <v>0</v>
      </c>
      <c r="T646" s="83">
        <f t="shared" si="165"/>
        <v>0</v>
      </c>
      <c r="U646" s="83">
        <f t="shared" si="166"/>
        <v>0</v>
      </c>
    </row>
    <row r="647" spans="1:21" ht="18.75" hidden="1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468">
        <v>0</v>
      </c>
      <c r="M647" s="224">
        <v>0</v>
      </c>
      <c r="N647" s="224">
        <v>0</v>
      </c>
      <c r="O647" s="224">
        <f t="shared" si="163"/>
        <v>0</v>
      </c>
      <c r="P647" s="224">
        <f t="shared" si="164"/>
        <v>0</v>
      </c>
      <c r="Q647" s="224">
        <f ca="1">IFERROR(__xludf.DUMMYFUNCTION("IMPORTRANGE(""https://docs.google.com/spreadsheets/d/1ItG2mGa2ceCfYo0BwxsXqNm01IGEUdYcSSLTEv9YCik/edit?usp=sharing"",""เบิกจ่ายกองทุน!I18"")"),284040)</f>
        <v>284040</v>
      </c>
      <c r="R647" s="224">
        <f ca="1">IFERROR(__xludf.DUMMYFUNCTION("IMPORTRANGE(""https://docs.google.com/spreadsheets/d/1ItG2mGa2ceCfYo0BwxsXqNm01IGEUdYcSSLTEv9YCik/edit?usp=sharing"",""เบิกจ่ายกองทุน!J18"")"),284040)</f>
        <v>284040</v>
      </c>
      <c r="S647" s="224">
        <f ca="1">IFERROR(__xludf.DUMMYFUNCTION("IMPORTRANGE(""https://docs.google.com/spreadsheets/d/1ItG2mGa2ceCfYo0BwxsXqNm01IGEUdYcSSLTEv9YCik/edit?usp=sharing"",""เบิกจ่ายกองทุน!K18"")"),10040)</f>
        <v>10040</v>
      </c>
      <c r="T647" s="224">
        <f t="shared" ca="1" si="165"/>
        <v>3.5347134206449797</v>
      </c>
      <c r="U647" s="224">
        <f t="shared" ca="1" si="166"/>
        <v>3.5347134206449797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468">
        <f>L649+L650</f>
        <v>0</v>
      </c>
      <c r="M648" s="224">
        <f>M649+M650</f>
        <v>0</v>
      </c>
      <c r="N648" s="224">
        <f>N649+N650</f>
        <v>0</v>
      </c>
      <c r="O648" s="224">
        <f t="shared" si="163"/>
        <v>0</v>
      </c>
      <c r="P648" s="224">
        <f t="shared" si="164"/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 t="shared" si="165"/>
        <v>0</v>
      </c>
      <c r="U648" s="224">
        <f t="shared" si="166"/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469">
        <v>0</v>
      </c>
      <c r="M649" s="83">
        <v>0</v>
      </c>
      <c r="N649" s="83">
        <v>0</v>
      </c>
      <c r="O649" s="83">
        <f t="shared" si="163"/>
        <v>0</v>
      </c>
      <c r="P649" s="83">
        <f t="shared" si="164"/>
        <v>0</v>
      </c>
      <c r="Q649" s="83">
        <v>0</v>
      </c>
      <c r="R649" s="83">
        <v>0</v>
      </c>
      <c r="S649" s="83">
        <v>0</v>
      </c>
      <c r="T649" s="83">
        <f t="shared" si="165"/>
        <v>0</v>
      </c>
      <c r="U649" s="83">
        <f t="shared" si="166"/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468">
        <v>0</v>
      </c>
      <c r="M650" s="224">
        <v>0</v>
      </c>
      <c r="N650" s="224">
        <v>0</v>
      </c>
      <c r="O650" s="224">
        <f t="shared" si="163"/>
        <v>0</v>
      </c>
      <c r="P650" s="224">
        <f t="shared" si="164"/>
        <v>0</v>
      </c>
      <c r="Q650" s="224">
        <v>0</v>
      </c>
      <c r="R650" s="224">
        <v>0</v>
      </c>
      <c r="S650" s="224">
        <v>0</v>
      </c>
      <c r="T650" s="224">
        <f t="shared" si="165"/>
        <v>0</v>
      </c>
      <c r="U650" s="224">
        <f t="shared" si="166"/>
        <v>0</v>
      </c>
    </row>
    <row r="651" spans="1:21" ht="19.5" x14ac:dyDescent="0.3">
      <c r="A651" s="138"/>
      <c r="B651" s="139"/>
      <c r="C651" s="209" t="s">
        <v>18</v>
      </c>
      <c r="D651" s="503" t="s">
        <v>38</v>
      </c>
      <c r="E651" s="141"/>
      <c r="F651" s="141"/>
      <c r="G651" s="142"/>
      <c r="H651" s="178"/>
      <c r="I651" s="135"/>
      <c r="J651" s="135"/>
      <c r="K651" s="136"/>
      <c r="L651" s="4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502">
        <f ca="1">IFERROR(__xludf.DUMMYFUNCTION("IMPORTRANGE(""https://docs.google.com/spreadsheets/d/1eHaY18a8A9IcSdp1K8H6x8fbOy06t2VsZHhMHf-1x7Y/edit?usp=sharing"",""แผน!IF18"")"),0)</f>
        <v>0</v>
      </c>
      <c r="J652" s="184">
        <f ca="1">IFERROR(__xludf.DUMMYFUNCTION("IMPORTRANGE(""https://docs.google.com/spreadsheets/d/1tdoBKaGub7dwA3U6UFTqxio9LNnvDCQjHKmttSEBsFQ/edit?usp=sharing"",""จัดที่ดิน!AU18"")"),0)</f>
        <v>0</v>
      </c>
      <c r="K652" s="224">
        <f ca="1">IF(I652&gt;0,J652*100/I652,0)</f>
        <v>0</v>
      </c>
      <c r="L652" s="465"/>
      <c r="M652" s="45"/>
      <c r="N652" s="416"/>
      <c r="O652" s="45"/>
      <c r="P652" s="45"/>
      <c r="Q652" s="45"/>
      <c r="R652" s="45"/>
      <c r="S652" s="416"/>
      <c r="T652" s="45"/>
      <c r="U652" s="45"/>
    </row>
    <row r="653" spans="1:21" ht="18.75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502">
        <f ca="1">IFERROR(__xludf.DUMMYFUNCTION("IMPORTRANGE(""https://docs.google.com/spreadsheets/d/1eHaY18a8A9IcSdp1K8H6x8fbOy06t2VsZHhMHf-1x7Y/edit?usp=sharing"",""แผน!IG18"")"),40)</f>
        <v>40</v>
      </c>
      <c r="J653" s="184">
        <f ca="1">IFERROR(__xludf.DUMMYFUNCTION("IMPORTRANGE(""https://docs.google.com/spreadsheets/d/1tdoBKaGub7dwA3U6UFTqxio9LNnvDCQjHKmttSEBsFQ/edit?usp=sharing"",""จัดที่ดิน!AW18"")"),0)</f>
        <v>0</v>
      </c>
      <c r="K653" s="224">
        <f ca="1">IF(I653&gt;0,J653*100/I653,0)</f>
        <v>0</v>
      </c>
      <c r="L653" s="465"/>
      <c r="M653" s="45"/>
      <c r="N653" s="416"/>
      <c r="O653" s="45"/>
      <c r="P653" s="45"/>
      <c r="Q653" s="45"/>
      <c r="R653" s="45"/>
      <c r="S653" s="416"/>
      <c r="T653" s="45"/>
      <c r="U653" s="45"/>
    </row>
    <row r="654" spans="1:21" ht="19.5" x14ac:dyDescent="0.3">
      <c r="A654" s="208"/>
      <c r="B654" s="158"/>
      <c r="C654" s="158"/>
      <c r="D654" s="47" t="s">
        <v>239</v>
      </c>
      <c r="E654" s="40"/>
      <c r="F654" s="40"/>
      <c r="G654" s="42"/>
      <c r="H654" s="411" t="s">
        <v>46</v>
      </c>
      <c r="I654" s="501">
        <f ca="1">IFERROR(__xludf.DUMMYFUNCTION("IMPORTRANGE(""https://docs.google.com/spreadsheets/d/1eHaY18a8A9IcSdp1K8H6x8fbOy06t2VsZHhMHf-1x7Y/edit?usp=sharing"",""แผน!IH18"")"),1955)</f>
        <v>1955</v>
      </c>
      <c r="J654" s="328">
        <f>J657+J660</f>
        <v>0</v>
      </c>
      <c r="K654" s="470">
        <f ca="1">IF(I654&gt;0,J654*100/I654,0)</f>
        <v>0</v>
      </c>
      <c r="L654" s="465"/>
      <c r="M654" s="45"/>
      <c r="N654" s="416"/>
      <c r="O654" s="45"/>
      <c r="P654" s="45"/>
      <c r="Q654" s="45"/>
      <c r="R654" s="45"/>
      <c r="S654" s="416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466">
        <v>42</v>
      </c>
      <c r="K655" s="45"/>
      <c r="L655" s="465"/>
      <c r="M655" s="45"/>
      <c r="N655" s="416"/>
      <c r="O655" s="45"/>
      <c r="P655" s="45"/>
      <c r="Q655" s="45"/>
      <c r="R655" s="45"/>
      <c r="S655" s="416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466">
        <v>48</v>
      </c>
      <c r="K656" s="45"/>
      <c r="L656" s="465"/>
      <c r="M656" s="45"/>
      <c r="N656" s="416"/>
      <c r="O656" s="45"/>
      <c r="P656" s="45"/>
      <c r="Q656" s="45"/>
      <c r="R656" s="45"/>
      <c r="S656" s="416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02">
        <f ca="1">IFERROR(__xludf.DUMMYFUNCTION("IMPORTRANGE(""https://docs.google.com/spreadsheets/d/1eHaY18a8A9IcSdp1K8H6x8fbOy06t2VsZHhMHf-1x7Y/edit?usp=sharing"",""แผน!II18"")"),1455)</f>
        <v>1455</v>
      </c>
      <c r="J657" s="466">
        <v>0</v>
      </c>
      <c r="K657" s="45"/>
      <c r="L657" s="465"/>
      <c r="M657" s="45"/>
      <c r="N657" s="416"/>
      <c r="O657" s="45"/>
      <c r="P657" s="45"/>
      <c r="Q657" s="45"/>
      <c r="R657" s="45"/>
      <c r="S657" s="416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466">
        <v>0</v>
      </c>
      <c r="K658" s="45"/>
      <c r="L658" s="465"/>
      <c r="M658" s="45"/>
      <c r="N658" s="416"/>
      <c r="O658" s="45"/>
      <c r="P658" s="45"/>
      <c r="Q658" s="45"/>
      <c r="R658" s="45"/>
      <c r="S658" s="416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466">
        <v>0</v>
      </c>
      <c r="K659" s="45"/>
      <c r="L659" s="465"/>
      <c r="M659" s="45"/>
      <c r="N659" s="416"/>
      <c r="O659" s="45"/>
      <c r="P659" s="45"/>
      <c r="Q659" s="45"/>
      <c r="R659" s="45"/>
      <c r="S659" s="416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02">
        <f ca="1">IFERROR(__xludf.DUMMYFUNCTION("IMPORTRANGE(""https://docs.google.com/spreadsheets/d/1eHaY18a8A9IcSdp1K8H6x8fbOy06t2VsZHhMHf-1x7Y/edit?usp=sharing"",""แผน!IJ18"")"),500)</f>
        <v>500</v>
      </c>
      <c r="J660" s="466">
        <v>0</v>
      </c>
      <c r="K660" s="45"/>
      <c r="L660" s="465"/>
      <c r="M660" s="45"/>
      <c r="N660" s="416"/>
      <c r="O660" s="45"/>
      <c r="P660" s="45"/>
      <c r="Q660" s="45"/>
      <c r="R660" s="45"/>
      <c r="S660" s="416"/>
      <c r="T660" s="45"/>
      <c r="U660" s="45"/>
    </row>
    <row r="661" spans="1:21" ht="19.5" x14ac:dyDescent="0.3">
      <c r="A661" s="208"/>
      <c r="B661" s="158"/>
      <c r="C661" s="158"/>
      <c r="D661" s="332" t="s">
        <v>242</v>
      </c>
      <c r="E661" s="40"/>
      <c r="F661" s="40"/>
      <c r="G661" s="42"/>
      <c r="H661" s="411" t="s">
        <v>46</v>
      </c>
      <c r="I661" s="501">
        <f ca="1">IFERROR(__xludf.DUMMYFUNCTION("IMPORTRANGE(""https://docs.google.com/spreadsheets/d/1eHaY18a8A9IcSdp1K8H6x8fbOy06t2VsZHhMHf-1x7Y/edit?usp=sharing"",""แผน!IK18"")"),1846)</f>
        <v>1846</v>
      </c>
      <c r="J661" s="328">
        <f>J667+J670</f>
        <v>0</v>
      </c>
      <c r="K661" s="470">
        <f ca="1">IF(I661&gt;0,J661*100/I661,0)</f>
        <v>0</v>
      </c>
      <c r="L661" s="465"/>
      <c r="M661" s="45"/>
      <c r="N661" s="416"/>
      <c r="O661" s="45"/>
      <c r="P661" s="45"/>
      <c r="Q661" s="45"/>
      <c r="R661" s="45"/>
      <c r="S661" s="416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466">
        <v>0</v>
      </c>
      <c r="K662" s="45"/>
      <c r="L662" s="500"/>
      <c r="M662" s="45"/>
      <c r="N662" s="416"/>
      <c r="O662" s="45"/>
      <c r="P662" s="45"/>
      <c r="Q662" s="416"/>
      <c r="R662" s="45"/>
      <c r="S662" s="416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466">
        <v>0</v>
      </c>
      <c r="K663" s="45"/>
      <c r="L663" s="500"/>
      <c r="M663" s="45"/>
      <c r="N663" s="416"/>
      <c r="O663" s="45"/>
      <c r="P663" s="45"/>
      <c r="Q663" s="416"/>
      <c r="R663" s="45"/>
      <c r="S663" s="416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500"/>
      <c r="M664" s="45"/>
      <c r="N664" s="416"/>
      <c r="O664" s="45"/>
      <c r="P664" s="45"/>
      <c r="Q664" s="416"/>
      <c r="R664" s="45"/>
      <c r="S664" s="416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466">
        <v>0</v>
      </c>
      <c r="K665" s="45"/>
      <c r="L665" s="500"/>
      <c r="M665" s="45"/>
      <c r="N665" s="416"/>
      <c r="O665" s="45"/>
      <c r="P665" s="45"/>
      <c r="Q665" s="416"/>
      <c r="R665" s="45"/>
      <c r="S665" s="416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466">
        <v>0</v>
      </c>
      <c r="K666" s="45"/>
      <c r="L666" s="500"/>
      <c r="M666" s="45"/>
      <c r="N666" s="416"/>
      <c r="O666" s="45"/>
      <c r="P666" s="45"/>
      <c r="Q666" s="416"/>
      <c r="R666" s="45"/>
      <c r="S666" s="416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466">
        <v>0</v>
      </c>
      <c r="K667" s="45"/>
      <c r="L667" s="500"/>
      <c r="M667" s="45"/>
      <c r="N667" s="416"/>
      <c r="O667" s="45"/>
      <c r="P667" s="45"/>
      <c r="Q667" s="416"/>
      <c r="R667" s="45"/>
      <c r="S667" s="416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466">
        <v>0</v>
      </c>
      <c r="K668" s="45"/>
      <c r="L668" s="500"/>
      <c r="M668" s="45"/>
      <c r="N668" s="416"/>
      <c r="O668" s="45"/>
      <c r="P668" s="45"/>
      <c r="Q668" s="416"/>
      <c r="R668" s="45"/>
      <c r="S668" s="416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466">
        <v>0</v>
      </c>
      <c r="K669" s="45"/>
      <c r="L669" s="500"/>
      <c r="M669" s="45"/>
      <c r="N669" s="416"/>
      <c r="O669" s="45"/>
      <c r="P669" s="45"/>
      <c r="Q669" s="416"/>
      <c r="R669" s="45"/>
      <c r="S669" s="416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466">
        <v>0</v>
      </c>
      <c r="K670" s="45"/>
      <c r="L670" s="500"/>
      <c r="M670" s="45"/>
      <c r="N670" s="416"/>
      <c r="O670" s="45"/>
      <c r="P670" s="45"/>
      <c r="Q670" s="416"/>
      <c r="R670" s="45"/>
      <c r="S670" s="416"/>
      <c r="T670" s="45"/>
      <c r="U670" s="45"/>
    </row>
    <row r="671" spans="1:21" ht="18.75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IFERROR(__xludf.DUMMYFUNCTION("IMPORTRANGE(""https://docs.google.com/spreadsheets/d/1tdoBKaGub7dwA3U6UFTqxio9LNnvDCQjHKmttSEBsFQ/edit?usp=sharing"",""จัดที่ดิน!AY18"")"),29)</f>
        <v>29</v>
      </c>
      <c r="K671" s="45"/>
      <c r="L671" s="465"/>
      <c r="M671" s="45"/>
      <c r="N671" s="416"/>
      <c r="O671" s="45"/>
      <c r="P671" s="45"/>
      <c r="Q671" s="45"/>
      <c r="R671" s="45"/>
      <c r="S671" s="416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IFERROR(__xludf.DUMMYFUNCTION("IMPORTRANGE(""https://docs.google.com/spreadsheets/d/1tdoBKaGub7dwA3U6UFTqxio9LNnvDCQjHKmttSEBsFQ/edit?usp=sharing"",""จัดที่ดิน!AZ18"")"),31)</f>
        <v>31</v>
      </c>
      <c r="K672" s="45"/>
      <c r="L672" s="500"/>
      <c r="M672" s="45"/>
      <c r="N672" s="416"/>
      <c r="O672" s="45"/>
      <c r="P672" s="45"/>
      <c r="Q672" s="416"/>
      <c r="R672" s="45"/>
      <c r="S672" s="416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02">
        <f ca="1">IFERROR(__xludf.DUMMYFUNCTION("IMPORTRANGE(""https://docs.google.com/spreadsheets/d/1eHaY18a8A9IcSdp1K8H6x8fbOy06t2VsZHhMHf-1x7Y/edit?usp=sharing"",""แผน!IL18"")"),2500)</f>
        <v>2500</v>
      </c>
      <c r="J673" s="184">
        <f ca="1">IFERROR(__xludf.DUMMYFUNCTION("IMPORTRANGE(""https://docs.google.com/spreadsheets/d/1tdoBKaGub7dwA3U6UFTqxio9LNnvDCQjHKmttSEBsFQ/edit?usp=sharing"",""จัดที่ดิน!BA18"")"),558.4)</f>
        <v>558.4</v>
      </c>
      <c r="K673" s="224">
        <f ca="1">IF(I673&gt;0,J673*100/I673,0)</f>
        <v>22.335999999999999</v>
      </c>
      <c r="L673" s="500"/>
      <c r="M673" s="45"/>
      <c r="N673" s="416"/>
      <c r="O673" s="45"/>
      <c r="P673" s="45"/>
      <c r="Q673" s="416"/>
      <c r="R673" s="45"/>
      <c r="S673" s="416"/>
      <c r="T673" s="45"/>
      <c r="U673" s="45"/>
    </row>
    <row r="674" spans="1:21" ht="19.5" x14ac:dyDescent="0.3">
      <c r="A674" s="208"/>
      <c r="B674" s="158"/>
      <c r="C674" s="158"/>
      <c r="D674" s="47" t="s">
        <v>248</v>
      </c>
      <c r="E674" s="40"/>
      <c r="F674" s="40"/>
      <c r="G674" s="42"/>
      <c r="H674" s="411" t="s">
        <v>35</v>
      </c>
      <c r="I674" s="501">
        <f ca="1">IFERROR(__xludf.DUMMYFUNCTION("IMPORTRANGE(""https://docs.google.com/spreadsheets/d/1eHaY18a8A9IcSdp1K8H6x8fbOy06t2VsZHhMHf-1x7Y/edit?usp=sharing"",""แผน!IM18"")"),40)</f>
        <v>40</v>
      </c>
      <c r="J674" s="328">
        <f ca="1">J676+J679</f>
        <v>0</v>
      </c>
      <c r="K674" s="470">
        <f ca="1">IF(I674&gt;0,J674*100/I674,0)</f>
        <v>0</v>
      </c>
      <c r="L674" s="500"/>
      <c r="M674" s="45"/>
      <c r="N674" s="416"/>
      <c r="O674" s="45"/>
      <c r="P674" s="45"/>
      <c r="Q674" s="416"/>
      <c r="R674" s="45"/>
      <c r="S674" s="416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11" t="s">
        <v>46</v>
      </c>
      <c r="I675" s="501">
        <f ca="1">IFERROR(__xludf.DUMMYFUNCTION("IMPORTRANGE(""https://docs.google.com/spreadsheets/d/1eHaY18a8A9IcSdp1K8H6x8fbOy06t2VsZHhMHf-1x7Y/edit?usp=sharing"",""แผน!IN18"")"),1009)</f>
        <v>1009</v>
      </c>
      <c r="J675" s="328">
        <f ca="1">J678+J681</f>
        <v>0</v>
      </c>
      <c r="K675" s="470">
        <f ca="1">IF(I675&gt;0,J675*100/I675,0)</f>
        <v>0</v>
      </c>
      <c r="L675" s="465"/>
      <c r="M675" s="45"/>
      <c r="N675" s="416"/>
      <c r="O675" s="45"/>
      <c r="P675" s="45"/>
      <c r="Q675" s="45"/>
      <c r="R675" s="45"/>
      <c r="S675" s="416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502">
        <f ca="1">IFERROR(__xludf.DUMMYFUNCTION("IMPORTRANGE(""https://docs.google.com/spreadsheets/d/1eHaY18a8A9IcSdp1K8H6x8fbOy06t2VsZHhMHf-1x7Y/edit?usp=sharing"",""แผน!IO18"")"),40)</f>
        <v>40</v>
      </c>
      <c r="J676" s="184">
        <f ca="1">IFERROR(__xludf.DUMMYFUNCTION("IMPORTRANGE(""https://docs.google.com/spreadsheets/d/1tdoBKaGub7dwA3U6UFTqxio9LNnvDCQjHKmttSEBsFQ/edit?usp=sharing"",""จัดที่ดิน!BF18"")"),0)</f>
        <v>0</v>
      </c>
      <c r="K676" s="224">
        <f ca="1">IF(I676&gt;0,J676*100/I676,0)</f>
        <v>0</v>
      </c>
      <c r="L676" s="465"/>
      <c r="M676" s="45"/>
      <c r="N676" s="416"/>
      <c r="O676" s="45"/>
      <c r="P676" s="45"/>
      <c r="Q676" s="45"/>
      <c r="R676" s="45"/>
      <c r="S676" s="416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IFERROR(__xludf.DUMMYFUNCTION("IMPORTRANGE(""https://docs.google.com/spreadsheets/d/1tdoBKaGub7dwA3U6UFTqxio9LNnvDCQjHKmttSEBsFQ/edit?usp=sharing"",""จัดที่ดิน!BG18"")"),0)</f>
        <v>0</v>
      </c>
      <c r="K677" s="45"/>
      <c r="L677" s="500"/>
      <c r="M677" s="45"/>
      <c r="N677" s="416"/>
      <c r="O677" s="45"/>
      <c r="P677" s="45"/>
      <c r="Q677" s="416"/>
      <c r="R677" s="45"/>
      <c r="S677" s="416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02">
        <f ca="1">IFERROR(__xludf.DUMMYFUNCTION("IMPORTRANGE(""https://docs.google.com/spreadsheets/d/1eHaY18a8A9IcSdp1K8H6x8fbOy06t2VsZHhMHf-1x7Y/edit?usp=sharing"",""แผน!IP18"")"),1009)</f>
        <v>1009</v>
      </c>
      <c r="J678" s="184">
        <f ca="1">IFERROR(__xludf.DUMMYFUNCTION("IMPORTRANGE(""https://docs.google.com/spreadsheets/d/1tdoBKaGub7dwA3U6UFTqxio9LNnvDCQjHKmttSEBsFQ/edit?usp=sharing"",""จัดที่ดิน!BH18"")"),0)</f>
        <v>0</v>
      </c>
      <c r="K678" s="224">
        <f ca="1">IF(I678&gt;0,J678*100/I678,0)</f>
        <v>0</v>
      </c>
      <c r="L678" s="500"/>
      <c r="M678" s="45"/>
      <c r="N678" s="416"/>
      <c r="O678" s="45"/>
      <c r="P678" s="45"/>
      <c r="Q678" s="416"/>
      <c r="R678" s="45"/>
      <c r="S678" s="416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502">
        <f ca="1">IFERROR(__xludf.DUMMYFUNCTION("IMPORTRANGE(""https://docs.google.com/spreadsheets/d/1eHaY18a8A9IcSdp1K8H6x8fbOy06t2VsZHhMHf-1x7Y/edit?usp=sharing"",""แผน!IQ18"")"),0)</f>
        <v>0</v>
      </c>
      <c r="J679" s="184">
        <f ca="1">IFERROR(__xludf.DUMMYFUNCTION("IMPORTRANGE(""https://docs.google.com/spreadsheets/d/1tdoBKaGub7dwA3U6UFTqxio9LNnvDCQjHKmttSEBsFQ/edit?usp=sharing"",""จัดที่ดิน!BK18"")"),0)</f>
        <v>0</v>
      </c>
      <c r="K679" s="224">
        <f ca="1">IF(I679&gt;0,J679*100/I679,0)</f>
        <v>0</v>
      </c>
      <c r="L679" s="465"/>
      <c r="M679" s="45"/>
      <c r="N679" s="416"/>
      <c r="O679" s="45"/>
      <c r="P679" s="45"/>
      <c r="Q679" s="45"/>
      <c r="R679" s="45"/>
      <c r="S679" s="416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IFERROR(__xludf.DUMMYFUNCTION("IMPORTRANGE(""https://docs.google.com/spreadsheets/d/1tdoBKaGub7dwA3U6UFTqxio9LNnvDCQjHKmttSEBsFQ/edit?usp=sharing"",""จัดที่ดิน!BL18"")"),0)</f>
        <v>0</v>
      </c>
      <c r="K680" s="45"/>
      <c r="L680" s="500"/>
      <c r="M680" s="45"/>
      <c r="N680" s="416"/>
      <c r="O680" s="45"/>
      <c r="P680" s="45"/>
      <c r="Q680" s="416"/>
      <c r="R680" s="45"/>
      <c r="S680" s="416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02">
        <f ca="1">IFERROR(__xludf.DUMMYFUNCTION("IMPORTRANGE(""https://docs.google.com/spreadsheets/d/1eHaY18a8A9IcSdp1K8H6x8fbOy06t2VsZHhMHf-1x7Y/edit?usp=sharing"",""แผน!IR18"")"),0)</f>
        <v>0</v>
      </c>
      <c r="J681" s="184">
        <f ca="1">IFERROR(__xludf.DUMMYFUNCTION("IMPORTRANGE(""https://docs.google.com/spreadsheets/d/1tdoBKaGub7dwA3U6UFTqxio9LNnvDCQjHKmttSEBsFQ/edit?usp=sharing"",""จัดที่ดิน!BM18"")"),0)</f>
        <v>0</v>
      </c>
      <c r="K681" s="224">
        <f ca="1">IF(I681&gt;0,J681*100/I681,0)</f>
        <v>0</v>
      </c>
      <c r="L681" s="500"/>
      <c r="M681" s="45"/>
      <c r="N681" s="416"/>
      <c r="O681" s="45"/>
      <c r="P681" s="45"/>
      <c r="Q681" s="416"/>
      <c r="R681" s="45"/>
      <c r="S681" s="416"/>
      <c r="T681" s="45"/>
      <c r="U681" s="45"/>
    </row>
    <row r="682" spans="1:21" ht="19.5" x14ac:dyDescent="0.3">
      <c r="A682" s="208"/>
      <c r="B682" s="158"/>
      <c r="C682" s="158"/>
      <c r="D682" s="47" t="s">
        <v>251</v>
      </c>
      <c r="E682" s="40"/>
      <c r="F682" s="40"/>
      <c r="G682" s="42"/>
      <c r="H682" s="411" t="s">
        <v>46</v>
      </c>
      <c r="I682" s="501">
        <f ca="1">IFERROR(__xludf.DUMMYFUNCTION("IMPORTRANGE(""https://docs.google.com/spreadsheets/d/1eHaY18a8A9IcSdp1K8H6x8fbOy06t2VsZHhMHf-1x7Y/edit?usp=sharing"",""แผน!IS18"")"),105)</f>
        <v>105</v>
      </c>
      <c r="J682" s="328">
        <f>J685+J688</f>
        <v>0</v>
      </c>
      <c r="K682" s="470">
        <f ca="1">IF(I682&gt;0,J682*100/I682,0)</f>
        <v>0</v>
      </c>
      <c r="L682" s="465"/>
      <c r="M682" s="45"/>
      <c r="N682" s="416"/>
      <c r="O682" s="45"/>
      <c r="P682" s="45"/>
      <c r="Q682" s="45"/>
      <c r="R682" s="45"/>
      <c r="S682" s="416"/>
      <c r="T682" s="45"/>
      <c r="U682" s="45"/>
    </row>
    <row r="683" spans="1:21" ht="18.75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466">
        <v>0</v>
      </c>
      <c r="K683" s="45"/>
      <c r="L683" s="500"/>
      <c r="M683" s="45"/>
      <c r="N683" s="416"/>
      <c r="O683" s="45"/>
      <c r="P683" s="45"/>
      <c r="Q683" s="416"/>
      <c r="R683" s="45"/>
      <c r="S683" s="416"/>
      <c r="T683" s="45"/>
      <c r="U683" s="45"/>
    </row>
    <row r="684" spans="1:21" ht="18.75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466">
        <v>0</v>
      </c>
      <c r="K684" s="45"/>
      <c r="L684" s="500"/>
      <c r="M684" s="45"/>
      <c r="N684" s="416"/>
      <c r="O684" s="45"/>
      <c r="P684" s="45"/>
      <c r="Q684" s="416"/>
      <c r="R684" s="45"/>
      <c r="S684" s="416"/>
      <c r="T684" s="45"/>
      <c r="U684" s="45"/>
    </row>
    <row r="685" spans="1:21" ht="18.75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466">
        <v>0</v>
      </c>
      <c r="K685" s="45"/>
      <c r="L685" s="500"/>
      <c r="M685" s="45"/>
      <c r="N685" s="416"/>
      <c r="O685" s="45"/>
      <c r="P685" s="45"/>
      <c r="Q685" s="416"/>
      <c r="R685" s="45"/>
      <c r="S685" s="416"/>
      <c r="T685" s="45"/>
      <c r="U685" s="45"/>
    </row>
    <row r="686" spans="1:21" ht="18.75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466">
        <v>0</v>
      </c>
      <c r="K686" s="45"/>
      <c r="L686" s="500"/>
      <c r="M686" s="45"/>
      <c r="N686" s="416"/>
      <c r="O686" s="45"/>
      <c r="P686" s="45"/>
      <c r="Q686" s="416"/>
      <c r="R686" s="45"/>
      <c r="S686" s="416"/>
      <c r="T686" s="45"/>
      <c r="U686" s="45"/>
    </row>
    <row r="687" spans="1:21" ht="18.75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466">
        <v>0</v>
      </c>
      <c r="K687" s="45"/>
      <c r="L687" s="500"/>
      <c r="M687" s="45"/>
      <c r="N687" s="416"/>
      <c r="O687" s="45"/>
      <c r="P687" s="45"/>
      <c r="Q687" s="416"/>
      <c r="R687" s="45"/>
      <c r="S687" s="416"/>
      <c r="T687" s="45"/>
      <c r="U687" s="45"/>
    </row>
    <row r="688" spans="1:21" ht="19.5" x14ac:dyDescent="0.3">
      <c r="A688" s="249"/>
      <c r="B688" s="419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464">
        <v>0</v>
      </c>
      <c r="K688" s="3"/>
      <c r="L688" s="499"/>
      <c r="M688" s="3"/>
      <c r="N688" s="420"/>
      <c r="O688" s="3"/>
      <c r="P688" s="3"/>
      <c r="Q688" s="420"/>
      <c r="R688" s="3"/>
      <c r="S688" s="420"/>
      <c r="T688" s="3"/>
      <c r="U688" s="3"/>
    </row>
    <row r="689" spans="1:21" ht="19.5" x14ac:dyDescent="0.3">
      <c r="A689" s="394"/>
      <c r="B689" s="395" t="s">
        <v>255</v>
      </c>
      <c r="C689" s="394"/>
      <c r="D689" s="396"/>
      <c r="E689" s="396"/>
      <c r="F689" s="396"/>
      <c r="G689" s="397"/>
      <c r="H689" s="434" t="s">
        <v>35</v>
      </c>
      <c r="I689" s="475">
        <f ca="1">I707</f>
        <v>300</v>
      </c>
      <c r="J689" s="475">
        <f ca="1">J707</f>
        <v>0</v>
      </c>
      <c r="K689" s="474">
        <f ca="1">IF(I689&gt;0,J689*100/I689,0)</f>
        <v>0</v>
      </c>
      <c r="L689" s="473"/>
      <c r="M689" s="400"/>
      <c r="N689" s="400"/>
      <c r="O689" s="400"/>
      <c r="P689" s="400"/>
      <c r="Q689" s="400"/>
      <c r="R689" s="400"/>
      <c r="S689" s="400"/>
      <c r="T689" s="400"/>
      <c r="U689" s="400"/>
    </row>
    <row r="690" spans="1:21" ht="19.5" x14ac:dyDescent="0.3">
      <c r="A690" s="128"/>
      <c r="B690" s="158"/>
      <c r="C690" s="177" t="s">
        <v>18</v>
      </c>
      <c r="D690" s="821" t="s">
        <v>19</v>
      </c>
      <c r="E690" s="793"/>
      <c r="F690" s="793"/>
      <c r="G690" s="794"/>
      <c r="H690" s="221" t="s">
        <v>14</v>
      </c>
      <c r="I690" s="44"/>
      <c r="J690" s="44"/>
      <c r="K690" s="45"/>
      <c r="L690" s="471">
        <f>L691+L692</f>
        <v>0</v>
      </c>
      <c r="M690" s="470">
        <f>M691+M692</f>
        <v>0</v>
      </c>
      <c r="N690" s="470">
        <f>N691+N692</f>
        <v>0</v>
      </c>
      <c r="O690" s="470">
        <f t="shared" ref="O690:O698" si="169">IF(L690&gt;0,N690*100/L690,0)</f>
        <v>0</v>
      </c>
      <c r="P690" s="470">
        <f t="shared" ref="P690:P698" si="170">IF(M690&gt;0,N690*100/M690,0)</f>
        <v>0</v>
      </c>
      <c r="Q690" s="470">
        <f ca="1">Q691+Q692</f>
        <v>463010</v>
      </c>
      <c r="R690" s="470">
        <f ca="1">R691+R692</f>
        <v>463010</v>
      </c>
      <c r="S690" s="470">
        <f ca="1">S691+S692</f>
        <v>196573.95</v>
      </c>
      <c r="T690" s="470">
        <f t="shared" ref="T690:T698" ca="1" si="171">IF(Q690&gt;0,S690*100/Q690,0)</f>
        <v>42.455659704973975</v>
      </c>
      <c r="U690" s="470">
        <f t="shared" ref="U690:U698" ca="1" si="172">IF(R690&gt;0,S690*100/R690,0)</f>
        <v>42.455659704973975</v>
      </c>
    </row>
    <row r="691" spans="1:21" ht="18.75" hidden="1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469">
        <f t="shared" ref="L691:N692" si="173">L694+L697</f>
        <v>0</v>
      </c>
      <c r="M691" s="83">
        <f t="shared" si="173"/>
        <v>0</v>
      </c>
      <c r="N691" s="83">
        <f t="shared" si="173"/>
        <v>0</v>
      </c>
      <c r="O691" s="83">
        <f t="shared" si="169"/>
        <v>0</v>
      </c>
      <c r="P691" s="83">
        <f t="shared" si="170"/>
        <v>0</v>
      </c>
      <c r="Q691" s="83">
        <f t="shared" ref="Q691:S692" si="174">Q694+Q697</f>
        <v>0</v>
      </c>
      <c r="R691" s="83">
        <f t="shared" si="174"/>
        <v>0</v>
      </c>
      <c r="S691" s="83">
        <f t="shared" si="174"/>
        <v>0</v>
      </c>
      <c r="T691" s="83">
        <f t="shared" si="171"/>
        <v>0</v>
      </c>
      <c r="U691" s="83">
        <f t="shared" si="172"/>
        <v>0</v>
      </c>
    </row>
    <row r="692" spans="1:21" ht="18.75" hidden="1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468">
        <f t="shared" si="173"/>
        <v>0</v>
      </c>
      <c r="M692" s="224">
        <f t="shared" si="173"/>
        <v>0</v>
      </c>
      <c r="N692" s="224">
        <f t="shared" si="173"/>
        <v>0</v>
      </c>
      <c r="O692" s="224">
        <f t="shared" si="169"/>
        <v>0</v>
      </c>
      <c r="P692" s="224">
        <f t="shared" si="170"/>
        <v>0</v>
      </c>
      <c r="Q692" s="224">
        <f t="shared" ca="1" si="174"/>
        <v>463010</v>
      </c>
      <c r="R692" s="224">
        <f t="shared" ca="1" si="174"/>
        <v>463010</v>
      </c>
      <c r="S692" s="224">
        <f t="shared" ca="1" si="174"/>
        <v>196573.95</v>
      </c>
      <c r="T692" s="224">
        <f t="shared" ca="1" si="171"/>
        <v>42.455659704973975</v>
      </c>
      <c r="U692" s="224">
        <f t="shared" ca="1" si="172"/>
        <v>42.455659704973975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468">
        <f>L694+L695</f>
        <v>0</v>
      </c>
      <c r="M693" s="224">
        <f>M694+M695</f>
        <v>0</v>
      </c>
      <c r="N693" s="224">
        <f>N694+N695</f>
        <v>0</v>
      </c>
      <c r="O693" s="224">
        <f t="shared" si="169"/>
        <v>0</v>
      </c>
      <c r="P693" s="224">
        <f t="shared" si="170"/>
        <v>0</v>
      </c>
      <c r="Q693" s="224">
        <f ca="1">Q694+Q695</f>
        <v>463010</v>
      </c>
      <c r="R693" s="224">
        <f ca="1">R694+R695</f>
        <v>463010</v>
      </c>
      <c r="S693" s="224">
        <f ca="1">S694+S695</f>
        <v>196573.95</v>
      </c>
      <c r="T693" s="224">
        <f t="shared" ca="1" si="171"/>
        <v>42.455659704973975</v>
      </c>
      <c r="U693" s="224">
        <f t="shared" ca="1" si="172"/>
        <v>42.455659704973975</v>
      </c>
    </row>
    <row r="694" spans="1:21" ht="18.75" hidden="1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469">
        <v>0</v>
      </c>
      <c r="M694" s="83">
        <v>0</v>
      </c>
      <c r="N694" s="83">
        <v>0</v>
      </c>
      <c r="O694" s="83">
        <f t="shared" si="169"/>
        <v>0</v>
      </c>
      <c r="P694" s="83">
        <f t="shared" si="170"/>
        <v>0</v>
      </c>
      <c r="Q694" s="83">
        <v>0</v>
      </c>
      <c r="R694" s="83">
        <v>0</v>
      </c>
      <c r="S694" s="83">
        <v>0</v>
      </c>
      <c r="T694" s="83">
        <f t="shared" si="171"/>
        <v>0</v>
      </c>
      <c r="U694" s="83">
        <f t="shared" si="172"/>
        <v>0</v>
      </c>
    </row>
    <row r="695" spans="1:21" ht="18.75" hidden="1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468">
        <v>0</v>
      </c>
      <c r="M695" s="224">
        <v>0</v>
      </c>
      <c r="N695" s="224">
        <v>0</v>
      </c>
      <c r="O695" s="224">
        <f t="shared" si="169"/>
        <v>0</v>
      </c>
      <c r="P695" s="224">
        <f t="shared" si="170"/>
        <v>0</v>
      </c>
      <c r="Q695" s="224">
        <f ca="1">IFERROR(__xludf.DUMMYFUNCTION("IMPORTRANGE(""https://docs.google.com/spreadsheets/d/1ItG2mGa2ceCfYo0BwxsXqNm01IGEUdYcSSLTEv9YCik/edit?usp=sharing"",""เบิกจ่ายกองทุน!L18"")"),463010)</f>
        <v>463010</v>
      </c>
      <c r="R695" s="224">
        <f ca="1">IFERROR(__xludf.DUMMYFUNCTION("IMPORTRANGE(""https://docs.google.com/spreadsheets/d/1ItG2mGa2ceCfYo0BwxsXqNm01IGEUdYcSSLTEv9YCik/edit?usp=sharing"",""เบิกจ่ายกองทุน!M18"")"),463010)</f>
        <v>463010</v>
      </c>
      <c r="S695" s="224">
        <f ca="1">IFERROR(__xludf.DUMMYFUNCTION("IMPORTRANGE(""https://docs.google.com/spreadsheets/d/1ItG2mGa2ceCfYo0BwxsXqNm01IGEUdYcSSLTEv9YCik/edit?usp=sharing"",""เบิกจ่ายกองทุน!N18"")"),196573.95)</f>
        <v>196573.95</v>
      </c>
      <c r="T695" s="224">
        <f t="shared" ca="1" si="171"/>
        <v>42.455659704973975</v>
      </c>
      <c r="U695" s="224">
        <f t="shared" ca="1" si="172"/>
        <v>42.455659704973975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468">
        <f>L697+L698</f>
        <v>0</v>
      </c>
      <c r="M696" s="224">
        <f>M697+M698</f>
        <v>0</v>
      </c>
      <c r="N696" s="224">
        <f>N697+N698</f>
        <v>0</v>
      </c>
      <c r="O696" s="224">
        <f t="shared" si="169"/>
        <v>0</v>
      </c>
      <c r="P696" s="224">
        <f t="shared" si="170"/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 t="shared" si="171"/>
        <v>0</v>
      </c>
      <c r="U696" s="224">
        <f t="shared" si="172"/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469">
        <v>0</v>
      </c>
      <c r="M697" s="83">
        <v>0</v>
      </c>
      <c r="N697" s="83">
        <v>0</v>
      </c>
      <c r="O697" s="83">
        <f t="shared" si="169"/>
        <v>0</v>
      </c>
      <c r="P697" s="83">
        <f t="shared" si="170"/>
        <v>0</v>
      </c>
      <c r="Q697" s="83">
        <v>0</v>
      </c>
      <c r="R697" s="83">
        <v>0</v>
      </c>
      <c r="S697" s="83">
        <v>0</v>
      </c>
      <c r="T697" s="83">
        <f t="shared" si="171"/>
        <v>0</v>
      </c>
      <c r="U697" s="83">
        <f t="shared" si="172"/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468">
        <v>0</v>
      </c>
      <c r="M698" s="224">
        <v>0</v>
      </c>
      <c r="N698" s="224">
        <v>0</v>
      </c>
      <c r="O698" s="224">
        <f t="shared" si="169"/>
        <v>0</v>
      </c>
      <c r="P698" s="224">
        <f t="shared" si="170"/>
        <v>0</v>
      </c>
      <c r="Q698" s="224">
        <v>0</v>
      </c>
      <c r="R698" s="224">
        <v>0</v>
      </c>
      <c r="S698" s="224">
        <v>0</v>
      </c>
      <c r="T698" s="224">
        <f t="shared" si="171"/>
        <v>0</v>
      </c>
      <c r="U698" s="224">
        <f t="shared" si="172"/>
        <v>0</v>
      </c>
    </row>
    <row r="699" spans="1:21" ht="19.5" x14ac:dyDescent="0.3">
      <c r="A699" s="138"/>
      <c r="B699" s="139"/>
      <c r="C699" s="177" t="s">
        <v>18</v>
      </c>
      <c r="D699" s="498" t="s">
        <v>38</v>
      </c>
      <c r="E699" s="141"/>
      <c r="F699" s="141"/>
      <c r="G699" s="141"/>
      <c r="H699" s="178"/>
      <c r="I699" s="135"/>
      <c r="J699" s="135"/>
      <c r="K699" s="136"/>
      <c r="L699" s="465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IFERROR(__xludf.DUMMYFUNCTION("IMPORTRANGE(""https://docs.google.com/spreadsheets/d/1eHaY18a8A9IcSdp1K8H6x8fbOy06t2VsZHhMHf-1x7Y/edit?usp=sharing"",""แผน!LC18"")"),3)</f>
        <v>3</v>
      </c>
      <c r="J700" s="466">
        <v>0</v>
      </c>
      <c r="K700" s="497">
        <f t="shared" ref="K700:K710" ca="1" si="175">IF(I700&gt;0,J700*100/I700,0)</f>
        <v>0</v>
      </c>
      <c r="L700" s="4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24" t="s">
        <v>258</v>
      </c>
      <c r="F701" s="145"/>
      <c r="G701" s="143"/>
      <c r="H701" s="131" t="s">
        <v>35</v>
      </c>
      <c r="I701" s="328">
        <f ca="1">I703+I705</f>
        <v>305</v>
      </c>
      <c r="J701" s="328">
        <f ca="1">J703+J705</f>
        <v>0</v>
      </c>
      <c r="K701" s="470">
        <f t="shared" ca="1" si="175"/>
        <v>0</v>
      </c>
      <c r="L701" s="4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0</v>
      </c>
      <c r="K702" s="470">
        <f t="shared" si="175"/>
        <v>0</v>
      </c>
      <c r="L702" s="4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IFERROR(__xludf.DUMMYFUNCTION("IMPORTRANGE(""https://docs.google.com/spreadsheets/d/1eHaY18a8A9IcSdp1K8H6x8fbOy06t2VsZHhMHf-1x7Y/edit?usp=sharing"",""แผน!LJ18"")"),300)</f>
        <v>300</v>
      </c>
      <c r="J703" s="184">
        <f ca="1">IFERROR(__xludf.DUMMYFUNCTION("IMPORTRANGE(""https://docs.google.com/spreadsheets/d/1tdoBKaGub7dwA3U6UFTqxio9LNnvDCQjHKmttSEBsFQ/edit?usp=sharing"",""จัดที่ดิน!AP18"")"),0)</f>
        <v>0</v>
      </c>
      <c r="K703" s="224">
        <f t="shared" ca="1" si="175"/>
        <v>0</v>
      </c>
      <c r="L703" s="4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IFERROR(__xludf.DUMMYFUNCTION("IMPORTRANGE(""https://docs.google.com/spreadsheets/d/1tdoBKaGub7dwA3U6UFTqxio9LNnvDCQjHKmttSEBsFQ/edit?usp=sharing"",""จัดที่ดิน!AQ18"")"),0)</f>
        <v>0</v>
      </c>
      <c r="K704" s="224">
        <f t="shared" si="175"/>
        <v>0</v>
      </c>
      <c r="L704" s="4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IFERROR(__xludf.DUMMYFUNCTION("IMPORTRANGE(""https://docs.google.com/spreadsheets/d/1eHaY18a8A9IcSdp1K8H6x8fbOy06t2VsZHhMHf-1x7Y/edit?usp=sharing"",""แผน!LK18"")"),5)</f>
        <v>5</v>
      </c>
      <c r="J705" s="184">
        <f ca="1">IFERROR(__xludf.DUMMYFUNCTION("IMPORTRANGE(""https://docs.google.com/spreadsheets/d/1tdoBKaGub7dwA3U6UFTqxio9LNnvDCQjHKmttSEBsFQ/edit?usp=sharing"",""จัดที่ดิน!AR18"")"),0)</f>
        <v>0</v>
      </c>
      <c r="K705" s="497">
        <f t="shared" ca="1" si="175"/>
        <v>0</v>
      </c>
      <c r="L705" s="4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IFERROR(__xludf.DUMMYFUNCTION("IMPORTRANGE(""https://docs.google.com/spreadsheets/d/1tdoBKaGub7dwA3U6UFTqxio9LNnvDCQjHKmttSEBsFQ/edit?usp=sharing"",""จัดที่ดิน!AS18"")"),0)</f>
        <v>0</v>
      </c>
      <c r="K706" s="224">
        <f t="shared" si="175"/>
        <v>0</v>
      </c>
      <c r="L706" s="4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IFERROR(__xludf.DUMMYFUNCTION("IMPORTRANGE(""https://docs.google.com/spreadsheets/d/1eHaY18a8A9IcSdp1K8H6x8fbOy06t2VsZHhMHf-1x7Y/edit?usp=sharing"",""แผน!LJ18"")"),300)</f>
        <v>300</v>
      </c>
      <c r="J707" s="184">
        <f ca="1">IFERROR(__xludf.DUMMYFUNCTION("IMPORTRANGE(""https://docs.google.com/spreadsheets/d/1tdoBKaGub7dwA3U6UFTqxio9LNnvDCQjHKmttSEBsFQ/edit?usp=sharing"",""จัดที่ดิน!BN18"")"),0)</f>
        <v>0</v>
      </c>
      <c r="K707" s="224">
        <f t="shared" ca="1" si="175"/>
        <v>0</v>
      </c>
      <c r="L707" s="4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25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IFERROR(__xludf.DUMMYFUNCTION("IMPORTRANGE(""https://docs.google.com/spreadsheets/d/1tdoBKaGub7dwA3U6UFTqxio9LNnvDCQjHKmttSEBsFQ/edit?usp=sharing"",""จัดที่ดิน!BO18"")"),0)</f>
        <v>0</v>
      </c>
      <c r="K708" s="224">
        <f t="shared" si="175"/>
        <v>0</v>
      </c>
      <c r="L708" s="4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IFERROR(__xludf.DUMMYFUNCTION("IMPORTRANGE(""https://docs.google.com/spreadsheets/d/1eHaY18a8A9IcSdp1K8H6x8fbOy06t2VsZHhMHf-1x7Y/edit?usp=sharing"",""แผน!LK18"")"),5)</f>
        <v>5</v>
      </c>
      <c r="J709" s="184">
        <f ca="1">IFERROR(__xludf.DUMMYFUNCTION("IMPORTRANGE(""https://docs.google.com/spreadsheets/d/1tdoBKaGub7dwA3U6UFTqxio9LNnvDCQjHKmttSEBsFQ/edit?usp=sharing"",""จัดที่ดิน!BP18"")"),0)</f>
        <v>0</v>
      </c>
      <c r="K709" s="224">
        <f t="shared" ca="1" si="175"/>
        <v>0</v>
      </c>
      <c r="L709" s="465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25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IFERROR(__xludf.DUMMYFUNCTION("IMPORTRANGE(""https://docs.google.com/spreadsheets/d/1tdoBKaGub7dwA3U6UFTqxio9LNnvDCQjHKmttSEBsFQ/edit?usp=sharing"",""จัดที่ดิน!BQ18"")"),0)</f>
        <v>0</v>
      </c>
      <c r="K710" s="224">
        <f t="shared" si="175"/>
        <v>0</v>
      </c>
      <c r="L710" s="465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496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hidden="1" x14ac:dyDescent="0.3">
      <c r="A712" s="394"/>
      <c r="B712" s="426" t="s">
        <v>265</v>
      </c>
      <c r="C712" s="394"/>
      <c r="D712" s="396"/>
      <c r="E712" s="396"/>
      <c r="F712" s="396"/>
      <c r="G712" s="397"/>
      <c r="H712" s="427" t="s">
        <v>46</v>
      </c>
      <c r="I712" s="399"/>
      <c r="J712" s="399">
        <f>J724</f>
        <v>0</v>
      </c>
      <c r="K712" s="495">
        <f>IF(I712&gt;0,J712*100/I712,0)</f>
        <v>0</v>
      </c>
      <c r="L712" s="473"/>
      <c r="M712" s="400"/>
      <c r="N712" s="400"/>
      <c r="O712" s="400"/>
      <c r="P712" s="400"/>
      <c r="Q712" s="400"/>
      <c r="R712" s="400"/>
      <c r="S712" s="400"/>
      <c r="T712" s="400"/>
      <c r="U712" s="400"/>
    </row>
    <row r="713" spans="1:21" ht="19.5" hidden="1" x14ac:dyDescent="0.3">
      <c r="A713" s="394"/>
      <c r="B713" s="426" t="s">
        <v>266</v>
      </c>
      <c r="C713" s="394"/>
      <c r="D713" s="396"/>
      <c r="E713" s="396"/>
      <c r="F713" s="396"/>
      <c r="G713" s="397"/>
      <c r="H713" s="398"/>
      <c r="I713" s="399"/>
      <c r="J713" s="399"/>
      <c r="K713" s="400"/>
      <c r="L713" s="47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128"/>
      <c r="B714" s="158"/>
      <c r="C714" s="314" t="s">
        <v>18</v>
      </c>
      <c r="D714" s="820" t="s">
        <v>19</v>
      </c>
      <c r="E714" s="793"/>
      <c r="F714" s="793"/>
      <c r="G714" s="794"/>
      <c r="H714" s="372" t="s">
        <v>14</v>
      </c>
      <c r="I714" s="44"/>
      <c r="J714" s="44"/>
      <c r="K714" s="45"/>
      <c r="L714" s="471">
        <f>L715+L716</f>
        <v>0</v>
      </c>
      <c r="M714" s="470">
        <f>M715+M716</f>
        <v>0</v>
      </c>
      <c r="N714" s="470">
        <f>N715+N716</f>
        <v>0</v>
      </c>
      <c r="O714" s="470">
        <f t="shared" ref="O714:O722" si="176">IF(L714&gt;0,N714*100/L714,0)</f>
        <v>0</v>
      </c>
      <c r="P714" s="470">
        <f t="shared" ref="P714:P722" si="177">IF(M714&gt;0,N714*100/M714,0)</f>
        <v>0</v>
      </c>
      <c r="Q714" s="470">
        <f>Q715+Q716</f>
        <v>0</v>
      </c>
      <c r="R714" s="470">
        <f>R715+R716</f>
        <v>0</v>
      </c>
      <c r="S714" s="470">
        <f>S715+S716</f>
        <v>0</v>
      </c>
      <c r="T714" s="470">
        <f t="shared" ref="T714:T722" si="178">IF(Q714&gt;0,S714*100/Q714,0)</f>
        <v>0</v>
      </c>
      <c r="U714" s="470">
        <f t="shared" ref="U714:U722" si="179"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469">
        <f t="shared" ref="L715:N716" si="180">L718+L721</f>
        <v>0</v>
      </c>
      <c r="M715" s="83">
        <f t="shared" si="180"/>
        <v>0</v>
      </c>
      <c r="N715" s="83">
        <f t="shared" si="180"/>
        <v>0</v>
      </c>
      <c r="O715" s="83">
        <f t="shared" si="176"/>
        <v>0</v>
      </c>
      <c r="P715" s="83">
        <f t="shared" si="177"/>
        <v>0</v>
      </c>
      <c r="Q715" s="83">
        <f t="shared" ref="Q715:S716" si="181">Q718+Q721</f>
        <v>0</v>
      </c>
      <c r="R715" s="83">
        <f t="shared" si="181"/>
        <v>0</v>
      </c>
      <c r="S715" s="83">
        <f t="shared" si="181"/>
        <v>0</v>
      </c>
      <c r="T715" s="83">
        <f t="shared" si="178"/>
        <v>0</v>
      </c>
      <c r="U715" s="83">
        <f t="shared" si="179"/>
        <v>0</v>
      </c>
    </row>
    <row r="716" spans="1:21" ht="18.75" hidden="1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468">
        <f t="shared" si="180"/>
        <v>0</v>
      </c>
      <c r="M716" s="224">
        <f t="shared" si="180"/>
        <v>0</v>
      </c>
      <c r="N716" s="224">
        <f t="shared" si="180"/>
        <v>0</v>
      </c>
      <c r="O716" s="224">
        <f t="shared" si="176"/>
        <v>0</v>
      </c>
      <c r="P716" s="224">
        <f t="shared" si="177"/>
        <v>0</v>
      </c>
      <c r="Q716" s="224">
        <f t="shared" si="181"/>
        <v>0</v>
      </c>
      <c r="R716" s="224">
        <f t="shared" si="181"/>
        <v>0</v>
      </c>
      <c r="S716" s="224">
        <f t="shared" si="181"/>
        <v>0</v>
      </c>
      <c r="T716" s="224">
        <f t="shared" si="178"/>
        <v>0</v>
      </c>
      <c r="U716" s="224">
        <f t="shared" si="179"/>
        <v>0</v>
      </c>
    </row>
    <row r="717" spans="1:21" ht="19.5" hidden="1" x14ac:dyDescent="0.3">
      <c r="A717" s="128"/>
      <c r="B717" s="158"/>
      <c r="C717" s="158"/>
      <c r="D717" s="494" t="s">
        <v>22</v>
      </c>
      <c r="E717" s="40"/>
      <c r="F717" s="40"/>
      <c r="G717" s="42"/>
      <c r="H717" s="372" t="s">
        <v>14</v>
      </c>
      <c r="I717" s="135"/>
      <c r="J717" s="135"/>
      <c r="K717" s="136"/>
      <c r="L717" s="468">
        <f>L718+L719</f>
        <v>0</v>
      </c>
      <c r="M717" s="224">
        <f>M718+M719</f>
        <v>0</v>
      </c>
      <c r="N717" s="224">
        <f>N718+N719</f>
        <v>0</v>
      </c>
      <c r="O717" s="224">
        <f t="shared" si="176"/>
        <v>0</v>
      </c>
      <c r="P717" s="224">
        <f t="shared" si="177"/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 t="shared" si="178"/>
        <v>0</v>
      </c>
      <c r="U717" s="224">
        <f t="shared" si="179"/>
        <v>0</v>
      </c>
    </row>
    <row r="718" spans="1:21" ht="18.75" hidden="1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469">
        <v>0</v>
      </c>
      <c r="M718" s="83">
        <v>0</v>
      </c>
      <c r="N718" s="83">
        <v>0</v>
      </c>
      <c r="O718" s="83">
        <f t="shared" si="176"/>
        <v>0</v>
      </c>
      <c r="P718" s="83">
        <f t="shared" si="177"/>
        <v>0</v>
      </c>
      <c r="Q718" s="83">
        <v>0</v>
      </c>
      <c r="R718" s="83">
        <v>0</v>
      </c>
      <c r="S718" s="83">
        <v>0</v>
      </c>
      <c r="T718" s="83">
        <f t="shared" si="178"/>
        <v>0</v>
      </c>
      <c r="U718" s="83">
        <f t="shared" si="179"/>
        <v>0</v>
      </c>
    </row>
    <row r="719" spans="1:21" ht="18.75" hidden="1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468">
        <v>0</v>
      </c>
      <c r="M719" s="224">
        <v>0</v>
      </c>
      <c r="N719" s="224">
        <v>0</v>
      </c>
      <c r="O719" s="224">
        <f t="shared" si="176"/>
        <v>0</v>
      </c>
      <c r="P719" s="224">
        <f t="shared" si="177"/>
        <v>0</v>
      </c>
      <c r="Q719" s="224">
        <v>0</v>
      </c>
      <c r="R719" s="224">
        <v>0</v>
      </c>
      <c r="S719" s="224">
        <v>0</v>
      </c>
      <c r="T719" s="224">
        <f t="shared" si="178"/>
        <v>0</v>
      </c>
      <c r="U719" s="224">
        <f t="shared" si="179"/>
        <v>0</v>
      </c>
    </row>
    <row r="720" spans="1:21" ht="19.5" hidden="1" x14ac:dyDescent="0.3">
      <c r="A720" s="128"/>
      <c r="B720" s="158"/>
      <c r="C720" s="158"/>
      <c r="D720" s="494" t="s">
        <v>23</v>
      </c>
      <c r="E720" s="40"/>
      <c r="F720" s="40"/>
      <c r="G720" s="42"/>
      <c r="H720" s="374" t="s">
        <v>14</v>
      </c>
      <c r="I720" s="135"/>
      <c r="J720" s="135"/>
      <c r="K720" s="136"/>
      <c r="L720" s="468">
        <f>L721+L722</f>
        <v>0</v>
      </c>
      <c r="M720" s="224">
        <f>M721+M722</f>
        <v>0</v>
      </c>
      <c r="N720" s="224">
        <f>N721+N722</f>
        <v>0</v>
      </c>
      <c r="O720" s="224">
        <f t="shared" si="176"/>
        <v>0</v>
      </c>
      <c r="P720" s="224">
        <f t="shared" si="177"/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 t="shared" si="178"/>
        <v>0</v>
      </c>
      <c r="U720" s="224">
        <f t="shared" si="179"/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469">
        <v>0</v>
      </c>
      <c r="M721" s="83">
        <v>0</v>
      </c>
      <c r="N721" s="83">
        <v>0</v>
      </c>
      <c r="O721" s="83">
        <f t="shared" si="176"/>
        <v>0</v>
      </c>
      <c r="P721" s="83">
        <f t="shared" si="177"/>
        <v>0</v>
      </c>
      <c r="Q721" s="83">
        <v>0</v>
      </c>
      <c r="R721" s="83">
        <v>0</v>
      </c>
      <c r="S721" s="83">
        <v>0</v>
      </c>
      <c r="T721" s="83">
        <f t="shared" si="178"/>
        <v>0</v>
      </c>
      <c r="U721" s="83">
        <f t="shared" si="179"/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375" t="s">
        <v>14</v>
      </c>
      <c r="I722" s="135"/>
      <c r="J722" s="135"/>
      <c r="K722" s="136"/>
      <c r="L722" s="468">
        <v>0</v>
      </c>
      <c r="M722" s="224">
        <v>0</v>
      </c>
      <c r="N722" s="224">
        <v>0</v>
      </c>
      <c r="O722" s="224">
        <f t="shared" si="176"/>
        <v>0</v>
      </c>
      <c r="P722" s="224">
        <f t="shared" si="177"/>
        <v>0</v>
      </c>
      <c r="Q722" s="224">
        <v>0</v>
      </c>
      <c r="R722" s="224">
        <v>0</v>
      </c>
      <c r="S722" s="224">
        <v>0</v>
      </c>
      <c r="T722" s="224">
        <f t="shared" si="178"/>
        <v>0</v>
      </c>
      <c r="U722" s="224">
        <f t="shared" si="179"/>
        <v>0</v>
      </c>
    </row>
    <row r="723" spans="1:21" ht="19.5" hidden="1" x14ac:dyDescent="0.3">
      <c r="A723" s="138"/>
      <c r="B723" s="139"/>
      <c r="C723" s="314" t="s">
        <v>18</v>
      </c>
      <c r="D723" s="493" t="s">
        <v>38</v>
      </c>
      <c r="E723" s="141"/>
      <c r="F723" s="141"/>
      <c r="G723" s="142"/>
      <c r="H723" s="178"/>
      <c r="I723" s="135"/>
      <c r="J723" s="135"/>
      <c r="K723" s="136"/>
      <c r="L723" s="4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30">
        <v>0</v>
      </c>
      <c r="J724" s="44"/>
      <c r="K724" s="45"/>
      <c r="L724" s="465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29"/>
      <c r="B725" s="2"/>
      <c r="C725" s="2"/>
      <c r="D725" s="1"/>
      <c r="E725" s="431" t="s">
        <v>268</v>
      </c>
      <c r="F725" s="1"/>
      <c r="G725" s="52"/>
      <c r="H725" s="432" t="s">
        <v>46</v>
      </c>
      <c r="I725" s="433">
        <v>0</v>
      </c>
      <c r="J725" s="54"/>
      <c r="K725" s="3"/>
      <c r="L725" s="46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94"/>
      <c r="B726" s="395" t="s">
        <v>269</v>
      </c>
      <c r="C726" s="394"/>
      <c r="D726" s="396"/>
      <c r="E726" s="396"/>
      <c r="F726" s="396"/>
      <c r="G726" s="397"/>
      <c r="H726" s="434" t="s">
        <v>35</v>
      </c>
      <c r="I726" s="475">
        <f ca="1">IFERROR(__xludf.DUMMYFUNCTION("IMPORTRANGE(""https://docs.google.com/spreadsheets/d/1eHaY18a8A9IcSdp1K8H6x8fbOy06t2VsZHhMHf-1x7Y/edit?usp=sharing"",""แผน!GA18"")"),128)</f>
        <v>128</v>
      </c>
      <c r="J726" s="475">
        <f>J742+J746+J749</f>
        <v>0</v>
      </c>
      <c r="K726" s="474">
        <f ca="1">IF(I726&gt;0,J726*100/I726,0)</f>
        <v>0</v>
      </c>
      <c r="L726" s="473"/>
      <c r="M726" s="400"/>
      <c r="N726" s="400"/>
      <c r="O726" s="400"/>
      <c r="P726" s="400"/>
      <c r="Q726" s="400"/>
      <c r="R726" s="400"/>
      <c r="S726" s="400"/>
      <c r="T726" s="400"/>
      <c r="U726" s="400"/>
    </row>
    <row r="727" spans="1:21" ht="19.5" x14ac:dyDescent="0.3">
      <c r="A727" s="436"/>
      <c r="B727" s="394"/>
      <c r="C727" s="394"/>
      <c r="D727" s="396"/>
      <c r="E727" s="396"/>
      <c r="F727" s="396"/>
      <c r="G727" s="397"/>
      <c r="H727" s="434" t="s">
        <v>46</v>
      </c>
      <c r="I727" s="475">
        <f ca="1">IFERROR(__xludf.DUMMYFUNCTION("IMPORTRANGE(""https://docs.google.com/spreadsheets/d/1eHaY18a8A9IcSdp1K8H6x8fbOy06t2VsZHhMHf-1x7Y/edit?usp=sharing"",""แผน!FZ18"")"),1250)</f>
        <v>1250</v>
      </c>
      <c r="J727" s="475">
        <f>J752+J755</f>
        <v>0</v>
      </c>
      <c r="K727" s="474">
        <f ca="1">IF(I727&gt;0,J727*100/I727,0)</f>
        <v>0</v>
      </c>
      <c r="L727" s="47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128"/>
      <c r="B728" s="158"/>
      <c r="C728" s="177" t="s">
        <v>18</v>
      </c>
      <c r="D728" s="821" t="s">
        <v>19</v>
      </c>
      <c r="E728" s="793"/>
      <c r="F728" s="793"/>
      <c r="G728" s="794"/>
      <c r="H728" s="221" t="s">
        <v>14</v>
      </c>
      <c r="I728" s="44"/>
      <c r="J728" s="44"/>
      <c r="K728" s="45"/>
      <c r="L728" s="471">
        <f>L729+L730</f>
        <v>0</v>
      </c>
      <c r="M728" s="470">
        <f>M729+M730</f>
        <v>0</v>
      </c>
      <c r="N728" s="470">
        <f>N729+N730</f>
        <v>0</v>
      </c>
      <c r="O728" s="470">
        <f t="shared" ref="O728:O736" si="182">IF(L728&gt;0,N728*100/L728,0)</f>
        <v>0</v>
      </c>
      <c r="P728" s="470">
        <f t="shared" ref="P728:P736" si="183">IF(M728&gt;0,N728*100/M728,0)</f>
        <v>0</v>
      </c>
      <c r="Q728" s="470">
        <f ca="1">Q729+Q730</f>
        <v>1008470</v>
      </c>
      <c r="R728" s="470">
        <f ca="1">R729+R730</f>
        <v>1008470</v>
      </c>
      <c r="S728" s="470">
        <f ca="1">S729+S730</f>
        <v>20909</v>
      </c>
      <c r="T728" s="470">
        <f t="shared" ref="T728:T736" ca="1" si="184">IF(Q728&gt;0,S728*100/Q728,0)</f>
        <v>2.0733388201929657</v>
      </c>
      <c r="U728" s="470">
        <f t="shared" ref="U728:U736" ca="1" si="185">IF(R728&gt;0,S728*100/R728,0)</f>
        <v>2.0733388201929657</v>
      </c>
    </row>
    <row r="729" spans="1:21" ht="18.75" hidden="1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469">
        <f t="shared" ref="L729:N730" si="186">L732+L735</f>
        <v>0</v>
      </c>
      <c r="M729" s="83">
        <f t="shared" si="186"/>
        <v>0</v>
      </c>
      <c r="N729" s="83">
        <f t="shared" si="186"/>
        <v>0</v>
      </c>
      <c r="O729" s="83">
        <f t="shared" si="182"/>
        <v>0</v>
      </c>
      <c r="P729" s="83">
        <f t="shared" si="183"/>
        <v>0</v>
      </c>
      <c r="Q729" s="83">
        <f t="shared" ref="Q729:S730" si="187">Q732+Q735</f>
        <v>0</v>
      </c>
      <c r="R729" s="83">
        <f t="shared" si="187"/>
        <v>0</v>
      </c>
      <c r="S729" s="83">
        <f t="shared" si="187"/>
        <v>0</v>
      </c>
      <c r="T729" s="83">
        <f t="shared" si="184"/>
        <v>0</v>
      </c>
      <c r="U729" s="83">
        <f t="shared" si="185"/>
        <v>0</v>
      </c>
    </row>
    <row r="730" spans="1:21" ht="18.75" hidden="1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468">
        <f t="shared" si="186"/>
        <v>0</v>
      </c>
      <c r="M730" s="224">
        <f t="shared" si="186"/>
        <v>0</v>
      </c>
      <c r="N730" s="224">
        <f t="shared" si="186"/>
        <v>0</v>
      </c>
      <c r="O730" s="224">
        <f t="shared" si="182"/>
        <v>0</v>
      </c>
      <c r="P730" s="224">
        <f t="shared" si="183"/>
        <v>0</v>
      </c>
      <c r="Q730" s="224">
        <f t="shared" ca="1" si="187"/>
        <v>1008470</v>
      </c>
      <c r="R730" s="224">
        <f t="shared" ca="1" si="187"/>
        <v>1008470</v>
      </c>
      <c r="S730" s="224">
        <f t="shared" ca="1" si="187"/>
        <v>20909</v>
      </c>
      <c r="T730" s="224">
        <f t="shared" ca="1" si="184"/>
        <v>2.0733388201929657</v>
      </c>
      <c r="U730" s="224">
        <f t="shared" ca="1" si="185"/>
        <v>2.0733388201929657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468">
        <f>L732+L733</f>
        <v>0</v>
      </c>
      <c r="M731" s="224">
        <f>M732+M733</f>
        <v>0</v>
      </c>
      <c r="N731" s="224">
        <f>N732+N733</f>
        <v>0</v>
      </c>
      <c r="O731" s="224">
        <f t="shared" si="182"/>
        <v>0</v>
      </c>
      <c r="P731" s="224">
        <f t="shared" si="183"/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20909</v>
      </c>
      <c r="T731" s="224">
        <f t="shared" ca="1" si="184"/>
        <v>2.0733388201929657</v>
      </c>
      <c r="U731" s="224">
        <f t="shared" ca="1" si="185"/>
        <v>2.0733388201929657</v>
      </c>
    </row>
    <row r="732" spans="1:21" ht="18.75" hidden="1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469">
        <v>0</v>
      </c>
      <c r="M732" s="83">
        <v>0</v>
      </c>
      <c r="N732" s="83">
        <v>0</v>
      </c>
      <c r="O732" s="83">
        <f t="shared" si="182"/>
        <v>0</v>
      </c>
      <c r="P732" s="83">
        <f t="shared" si="183"/>
        <v>0</v>
      </c>
      <c r="Q732" s="83">
        <v>0</v>
      </c>
      <c r="R732" s="83">
        <v>0</v>
      </c>
      <c r="S732" s="83">
        <v>0</v>
      </c>
      <c r="T732" s="83">
        <f t="shared" si="184"/>
        <v>0</v>
      </c>
      <c r="U732" s="83">
        <f t="shared" si="185"/>
        <v>0</v>
      </c>
    </row>
    <row r="733" spans="1:21" ht="18.75" hidden="1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468">
        <v>0</v>
      </c>
      <c r="M733" s="224">
        <v>0</v>
      </c>
      <c r="N733" s="224">
        <v>0</v>
      </c>
      <c r="O733" s="224">
        <f t="shared" si="182"/>
        <v>0</v>
      </c>
      <c r="P733" s="224">
        <f t="shared" si="183"/>
        <v>0</v>
      </c>
      <c r="Q733" s="224">
        <f ca="1">IFERROR(__xludf.DUMMYFUNCTION("IMPORTRANGE(""https://docs.google.com/spreadsheets/d/1ItG2mGa2ceCfYo0BwxsXqNm01IGEUdYcSSLTEv9YCik/edit?usp=sharing"",""เบิกจ่ายกองทุน!O18"")"),1008470)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IFERROR(__xludf.DUMMYFUNCTION("IMPORTRANGE(""https://docs.google.com/spreadsheets/d/1ItG2mGa2ceCfYo0BwxsXqNm01IGEUdYcSSLTEv9YCik/edit?usp=sharing"",""เบิกจ่ายกองทุน!P18"")"),1008470)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IFERROR(__xludf.DUMMYFUNCTION("IMPORTRANGE(""https://docs.google.com/spreadsheets/d/1ItG2mGa2ceCfYo0BwxsXqNm01IGEUdYcSSLTEv9YCik/edit?usp=sharing"",""เบิกจ่ายกองทุน!Q18"")"),20909)</f>
        <v>20909</v>
      </c>
      <c r="T733" s="224">
        <f t="shared" ca="1" si="184"/>
        <v>2.0733388201929657</v>
      </c>
      <c r="U733" s="224">
        <f t="shared" ca="1" si="185"/>
        <v>2.0733388201929657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468">
        <f>L735+L736</f>
        <v>0</v>
      </c>
      <c r="M734" s="224">
        <f>M735+M736</f>
        <v>0</v>
      </c>
      <c r="N734" s="224">
        <f>N735+N736</f>
        <v>0</v>
      </c>
      <c r="O734" s="224">
        <f t="shared" si="182"/>
        <v>0</v>
      </c>
      <c r="P734" s="224">
        <f t="shared" si="183"/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 t="shared" si="184"/>
        <v>0</v>
      </c>
      <c r="U734" s="224">
        <f t="shared" si="185"/>
        <v>0</v>
      </c>
    </row>
    <row r="735" spans="1:21" ht="18.75" hidden="1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469">
        <v>0</v>
      </c>
      <c r="M735" s="83">
        <v>0</v>
      </c>
      <c r="N735" s="83">
        <v>0</v>
      </c>
      <c r="O735" s="83">
        <f t="shared" si="182"/>
        <v>0</v>
      </c>
      <c r="P735" s="83">
        <f t="shared" si="183"/>
        <v>0</v>
      </c>
      <c r="Q735" s="83">
        <v>0</v>
      </c>
      <c r="R735" s="83">
        <v>0</v>
      </c>
      <c r="S735" s="83">
        <v>0</v>
      </c>
      <c r="T735" s="83">
        <f t="shared" si="184"/>
        <v>0</v>
      </c>
      <c r="U735" s="83">
        <f t="shared" si="185"/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468">
        <v>0</v>
      </c>
      <c r="M736" s="224">
        <v>0</v>
      </c>
      <c r="N736" s="224">
        <v>0</v>
      </c>
      <c r="O736" s="224">
        <f t="shared" si="182"/>
        <v>0</v>
      </c>
      <c r="P736" s="224">
        <f t="shared" si="183"/>
        <v>0</v>
      </c>
      <c r="Q736" s="224">
        <v>0</v>
      </c>
      <c r="R736" s="224">
        <v>0</v>
      </c>
      <c r="S736" s="224">
        <v>0</v>
      </c>
      <c r="T736" s="224">
        <f t="shared" si="184"/>
        <v>0</v>
      </c>
      <c r="U736" s="224">
        <f t="shared" si="185"/>
        <v>0</v>
      </c>
    </row>
    <row r="737" spans="1:21" ht="19.5" x14ac:dyDescent="0.3">
      <c r="A737" s="138"/>
      <c r="B737" s="139"/>
      <c r="C737" s="177" t="s">
        <v>18</v>
      </c>
      <c r="D737" s="491" t="s">
        <v>38</v>
      </c>
      <c r="E737" s="203"/>
      <c r="F737" s="141"/>
      <c r="G737" s="142"/>
      <c r="H737" s="178"/>
      <c r="I737" s="44"/>
      <c r="J737" s="44"/>
      <c r="K737" s="45"/>
      <c r="L737" s="465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7" t="s">
        <v>121</v>
      </c>
      <c r="E738" s="139"/>
      <c r="F738" s="139"/>
      <c r="G738" s="143"/>
      <c r="H738" s="180"/>
      <c r="I738" s="44"/>
      <c r="J738" s="44"/>
      <c r="K738" s="45"/>
      <c r="L738" s="465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10" t="s">
        <v>270</v>
      </c>
      <c r="F739" s="139"/>
      <c r="G739" s="143"/>
      <c r="H739" s="180"/>
      <c r="I739" s="44"/>
      <c r="J739" s="44"/>
      <c r="K739" s="45"/>
      <c r="L739" s="465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485"/>
      <c r="B740" s="484"/>
      <c r="C740" s="484"/>
      <c r="D740" s="484"/>
      <c r="E740" s="484"/>
      <c r="F740" s="489" t="s">
        <v>271</v>
      </c>
      <c r="G740" s="481"/>
      <c r="H740" s="480" t="s">
        <v>46</v>
      </c>
      <c r="I740" s="487">
        <f ca="1">IFERROR(__xludf.DUMMYFUNCTION("IMPORTRANGE(""https://docs.google.com/spreadsheets/d/1eHaY18a8A9IcSdp1K8H6x8fbOy06t2VsZHhMHf-1x7Y/edit?usp=sharing"",""แผน!GB18"")"),1000)</f>
        <v>1000</v>
      </c>
      <c r="J740" s="478">
        <v>0</v>
      </c>
      <c r="K740" s="486">
        <f ca="1">IF(I740&gt;0,J740*100/I740,0)</f>
        <v>0</v>
      </c>
      <c r="L740" s="477"/>
      <c r="M740" s="476"/>
      <c r="N740" s="476"/>
      <c r="O740" s="476"/>
      <c r="P740" s="476"/>
      <c r="Q740" s="476"/>
      <c r="R740" s="476"/>
      <c r="S740" s="476"/>
      <c r="T740" s="476"/>
      <c r="U740" s="476"/>
    </row>
    <row r="741" spans="1:21" ht="18.75" x14ac:dyDescent="0.25">
      <c r="A741" s="485"/>
      <c r="B741" s="484"/>
      <c r="C741" s="484"/>
      <c r="D741" s="484"/>
      <c r="E741" s="484"/>
      <c r="F741" s="489" t="s">
        <v>306</v>
      </c>
      <c r="G741" s="481"/>
      <c r="H741" s="480" t="s">
        <v>35</v>
      </c>
      <c r="I741" s="479"/>
      <c r="J741" s="478">
        <v>100</v>
      </c>
      <c r="K741" s="476"/>
      <c r="L741" s="477"/>
      <c r="M741" s="476"/>
      <c r="N741" s="476"/>
      <c r="O741" s="476"/>
      <c r="P741" s="476"/>
      <c r="Q741" s="476"/>
      <c r="R741" s="476"/>
      <c r="S741" s="476"/>
      <c r="T741" s="476"/>
      <c r="U741" s="476"/>
    </row>
    <row r="742" spans="1:21" ht="18.75" x14ac:dyDescent="0.25">
      <c r="A742" s="485"/>
      <c r="B742" s="484"/>
      <c r="C742" s="484"/>
      <c r="D742" s="484"/>
      <c r="E742" s="484"/>
      <c r="F742" s="489" t="s">
        <v>305</v>
      </c>
      <c r="G742" s="481"/>
      <c r="H742" s="480" t="s">
        <v>35</v>
      </c>
      <c r="I742" s="487">
        <f ca="1">IFERROR(__xludf.DUMMYFUNCTION("IMPORTRANGE(""https://docs.google.com/spreadsheets/d/1eHaY18a8A9IcSdp1K8H6x8fbOy06t2VsZHhMHf-1x7Y/edit?usp=sharing"",""แผน!GC18"")"),100)</f>
        <v>100</v>
      </c>
      <c r="J742" s="478">
        <v>0</v>
      </c>
      <c r="K742" s="486">
        <f ca="1">IF(I742&gt;0,J742*100/I742,0)</f>
        <v>0</v>
      </c>
      <c r="L742" s="477"/>
      <c r="M742" s="476"/>
      <c r="N742" s="476"/>
      <c r="O742" s="476"/>
      <c r="P742" s="476"/>
      <c r="Q742" s="476"/>
      <c r="R742" s="476"/>
      <c r="S742" s="476"/>
      <c r="T742" s="476"/>
      <c r="U742" s="476"/>
    </row>
    <row r="743" spans="1:21" ht="18.75" x14ac:dyDescent="0.25">
      <c r="A743" s="485"/>
      <c r="B743" s="484"/>
      <c r="C743" s="484"/>
      <c r="D743" s="484"/>
      <c r="E743" s="489" t="s">
        <v>274</v>
      </c>
      <c r="F743" s="484"/>
      <c r="G743" s="481"/>
      <c r="H743" s="488"/>
      <c r="I743" s="479"/>
      <c r="J743" s="479"/>
      <c r="K743" s="476"/>
      <c r="L743" s="477"/>
      <c r="M743" s="476"/>
      <c r="N743" s="476"/>
      <c r="O743" s="476"/>
      <c r="P743" s="476"/>
      <c r="Q743" s="476"/>
      <c r="R743" s="476"/>
      <c r="S743" s="476"/>
      <c r="T743" s="476"/>
      <c r="U743" s="476"/>
    </row>
    <row r="744" spans="1:21" ht="18.75" x14ac:dyDescent="0.25">
      <c r="A744" s="485"/>
      <c r="B744" s="484"/>
      <c r="C744" s="484"/>
      <c r="D744" s="484"/>
      <c r="E744" s="484"/>
      <c r="F744" s="489" t="s">
        <v>271</v>
      </c>
      <c r="G744" s="481"/>
      <c r="H744" s="480" t="s">
        <v>46</v>
      </c>
      <c r="I744" s="487">
        <f ca="1">IFERROR(__xludf.DUMMYFUNCTION("IMPORTRANGE(""https://docs.google.com/spreadsheets/d/1eHaY18a8A9IcSdp1K8H6x8fbOy06t2VsZHhMHf-1x7Y/edit?usp=sharing"",""แผน!GD18"")"),250)</f>
        <v>250</v>
      </c>
      <c r="J744" s="478">
        <v>0</v>
      </c>
      <c r="K744" s="486">
        <f ca="1">IF(I744&gt;0,J744*100/I744,0)</f>
        <v>0</v>
      </c>
      <c r="L744" s="477"/>
      <c r="M744" s="476"/>
      <c r="N744" s="476"/>
      <c r="O744" s="476"/>
      <c r="P744" s="476"/>
      <c r="Q744" s="476"/>
      <c r="R744" s="476"/>
      <c r="S744" s="476"/>
      <c r="T744" s="476"/>
      <c r="U744" s="476"/>
    </row>
    <row r="745" spans="1:21" ht="18.75" x14ac:dyDescent="0.25">
      <c r="A745" s="485"/>
      <c r="B745" s="484"/>
      <c r="C745" s="484"/>
      <c r="D745" s="484"/>
      <c r="E745" s="484"/>
      <c r="F745" s="489" t="s">
        <v>304</v>
      </c>
      <c r="G745" s="481"/>
      <c r="H745" s="480" t="s">
        <v>35</v>
      </c>
      <c r="I745" s="479"/>
      <c r="J745" s="478">
        <v>25</v>
      </c>
      <c r="K745" s="476"/>
      <c r="L745" s="477"/>
      <c r="M745" s="476"/>
      <c r="N745" s="476"/>
      <c r="O745" s="476"/>
      <c r="P745" s="476"/>
      <c r="Q745" s="476"/>
      <c r="R745" s="476"/>
      <c r="S745" s="476"/>
      <c r="T745" s="476"/>
      <c r="U745" s="476"/>
    </row>
    <row r="746" spans="1:21" ht="18.75" x14ac:dyDescent="0.25">
      <c r="A746" s="485"/>
      <c r="B746" s="484"/>
      <c r="C746" s="484"/>
      <c r="D746" s="484"/>
      <c r="E746" s="484"/>
      <c r="F746" s="489" t="s">
        <v>303</v>
      </c>
      <c r="G746" s="481"/>
      <c r="H746" s="480" t="s">
        <v>35</v>
      </c>
      <c r="I746" s="487">
        <f ca="1">IFERROR(__xludf.DUMMYFUNCTION("IMPORTRANGE(""https://docs.google.com/spreadsheets/d/1eHaY18a8A9IcSdp1K8H6x8fbOy06t2VsZHhMHf-1x7Y/edit?usp=sharing"",""แผน!GE18"")"),25)</f>
        <v>25</v>
      </c>
      <c r="J746" s="478">
        <v>0</v>
      </c>
      <c r="K746" s="486">
        <f ca="1">IF(I746&gt;0,J746*100/I746,0)</f>
        <v>0</v>
      </c>
      <c r="L746" s="477"/>
      <c r="M746" s="476"/>
      <c r="N746" s="476"/>
      <c r="O746" s="476"/>
      <c r="P746" s="476"/>
      <c r="Q746" s="476"/>
      <c r="R746" s="476"/>
      <c r="S746" s="476"/>
      <c r="T746" s="476"/>
      <c r="U746" s="476"/>
    </row>
    <row r="747" spans="1:21" ht="18.75" x14ac:dyDescent="0.25">
      <c r="A747" s="485"/>
      <c r="B747" s="484"/>
      <c r="C747" s="484"/>
      <c r="D747" s="484"/>
      <c r="E747" s="489" t="s">
        <v>277</v>
      </c>
      <c r="F747" s="483"/>
      <c r="G747" s="481"/>
      <c r="H747" s="488"/>
      <c r="I747" s="479"/>
      <c r="J747" s="479"/>
      <c r="K747" s="476"/>
      <c r="L747" s="477"/>
      <c r="M747" s="476"/>
      <c r="N747" s="476"/>
      <c r="O747" s="476"/>
      <c r="P747" s="476"/>
      <c r="Q747" s="476"/>
      <c r="R747" s="476"/>
      <c r="S747" s="476"/>
      <c r="T747" s="476"/>
      <c r="U747" s="476"/>
    </row>
    <row r="748" spans="1:21" ht="18.75" x14ac:dyDescent="0.25">
      <c r="A748" s="485"/>
      <c r="B748" s="484"/>
      <c r="C748" s="484"/>
      <c r="D748" s="484"/>
      <c r="E748" s="484"/>
      <c r="F748" s="489" t="s">
        <v>302</v>
      </c>
      <c r="G748" s="481"/>
      <c r="H748" s="480" t="s">
        <v>35</v>
      </c>
      <c r="I748" s="479"/>
      <c r="J748" s="478">
        <v>0</v>
      </c>
      <c r="K748" s="476"/>
      <c r="L748" s="477"/>
      <c r="M748" s="476"/>
      <c r="N748" s="476"/>
      <c r="O748" s="476"/>
      <c r="P748" s="476"/>
      <c r="Q748" s="476"/>
      <c r="R748" s="476"/>
      <c r="S748" s="476"/>
      <c r="T748" s="476"/>
      <c r="U748" s="476"/>
    </row>
    <row r="749" spans="1:21" ht="18.75" x14ac:dyDescent="0.25">
      <c r="A749" s="485"/>
      <c r="B749" s="484"/>
      <c r="C749" s="484"/>
      <c r="D749" s="484"/>
      <c r="E749" s="484"/>
      <c r="F749" s="489" t="s">
        <v>301</v>
      </c>
      <c r="G749" s="481"/>
      <c r="H749" s="480" t="s">
        <v>35</v>
      </c>
      <c r="I749" s="487">
        <f ca="1">IFERROR(__xludf.DUMMYFUNCTION("IMPORTRANGE(""https://docs.google.com/spreadsheets/d/1eHaY18a8A9IcSdp1K8H6x8fbOy06t2VsZHhMHf-1x7Y/edit?usp=sharing"",""แผน!GF18"")"),3)</f>
        <v>3</v>
      </c>
      <c r="J749" s="478">
        <v>0</v>
      </c>
      <c r="K749" s="486">
        <f ca="1">IF(I749&gt;0,J749*100/I749,0)</f>
        <v>0</v>
      </c>
      <c r="L749" s="477"/>
      <c r="M749" s="476"/>
      <c r="N749" s="476"/>
      <c r="O749" s="476"/>
      <c r="P749" s="476"/>
      <c r="Q749" s="476"/>
      <c r="R749" s="476"/>
      <c r="S749" s="476"/>
      <c r="T749" s="476"/>
      <c r="U749" s="476"/>
    </row>
    <row r="750" spans="1:21" ht="19.5" x14ac:dyDescent="0.3">
      <c r="A750" s="485"/>
      <c r="B750" s="484"/>
      <c r="C750" s="484"/>
      <c r="D750" s="490" t="s">
        <v>50</v>
      </c>
      <c r="E750" s="484"/>
      <c r="F750" s="483"/>
      <c r="G750" s="481"/>
      <c r="H750" s="488"/>
      <c r="I750" s="479"/>
      <c r="J750" s="479"/>
      <c r="K750" s="476"/>
      <c r="L750" s="477"/>
      <c r="M750" s="476"/>
      <c r="N750" s="476"/>
      <c r="O750" s="476"/>
      <c r="P750" s="476"/>
      <c r="Q750" s="476"/>
      <c r="R750" s="476"/>
      <c r="S750" s="476"/>
      <c r="T750" s="476"/>
      <c r="U750" s="476"/>
    </row>
    <row r="751" spans="1:21" ht="18.75" x14ac:dyDescent="0.25">
      <c r="A751" s="485"/>
      <c r="B751" s="484"/>
      <c r="C751" s="484"/>
      <c r="D751" s="484"/>
      <c r="E751" s="489" t="s">
        <v>270</v>
      </c>
      <c r="F751" s="483"/>
      <c r="G751" s="481"/>
      <c r="H751" s="488"/>
      <c r="I751" s="479"/>
      <c r="J751" s="479"/>
      <c r="K751" s="476"/>
      <c r="L751" s="477"/>
      <c r="M751" s="476"/>
      <c r="N751" s="476"/>
      <c r="O751" s="476"/>
      <c r="P751" s="476"/>
      <c r="Q751" s="476"/>
      <c r="R751" s="476"/>
      <c r="S751" s="476"/>
      <c r="T751" s="476"/>
      <c r="U751" s="476"/>
    </row>
    <row r="752" spans="1:21" ht="18.75" x14ac:dyDescent="0.25">
      <c r="A752" s="485"/>
      <c r="B752" s="484"/>
      <c r="C752" s="484"/>
      <c r="D752" s="484"/>
      <c r="E752" s="484"/>
      <c r="F752" s="482" t="s">
        <v>300</v>
      </c>
      <c r="G752" s="481"/>
      <c r="H752" s="480" t="s">
        <v>46</v>
      </c>
      <c r="I752" s="487">
        <f ca="1">IFERROR(__xludf.DUMMYFUNCTION("IMPORTRANGE(""https://docs.google.com/spreadsheets/d/1eHaY18a8A9IcSdp1K8H6x8fbOy06t2VsZHhMHf-1x7Y/edit?usp=sharing"",""แผน!GB18"")"),1000)</f>
        <v>1000</v>
      </c>
      <c r="J752" s="478">
        <v>0</v>
      </c>
      <c r="K752" s="486">
        <f ca="1">IF(I752&gt;0,J752*100/I752,0)</f>
        <v>0</v>
      </c>
      <c r="L752" s="477"/>
      <c r="M752" s="476"/>
      <c r="N752" s="476"/>
      <c r="O752" s="476"/>
      <c r="P752" s="476"/>
      <c r="Q752" s="476"/>
      <c r="R752" s="476"/>
      <c r="S752" s="476"/>
      <c r="T752" s="476"/>
      <c r="U752" s="476"/>
    </row>
    <row r="753" spans="1:21" ht="18.75" x14ac:dyDescent="0.25">
      <c r="A753" s="485"/>
      <c r="B753" s="484"/>
      <c r="C753" s="484"/>
      <c r="D753" s="484"/>
      <c r="E753" s="484"/>
      <c r="F753" s="482" t="s">
        <v>299</v>
      </c>
      <c r="G753" s="481"/>
      <c r="H753" s="480" t="s">
        <v>46</v>
      </c>
      <c r="I753" s="479"/>
      <c r="J753" s="478">
        <v>0</v>
      </c>
      <c r="K753" s="476"/>
      <c r="L753" s="477"/>
      <c r="M753" s="476"/>
      <c r="N753" s="476"/>
      <c r="O753" s="476"/>
      <c r="P753" s="476"/>
      <c r="Q753" s="476"/>
      <c r="R753" s="476"/>
      <c r="S753" s="476"/>
      <c r="T753" s="476"/>
      <c r="U753" s="476"/>
    </row>
    <row r="754" spans="1:21" ht="18.75" x14ac:dyDescent="0.25">
      <c r="A754" s="485"/>
      <c r="B754" s="484"/>
      <c r="C754" s="484"/>
      <c r="D754" s="484"/>
      <c r="E754" s="489" t="s">
        <v>274</v>
      </c>
      <c r="F754" s="483"/>
      <c r="G754" s="481"/>
      <c r="H754" s="488"/>
      <c r="I754" s="479"/>
      <c r="J754" s="479"/>
      <c r="K754" s="476"/>
      <c r="L754" s="477"/>
      <c r="M754" s="476"/>
      <c r="N754" s="476"/>
      <c r="O754" s="476"/>
      <c r="P754" s="476"/>
      <c r="Q754" s="476"/>
      <c r="R754" s="476"/>
      <c r="S754" s="476"/>
      <c r="T754" s="476"/>
      <c r="U754" s="476"/>
    </row>
    <row r="755" spans="1:21" ht="18.75" x14ac:dyDescent="0.25">
      <c r="A755" s="485"/>
      <c r="B755" s="484"/>
      <c r="C755" s="484"/>
      <c r="D755" s="484"/>
      <c r="E755" s="483"/>
      <c r="F755" s="482" t="s">
        <v>298</v>
      </c>
      <c r="G755" s="481"/>
      <c r="H755" s="480" t="s">
        <v>46</v>
      </c>
      <c r="I755" s="487">
        <f ca="1">IFERROR(__xludf.DUMMYFUNCTION("IMPORTRANGE(""https://docs.google.com/spreadsheets/d/1eHaY18a8A9IcSdp1K8H6x8fbOy06t2VsZHhMHf-1x7Y/edit?usp=sharing"",""แผน!GD18"")"),250)</f>
        <v>250</v>
      </c>
      <c r="J755" s="478">
        <v>0</v>
      </c>
      <c r="K755" s="486">
        <f ca="1">IF(I755&gt;0,J755*100/I755,0)</f>
        <v>0</v>
      </c>
      <c r="L755" s="477"/>
      <c r="M755" s="476"/>
      <c r="N755" s="476"/>
      <c r="O755" s="476"/>
      <c r="P755" s="476"/>
      <c r="Q755" s="476"/>
      <c r="R755" s="476"/>
      <c r="S755" s="476"/>
      <c r="T755" s="476"/>
      <c r="U755" s="476"/>
    </row>
    <row r="756" spans="1:21" ht="18.75" x14ac:dyDescent="0.25">
      <c r="A756" s="485"/>
      <c r="B756" s="484"/>
      <c r="C756" s="484"/>
      <c r="D756" s="484"/>
      <c r="E756" s="483"/>
      <c r="F756" s="482" t="s">
        <v>297</v>
      </c>
      <c r="G756" s="481"/>
      <c r="H756" s="480" t="s">
        <v>46</v>
      </c>
      <c r="I756" s="479"/>
      <c r="J756" s="478">
        <v>0</v>
      </c>
      <c r="K756" s="476"/>
      <c r="L756" s="477"/>
      <c r="M756" s="476"/>
      <c r="N756" s="476"/>
      <c r="O756" s="476"/>
      <c r="P756" s="476"/>
      <c r="Q756" s="476"/>
      <c r="R756" s="476"/>
      <c r="S756" s="476"/>
      <c r="T756" s="476"/>
      <c r="U756" s="476"/>
    </row>
    <row r="757" spans="1:21" ht="18.75" x14ac:dyDescent="0.25">
      <c r="A757" s="438"/>
      <c r="B757" s="438"/>
      <c r="C757" s="438"/>
      <c r="D757" s="438"/>
      <c r="E757" s="439" t="s">
        <v>284</v>
      </c>
      <c r="F757" s="440"/>
      <c r="G757" s="441"/>
      <c r="H757" s="442" t="s">
        <v>35</v>
      </c>
      <c r="I757" s="443"/>
      <c r="J757" s="444">
        <v>0</v>
      </c>
      <c r="K757" s="445"/>
      <c r="L757" s="445"/>
      <c r="M757" s="445"/>
      <c r="N757" s="445"/>
      <c r="O757" s="445"/>
      <c r="P757" s="445"/>
      <c r="Q757" s="445"/>
      <c r="R757" s="445"/>
      <c r="S757" s="445"/>
      <c r="T757" s="445"/>
      <c r="U757" s="445"/>
    </row>
    <row r="758" spans="1:21" ht="19.5" x14ac:dyDescent="0.3">
      <c r="A758" s="394"/>
      <c r="B758" s="395" t="s">
        <v>285</v>
      </c>
      <c r="C758" s="394"/>
      <c r="D758" s="396"/>
      <c r="E758" s="396"/>
      <c r="F758" s="396"/>
      <c r="G758" s="397"/>
      <c r="H758" s="434" t="s">
        <v>35</v>
      </c>
      <c r="I758" s="475">
        <f ca="1">I772</f>
        <v>70</v>
      </c>
      <c r="J758" s="475">
        <f>J772</f>
        <v>70</v>
      </c>
      <c r="K758" s="474">
        <f ca="1">IF(I758&gt;0,J758*100/I758,0)</f>
        <v>100</v>
      </c>
      <c r="L758" s="47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6"/>
      <c r="B759" s="394"/>
      <c r="C759" s="394"/>
      <c r="D759" s="396"/>
      <c r="E759" s="396"/>
      <c r="F759" s="396"/>
      <c r="G759" s="397"/>
      <c r="H759" s="434" t="s">
        <v>46</v>
      </c>
      <c r="I759" s="475">
        <f ca="1">I774</f>
        <v>140</v>
      </c>
      <c r="J759" s="475">
        <f>J774</f>
        <v>140</v>
      </c>
      <c r="K759" s="474">
        <f ca="1">IF(I759&gt;0,J759*100/I759,0)</f>
        <v>100</v>
      </c>
      <c r="L759" s="47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8"/>
      <c r="C760" s="177" t="s">
        <v>18</v>
      </c>
      <c r="D760" s="821" t="s">
        <v>19</v>
      </c>
      <c r="E760" s="793"/>
      <c r="F760" s="793"/>
      <c r="G760" s="794"/>
      <c r="H760" s="221" t="s">
        <v>14</v>
      </c>
      <c r="I760" s="44"/>
      <c r="J760" s="44"/>
      <c r="K760" s="45"/>
      <c r="L760" s="471">
        <f>L761+L762</f>
        <v>0</v>
      </c>
      <c r="M760" s="470">
        <f>M761+M762</f>
        <v>0</v>
      </c>
      <c r="N760" s="470">
        <f>N761+N762</f>
        <v>0</v>
      </c>
      <c r="O760" s="470">
        <f t="shared" ref="O760:O768" si="188">IF(L760&gt;0,N760*100/L760,0)</f>
        <v>0</v>
      </c>
      <c r="P760" s="470">
        <f t="shared" ref="P760:P768" si="189">IF(M760&gt;0,N760*100/M760,0)</f>
        <v>0</v>
      </c>
      <c r="Q760" s="470">
        <f ca="1">Q761+Q762</f>
        <v>470400</v>
      </c>
      <c r="R760" s="470">
        <f ca="1">R761+R762</f>
        <v>470400</v>
      </c>
      <c r="S760" s="470">
        <f ca="1">S761+S762</f>
        <v>139649</v>
      </c>
      <c r="T760" s="470">
        <f t="shared" ref="T760:T768" ca="1" si="190">IF(Q760&gt;0,S760*100/Q760,0)</f>
        <v>29.687287414965986</v>
      </c>
      <c r="U760" s="470">
        <f t="shared" ref="U760:U768" ca="1" si="191">IF(R760&gt;0,S760*100/R760,0)</f>
        <v>29.687287414965986</v>
      </c>
    </row>
    <row r="761" spans="1:21" ht="18.75" hidden="1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469">
        <f t="shared" ref="L761:N762" si="192">L764+L767</f>
        <v>0</v>
      </c>
      <c r="M761" s="83">
        <f t="shared" si="192"/>
        <v>0</v>
      </c>
      <c r="N761" s="83">
        <f t="shared" si="192"/>
        <v>0</v>
      </c>
      <c r="O761" s="83">
        <f t="shared" si="188"/>
        <v>0</v>
      </c>
      <c r="P761" s="83">
        <f t="shared" si="189"/>
        <v>0</v>
      </c>
      <c r="Q761" s="83">
        <f t="shared" ref="Q761:S762" si="193">Q764+Q767</f>
        <v>0</v>
      </c>
      <c r="R761" s="83">
        <f t="shared" si="193"/>
        <v>0</v>
      </c>
      <c r="S761" s="83">
        <f t="shared" si="193"/>
        <v>0</v>
      </c>
      <c r="T761" s="83">
        <f t="shared" si="190"/>
        <v>0</v>
      </c>
      <c r="U761" s="83">
        <f t="shared" si="191"/>
        <v>0</v>
      </c>
    </row>
    <row r="762" spans="1:21" ht="18.75" hidden="1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468">
        <f t="shared" si="192"/>
        <v>0</v>
      </c>
      <c r="M762" s="224">
        <f t="shared" si="192"/>
        <v>0</v>
      </c>
      <c r="N762" s="224">
        <f t="shared" si="192"/>
        <v>0</v>
      </c>
      <c r="O762" s="224">
        <f t="shared" si="188"/>
        <v>0</v>
      </c>
      <c r="P762" s="224">
        <f t="shared" si="189"/>
        <v>0</v>
      </c>
      <c r="Q762" s="224">
        <f t="shared" ca="1" si="193"/>
        <v>470400</v>
      </c>
      <c r="R762" s="224">
        <f t="shared" ca="1" si="193"/>
        <v>470400</v>
      </c>
      <c r="S762" s="224">
        <f t="shared" ca="1" si="193"/>
        <v>139649</v>
      </c>
      <c r="T762" s="224">
        <f t="shared" ca="1" si="190"/>
        <v>29.687287414965986</v>
      </c>
      <c r="U762" s="224">
        <f t="shared" ca="1" si="191"/>
        <v>29.687287414965986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468">
        <f>L764+L765</f>
        <v>0</v>
      </c>
      <c r="M763" s="224">
        <f>M764+M765</f>
        <v>0</v>
      </c>
      <c r="N763" s="224">
        <f>N764+N765</f>
        <v>0</v>
      </c>
      <c r="O763" s="224">
        <f t="shared" si="188"/>
        <v>0</v>
      </c>
      <c r="P763" s="224">
        <f t="shared" si="189"/>
        <v>0</v>
      </c>
      <c r="Q763" s="224">
        <f ca="1">Q764+Q765</f>
        <v>470400</v>
      </c>
      <c r="R763" s="224">
        <f ca="1">R764+R765</f>
        <v>470400</v>
      </c>
      <c r="S763" s="224">
        <f ca="1">S764+S765</f>
        <v>139649</v>
      </c>
      <c r="T763" s="224">
        <f t="shared" ca="1" si="190"/>
        <v>29.687287414965986</v>
      </c>
      <c r="U763" s="224">
        <f t="shared" ca="1" si="191"/>
        <v>29.687287414965986</v>
      </c>
    </row>
    <row r="764" spans="1:21" ht="18.75" hidden="1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469">
        <v>0</v>
      </c>
      <c r="M764" s="83">
        <v>0</v>
      </c>
      <c r="N764" s="83">
        <v>0</v>
      </c>
      <c r="O764" s="83">
        <f t="shared" si="188"/>
        <v>0</v>
      </c>
      <c r="P764" s="83">
        <f t="shared" si="189"/>
        <v>0</v>
      </c>
      <c r="Q764" s="83">
        <v>0</v>
      </c>
      <c r="R764" s="83">
        <v>0</v>
      </c>
      <c r="S764" s="83">
        <v>0</v>
      </c>
      <c r="T764" s="83">
        <f t="shared" si="190"/>
        <v>0</v>
      </c>
      <c r="U764" s="83">
        <f t="shared" si="191"/>
        <v>0</v>
      </c>
    </row>
    <row r="765" spans="1:21" ht="18.75" hidden="1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468">
        <v>0</v>
      </c>
      <c r="M765" s="224">
        <v>0</v>
      </c>
      <c r="N765" s="224">
        <v>0</v>
      </c>
      <c r="O765" s="224">
        <f t="shared" si="188"/>
        <v>0</v>
      </c>
      <c r="P765" s="224">
        <f t="shared" si="189"/>
        <v>0</v>
      </c>
      <c r="Q765" s="224">
        <f ca="1">IFERROR(__xludf.DUMMYFUNCTION("IMPORTRANGE(""https://docs.google.com/spreadsheets/d/1ItG2mGa2ceCfYo0BwxsXqNm01IGEUdYcSSLTEv9YCik/edit?usp=sharing"",""เบิกจ่ายกองทุน!U18"")"),470400)</f>
        <v>470400</v>
      </c>
      <c r="R765" s="224">
        <f ca="1">IFERROR(__xludf.DUMMYFUNCTION("IMPORTRANGE(""https://docs.google.com/spreadsheets/d/1ItG2mGa2ceCfYo0BwxsXqNm01IGEUdYcSSLTEv9YCik/edit?usp=sharing"",""เบิกจ่ายกองทุน!V18"")"),470400)</f>
        <v>470400</v>
      </c>
      <c r="S765" s="224">
        <f ca="1">IFERROR(__xludf.DUMMYFUNCTION("IMPORTRANGE(""https://docs.google.com/spreadsheets/d/1ItG2mGa2ceCfYo0BwxsXqNm01IGEUdYcSSLTEv9YCik/edit?usp=sharing"",""เบิกจ่ายกองทุน!W18"")"),139649)</f>
        <v>139649</v>
      </c>
      <c r="T765" s="224">
        <f t="shared" ca="1" si="190"/>
        <v>29.687287414965986</v>
      </c>
      <c r="U765" s="224">
        <f t="shared" ca="1" si="191"/>
        <v>29.687287414965986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468">
        <f>L767+L768</f>
        <v>0</v>
      </c>
      <c r="M766" s="224">
        <f>M767+M768</f>
        <v>0</v>
      </c>
      <c r="N766" s="224">
        <f>N767+N768</f>
        <v>0</v>
      </c>
      <c r="O766" s="224">
        <f t="shared" si="188"/>
        <v>0</v>
      </c>
      <c r="P766" s="224">
        <f t="shared" si="189"/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 t="shared" si="190"/>
        <v>0</v>
      </c>
      <c r="U766" s="224">
        <f t="shared" si="191"/>
        <v>0</v>
      </c>
    </row>
    <row r="767" spans="1:21" ht="18.75" hidden="1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469">
        <v>0</v>
      </c>
      <c r="M767" s="83">
        <v>0</v>
      </c>
      <c r="N767" s="83">
        <v>0</v>
      </c>
      <c r="O767" s="83">
        <f t="shared" si="188"/>
        <v>0</v>
      </c>
      <c r="P767" s="83">
        <f t="shared" si="189"/>
        <v>0</v>
      </c>
      <c r="Q767" s="83">
        <v>0</v>
      </c>
      <c r="R767" s="83">
        <v>0</v>
      </c>
      <c r="S767" s="83">
        <v>0</v>
      </c>
      <c r="T767" s="83">
        <f t="shared" si="190"/>
        <v>0</v>
      </c>
      <c r="U767" s="83">
        <f t="shared" si="191"/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468">
        <v>0</v>
      </c>
      <c r="M768" s="224">
        <v>0</v>
      </c>
      <c r="N768" s="224">
        <v>0</v>
      </c>
      <c r="O768" s="224">
        <f t="shared" si="188"/>
        <v>0</v>
      </c>
      <c r="P768" s="224">
        <f t="shared" si="189"/>
        <v>0</v>
      </c>
      <c r="Q768" s="224">
        <v>0</v>
      </c>
      <c r="R768" s="224">
        <v>0</v>
      </c>
      <c r="S768" s="224">
        <v>0</v>
      </c>
      <c r="T768" s="224">
        <f t="shared" si="190"/>
        <v>0</v>
      </c>
      <c r="U768" s="224">
        <f t="shared" si="191"/>
        <v>0</v>
      </c>
    </row>
    <row r="769" spans="1:21" ht="19.5" x14ac:dyDescent="0.3">
      <c r="A769" s="138"/>
      <c r="B769" s="139"/>
      <c r="C769" s="446" t="s">
        <v>18</v>
      </c>
      <c r="D769" s="467" t="s">
        <v>38</v>
      </c>
      <c r="E769" s="203"/>
      <c r="F769" s="141"/>
      <c r="G769" s="142"/>
      <c r="H769" s="178"/>
      <c r="I769" s="44"/>
      <c r="J769" s="44"/>
      <c r="K769" s="45"/>
      <c r="L769" s="465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377" t="s">
        <v>286</v>
      </c>
      <c r="E770" s="139"/>
      <c r="F770" s="145"/>
      <c r="G770" s="143"/>
      <c r="H770" s="375" t="s">
        <v>35</v>
      </c>
      <c r="I770" s="430">
        <f ca="1">IFERROR(__xludf.DUMMYFUNCTION("IMPORTRANGE(""https://docs.google.com/spreadsheets/d/1eHaY18a8A9IcSdp1K8H6x8fbOy06t2VsZHhMHf-1x7Y/edit?usp=sharing"",""แผน!FI18"")"),0)</f>
        <v>0</v>
      </c>
      <c r="J770" s="430">
        <v>0</v>
      </c>
      <c r="K770" s="83">
        <f ca="1">IF(I770&gt;0,J770*100/I770,0)</f>
        <v>0</v>
      </c>
      <c r="L770" s="465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377" t="s">
        <v>287</v>
      </c>
      <c r="E771" s="139"/>
      <c r="F771" s="145"/>
      <c r="G771" s="143"/>
      <c r="H771" s="178"/>
      <c r="I771" s="44"/>
      <c r="J771" s="44"/>
      <c r="K771" s="45"/>
      <c r="L771" s="465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10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IFERROR(__xludf.DUMMYFUNCTION("IMPORTRANGE(""https://docs.google.com/spreadsheets/d/1eHaY18a8A9IcSdp1K8H6x8fbOy06t2VsZHhMHf-1x7Y/edit?usp=sharing"",""แผน!FQ18"")"),70)</f>
        <v>70</v>
      </c>
      <c r="J772" s="466">
        <v>70</v>
      </c>
      <c r="K772" s="224">
        <f ca="1">IF(I772&gt;0,J772*100/I772,0)</f>
        <v>100</v>
      </c>
      <c r="L772" s="465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10" t="s">
        <v>289</v>
      </c>
      <c r="E773" s="139"/>
      <c r="F773" s="145"/>
      <c r="G773" s="143"/>
      <c r="H773" s="178"/>
      <c r="I773" s="44"/>
      <c r="J773" s="44"/>
      <c r="K773" s="45"/>
      <c r="L773" s="465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10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IFERROR(__xludf.DUMMYFUNCTION("IMPORTRANGE(""https://docs.google.com/spreadsheets/d/1eHaY18a8A9IcSdp1K8H6x8fbOy06t2VsZHhMHf-1x7Y/edit?usp=sharing"",""แผน!FR18"")"),140)</f>
        <v>140</v>
      </c>
      <c r="J774" s="466">
        <v>140</v>
      </c>
      <c r="K774" s="224">
        <f ca="1">IF(I774&gt;0,J774*100/I774,0)</f>
        <v>100</v>
      </c>
      <c r="L774" s="465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10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IFERROR(__xludf.DUMMYFUNCTION("IMPORTRANGE(""https://docs.google.com/spreadsheets/d/1eHaY18a8A9IcSdp1K8H6x8fbOy06t2VsZHhMHf-1x7Y/edit?usp=sharing"",""แผน!FS18"")"),140)</f>
        <v>140</v>
      </c>
      <c r="J775" s="466">
        <v>0</v>
      </c>
      <c r="K775" s="45"/>
      <c r="L775" s="465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IFERROR(__xludf.DUMMYFUNCTION("IMPORTRANGE(""https://docs.google.com/spreadsheets/d/1eHaY18a8A9IcSdp1K8H6x8fbOy06t2VsZHhMHf-1x7Y/edit?usp=sharing"",""แผน!FT18"")"),70)</f>
        <v>70</v>
      </c>
      <c r="J776" s="464">
        <v>0</v>
      </c>
      <c r="K776" s="3"/>
      <c r="L776" s="46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462" t="s">
        <v>291</v>
      </c>
      <c r="B777" s="449"/>
      <c r="C777" s="449"/>
      <c r="D777" s="448"/>
      <c r="E777" s="449"/>
      <c r="F777" s="449"/>
      <c r="G777" s="450"/>
      <c r="H777" s="461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2"/>
      <c r="J777" s="453"/>
      <c r="K777" s="454"/>
      <c r="L777" s="454"/>
      <c r="M777" s="454"/>
      <c r="N777" s="454"/>
      <c r="O777" s="454"/>
      <c r="P777" s="454"/>
      <c r="Q777" s="454"/>
      <c r="R777" s="454"/>
      <c r="S777" s="454"/>
      <c r="T777" s="454"/>
      <c r="U777" s="454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IFERROR(__xludf.DUMMYFUNCTION("IMPORTRANGE(""https://docs.google.com/spreadsheets/d/10OvvATaaLtwErnr3qtWFcTmtbfpFEt5Bsqel9sXx0uE/edit?usp=sharing"",""งานกองทุน!D18"")"),1930000)</f>
        <v>1930000</v>
      </c>
      <c r="J778" s="184">
        <f ca="1">IFERROR(__xludf.DUMMYFUNCTION("IMPORTRANGE(""https://docs.google.com/spreadsheets/d/10OvvATaaLtwErnr3qtWFcTmtbfpFEt5Bsqel9sXx0uE/edit?usp=sharing"",""งานกองทุน!F18"")"),1239453.98)</f>
        <v>1239453.98</v>
      </c>
      <c r="K778" s="224">
        <f t="shared" ref="K778:K785" ca="1" si="194">IF(I778&gt;0,J778*100/I778,0)</f>
        <v>64.220413471502596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IFERROR(__xludf.DUMMYFUNCTION("IMPORTRANGE(""https://docs.google.com/spreadsheets/d/10OvvATaaLtwErnr3qtWFcTmtbfpFEt5Bsqel9sXx0uE/edit?usp=sharing"",""งานกองทุน!C18"")"),98)</f>
        <v>98</v>
      </c>
      <c r="J779" s="184">
        <f ca="1">IFERROR(__xludf.DUMMYFUNCTION("IMPORTRANGE(""https://docs.google.com/spreadsheets/d/10OvvATaaLtwErnr3qtWFcTmtbfpFEt5Bsqel9sXx0uE/edit?usp=sharing"",""งานกองทุน!E18"")"),82)</f>
        <v>82</v>
      </c>
      <c r="K779" s="224">
        <f t="shared" ca="1" si="194"/>
        <v>83.673469387755105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IFERROR(__xludf.DUMMYFUNCTION("IMPORTRANGE(""https://docs.google.com/spreadsheets/d/10OvvATaaLtwErnr3qtWFcTmtbfpFEt5Bsqel9sXx0uE/edit?usp=sharing"",""งานกองทุน!I18"")"),4660392.4)</f>
        <v>4660392.4000000004</v>
      </c>
      <c r="J780" s="184">
        <f ca="1">IFERROR(__xludf.DUMMYFUNCTION("IMPORTRANGE(""https://docs.google.com/spreadsheets/d/10OvvATaaLtwErnr3qtWFcTmtbfpFEt5Bsqel9sXx0uE/edit?usp=sharing"",""งานกองทุน!K18"")"),167191.07)</f>
        <v>167191.07</v>
      </c>
      <c r="K780" s="224">
        <f t="shared" ca="1" si="194"/>
        <v>3.5874891135776461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IFERROR(__xludf.DUMMYFUNCTION("IMPORTRANGE(""https://docs.google.com/spreadsheets/d/10OvvATaaLtwErnr3qtWFcTmtbfpFEt5Bsqel9sXx0uE/edit?usp=sharing"",""งานกองทุน!H18"")"),254)</f>
        <v>254</v>
      </c>
      <c r="J781" s="184">
        <f ca="1">IFERROR(__xludf.DUMMYFUNCTION("IMPORTRANGE(""https://docs.google.com/spreadsheets/d/10OvvATaaLtwErnr3qtWFcTmtbfpFEt5Bsqel9sXx0uE/edit?usp=sharing"",""งานกองทุน!J18"")"),26)</f>
        <v>26</v>
      </c>
      <c r="K781" s="224">
        <f t="shared" ca="1" si="194"/>
        <v>10.236220472440944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IFERROR(__xludf.DUMMYFUNCTION("IMPORTRANGE(""https://docs.google.com/spreadsheets/d/10OvvATaaLtwErnr3qtWFcTmtbfpFEt5Bsqel9sXx0uE/edit?usp=sharing"",""งานกองทุน!N18"")"),35457216.19)</f>
        <v>35457216.189999998</v>
      </c>
      <c r="J782" s="184">
        <f ca="1">IFERROR(__xludf.DUMMYFUNCTION("IMPORTRANGE(""https://docs.google.com/spreadsheets/d/10OvvATaaLtwErnr3qtWFcTmtbfpFEt5Bsqel9sXx0uE/edit?usp=sharing"",""งานกองทุน!P18"")"),9704196.42)</f>
        <v>9704196.4199999999</v>
      </c>
      <c r="K782" s="224">
        <f t="shared" ca="1" si="194"/>
        <v>27.368748770347278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IFERROR(__xludf.DUMMYFUNCTION("IMPORTRANGE(""https://docs.google.com/spreadsheets/d/10OvvATaaLtwErnr3qtWFcTmtbfpFEt5Bsqel9sXx0uE/edit?usp=sharing"",""งานกองทุน!M18"")"),2710)</f>
        <v>2710</v>
      </c>
      <c r="J783" s="184">
        <f ca="1">IFERROR(__xludf.DUMMYFUNCTION("IMPORTRANGE(""https://docs.google.com/spreadsheets/d/10OvvATaaLtwErnr3qtWFcTmtbfpFEt5Bsqel9sXx0uE/edit?usp=sharing"",""งานกองทุน!O18"")"),1746)</f>
        <v>1746</v>
      </c>
      <c r="K783" s="224">
        <f t="shared" ca="1" si="194"/>
        <v>64.428044280442805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IFERROR(__xludf.DUMMYFUNCTION("IMPORTRANGE(""https://docs.google.com/spreadsheets/d/10OvvATaaLtwErnr3qtWFcTmtbfpFEt5Bsqel9sXx0uE/edit?usp=sharing"",""งานกองทุน!S18"")"),3724000)</f>
        <v>3724000</v>
      </c>
      <c r="J784" s="184">
        <f ca="1">IFERROR(__xludf.DUMMYFUNCTION("IMPORTRANGE(""https://docs.google.com/spreadsheets/d/10OvvATaaLtwErnr3qtWFcTmtbfpFEt5Bsqel9sXx0uE/edit?usp=sharing"",""งานกองทุน!U18"")"),1200000)</f>
        <v>1200000</v>
      </c>
      <c r="K784" s="224">
        <f t="shared" ca="1" si="194"/>
        <v>32.223415682062296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IFERROR(__xludf.DUMMYFUNCTION("IMPORTRANGE(""https://docs.google.com/spreadsheets/d/10OvvATaaLtwErnr3qtWFcTmtbfpFEt5Bsqel9sXx0uE/edit?usp=sharing"",""งานกองทุน!R18"")"),133)</f>
        <v>133</v>
      </c>
      <c r="J785" s="188">
        <f ca="1">IFERROR(__xludf.DUMMYFUNCTION("IMPORTRANGE(""https://docs.google.com/spreadsheets/d/10OvvATaaLtwErnr3qtWFcTmtbfpFEt5Bsqel9sXx0uE/edit?usp=sharing"",""งานกองทุน!T18"")"),60)</f>
        <v>60</v>
      </c>
      <c r="K785" s="455">
        <f t="shared" ca="1" si="194"/>
        <v>45.112781954887218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460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4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4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horizontalDpi="4294967293" verticalDpi="4294967293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75BD8-9FFF-4015-9DA6-40459846FE82}">
  <sheetPr>
    <outlinePr summaryBelow="0" summaryRight="0"/>
  </sheetPr>
  <dimension ref="A1:U789"/>
  <sheetViews>
    <sheetView view="pageBreakPreview" zoomScale="60" zoomScaleNormal="70" workbookViewId="0">
      <pane xSplit="8" ySplit="6" topLeftCell="I7" activePane="bottomRight" state="frozen"/>
      <selection activeCell="N28" sqref="N28"/>
      <selection pane="topRight" activeCell="N28" sqref="N28"/>
      <selection pane="bottomLeft" activeCell="N28" sqref="N28"/>
      <selection pane="bottomRight" activeCell="N28" sqref="N2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7109375" bestFit="1" customWidth="1"/>
    <col min="11" max="11" width="12.42578125" bestFit="1" customWidth="1"/>
    <col min="12" max="14" width="21" bestFit="1" customWidth="1"/>
    <col min="15" max="15" width="20.140625" bestFit="1" customWidth="1"/>
    <col min="16" max="16" width="22" bestFit="1" customWidth="1"/>
    <col min="17" max="18" width="21" bestFit="1" customWidth="1"/>
    <col min="19" max="19" width="18.57031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815" t="s">
        <v>0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5"/>
      <c r="T1" s="815"/>
      <c r="U1" s="815"/>
    </row>
    <row r="2" spans="1:21" ht="19.5" x14ac:dyDescent="0.3">
      <c r="A2" s="815" t="s">
        <v>319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</row>
    <row r="3" spans="1:21" ht="19.5" x14ac:dyDescent="0.3">
      <c r="A3" s="815" t="s">
        <v>335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709"/>
      <c r="L4" s="816" t="s">
        <v>2</v>
      </c>
      <c r="M4" s="800"/>
      <c r="N4" s="800"/>
      <c r="O4" s="800"/>
      <c r="P4" s="801"/>
      <c r="Q4" s="817" t="s">
        <v>3</v>
      </c>
      <c r="R4" s="800"/>
      <c r="S4" s="800"/>
      <c r="T4" s="800"/>
      <c r="U4" s="801"/>
    </row>
    <row r="5" spans="1:21" ht="19.5" x14ac:dyDescent="0.3">
      <c r="A5" s="822" t="s">
        <v>4</v>
      </c>
      <c r="B5" s="797"/>
      <c r="C5" s="797"/>
      <c r="D5" s="797"/>
      <c r="E5" s="797"/>
      <c r="F5" s="797"/>
      <c r="G5" s="798"/>
      <c r="H5" s="708" t="s">
        <v>5</v>
      </c>
      <c r="I5" s="814" t="s">
        <v>6</v>
      </c>
      <c r="J5" s="800"/>
      <c r="K5" s="801"/>
      <c r="L5" s="818" t="s">
        <v>7</v>
      </c>
      <c r="M5" s="801"/>
      <c r="N5" s="807" t="s">
        <v>8</v>
      </c>
      <c r="O5" s="800"/>
      <c r="P5" s="801"/>
      <c r="Q5" s="808" t="s">
        <v>7</v>
      </c>
      <c r="R5" s="801"/>
      <c r="S5" s="807" t="s">
        <v>8</v>
      </c>
      <c r="T5" s="800"/>
      <c r="U5" s="801"/>
    </row>
    <row r="6" spans="1:21" ht="19.5" x14ac:dyDescent="0.3">
      <c r="A6" s="799"/>
      <c r="B6" s="800"/>
      <c r="C6" s="800"/>
      <c r="D6" s="800"/>
      <c r="E6" s="800"/>
      <c r="F6" s="800"/>
      <c r="G6" s="801"/>
      <c r="H6" s="707"/>
      <c r="I6" s="6" t="s">
        <v>9</v>
      </c>
      <c r="J6" s="7" t="s">
        <v>10</v>
      </c>
      <c r="K6" s="6" t="s">
        <v>11</v>
      </c>
      <c r="L6" s="706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823"/>
      <c r="B7" s="800"/>
      <c r="C7" s="800"/>
      <c r="D7" s="800"/>
      <c r="E7" s="800"/>
      <c r="F7" s="800"/>
      <c r="G7" s="801"/>
      <c r="H7" s="14"/>
      <c r="I7" s="15"/>
      <c r="J7" s="15"/>
      <c r="K7" s="16"/>
      <c r="L7" s="580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571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71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71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71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71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71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71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71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580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803" t="s">
        <v>309</v>
      </c>
      <c r="B17" s="800"/>
      <c r="C17" s="800"/>
      <c r="D17" s="800"/>
      <c r="E17" s="800"/>
      <c r="F17" s="800"/>
      <c r="G17" s="801"/>
      <c r="H17" s="23"/>
      <c r="I17" s="24"/>
      <c r="J17" s="24"/>
      <c r="K17" s="25"/>
      <c r="L17" s="705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704">
        <f ca="1">L19+L20</f>
        <v>2543135</v>
      </c>
      <c r="M18" s="664">
        <f ca="1">M19+M20</f>
        <v>2754194</v>
      </c>
      <c r="N18" s="664">
        <f ca="1">N19+N20</f>
        <v>1832162.8299999998</v>
      </c>
      <c r="O18" s="664">
        <f t="shared" ref="O18:O26" ca="1" si="0">IF(L18&gt;0,N18*100/L18,0)</f>
        <v>72.043475080953215</v>
      </c>
      <c r="P18" s="664">
        <f t="shared" ref="P18:P26" ca="1" si="1">IF(M18&gt;0,N18*100/M18,0)</f>
        <v>66.522649820600861</v>
      </c>
      <c r="Q18" s="664">
        <f ca="1">Q19+Q20</f>
        <v>5476893.3900000006</v>
      </c>
      <c r="R18" s="664">
        <f ca="1">R19+R20</f>
        <v>5476893</v>
      </c>
      <c r="S18" s="664">
        <f ca="1">S19+S20</f>
        <v>462980</v>
      </c>
      <c r="T18" s="664">
        <f t="shared" ref="T18:T26" ca="1" si="2">IF(Q18&gt;0,S18*100/Q18,0)</f>
        <v>8.4533323370020899</v>
      </c>
      <c r="U18" s="664">
        <f t="shared" ref="U18:U26" ca="1" si="3">IF(R18&gt;0,S18*100/R18,0)</f>
        <v>8.4533329389491456</v>
      </c>
    </row>
    <row r="19" spans="1:21" ht="18.75" hidden="1" x14ac:dyDescent="0.25">
      <c r="A19" s="26"/>
      <c r="B19" s="27"/>
      <c r="C19" s="27"/>
      <c r="D19" s="27"/>
      <c r="E19" s="703" t="s">
        <v>20</v>
      </c>
      <c r="F19" s="27"/>
      <c r="G19" s="30"/>
      <c r="H19" s="702" t="s">
        <v>14</v>
      </c>
      <c r="I19" s="32"/>
      <c r="J19" s="32"/>
      <c r="K19" s="33"/>
      <c r="L19" s="701">
        <f t="shared" ref="L19:N20" si="4">L22+L25</f>
        <v>0</v>
      </c>
      <c r="M19" s="700">
        <f t="shared" si="4"/>
        <v>0</v>
      </c>
      <c r="N19" s="700">
        <f t="shared" si="4"/>
        <v>0</v>
      </c>
      <c r="O19" s="700">
        <f t="shared" si="0"/>
        <v>0</v>
      </c>
      <c r="P19" s="700">
        <f t="shared" si="1"/>
        <v>0</v>
      </c>
      <c r="Q19" s="700">
        <f t="shared" ref="Q19:S20" si="5">Q22+Q25</f>
        <v>0</v>
      </c>
      <c r="R19" s="700">
        <f t="shared" si="5"/>
        <v>0</v>
      </c>
      <c r="S19" s="700">
        <f t="shared" si="5"/>
        <v>0</v>
      </c>
      <c r="T19" s="700">
        <f t="shared" si="2"/>
        <v>0</v>
      </c>
      <c r="U19" s="700">
        <f t="shared" si="3"/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699">
        <f t="shared" ca="1" si="4"/>
        <v>2543135</v>
      </c>
      <c r="M20" s="698">
        <f t="shared" ca="1" si="4"/>
        <v>2754194</v>
      </c>
      <c r="N20" s="698">
        <f t="shared" ca="1" si="4"/>
        <v>1832162.8299999998</v>
      </c>
      <c r="O20" s="698">
        <f t="shared" ca="1" si="0"/>
        <v>72.043475080953215</v>
      </c>
      <c r="P20" s="698">
        <f t="shared" ca="1" si="1"/>
        <v>66.522649820600861</v>
      </c>
      <c r="Q20" s="698">
        <f t="shared" ca="1" si="5"/>
        <v>5476893.3900000006</v>
      </c>
      <c r="R20" s="698">
        <f t="shared" ca="1" si="5"/>
        <v>5476893</v>
      </c>
      <c r="S20" s="698">
        <f t="shared" ca="1" si="5"/>
        <v>462980</v>
      </c>
      <c r="T20" s="698">
        <f t="shared" ca="1" si="2"/>
        <v>8.4533323370020899</v>
      </c>
      <c r="U20" s="698">
        <f t="shared" ca="1" si="3"/>
        <v>8.4533329389491456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468">
        <f ca="1">L22+L23</f>
        <v>2543135</v>
      </c>
      <c r="M21" s="224">
        <f ca="1">M22+M23</f>
        <v>2754194</v>
      </c>
      <c r="N21" s="224">
        <f ca="1">N22+N23</f>
        <v>1832162.8299999998</v>
      </c>
      <c r="O21" s="224">
        <f t="shared" ca="1" si="0"/>
        <v>72.043475080953215</v>
      </c>
      <c r="P21" s="224">
        <f t="shared" ca="1" si="1"/>
        <v>66.522649820600861</v>
      </c>
      <c r="Q21" s="224">
        <f ca="1">Q22+Q23</f>
        <v>5476893.3900000006</v>
      </c>
      <c r="R21" s="224">
        <f ca="1">R22+R23</f>
        <v>5476893</v>
      </c>
      <c r="S21" s="224">
        <f ca="1">S22+S23</f>
        <v>462980</v>
      </c>
      <c r="T21" s="224">
        <f t="shared" ca="1" si="2"/>
        <v>8.4533323370020899</v>
      </c>
      <c r="U21" s="224">
        <f t="shared" ca="1" si="3"/>
        <v>8.4533329389491456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674" t="s">
        <v>14</v>
      </c>
      <c r="I22" s="44"/>
      <c r="J22" s="44"/>
      <c r="K22" s="45"/>
      <c r="L22" s="469">
        <f t="shared" ref="L22:N23" si="6">L48+L63+L76+L98+L129+L143+L161+L190+L177+L270+L286+L307+L324+L337+L360+L517</f>
        <v>0</v>
      </c>
      <c r="M22" s="83">
        <f t="shared" si="6"/>
        <v>0</v>
      </c>
      <c r="N22" s="83">
        <f t="shared" si="6"/>
        <v>0</v>
      </c>
      <c r="O22" s="83">
        <f t="shared" si="0"/>
        <v>0</v>
      </c>
      <c r="P22" s="83">
        <f t="shared" si="1"/>
        <v>0</v>
      </c>
      <c r="Q22" s="83">
        <f t="shared" ref="Q22:S23" si="7">Q76+Q98+Q121+Q143+Q161+Q177+Q190+Q270+Q286+Q307+Q337+Q379+Q396+Q417+Q497+Q603+Q620+Q646+Q694+Q718+Q732+Q764</f>
        <v>0</v>
      </c>
      <c r="R22" s="83">
        <f t="shared" si="7"/>
        <v>0</v>
      </c>
      <c r="S22" s="83">
        <f t="shared" si="7"/>
        <v>0</v>
      </c>
      <c r="T22" s="83">
        <f t="shared" si="2"/>
        <v>0</v>
      </c>
      <c r="U22" s="83">
        <f t="shared" si="3"/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468">
        <f t="shared" ca="1" si="6"/>
        <v>2543135</v>
      </c>
      <c r="M23" s="224">
        <f t="shared" ca="1" si="6"/>
        <v>2754194</v>
      </c>
      <c r="N23" s="224">
        <f t="shared" ca="1" si="6"/>
        <v>1832162.8299999998</v>
      </c>
      <c r="O23" s="224">
        <f t="shared" ca="1" si="0"/>
        <v>72.043475080953215</v>
      </c>
      <c r="P23" s="224">
        <f t="shared" ca="1" si="1"/>
        <v>66.522649820600861</v>
      </c>
      <c r="Q23" s="224">
        <f t="shared" ca="1" si="7"/>
        <v>5476893.3900000006</v>
      </c>
      <c r="R23" s="224">
        <f t="shared" ca="1" si="7"/>
        <v>5476893</v>
      </c>
      <c r="S23" s="224">
        <f t="shared" ca="1" si="7"/>
        <v>462980</v>
      </c>
      <c r="T23" s="224">
        <f t="shared" ca="1" si="2"/>
        <v>8.4533323370020899</v>
      </c>
      <c r="U23" s="224">
        <f t="shared" ca="1" si="3"/>
        <v>8.4533329389491456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468">
        <f ca="1">L25+L26</f>
        <v>0</v>
      </c>
      <c r="M24" s="224">
        <f ca="1">M25+M26</f>
        <v>0</v>
      </c>
      <c r="N24" s="224">
        <f ca="1">N25+N26</f>
        <v>0</v>
      </c>
      <c r="O24" s="224">
        <f t="shared" ca="1" si="0"/>
        <v>0</v>
      </c>
      <c r="P24" s="224">
        <f t="shared" ca="1" si="1"/>
        <v>0</v>
      </c>
      <c r="Q24" s="224">
        <f>Q25+Q26</f>
        <v>0</v>
      </c>
      <c r="R24" s="224">
        <f>R25+R26</f>
        <v>0</v>
      </c>
      <c r="S24" s="224">
        <f>S25+S26</f>
        <v>0</v>
      </c>
      <c r="T24" s="224">
        <f t="shared" si="2"/>
        <v>0</v>
      </c>
      <c r="U24" s="224">
        <f t="shared" si="3"/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674" t="s">
        <v>14</v>
      </c>
      <c r="I25" s="44"/>
      <c r="J25" s="44"/>
      <c r="K25" s="45"/>
      <c r="L25" s="469">
        <f t="shared" ref="L25:N26" si="8">L51+L66+L79+L101+L132+L146+L164+L193+L180+L273+L289+L310+L327+L340+L363+L520</f>
        <v>0</v>
      </c>
      <c r="M25" s="83">
        <f t="shared" si="8"/>
        <v>0</v>
      </c>
      <c r="N25" s="83">
        <f t="shared" si="8"/>
        <v>0</v>
      </c>
      <c r="O25" s="83">
        <f t="shared" si="0"/>
        <v>0</v>
      </c>
      <c r="P25" s="83">
        <f t="shared" si="1"/>
        <v>0</v>
      </c>
      <c r="Q25" s="83">
        <f t="shared" ref="Q25:S26" si="9">Q79+Q101+Q124+Q146+Q164+Q180+Q193+Q273+Q289+Q310+Q340+Q382+Q399+Q420+Q500+Q606+Q623+Q649+Q697+Q721+Q735+Q767</f>
        <v>0</v>
      </c>
      <c r="R25" s="83">
        <f t="shared" si="9"/>
        <v>0</v>
      </c>
      <c r="S25" s="83">
        <f t="shared" si="9"/>
        <v>0</v>
      </c>
      <c r="T25" s="83">
        <f t="shared" si="2"/>
        <v>0</v>
      </c>
      <c r="U25" s="83">
        <f t="shared" si="3"/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468">
        <f t="shared" ca="1" si="8"/>
        <v>0</v>
      </c>
      <c r="M26" s="224">
        <f t="shared" ca="1" si="8"/>
        <v>0</v>
      </c>
      <c r="N26" s="224">
        <f t="shared" ca="1" si="8"/>
        <v>0</v>
      </c>
      <c r="O26" s="224">
        <f t="shared" ca="1" si="0"/>
        <v>0</v>
      </c>
      <c r="P26" s="224">
        <f t="shared" ca="1" si="1"/>
        <v>0</v>
      </c>
      <c r="Q26" s="83">
        <f t="shared" si="9"/>
        <v>0</v>
      </c>
      <c r="R26" s="83">
        <f t="shared" si="9"/>
        <v>0</v>
      </c>
      <c r="S26" s="83">
        <f t="shared" si="9"/>
        <v>0</v>
      </c>
      <c r="T26" s="224">
        <f t="shared" si="2"/>
        <v>0</v>
      </c>
      <c r="U26" s="224">
        <f t="shared" si="3"/>
        <v>0</v>
      </c>
    </row>
    <row r="27" spans="1:21" ht="18.75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465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674" t="s">
        <v>14</v>
      </c>
      <c r="I28" s="44"/>
      <c r="J28" s="44"/>
      <c r="K28" s="45"/>
      <c r="L28" s="465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463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823"/>
      <c r="B30" s="800"/>
      <c r="C30" s="800"/>
      <c r="D30" s="800"/>
      <c r="E30" s="800"/>
      <c r="F30" s="800"/>
      <c r="G30" s="801"/>
      <c r="H30" s="14"/>
      <c r="I30" s="15"/>
      <c r="J30" s="15"/>
      <c r="K30" s="16"/>
      <c r="L30" s="580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571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7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71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7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7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7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7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71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580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697">
        <f ca="1">L44+L59+L72+L94+L125+L139+L157+L173+L186+L266+L282+L303+L320+L333+L356</f>
        <v>2543135</v>
      </c>
      <c r="M40" s="696">
        <f ca="1">M44+M59+M72+M94+M125+M139+M157+M173+M186+M266+M282+M303+M320+M333+M356</f>
        <v>2754194</v>
      </c>
      <c r="N40" s="696">
        <f ca="1">N44+N59+N72+N94+N125+N139+N157+N173+N186+N266+N282+N303+N320+N333+N356</f>
        <v>1832162.8299999998</v>
      </c>
      <c r="O40" s="696">
        <f ca="1">IF(L40&gt;0,N40*100/L40,0)</f>
        <v>72.043475080953215</v>
      </c>
      <c r="P40" s="696">
        <f ca="1">IF(M40&gt;0,N40*100/M40,0)</f>
        <v>66.522649820600861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695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571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694" t="s">
        <v>19</v>
      </c>
      <c r="E44" s="71"/>
      <c r="F44" s="71"/>
      <c r="G44" s="74"/>
      <c r="H44" s="75" t="s">
        <v>14</v>
      </c>
      <c r="I44" s="76"/>
      <c r="J44" s="76"/>
      <c r="K44" s="77"/>
      <c r="L44" s="693">
        <f ca="1">L45+L46</f>
        <v>395350</v>
      </c>
      <c r="M44" s="692">
        <f ca="1">M45+M46</f>
        <v>399524</v>
      </c>
      <c r="N44" s="692">
        <f ca="1">N45+N46</f>
        <v>395748</v>
      </c>
      <c r="O44" s="692">
        <f t="shared" ref="O44:O52" ca="1" si="10">IF(L44&gt;0,N44*100/L44,0)</f>
        <v>100.10067029214621</v>
      </c>
      <c r="P44" s="692">
        <f t="shared" ref="P44:P52" ca="1" si="11">IF(M44&gt;0,N44*100/M44,0)</f>
        <v>99.054875301608917</v>
      </c>
      <c r="Q44" s="692">
        <f>Q45+Q46</f>
        <v>0</v>
      </c>
      <c r="R44" s="692">
        <f>R45+R46</f>
        <v>0</v>
      </c>
      <c r="S44" s="692">
        <f>S45+S46</f>
        <v>0</v>
      </c>
      <c r="T44" s="692">
        <f t="shared" ref="T44:T52" si="12">IF(Q44&gt;0,S44*100/Q44,0)</f>
        <v>0</v>
      </c>
      <c r="U44" s="692">
        <f t="shared" ref="U44:U52" si="13">IF(R44&gt;0,S44*100/R44,0)</f>
        <v>0</v>
      </c>
    </row>
    <row r="45" spans="1:21" ht="18.75" hidden="1" x14ac:dyDescent="0.25">
      <c r="A45" s="70"/>
      <c r="B45" s="71"/>
      <c r="C45" s="71"/>
      <c r="D45" s="71"/>
      <c r="E45" s="691" t="s">
        <v>20</v>
      </c>
      <c r="F45" s="71"/>
      <c r="G45" s="74"/>
      <c r="H45" s="690" t="s">
        <v>14</v>
      </c>
      <c r="I45" s="76"/>
      <c r="J45" s="76"/>
      <c r="K45" s="77"/>
      <c r="L45" s="689">
        <f t="shared" ref="L45:N46" si="14">L48+L51</f>
        <v>0</v>
      </c>
      <c r="M45" s="688">
        <f t="shared" si="14"/>
        <v>0</v>
      </c>
      <c r="N45" s="688">
        <f t="shared" si="14"/>
        <v>0</v>
      </c>
      <c r="O45" s="688">
        <f t="shared" si="10"/>
        <v>0</v>
      </c>
      <c r="P45" s="688">
        <f t="shared" si="11"/>
        <v>0</v>
      </c>
      <c r="Q45" s="688">
        <f t="shared" ref="Q45:S46" si="15">Q48+Q51</f>
        <v>0</v>
      </c>
      <c r="R45" s="688">
        <f t="shared" si="15"/>
        <v>0</v>
      </c>
      <c r="S45" s="688">
        <f t="shared" si="15"/>
        <v>0</v>
      </c>
      <c r="T45" s="688">
        <f t="shared" si="12"/>
        <v>0</v>
      </c>
      <c r="U45" s="688">
        <f t="shared" si="13"/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687">
        <f t="shared" ca="1" si="14"/>
        <v>395350</v>
      </c>
      <c r="M46" s="686">
        <f t="shared" ca="1" si="14"/>
        <v>399524</v>
      </c>
      <c r="N46" s="686">
        <f t="shared" ca="1" si="14"/>
        <v>395748</v>
      </c>
      <c r="O46" s="686">
        <f t="shared" ca="1" si="10"/>
        <v>100.10067029214621</v>
      </c>
      <c r="P46" s="686">
        <f t="shared" ca="1" si="11"/>
        <v>99.054875301608917</v>
      </c>
      <c r="Q46" s="686">
        <f t="shared" si="15"/>
        <v>0</v>
      </c>
      <c r="R46" s="686">
        <f t="shared" si="15"/>
        <v>0</v>
      </c>
      <c r="S46" s="686">
        <f t="shared" si="15"/>
        <v>0</v>
      </c>
      <c r="T46" s="686">
        <f t="shared" si="12"/>
        <v>0</v>
      </c>
      <c r="U46" s="686">
        <f t="shared" si="13"/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468">
        <f ca="1">L48+L49</f>
        <v>395350</v>
      </c>
      <c r="M47" s="224">
        <f ca="1">M48+M49</f>
        <v>399524</v>
      </c>
      <c r="N47" s="224">
        <f ca="1">N48+N49</f>
        <v>395748</v>
      </c>
      <c r="O47" s="224">
        <f t="shared" ca="1" si="10"/>
        <v>100.10067029214621</v>
      </c>
      <c r="P47" s="224">
        <f t="shared" ca="1" si="11"/>
        <v>99.054875301608917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 t="shared" si="12"/>
        <v>0</v>
      </c>
      <c r="U47" s="224">
        <f t="shared" si="13"/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674" t="s">
        <v>14</v>
      </c>
      <c r="I48" s="44"/>
      <c r="J48" s="44"/>
      <c r="K48" s="45"/>
      <c r="L48" s="469">
        <v>0</v>
      </c>
      <c r="M48" s="83">
        <v>0</v>
      </c>
      <c r="N48" s="83">
        <v>0</v>
      </c>
      <c r="O48" s="83">
        <f t="shared" si="10"/>
        <v>0</v>
      </c>
      <c r="P48" s="83">
        <f t="shared" si="11"/>
        <v>0</v>
      </c>
      <c r="Q48" s="83">
        <v>0</v>
      </c>
      <c r="R48" s="83">
        <v>0</v>
      </c>
      <c r="S48" s="83">
        <v>0</v>
      </c>
      <c r="T48" s="83">
        <f t="shared" si="12"/>
        <v>0</v>
      </c>
      <c r="U48" s="83">
        <f t="shared" si="13"/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468">
        <f ca="1">IFERROR(__xludf.DUMMYFUNCTION("IMPORTRANGE(""https://docs.google.com/spreadsheets/d/1-uDff_7J0KD5mKrp0Vvzr7lt3OU09vwQwhkpOPPYv2Y/edit?usp=sharing"",""งบพรบ!P19"")"),395350)</f>
        <v>395350</v>
      </c>
      <c r="M49" s="224">
        <f ca="1">IFERROR(__xludf.DUMMYFUNCTION("IMPORTRANGE(""https://docs.google.com/spreadsheets/d/1-uDff_7J0KD5mKrp0Vvzr7lt3OU09vwQwhkpOPPYv2Y/edit?usp=sharing"",""งบพรบ!V19"")"),399524)</f>
        <v>399524</v>
      </c>
      <c r="N49" s="224">
        <f ca="1">IFERROR(__xludf.DUMMYFUNCTION("IMPORTRANGE(""https://docs.google.com/spreadsheets/d/1-uDff_7J0KD5mKrp0Vvzr7lt3OU09vwQwhkpOPPYv2Y/edit?usp=sharing"",""งบพรบ!Y19"")"),395748)</f>
        <v>395748</v>
      </c>
      <c r="O49" s="224">
        <f t="shared" ca="1" si="10"/>
        <v>100.10067029214621</v>
      </c>
      <c r="P49" s="224">
        <f t="shared" ca="1" si="11"/>
        <v>99.054875301608917</v>
      </c>
      <c r="Q49" s="224">
        <v>0</v>
      </c>
      <c r="R49" s="224">
        <v>0</v>
      </c>
      <c r="S49" s="224">
        <v>0</v>
      </c>
      <c r="T49" s="224">
        <f t="shared" si="12"/>
        <v>0</v>
      </c>
      <c r="U49" s="224">
        <f t="shared" si="13"/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468">
        <f ca="1">L51+L52</f>
        <v>0</v>
      </c>
      <c r="M50" s="224">
        <f ca="1">M51+M52</f>
        <v>0</v>
      </c>
      <c r="N50" s="224">
        <f ca="1">N51+N52</f>
        <v>0</v>
      </c>
      <c r="O50" s="224">
        <f t="shared" ca="1" si="10"/>
        <v>0</v>
      </c>
      <c r="P50" s="224">
        <f t="shared" ca="1" si="11"/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 t="shared" si="12"/>
        <v>0</v>
      </c>
      <c r="U50" s="224">
        <f t="shared" si="13"/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674" t="s">
        <v>14</v>
      </c>
      <c r="I51" s="44"/>
      <c r="J51" s="44"/>
      <c r="K51" s="45"/>
      <c r="L51" s="469">
        <v>0</v>
      </c>
      <c r="M51" s="83">
        <v>0</v>
      </c>
      <c r="N51" s="83">
        <v>0</v>
      </c>
      <c r="O51" s="83">
        <f t="shared" si="10"/>
        <v>0</v>
      </c>
      <c r="P51" s="83">
        <f t="shared" si="11"/>
        <v>0</v>
      </c>
      <c r="Q51" s="83">
        <v>0</v>
      </c>
      <c r="R51" s="83">
        <v>0</v>
      </c>
      <c r="S51" s="83">
        <v>0</v>
      </c>
      <c r="T51" s="83">
        <f t="shared" si="12"/>
        <v>0</v>
      </c>
      <c r="U51" s="83">
        <f t="shared" si="13"/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468">
        <f ca="1">IFERROR(__xludf.DUMMYFUNCTION("IMPORTRANGE(""https://docs.google.com/spreadsheets/d/1-uDff_7J0KD5mKrp0Vvzr7lt3OU09vwQwhkpOPPYv2Y/edit?usp=sharing"",""งบพรบ!S19"")"),0)</f>
        <v>0</v>
      </c>
      <c r="M52" s="224">
        <f ca="1">IFERROR(__xludf.DUMMYFUNCTION("IMPORTRANGE(""https://docs.google.com/spreadsheets/d/1-uDff_7J0KD5mKrp0Vvzr7lt3OU09vwQwhkpOPPYv2Y/edit?usp=sharing"",""งบพรบ!W19"")"),0)</f>
        <v>0</v>
      </c>
      <c r="N52" s="224">
        <f ca="1">IFERROR(__xludf.DUMMYFUNCTION("IMPORTRANGE(""https://docs.google.com/spreadsheets/d/1-uDff_7J0KD5mKrp0Vvzr7lt3OU09vwQwhkpOPPYv2Y/edit?usp=sharing"",""งบพรบ!Z19"")"),0)</f>
        <v>0</v>
      </c>
      <c r="O52" s="224">
        <f t="shared" ca="1" si="10"/>
        <v>0</v>
      </c>
      <c r="P52" s="224">
        <f t="shared" ca="1" si="11"/>
        <v>0</v>
      </c>
      <c r="Q52" s="224">
        <v>0</v>
      </c>
      <c r="R52" s="224">
        <v>0</v>
      </c>
      <c r="S52" s="224">
        <v>0</v>
      </c>
      <c r="T52" s="224">
        <f t="shared" si="12"/>
        <v>0</v>
      </c>
      <c r="U52" s="224">
        <f t="shared" si="13"/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465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674" t="s">
        <v>14</v>
      </c>
      <c r="I54" s="44"/>
      <c r="J54" s="44"/>
      <c r="K54" s="45"/>
      <c r="L54" s="465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463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804" t="s">
        <v>28</v>
      </c>
      <c r="B56" s="800"/>
      <c r="C56" s="800"/>
      <c r="D56" s="800"/>
      <c r="E56" s="800"/>
      <c r="F56" s="800"/>
      <c r="G56" s="80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805" t="s">
        <v>29</v>
      </c>
      <c r="C57" s="793"/>
      <c r="D57" s="793"/>
      <c r="E57" s="793"/>
      <c r="F57" s="793"/>
      <c r="G57" s="794"/>
      <c r="H57" s="89"/>
      <c r="I57" s="90"/>
      <c r="J57" s="90"/>
      <c r="K57" s="91"/>
      <c r="L57" s="68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8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8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82">
        <f ca="1">L60+L61</f>
        <v>503200</v>
      </c>
      <c r="M59" s="681">
        <f ca="1">M60+M61</f>
        <v>503200</v>
      </c>
      <c r="N59" s="681">
        <f ca="1">N60+N61</f>
        <v>375707.93</v>
      </c>
      <c r="O59" s="681">
        <f t="shared" ref="O59:O67" ca="1" si="16">IF(L59&gt;0,N59*100/L59,0)</f>
        <v>74.663738076311603</v>
      </c>
      <c r="P59" s="681">
        <f t="shared" ref="P59:P67" ca="1" si="17">IF(M59&gt;0,N59*100/M59,0)</f>
        <v>74.663738076311603</v>
      </c>
      <c r="Q59" s="681">
        <f>Q60+Q61</f>
        <v>0</v>
      </c>
      <c r="R59" s="681">
        <f>R60+R61</f>
        <v>0</v>
      </c>
      <c r="S59" s="681">
        <f>S60+S61</f>
        <v>0</v>
      </c>
      <c r="T59" s="681">
        <f t="shared" ref="T59:T67" si="18">IF(Q59&gt;0,S59*100/Q59,0)</f>
        <v>0</v>
      </c>
      <c r="U59" s="681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80" t="s">
        <v>20</v>
      </c>
      <c r="F60" s="99"/>
      <c r="G60" s="102"/>
      <c r="H60" s="679" t="s">
        <v>14</v>
      </c>
      <c r="I60" s="104"/>
      <c r="J60" s="104"/>
      <c r="K60" s="105"/>
      <c r="L60" s="678">
        <f t="shared" ref="L60:N61" si="20">L63+L66</f>
        <v>0</v>
      </c>
      <c r="M60" s="677">
        <f t="shared" si="20"/>
        <v>0</v>
      </c>
      <c r="N60" s="677">
        <f t="shared" si="20"/>
        <v>0</v>
      </c>
      <c r="O60" s="677">
        <f t="shared" si="16"/>
        <v>0</v>
      </c>
      <c r="P60" s="677">
        <f t="shared" si="17"/>
        <v>0</v>
      </c>
      <c r="Q60" s="677">
        <f t="shared" ref="Q60:S61" si="21">Q63+Q66</f>
        <v>0</v>
      </c>
      <c r="R60" s="677">
        <f t="shared" si="21"/>
        <v>0</v>
      </c>
      <c r="S60" s="677">
        <f t="shared" si="21"/>
        <v>0</v>
      </c>
      <c r="T60" s="677">
        <f t="shared" si="18"/>
        <v>0</v>
      </c>
      <c r="U60" s="677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76">
        <f t="shared" ca="1" si="20"/>
        <v>503200</v>
      </c>
      <c r="M61" s="675">
        <f t="shared" ca="1" si="20"/>
        <v>503200</v>
      </c>
      <c r="N61" s="675">
        <f t="shared" ca="1" si="20"/>
        <v>375707.93</v>
      </c>
      <c r="O61" s="675">
        <f t="shared" ca="1" si="16"/>
        <v>74.663738076311603</v>
      </c>
      <c r="P61" s="675">
        <f t="shared" ca="1" si="17"/>
        <v>74.663738076311603</v>
      </c>
      <c r="Q61" s="675">
        <f t="shared" si="21"/>
        <v>0</v>
      </c>
      <c r="R61" s="675">
        <f t="shared" si="21"/>
        <v>0</v>
      </c>
      <c r="S61" s="675">
        <f t="shared" si="21"/>
        <v>0</v>
      </c>
      <c r="T61" s="675">
        <f t="shared" si="18"/>
        <v>0</v>
      </c>
      <c r="U61" s="675">
        <f t="shared" si="19"/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468">
        <f ca="1">L63+L64</f>
        <v>503200</v>
      </c>
      <c r="M62" s="224">
        <f ca="1">M63+M64</f>
        <v>503200</v>
      </c>
      <c r="N62" s="224">
        <f ca="1">N63+N64</f>
        <v>375707.93</v>
      </c>
      <c r="O62" s="224">
        <f t="shared" ca="1" si="16"/>
        <v>74.663738076311603</v>
      </c>
      <c r="P62" s="224">
        <f t="shared" ca="1" si="17"/>
        <v>74.663738076311603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 t="shared" si="18"/>
        <v>0</v>
      </c>
      <c r="U62" s="224">
        <f t="shared" si="19"/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674" t="s">
        <v>14</v>
      </c>
      <c r="I63" s="44"/>
      <c r="J63" s="44"/>
      <c r="K63" s="45"/>
      <c r="L63" s="469">
        <v>0</v>
      </c>
      <c r="M63" s="83">
        <v>0</v>
      </c>
      <c r="N63" s="83">
        <v>0</v>
      </c>
      <c r="O63" s="83">
        <f t="shared" si="16"/>
        <v>0</v>
      </c>
      <c r="P63" s="83">
        <f t="shared" si="17"/>
        <v>0</v>
      </c>
      <c r="Q63" s="83">
        <v>0</v>
      </c>
      <c r="R63" s="83">
        <v>0</v>
      </c>
      <c r="S63" s="83">
        <v>0</v>
      </c>
      <c r="T63" s="83">
        <f t="shared" si="18"/>
        <v>0</v>
      </c>
      <c r="U63" s="83">
        <f t="shared" si="19"/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468">
        <f ca="1">IFERROR(__xludf.DUMMYFUNCTION("IMPORTRANGE(""https://docs.google.com/spreadsheets/d/1-uDff_7J0KD5mKrp0Vvzr7lt3OU09vwQwhkpOPPYv2Y/edit?usp=sharing"",""งบพรบ!AC19"")"),503200)</f>
        <v>503200</v>
      </c>
      <c r="M64" s="224">
        <f ca="1">IFERROR(__xludf.DUMMYFUNCTION("IMPORTRANGE(""https://docs.google.com/spreadsheets/d/1-uDff_7J0KD5mKrp0Vvzr7lt3OU09vwQwhkpOPPYv2Y/edit?usp=sharing"",""งบพรบ!AH19"")"),503200)</f>
        <v>503200</v>
      </c>
      <c r="N64" s="224">
        <f ca="1">IFERROR(__xludf.DUMMYFUNCTION("IMPORTRANGE(""https://docs.google.com/spreadsheets/d/1-uDff_7J0KD5mKrp0Vvzr7lt3OU09vwQwhkpOPPYv2Y/edit?usp=sharing"",""งบพรบ!AJ19"")"),375707.93)</f>
        <v>375707.93</v>
      </c>
      <c r="O64" s="224">
        <f t="shared" ca="1" si="16"/>
        <v>74.663738076311603</v>
      </c>
      <c r="P64" s="224">
        <f t="shared" ca="1" si="17"/>
        <v>74.663738076311603</v>
      </c>
      <c r="Q64" s="224">
        <v>0</v>
      </c>
      <c r="R64" s="224">
        <v>0</v>
      </c>
      <c r="S64" s="224">
        <v>0</v>
      </c>
      <c r="T64" s="224">
        <f t="shared" si="18"/>
        <v>0</v>
      </c>
      <c r="U64" s="224">
        <f t="shared" si="19"/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468">
        <f ca="1">L66+L67</f>
        <v>0</v>
      </c>
      <c r="M65" s="224">
        <f ca="1">M66+M67</f>
        <v>0</v>
      </c>
      <c r="N65" s="224">
        <f ca="1">N66+N67</f>
        <v>0</v>
      </c>
      <c r="O65" s="224">
        <f t="shared" ca="1" si="16"/>
        <v>0</v>
      </c>
      <c r="P65" s="224">
        <f t="shared" ca="1" si="17"/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 t="shared" si="18"/>
        <v>0</v>
      </c>
      <c r="U65" s="224">
        <f t="shared" si="19"/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674" t="s">
        <v>14</v>
      </c>
      <c r="I66" s="44"/>
      <c r="J66" s="44"/>
      <c r="K66" s="45"/>
      <c r="L66" s="469">
        <v>0</v>
      </c>
      <c r="M66" s="83">
        <v>0</v>
      </c>
      <c r="N66" s="83">
        <v>0</v>
      </c>
      <c r="O66" s="83">
        <f t="shared" si="16"/>
        <v>0</v>
      </c>
      <c r="P66" s="83">
        <f t="shared" si="17"/>
        <v>0</v>
      </c>
      <c r="Q66" s="83">
        <v>0</v>
      </c>
      <c r="R66" s="83">
        <v>0</v>
      </c>
      <c r="S66" s="83">
        <v>0</v>
      </c>
      <c r="T66" s="83">
        <f t="shared" si="18"/>
        <v>0</v>
      </c>
      <c r="U66" s="83">
        <f t="shared" si="19"/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673">
        <f ca="1">IFERROR(__xludf.DUMMYFUNCTION("IMPORTRANGE(""https://docs.google.com/spreadsheets/d/1-uDff_7J0KD5mKrp0Vvzr7lt3OU09vwQwhkpOPPYv2Y/edit?usp=sharing"",""งบพรบ!AF19"")"),0)</f>
        <v>0</v>
      </c>
      <c r="M67" s="455">
        <f ca="1">IFERROR(__xludf.DUMMYFUNCTION("IMPORTRANGE(""https://docs.google.com/spreadsheets/d/1-uDff_7J0KD5mKrp0Vvzr7lt3OU09vwQwhkpOPPYv2Y/edit?usp=sharing"",""งบพรบ!AI19"")"),0)</f>
        <v>0</v>
      </c>
      <c r="N67" s="455">
        <f ca="1">IFERROR(__xludf.DUMMYFUNCTION("IMPORTRANGE(""https://docs.google.com/spreadsheets/d/1-uDff_7J0KD5mKrp0Vvzr7lt3OU09vwQwhkpOPPYv2Y/edit?usp=sharing"",""งบพรบ!AK19"")"),0)</f>
        <v>0</v>
      </c>
      <c r="O67" s="455">
        <f t="shared" ca="1" si="16"/>
        <v>0</v>
      </c>
      <c r="P67" s="455">
        <f t="shared" ca="1" si="17"/>
        <v>0</v>
      </c>
      <c r="Q67" s="455">
        <v>0</v>
      </c>
      <c r="R67" s="455">
        <v>0</v>
      </c>
      <c r="S67" s="455">
        <v>0</v>
      </c>
      <c r="T67" s="455">
        <f t="shared" si="18"/>
        <v>0</v>
      </c>
      <c r="U67" s="455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7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665">
        <f ca="1">I82</f>
        <v>1</v>
      </c>
      <c r="J70" s="665">
        <f>J82</f>
        <v>0</v>
      </c>
      <c r="K70" s="664">
        <f ca="1">IF(I70&gt;0,J70*100/I70,0)</f>
        <v>0</v>
      </c>
      <c r="L70" s="510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665">
        <f ca="1">I83</f>
        <v>40</v>
      </c>
      <c r="J71" s="665">
        <f>J83</f>
        <v>0</v>
      </c>
      <c r="K71" s="664">
        <f ca="1">IF(I71&gt;0,J71*100/I71,0)</f>
        <v>0</v>
      </c>
      <c r="L71" s="510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129" t="s">
        <v>18</v>
      </c>
      <c r="D72" s="472" t="s">
        <v>19</v>
      </c>
      <c r="E72" s="40"/>
      <c r="F72" s="40"/>
      <c r="G72" s="42"/>
      <c r="H72" s="131" t="s">
        <v>14</v>
      </c>
      <c r="I72" s="44"/>
      <c r="J72" s="44"/>
      <c r="K72" s="45"/>
      <c r="L72" s="471">
        <f ca="1">L73+L74</f>
        <v>90000</v>
      </c>
      <c r="M72" s="470">
        <f ca="1">M73+M74</f>
        <v>90000</v>
      </c>
      <c r="N72" s="470">
        <f ca="1">N73+N74</f>
        <v>26000</v>
      </c>
      <c r="O72" s="470">
        <f t="shared" ref="O72:O80" ca="1" si="22">IF(L72&gt;0,N72*100/L72,0)</f>
        <v>28.888888888888889</v>
      </c>
      <c r="P72" s="470">
        <f t="shared" ref="P72:P80" ca="1" si="23">IF(M72&gt;0,N72*100/M72,0)</f>
        <v>28.888888888888889</v>
      </c>
      <c r="Q72" s="470">
        <f ca="1">Q73+Q74</f>
        <v>447900</v>
      </c>
      <c r="R72" s="470">
        <f ca="1">R73+R74</f>
        <v>447900</v>
      </c>
      <c r="S72" s="470">
        <f ca="1">S73+S74</f>
        <v>6300</v>
      </c>
      <c r="T72" s="470">
        <f t="shared" ref="T72:T80" ca="1" si="24">IF(Q72&gt;0,S72*100/Q72,0)</f>
        <v>1.4065639651707971</v>
      </c>
      <c r="U72" s="470">
        <f t="shared" ref="U72:U80" ca="1" si="25">IF(R72&gt;0,S72*100/R72,0)</f>
        <v>1.4065639651707971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469">
        <f t="shared" ref="L73:N74" si="26">L76+L79</f>
        <v>0</v>
      </c>
      <c r="M73" s="83">
        <f t="shared" si="26"/>
        <v>0</v>
      </c>
      <c r="N73" s="83">
        <f t="shared" si="26"/>
        <v>0</v>
      </c>
      <c r="O73" s="83">
        <f t="shared" si="22"/>
        <v>0</v>
      </c>
      <c r="P73" s="83">
        <f t="shared" si="23"/>
        <v>0</v>
      </c>
      <c r="Q73" s="83">
        <f t="shared" ref="Q73:S74" si="27">Q76+Q79</f>
        <v>0</v>
      </c>
      <c r="R73" s="83">
        <f t="shared" si="27"/>
        <v>0</v>
      </c>
      <c r="S73" s="83">
        <f t="shared" si="27"/>
        <v>0</v>
      </c>
      <c r="T73" s="83">
        <f t="shared" si="24"/>
        <v>0</v>
      </c>
      <c r="U73" s="83">
        <f t="shared" si="25"/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468">
        <f t="shared" ca="1" si="26"/>
        <v>90000</v>
      </c>
      <c r="M74" s="224">
        <f t="shared" ca="1" si="26"/>
        <v>90000</v>
      </c>
      <c r="N74" s="224">
        <f t="shared" ca="1" si="26"/>
        <v>26000</v>
      </c>
      <c r="O74" s="224">
        <f t="shared" ca="1" si="22"/>
        <v>28.888888888888889</v>
      </c>
      <c r="P74" s="224">
        <f t="shared" ca="1" si="23"/>
        <v>28.888888888888889</v>
      </c>
      <c r="Q74" s="224">
        <f t="shared" ca="1" si="27"/>
        <v>447900</v>
      </c>
      <c r="R74" s="224">
        <f t="shared" ca="1" si="27"/>
        <v>447900</v>
      </c>
      <c r="S74" s="224">
        <f t="shared" ca="1" si="27"/>
        <v>6300</v>
      </c>
      <c r="T74" s="224">
        <f t="shared" ca="1" si="24"/>
        <v>1.4065639651707971</v>
      </c>
      <c r="U74" s="224">
        <f t="shared" ca="1" si="25"/>
        <v>1.4065639651707971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468">
        <f ca="1">L76+L77</f>
        <v>90000</v>
      </c>
      <c r="M75" s="224">
        <f ca="1">M76+M77</f>
        <v>90000</v>
      </c>
      <c r="N75" s="224">
        <f ca="1">N76+N77</f>
        <v>26000</v>
      </c>
      <c r="O75" s="224">
        <f t="shared" ca="1" si="22"/>
        <v>28.888888888888889</v>
      </c>
      <c r="P75" s="224">
        <f t="shared" ca="1" si="23"/>
        <v>28.888888888888889</v>
      </c>
      <c r="Q75" s="224">
        <f ca="1">Q76+Q77</f>
        <v>447900</v>
      </c>
      <c r="R75" s="224">
        <f ca="1">R76+R77</f>
        <v>447900</v>
      </c>
      <c r="S75" s="224">
        <f ca="1">S76+S77</f>
        <v>6300</v>
      </c>
      <c r="T75" s="224">
        <f t="shared" ca="1" si="24"/>
        <v>1.4065639651707971</v>
      </c>
      <c r="U75" s="224">
        <f t="shared" ca="1" si="25"/>
        <v>1.4065639651707971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469">
        <v>0</v>
      </c>
      <c r="M76" s="83">
        <v>0</v>
      </c>
      <c r="N76" s="83">
        <v>0</v>
      </c>
      <c r="O76" s="83">
        <f t="shared" si="22"/>
        <v>0</v>
      </c>
      <c r="P76" s="83">
        <f t="shared" si="23"/>
        <v>0</v>
      </c>
      <c r="Q76" s="83">
        <v>0</v>
      </c>
      <c r="R76" s="83">
        <v>0</v>
      </c>
      <c r="S76" s="83">
        <v>0</v>
      </c>
      <c r="T76" s="83">
        <f t="shared" si="24"/>
        <v>0</v>
      </c>
      <c r="U76" s="83">
        <f t="shared" si="25"/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468">
        <f ca="1">IFERROR(__xludf.DUMMYFUNCTION("IMPORTRANGE(""https://docs.google.com/spreadsheets/d/1-uDff_7J0KD5mKrp0Vvzr7lt3OU09vwQwhkpOPPYv2Y/edit?usp=sharing"",""งบพรบ!AM19"")"),90000)</f>
        <v>90000</v>
      </c>
      <c r="M77" s="224">
        <f ca="1">IFERROR(__xludf.DUMMYFUNCTION("IMPORTRANGE(""https://docs.google.com/spreadsheets/d/1-uDff_7J0KD5mKrp0Vvzr7lt3OU09vwQwhkpOPPYv2Y/edit?usp=sharing"",""งบพรบ!AR19"")"),90000)</f>
        <v>90000</v>
      </c>
      <c r="N77" s="224">
        <f ca="1">IFERROR(__xludf.DUMMYFUNCTION("IMPORTRANGE(""https://docs.google.com/spreadsheets/d/1-uDff_7J0KD5mKrp0Vvzr7lt3OU09vwQwhkpOPPYv2Y/edit?usp=sharing"",""งบพรบ!AT19"")"),26000)</f>
        <v>26000</v>
      </c>
      <c r="O77" s="224">
        <f t="shared" ca="1" si="22"/>
        <v>28.888888888888889</v>
      </c>
      <c r="P77" s="224">
        <f t="shared" ca="1" si="23"/>
        <v>28.888888888888889</v>
      </c>
      <c r="Q77" s="224">
        <f ca="1">IFERROR(__xludf.DUMMYFUNCTION("IMPORTRANGE(""https://docs.google.com/spreadsheets/d/1ItG2mGa2ceCfYo0BwxsXqNm01IGEUdYcSSLTEv9YCik/edit?usp=sharing"",""เบิกจ่ายกองทุน!AS19"")"),447900)</f>
        <v>447900</v>
      </c>
      <c r="R77" s="224">
        <f ca="1">IFERROR(__xludf.DUMMYFUNCTION("IMPORTRANGE(""https://docs.google.com/spreadsheets/d/1ItG2mGa2ceCfYo0BwxsXqNm01IGEUdYcSSLTEv9YCik/edit?usp=sharing"",""เบิกจ่ายกองทุน!AT19"")"),447900)</f>
        <v>447900</v>
      </c>
      <c r="S77" s="224">
        <f ca="1">IFERROR(__xludf.DUMMYFUNCTION("IMPORTRANGE(""https://docs.google.com/spreadsheets/d/1ItG2mGa2ceCfYo0BwxsXqNm01IGEUdYcSSLTEv9YCik/edit?usp=sharing"",""เบิกจ่ายกองทุน!AU19"")"),6300)</f>
        <v>6300</v>
      </c>
      <c r="T77" s="224">
        <f t="shared" ca="1" si="24"/>
        <v>1.4065639651707971</v>
      </c>
      <c r="U77" s="224">
        <f t="shared" ca="1" si="25"/>
        <v>1.4065639651707971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468">
        <f ca="1">L79+L80</f>
        <v>0</v>
      </c>
      <c r="M78" s="224">
        <f ca="1">M79+M80</f>
        <v>0</v>
      </c>
      <c r="N78" s="224">
        <f ca="1">N79+N80</f>
        <v>0</v>
      </c>
      <c r="O78" s="224">
        <f t="shared" ca="1" si="22"/>
        <v>0</v>
      </c>
      <c r="P78" s="224">
        <f t="shared" ca="1" si="23"/>
        <v>0</v>
      </c>
      <c r="Q78" s="224">
        <f>Q79+Q80</f>
        <v>0</v>
      </c>
      <c r="R78" s="224">
        <f>R79+R80</f>
        <v>0</v>
      </c>
      <c r="S78" s="224">
        <f>S79+S80</f>
        <v>0</v>
      </c>
      <c r="T78" s="224">
        <f t="shared" si="24"/>
        <v>0</v>
      </c>
      <c r="U78" s="224">
        <f t="shared" si="25"/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469">
        <v>0</v>
      </c>
      <c r="M79" s="224">
        <v>0</v>
      </c>
      <c r="N79" s="224">
        <v>0</v>
      </c>
      <c r="O79" s="83">
        <f t="shared" si="22"/>
        <v>0</v>
      </c>
      <c r="P79" s="83">
        <f t="shared" si="23"/>
        <v>0</v>
      </c>
      <c r="Q79" s="83">
        <v>0</v>
      </c>
      <c r="R79" s="224">
        <v>0</v>
      </c>
      <c r="S79" s="224">
        <v>0</v>
      </c>
      <c r="T79" s="83">
        <f t="shared" si="24"/>
        <v>0</v>
      </c>
      <c r="U79" s="83">
        <f t="shared" si="25"/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468">
        <f ca="1">IFERROR(__xludf.DUMMYFUNCTION("IMPORTRANGE(""https://docs.google.com/spreadsheets/d/1-uDff_7J0KD5mKrp0Vvzr7lt3OU09vwQwhkpOPPYv2Y/edit?usp=sharing"",""งบพรบ!AP19"")"),0)</f>
        <v>0</v>
      </c>
      <c r="M80" s="224">
        <f ca="1">IFERROR(__xludf.DUMMYFUNCTION("IMPORTRANGE(""https://docs.google.com/spreadsheets/d/1-uDff_7J0KD5mKrp0Vvzr7lt3OU09vwQwhkpOPPYv2Y/edit?usp=sharing"",""งบพรบ!AS19"")"),0)</f>
        <v>0</v>
      </c>
      <c r="N80" s="224">
        <f ca="1">IFERROR(__xludf.DUMMYFUNCTION("IMPORTRANGE(""https://docs.google.com/spreadsheets/d/1-uDff_7J0KD5mKrp0Vvzr7lt3OU09vwQwhkpOPPYv2Y/edit?usp=sharing"",""งบพรบ!AU19"")"),0)</f>
        <v>0</v>
      </c>
      <c r="O80" s="224">
        <f t="shared" ca="1" si="22"/>
        <v>0</v>
      </c>
      <c r="P80" s="224">
        <f t="shared" ca="1" si="23"/>
        <v>0</v>
      </c>
      <c r="Q80" s="224">
        <v>0</v>
      </c>
      <c r="R80" s="224">
        <v>0</v>
      </c>
      <c r="S80" s="224">
        <v>0</v>
      </c>
      <c r="T80" s="224">
        <f t="shared" si="24"/>
        <v>0</v>
      </c>
      <c r="U80" s="224">
        <f t="shared" si="25"/>
        <v>0</v>
      </c>
    </row>
    <row r="81" spans="1:21" ht="19.5" x14ac:dyDescent="0.3">
      <c r="A81" s="138"/>
      <c r="B81" s="139"/>
      <c r="C81" s="129" t="s">
        <v>18</v>
      </c>
      <c r="D81" s="498" t="s">
        <v>38</v>
      </c>
      <c r="E81" s="141"/>
      <c r="F81" s="141"/>
      <c r="G81" s="142"/>
      <c r="H81" s="143"/>
      <c r="I81" s="135"/>
      <c r="J81" s="135"/>
      <c r="K81" s="136"/>
      <c r="L81" s="4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ca="1">I84+I86+I88</f>
        <v>1</v>
      </c>
      <c r="J82" s="328">
        <f>J84+J86+J88</f>
        <v>0</v>
      </c>
      <c r="K82" s="582">
        <f t="shared" ref="K82:K90" ca="1" si="28">IF(I82&gt;0,J82*100/I82,0)</f>
        <v>0</v>
      </c>
      <c r="L82" s="4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ca="1">I85+I87+I89</f>
        <v>40</v>
      </c>
      <c r="J83" s="328">
        <f>J85+J87+J89</f>
        <v>0</v>
      </c>
      <c r="K83" s="582">
        <f t="shared" ca="1" si="28"/>
        <v>0</v>
      </c>
      <c r="L83" s="4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581">
        <f ca="1">IFERROR(__xludf.DUMMYFUNCTION("IMPORTRANGE(""https://docs.google.com/spreadsheets/d/1eHaY18a8A9IcSdp1K8H6x8fbOy06t2VsZHhMHf-1x7Y/edit?usp=sharing"",""แผน!H19"")"),0)</f>
        <v>0</v>
      </c>
      <c r="J84" s="466">
        <v>0</v>
      </c>
      <c r="K84" s="497">
        <f t="shared" ca="1" si="28"/>
        <v>0</v>
      </c>
      <c r="L84" s="4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581">
        <f ca="1">IFERROR(__xludf.DUMMYFUNCTION("IMPORTRANGE(""https://docs.google.com/spreadsheets/d/1eHaY18a8A9IcSdp1K8H6x8fbOy06t2VsZHhMHf-1x7Y/edit?usp=sharing"",""แผน!I19"")"),0)</f>
        <v>0</v>
      </c>
      <c r="J85" s="466">
        <v>0</v>
      </c>
      <c r="K85" s="497">
        <f t="shared" ca="1" si="28"/>
        <v>0</v>
      </c>
      <c r="L85" s="4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581">
        <f ca="1">IFERROR(__xludf.DUMMYFUNCTION("IMPORTRANGE(""https://docs.google.com/spreadsheets/d/1eHaY18a8A9IcSdp1K8H6x8fbOy06t2VsZHhMHf-1x7Y/edit?usp=sharing"",""แผน!F19"")"),1)</f>
        <v>1</v>
      </c>
      <c r="J86" s="466">
        <v>0</v>
      </c>
      <c r="K86" s="497">
        <f t="shared" ca="1" si="28"/>
        <v>0</v>
      </c>
      <c r="L86" s="4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581">
        <f ca="1">IFERROR(__xludf.DUMMYFUNCTION("IMPORTRANGE(""https://docs.google.com/spreadsheets/d/1eHaY18a8A9IcSdp1K8H6x8fbOy06t2VsZHhMHf-1x7Y/edit?usp=sharing"",""แผน!G19"")"),40)</f>
        <v>40</v>
      </c>
      <c r="J87" s="466">
        <v>0</v>
      </c>
      <c r="K87" s="497">
        <f t="shared" ca="1" si="28"/>
        <v>0</v>
      </c>
      <c r="L87" s="4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581">
        <f ca="1">IFERROR(__xludf.DUMMYFUNCTION("IMPORTRANGE(""https://docs.google.com/spreadsheets/d/1eHaY18a8A9IcSdp1K8H6x8fbOy06t2VsZHhMHf-1x7Y/edit?usp=sharing"",""แผน!D19"")"),0)</f>
        <v>0</v>
      </c>
      <c r="J88" s="466">
        <v>0</v>
      </c>
      <c r="K88" s="497">
        <f t="shared" ca="1" si="28"/>
        <v>0</v>
      </c>
      <c r="L88" s="4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581">
        <f ca="1">IFERROR(__xludf.DUMMYFUNCTION("IMPORTRANGE(""https://docs.google.com/spreadsheets/d/1eHaY18a8A9IcSdp1K8H6x8fbOy06t2VsZHhMHf-1x7Y/edit?usp=sharing"",""แผน!E19"")"),0)</f>
        <v>0</v>
      </c>
      <c r="J89" s="466">
        <v>0</v>
      </c>
      <c r="K89" s="497">
        <f t="shared" ca="1" si="28"/>
        <v>0</v>
      </c>
      <c r="L89" s="4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581">
        <f ca="1">IFERROR(__xludf.DUMMYFUNCTION("IMPORTRANGE(""https://docs.google.com/spreadsheets/d/1eHaY18a8A9IcSdp1K8H6x8fbOy06t2VsZHhMHf-1x7Y/edit?usp=sharing"",""แผน!J19"")"),1)</f>
        <v>1</v>
      </c>
      <c r="J90" s="466">
        <v>0</v>
      </c>
      <c r="K90" s="497">
        <f t="shared" ca="1" si="28"/>
        <v>0</v>
      </c>
      <c r="L90" s="4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7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665">
        <f ca="1">I108</f>
        <v>60</v>
      </c>
      <c r="J92" s="665">
        <f>J108</f>
        <v>0</v>
      </c>
      <c r="K92" s="664">
        <f ca="1">IF(I92&gt;0,J92*100/I92,0)</f>
        <v>0</v>
      </c>
      <c r="L92" s="510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665">
        <f ca="1">I109</f>
        <v>20</v>
      </c>
      <c r="J93" s="665">
        <f>J109</f>
        <v>20</v>
      </c>
      <c r="K93" s="664">
        <f ca="1">IF(I93&gt;0,J93*100/I93,0)</f>
        <v>100</v>
      </c>
      <c r="L93" s="510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129" t="s">
        <v>18</v>
      </c>
      <c r="D94" s="472" t="s">
        <v>19</v>
      </c>
      <c r="E94" s="40"/>
      <c r="F94" s="40"/>
      <c r="G94" s="42"/>
      <c r="H94" s="131" t="s">
        <v>14</v>
      </c>
      <c r="I94" s="44"/>
      <c r="J94" s="44"/>
      <c r="K94" s="45"/>
      <c r="L94" s="471">
        <f ca="1">L95+L96</f>
        <v>0</v>
      </c>
      <c r="M94" s="470">
        <f ca="1">M95+M96</f>
        <v>39000</v>
      </c>
      <c r="N94" s="470">
        <f ca="1">N95+N96</f>
        <v>0</v>
      </c>
      <c r="O94" s="470">
        <f t="shared" ref="O94:O102" ca="1" si="29">IF(L94&gt;0,N94*100/L94,0)</f>
        <v>0</v>
      </c>
      <c r="P94" s="470">
        <f t="shared" ref="P94:P102" ca="1" si="30">IF(M94&gt;0,N94*100/M94,0)</f>
        <v>0</v>
      </c>
      <c r="Q94" s="470">
        <f ca="1">Q95+Q96</f>
        <v>129840</v>
      </c>
      <c r="R94" s="470">
        <f ca="1">R95+R96</f>
        <v>129840</v>
      </c>
      <c r="S94" s="470">
        <f ca="1">S95+S96</f>
        <v>45320</v>
      </c>
      <c r="T94" s="470">
        <f t="shared" ref="T94:T102" ca="1" si="31">IF(Q94&gt;0,S94*100/Q94,0)</f>
        <v>34.904497843499691</v>
      </c>
      <c r="U94" s="470">
        <f t="shared" ref="U94:U102" ca="1" si="32">IF(R94&gt;0,S94*100/R94,0)</f>
        <v>34.904497843499691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469">
        <f t="shared" ref="L95:N96" si="33">L98+L101</f>
        <v>0</v>
      </c>
      <c r="M95" s="83">
        <f t="shared" si="33"/>
        <v>0</v>
      </c>
      <c r="N95" s="83">
        <f t="shared" si="33"/>
        <v>0</v>
      </c>
      <c r="O95" s="83">
        <f t="shared" si="29"/>
        <v>0</v>
      </c>
      <c r="P95" s="83">
        <f t="shared" si="30"/>
        <v>0</v>
      </c>
      <c r="Q95" s="83">
        <f t="shared" ref="Q95:S96" si="34">Q98+Q101</f>
        <v>0</v>
      </c>
      <c r="R95" s="83">
        <f t="shared" si="34"/>
        <v>0</v>
      </c>
      <c r="S95" s="83">
        <f t="shared" si="34"/>
        <v>0</v>
      </c>
      <c r="T95" s="83">
        <f t="shared" si="31"/>
        <v>0</v>
      </c>
      <c r="U95" s="83">
        <f t="shared" si="32"/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468">
        <f t="shared" ca="1" si="33"/>
        <v>0</v>
      </c>
      <c r="M96" s="224">
        <f t="shared" ca="1" si="33"/>
        <v>39000</v>
      </c>
      <c r="N96" s="224">
        <f t="shared" ca="1" si="33"/>
        <v>0</v>
      </c>
      <c r="O96" s="224">
        <f t="shared" ca="1" si="29"/>
        <v>0</v>
      </c>
      <c r="P96" s="224">
        <f t="shared" ca="1" si="30"/>
        <v>0</v>
      </c>
      <c r="Q96" s="224">
        <f t="shared" ca="1" si="34"/>
        <v>129840</v>
      </c>
      <c r="R96" s="224">
        <f t="shared" ca="1" si="34"/>
        <v>129840</v>
      </c>
      <c r="S96" s="224">
        <f t="shared" ca="1" si="34"/>
        <v>45320</v>
      </c>
      <c r="T96" s="224">
        <f t="shared" ca="1" si="31"/>
        <v>34.904497843499691</v>
      </c>
      <c r="U96" s="224">
        <f t="shared" ca="1" si="32"/>
        <v>34.904497843499691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468">
        <f ca="1">L98+L99</f>
        <v>0</v>
      </c>
      <c r="M97" s="224">
        <f ca="1">M98+M99</f>
        <v>39000</v>
      </c>
      <c r="N97" s="224">
        <f ca="1">N98+N99</f>
        <v>0</v>
      </c>
      <c r="O97" s="224">
        <f t="shared" ca="1" si="29"/>
        <v>0</v>
      </c>
      <c r="P97" s="224">
        <f t="shared" ca="1" si="30"/>
        <v>0</v>
      </c>
      <c r="Q97" s="224">
        <f ca="1">Q98+Q99</f>
        <v>129840</v>
      </c>
      <c r="R97" s="224">
        <f ca="1">R98+R99</f>
        <v>129840</v>
      </c>
      <c r="S97" s="224">
        <f ca="1">S98+S99</f>
        <v>45320</v>
      </c>
      <c r="T97" s="224">
        <f t="shared" ca="1" si="31"/>
        <v>34.904497843499691</v>
      </c>
      <c r="U97" s="224">
        <f t="shared" ca="1" si="32"/>
        <v>34.904497843499691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469">
        <v>0</v>
      </c>
      <c r="M98" s="83">
        <v>0</v>
      </c>
      <c r="N98" s="83">
        <v>0</v>
      </c>
      <c r="O98" s="83">
        <f t="shared" si="29"/>
        <v>0</v>
      </c>
      <c r="P98" s="83">
        <f t="shared" si="30"/>
        <v>0</v>
      </c>
      <c r="Q98" s="83">
        <v>0</v>
      </c>
      <c r="R98" s="83">
        <v>0</v>
      </c>
      <c r="S98" s="83">
        <v>0</v>
      </c>
      <c r="T98" s="83">
        <f t="shared" si="31"/>
        <v>0</v>
      </c>
      <c r="U98" s="83">
        <f t="shared" si="32"/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468">
        <f ca="1">IFERROR(__xludf.DUMMYFUNCTION("IMPORTRANGE(""https://docs.google.com/spreadsheets/d/1-uDff_7J0KD5mKrp0Vvzr7lt3OU09vwQwhkpOPPYv2Y/edit?usp=sharing"",""งบพรบ!AW19"")"),0)</f>
        <v>0</v>
      </c>
      <c r="M99" s="224">
        <f ca="1">IFERROR(__xludf.DUMMYFUNCTION("IMPORTRANGE(""https://docs.google.com/spreadsheets/d/1-uDff_7J0KD5mKrp0Vvzr7lt3OU09vwQwhkpOPPYv2Y/edit?usp=sharing"",""งบพรบ!BB19"")"),39000)</f>
        <v>39000</v>
      </c>
      <c r="N99" s="224">
        <f ca="1">IFERROR(__xludf.DUMMYFUNCTION("IMPORTRANGE(""https://docs.google.com/spreadsheets/d/1-uDff_7J0KD5mKrp0Vvzr7lt3OU09vwQwhkpOPPYv2Y/edit?usp=sharing"",""งบพรบ!BD19"")"),0)</f>
        <v>0</v>
      </c>
      <c r="O99" s="224">
        <f t="shared" ca="1" si="29"/>
        <v>0</v>
      </c>
      <c r="P99" s="224">
        <f t="shared" ca="1" si="30"/>
        <v>0</v>
      </c>
      <c r="Q99" s="224">
        <f ca="1">IFERROR(__xludf.DUMMYFUNCTION("IMPORTRANGE(""https://docs.google.com/spreadsheets/d/1ItG2mGa2ceCfYo0BwxsXqNm01IGEUdYcSSLTEv9YCik/edit?usp=sharing"",""เบิกจ่ายกองทุน!AD19"")"),129840)</f>
        <v>129840</v>
      </c>
      <c r="R99" s="224">
        <f ca="1">IFERROR(__xludf.DUMMYFUNCTION("IMPORTRANGE(""https://docs.google.com/spreadsheets/d/1ItG2mGa2ceCfYo0BwxsXqNm01IGEUdYcSSLTEv9YCik/edit?usp=sharing"",""เบิกจ่ายกองทุน!AE19"")"),129840)</f>
        <v>129840</v>
      </c>
      <c r="S99" s="224">
        <f ca="1">IFERROR(__xludf.DUMMYFUNCTION("IMPORTRANGE(""https://docs.google.com/spreadsheets/d/1ItG2mGa2ceCfYo0BwxsXqNm01IGEUdYcSSLTEv9YCik/edit?usp=sharing"",""เบิกจ่ายกองทุน!AF19"")"),45320)</f>
        <v>45320</v>
      </c>
      <c r="T99" s="224">
        <f t="shared" ca="1" si="31"/>
        <v>34.904497843499691</v>
      </c>
      <c r="U99" s="224">
        <f t="shared" ca="1" si="32"/>
        <v>34.904497843499691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468">
        <f ca="1">L101+L102</f>
        <v>0</v>
      </c>
      <c r="M100" s="224">
        <f ca="1">M101+M102</f>
        <v>0</v>
      </c>
      <c r="N100" s="224">
        <f ca="1">N101+N102</f>
        <v>0</v>
      </c>
      <c r="O100" s="224">
        <f t="shared" ca="1" si="29"/>
        <v>0</v>
      </c>
      <c r="P100" s="224">
        <f t="shared" ca="1" si="30"/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 t="shared" si="31"/>
        <v>0</v>
      </c>
      <c r="U100" s="224">
        <f t="shared" si="32"/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469">
        <v>0</v>
      </c>
      <c r="M101" s="83">
        <v>0</v>
      </c>
      <c r="N101" s="83">
        <v>0</v>
      </c>
      <c r="O101" s="83">
        <f t="shared" si="29"/>
        <v>0</v>
      </c>
      <c r="P101" s="83">
        <f t="shared" si="30"/>
        <v>0</v>
      </c>
      <c r="Q101" s="83">
        <v>0</v>
      </c>
      <c r="R101" s="83">
        <v>0</v>
      </c>
      <c r="S101" s="83">
        <v>0</v>
      </c>
      <c r="T101" s="83">
        <f t="shared" si="31"/>
        <v>0</v>
      </c>
      <c r="U101" s="83">
        <f t="shared" si="32"/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468">
        <f ca="1">IFERROR(__xludf.DUMMYFUNCTION("IMPORTRANGE(""https://docs.google.com/spreadsheets/d/1-uDff_7J0KD5mKrp0Vvzr7lt3OU09vwQwhkpOPPYv2Y/edit?usp=sharing"",""งบพรบ!AZ19"")"),0)</f>
        <v>0</v>
      </c>
      <c r="M102" s="224">
        <f ca="1">IFERROR(__xludf.DUMMYFUNCTION("IMPORTRANGE(""https://docs.google.com/spreadsheets/d/1-uDff_7J0KD5mKrp0Vvzr7lt3OU09vwQwhkpOPPYv2Y/edit?usp=sharing"",""งบพรบ!BC19"")"),0)</f>
        <v>0</v>
      </c>
      <c r="N102" s="224">
        <f ca="1">IFERROR(__xludf.DUMMYFUNCTION("IMPORTRANGE(""https://docs.google.com/spreadsheets/d/1-uDff_7J0KD5mKrp0Vvzr7lt3OU09vwQwhkpOPPYv2Y/edit?usp=sharing"",""งบพรบ!BE19"")"),0)</f>
        <v>0</v>
      </c>
      <c r="O102" s="224">
        <f t="shared" ca="1" si="29"/>
        <v>0</v>
      </c>
      <c r="P102" s="224">
        <f t="shared" ca="1" si="30"/>
        <v>0</v>
      </c>
      <c r="Q102" s="224">
        <v>0</v>
      </c>
      <c r="R102" s="224">
        <v>0</v>
      </c>
      <c r="S102" s="224">
        <v>0</v>
      </c>
      <c r="T102" s="224">
        <f t="shared" si="31"/>
        <v>0</v>
      </c>
      <c r="U102" s="224">
        <f t="shared" si="32"/>
        <v>0</v>
      </c>
    </row>
    <row r="103" spans="1:21" ht="19.5" x14ac:dyDescent="0.3">
      <c r="A103" s="138"/>
      <c r="B103" s="139"/>
      <c r="C103" s="129" t="s">
        <v>18</v>
      </c>
      <c r="D103" s="498" t="s">
        <v>38</v>
      </c>
      <c r="E103" s="141"/>
      <c r="F103" s="141"/>
      <c r="G103" s="142"/>
      <c r="H103" s="143"/>
      <c r="I103" s="135"/>
      <c r="J103" s="44"/>
      <c r="K103" s="45"/>
      <c r="L103" s="465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571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571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571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465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IFERROR(__xludf.DUMMYFUNCTION("IMPORTRANGE(""https://docs.google.com/spreadsheets/d/1eHaY18a8A9IcSdp1K8H6x8fbOy06t2VsZHhMHf-1x7Y/edit?usp=sharing"",""แผน!N19"")"),60)</f>
        <v>60</v>
      </c>
      <c r="J108" s="466">
        <v>0</v>
      </c>
      <c r="K108" s="224">
        <f ca="1">IF(I108&gt;0,J108*100/I108,0)</f>
        <v>0</v>
      </c>
      <c r="L108" s="465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IFERROR(__xludf.DUMMYFUNCTION("IMPORTRANGE(""https://docs.google.com/spreadsheets/d/1eHaY18a8A9IcSdp1K8H6x8fbOy06t2VsZHhMHf-1x7Y/edit?usp=sharing"",""แผน!O19"")"),20)</f>
        <v>20</v>
      </c>
      <c r="J109" s="466">
        <v>20</v>
      </c>
      <c r="K109" s="224">
        <f ca="1">IF(I109&gt;0,J109*100/I109,0)</f>
        <v>100</v>
      </c>
      <c r="L109" s="465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571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571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571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749"/>
      <c r="B113" s="438"/>
      <c r="C113" s="438"/>
      <c r="D113" s="748" t="s">
        <v>50</v>
      </c>
      <c r="E113" s="440"/>
      <c r="F113" s="440"/>
      <c r="G113" s="441"/>
      <c r="H113" s="747" t="s">
        <v>46</v>
      </c>
      <c r="I113" s="746">
        <f ca="1">IFERROR(__xludf.DUMMYFUNCTION("IMPORTRANGE(""https://docs.google.com/spreadsheets/d/1eHaY18a8A9IcSdp1K8H6x8fbOy06t2VsZHhMHf-1x7Y/edit?usp=sharing"",""แผน!N19"")"),60)</f>
        <v>60</v>
      </c>
      <c r="J113" s="444">
        <v>0</v>
      </c>
      <c r="K113" s="591">
        <f ca="1">IF(I113&gt;0,J113*100/I113,0)</f>
        <v>0</v>
      </c>
      <c r="L113" s="656"/>
      <c r="M113" s="656"/>
      <c r="N113" s="656"/>
      <c r="O113" s="445"/>
      <c r="P113" s="445"/>
      <c r="Q113" s="656"/>
      <c r="R113" s="656"/>
      <c r="S113" s="656"/>
      <c r="T113" s="445"/>
      <c r="U113" s="445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581">
        <f ca="1">IFERROR(__xludf.DUMMYFUNCTION("IMPORTRANGE(""https://docs.google.com/spreadsheets/d/1eHaY18a8A9IcSdp1K8H6x8fbOy06t2VsZHhMHf-1x7Y/edit?usp=sharing"",""แผน!O19"")"),20)</f>
        <v>20</v>
      </c>
      <c r="J114" s="466">
        <v>0</v>
      </c>
      <c r="K114" s="224">
        <f ca="1">IF(I114&gt;0,J114*100/I114,0)</f>
        <v>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671" t="s">
        <v>51</v>
      </c>
      <c r="B115" s="668"/>
      <c r="C115" s="670"/>
      <c r="D115" s="669"/>
      <c r="E115" s="669"/>
      <c r="F115" s="669"/>
      <c r="G115" s="669"/>
      <c r="H115" s="668"/>
      <c r="I115" s="667"/>
      <c r="J115" s="667"/>
      <c r="K115" s="66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665">
        <f ca="1">I127</f>
        <v>50</v>
      </c>
      <c r="J116" s="665">
        <f>J127</f>
        <v>50</v>
      </c>
      <c r="K116" s="664">
        <f ca="1">IF(I116&gt;0,J116*100/I116,0)</f>
        <v>100</v>
      </c>
      <c r="L116" s="510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472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471">
        <f ca="1">L118+L119</f>
        <v>0</v>
      </c>
      <c r="M117" s="470">
        <f ca="1">M118+M119</f>
        <v>0</v>
      </c>
      <c r="N117" s="470">
        <f ca="1">N118+N119</f>
        <v>0</v>
      </c>
      <c r="O117" s="470">
        <f t="shared" ref="O117:O125" ca="1" si="35">IF(L117&gt;0,N117*100/L117,0)</f>
        <v>0</v>
      </c>
      <c r="P117" s="470">
        <f t="shared" ref="P117:P125" ca="1" si="36">IF(M117&gt;0,N117*100/M117,0)</f>
        <v>0</v>
      </c>
      <c r="Q117" s="470">
        <f ca="1">Q118+Q119</f>
        <v>2605520</v>
      </c>
      <c r="R117" s="470">
        <f ca="1">R118+R119</f>
        <v>2605520</v>
      </c>
      <c r="S117" s="470">
        <f ca="1">S118+S119</f>
        <v>94830</v>
      </c>
      <c r="T117" s="470">
        <f t="shared" ref="T117:T125" ca="1" si="37">IF(Q117&gt;0,S117*100/Q117,0)</f>
        <v>3.6395805827627496</v>
      </c>
      <c r="U117" s="470">
        <f t="shared" ref="U117:U125" ca="1" si="38">IF(R117&gt;0,S117*100/R117,0)</f>
        <v>3.6395805827627496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469">
        <f t="shared" ref="L118:N119" si="39">L121+L124</f>
        <v>0</v>
      </c>
      <c r="M118" s="83">
        <f t="shared" si="39"/>
        <v>0</v>
      </c>
      <c r="N118" s="83">
        <f t="shared" si="39"/>
        <v>0</v>
      </c>
      <c r="O118" s="83">
        <f t="shared" si="35"/>
        <v>0</v>
      </c>
      <c r="P118" s="83">
        <f t="shared" si="36"/>
        <v>0</v>
      </c>
      <c r="Q118" s="83">
        <f t="shared" ref="Q118:S119" si="40">Q121+Q124</f>
        <v>0</v>
      </c>
      <c r="R118" s="83">
        <f t="shared" si="40"/>
        <v>0</v>
      </c>
      <c r="S118" s="83">
        <f t="shared" si="40"/>
        <v>0</v>
      </c>
      <c r="T118" s="83">
        <f t="shared" si="37"/>
        <v>0</v>
      </c>
      <c r="U118" s="83">
        <f t="shared" si="38"/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468">
        <f t="shared" ca="1" si="39"/>
        <v>0</v>
      </c>
      <c r="M119" s="224">
        <f t="shared" ca="1" si="39"/>
        <v>0</v>
      </c>
      <c r="N119" s="224">
        <f t="shared" ca="1" si="39"/>
        <v>0</v>
      </c>
      <c r="O119" s="224">
        <f t="shared" ca="1" si="35"/>
        <v>0</v>
      </c>
      <c r="P119" s="224">
        <f t="shared" ca="1" si="36"/>
        <v>0</v>
      </c>
      <c r="Q119" s="224">
        <f t="shared" ca="1" si="40"/>
        <v>2605520</v>
      </c>
      <c r="R119" s="224">
        <f t="shared" ca="1" si="40"/>
        <v>2605520</v>
      </c>
      <c r="S119" s="224">
        <f t="shared" ca="1" si="40"/>
        <v>94830</v>
      </c>
      <c r="T119" s="224">
        <f t="shared" ca="1" si="37"/>
        <v>3.6395805827627496</v>
      </c>
      <c r="U119" s="224">
        <f t="shared" ca="1" si="38"/>
        <v>3.6395805827627496</v>
      </c>
    </row>
    <row r="120" spans="1:21" ht="18.75" x14ac:dyDescent="0.25">
      <c r="A120" s="128"/>
      <c r="B120" s="158"/>
      <c r="C120" s="174"/>
      <c r="D120" s="53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468">
        <f ca="1">L121+L122</f>
        <v>0</v>
      </c>
      <c r="M120" s="224">
        <f ca="1">M121+M122</f>
        <v>0</v>
      </c>
      <c r="N120" s="224">
        <f ca="1">N121+N122</f>
        <v>0</v>
      </c>
      <c r="O120" s="224">
        <f t="shared" ca="1" si="35"/>
        <v>0</v>
      </c>
      <c r="P120" s="224">
        <f t="shared" ca="1" si="36"/>
        <v>0</v>
      </c>
      <c r="Q120" s="224">
        <f ca="1">Q121+Q122</f>
        <v>2605520</v>
      </c>
      <c r="R120" s="224">
        <f ca="1">R121+R122</f>
        <v>2605520</v>
      </c>
      <c r="S120" s="224">
        <f ca="1">S121+S122</f>
        <v>94830</v>
      </c>
      <c r="T120" s="224">
        <f t="shared" ca="1" si="37"/>
        <v>3.6395805827627496</v>
      </c>
      <c r="U120" s="224">
        <f t="shared" ca="1" si="38"/>
        <v>3.6395805827627496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469">
        <v>0</v>
      </c>
      <c r="M121" s="83">
        <v>0</v>
      </c>
      <c r="N121" s="83">
        <v>0</v>
      </c>
      <c r="O121" s="83">
        <f t="shared" si="35"/>
        <v>0</v>
      </c>
      <c r="P121" s="83">
        <f t="shared" si="36"/>
        <v>0</v>
      </c>
      <c r="Q121" s="83">
        <v>0</v>
      </c>
      <c r="R121" s="83">
        <v>0</v>
      </c>
      <c r="S121" s="83">
        <v>0</v>
      </c>
      <c r="T121" s="83">
        <f t="shared" si="37"/>
        <v>0</v>
      </c>
      <c r="U121" s="83">
        <f t="shared" si="38"/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468">
        <f ca="1">IFERROR(__xludf.DUMMYFUNCTION("IMPORTRANGE(""https://docs.google.com/spreadsheets/d/1-uDff_7J0KD5mKrp0Vvzr7lt3OU09vwQwhkpOPPYv2Y/edit?usp=sharing"",""งบพรบ!BG19"")"),0)</f>
        <v>0</v>
      </c>
      <c r="M122" s="224">
        <f ca="1">IFERROR(__xludf.DUMMYFUNCTION("IMPORTRANGE(""https://docs.google.com/spreadsheets/d/1-uDff_7J0KD5mKrp0Vvzr7lt3OU09vwQwhkpOPPYv2Y/edit?usp=sharing"",""งบพรบ!BL19"")"),0)</f>
        <v>0</v>
      </c>
      <c r="N122" s="224">
        <f ca="1">IFERROR(__xludf.DUMMYFUNCTION("IMPORTRANGE(""https://docs.google.com/spreadsheets/d/1-uDff_7J0KD5mKrp0Vvzr7lt3OU09vwQwhkpOPPYv2Y/edit?usp=sharing"",""งบพรบ!BN19"")"),0)</f>
        <v>0</v>
      </c>
      <c r="O122" s="224">
        <f t="shared" ca="1" si="35"/>
        <v>0</v>
      </c>
      <c r="P122" s="224">
        <f t="shared" ca="1" si="36"/>
        <v>0</v>
      </c>
      <c r="Q122" s="224">
        <f ca="1">IFERROR(__xludf.DUMMYFUNCTION("IMPORTRANGE(""https://docs.google.com/spreadsheets/d/1ItG2mGa2ceCfYo0BwxsXqNm01IGEUdYcSSLTEv9YCik/edit?usp=sharing"",""เบิกจ่ายกองทุน!R19"")"),2605520)</f>
        <v>2605520</v>
      </c>
      <c r="R122" s="224">
        <f ca="1">IFERROR(__xludf.DUMMYFUNCTION("IMPORTRANGE(""https://docs.google.com/spreadsheets/d/1ItG2mGa2ceCfYo0BwxsXqNm01IGEUdYcSSLTEv9YCik/edit?usp=sharing"",""เบิกจ่ายกองทุน!S19"")"),2605520)</f>
        <v>2605520</v>
      </c>
      <c r="S122" s="224">
        <f ca="1">IFERROR(__xludf.DUMMYFUNCTION("IMPORTRANGE(""https://docs.google.com/spreadsheets/d/1ItG2mGa2ceCfYo0BwxsXqNm01IGEUdYcSSLTEv9YCik/edit?usp=sharing"",""เบิกจ่ายกองทุน!T19"")"),94830)</f>
        <v>94830</v>
      </c>
      <c r="T122" s="224">
        <f t="shared" ca="1" si="37"/>
        <v>3.6395805827627496</v>
      </c>
      <c r="U122" s="224">
        <f t="shared" ca="1" si="38"/>
        <v>3.6395805827627496</v>
      </c>
    </row>
    <row r="123" spans="1:21" ht="18.75" x14ac:dyDescent="0.25">
      <c r="A123" s="128"/>
      <c r="B123" s="40"/>
      <c r="C123" s="174"/>
      <c r="D123" s="53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468">
        <f ca="1">L124+L125</f>
        <v>0</v>
      </c>
      <c r="M123" s="224">
        <f ca="1">M124+M125</f>
        <v>0</v>
      </c>
      <c r="N123" s="224">
        <f ca="1">N124+N125</f>
        <v>0</v>
      </c>
      <c r="O123" s="224">
        <f t="shared" ca="1" si="35"/>
        <v>0</v>
      </c>
      <c r="P123" s="224">
        <f t="shared" ca="1" si="36"/>
        <v>0</v>
      </c>
      <c r="Q123" s="224">
        <f>Q124+Q125</f>
        <v>0</v>
      </c>
      <c r="R123" s="224">
        <f>R124+R125</f>
        <v>0</v>
      </c>
      <c r="S123" s="224">
        <f>S124+S125</f>
        <v>0</v>
      </c>
      <c r="T123" s="224">
        <f t="shared" si="37"/>
        <v>0</v>
      </c>
      <c r="U123" s="224">
        <f t="shared" si="38"/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469">
        <v>0</v>
      </c>
      <c r="M124" s="83">
        <v>0</v>
      </c>
      <c r="N124" s="83">
        <v>0</v>
      </c>
      <c r="O124" s="83">
        <f t="shared" si="35"/>
        <v>0</v>
      </c>
      <c r="P124" s="83">
        <f t="shared" si="36"/>
        <v>0</v>
      </c>
      <c r="Q124" s="83">
        <v>0</v>
      </c>
      <c r="R124" s="83">
        <v>0</v>
      </c>
      <c r="S124" s="83">
        <v>0</v>
      </c>
      <c r="T124" s="83">
        <f t="shared" si="37"/>
        <v>0</v>
      </c>
      <c r="U124" s="83">
        <f t="shared" si="38"/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468">
        <f ca="1">IFERROR(__xludf.DUMMYFUNCTION("IMPORTRANGE(""https://docs.google.com/spreadsheets/d/1-uDff_7J0KD5mKrp0Vvzr7lt3OU09vwQwhkpOPPYv2Y/edit?usp=sharing"",""งบพรบ!BJ19"")"),0)</f>
        <v>0</v>
      </c>
      <c r="M125" s="224">
        <f ca="1">IFERROR(__xludf.DUMMYFUNCTION("IMPORTRANGE(""https://docs.google.com/spreadsheets/d/1-uDff_7J0KD5mKrp0Vvzr7lt3OU09vwQwhkpOPPYv2Y/edit?usp=sharing"",""งบพรบ!BM19"")"),0)</f>
        <v>0</v>
      </c>
      <c r="N125" s="224">
        <f ca="1">IFERROR(__xludf.DUMMYFUNCTION("IMPORTRANGE(""https://docs.google.com/spreadsheets/d/1-uDff_7J0KD5mKrp0Vvzr7lt3OU09vwQwhkpOPPYv2Y/edit?usp=sharing"",""งบพรบ!BO19"")"),0)</f>
        <v>0</v>
      </c>
      <c r="O125" s="224">
        <f t="shared" ca="1" si="35"/>
        <v>0</v>
      </c>
      <c r="P125" s="224">
        <f t="shared" ca="1" si="36"/>
        <v>0</v>
      </c>
      <c r="Q125" s="224">
        <v>0</v>
      </c>
      <c r="R125" s="224">
        <v>0</v>
      </c>
      <c r="S125" s="224">
        <v>0</v>
      </c>
      <c r="T125" s="224">
        <f t="shared" si="37"/>
        <v>0</v>
      </c>
      <c r="U125" s="224">
        <f t="shared" si="38"/>
        <v>0</v>
      </c>
    </row>
    <row r="126" spans="1:21" ht="19.5" x14ac:dyDescent="0.3">
      <c r="A126" s="138"/>
      <c r="B126" s="139"/>
      <c r="C126" s="177" t="s">
        <v>18</v>
      </c>
      <c r="D126" s="498" t="s">
        <v>38</v>
      </c>
      <c r="E126" s="141"/>
      <c r="F126" s="141"/>
      <c r="G126" s="142"/>
      <c r="H126" s="178"/>
      <c r="I126" s="44"/>
      <c r="J126" s="44"/>
      <c r="K126" s="45"/>
      <c r="L126" s="465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IFERROR(__xludf.DUMMYFUNCTION("IMPORTRANGE(""https://docs.google.com/spreadsheets/d/1eHaY18a8A9IcSdp1K8H6x8fbOy06t2VsZHhMHf-1x7Y/edit?usp=sharing"",""แผน!FF19"")"),50)</f>
        <v>50</v>
      </c>
      <c r="J127" s="466">
        <v>50</v>
      </c>
      <c r="K127" s="224">
        <f ca="1">IF(I127&gt;0,J127*100/I127,0)</f>
        <v>100</v>
      </c>
      <c r="L127" s="465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IFERROR(__xludf.DUMMYFUNCTION("IMPORTRANGE(""https://docs.google.com/spreadsheets/d/1eHaY18a8A9IcSdp1K8H6x8fbOy06t2VsZHhMHf-1x7Y/edit?usp=sharing"",""แผน!FG19"")"),0)</f>
        <v>0</v>
      </c>
      <c r="J128" s="466">
        <v>0</v>
      </c>
      <c r="K128" s="224">
        <f ca="1">IF(I128&gt;0,J128*100/I128,0)</f>
        <v>0</v>
      </c>
      <c r="L128" s="465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IFERROR(__xludf.DUMMYFUNCTION("IMPORTRANGE(""https://docs.google.com/spreadsheets/d/1eHaY18a8A9IcSdp1K8H6x8fbOy06t2VsZHhMHf-1x7Y/edit?usp=sharing"",""แผน!FH19"")"),20)</f>
        <v>20</v>
      </c>
      <c r="J129" s="466">
        <v>0</v>
      </c>
      <c r="K129" s="224">
        <f ca="1">IF(I129&gt;0,J129*100/I129,0)</f>
        <v>0</v>
      </c>
      <c r="L129" s="465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IFERROR(__xludf.DUMMYFUNCTION("IMPORTRANGE(""https://docs.google.com/spreadsheets/d/1eHaY18a8A9IcSdp1K8H6x8fbOy06t2VsZHhMHf-1x7Y/edit?usp=sharing"",""แผน!FI19"")"),0)</f>
        <v>0</v>
      </c>
      <c r="J130" s="466">
        <v>0</v>
      </c>
      <c r="K130" s="224">
        <f ca="1">IF(I130&gt;0,J130*100/I130,0)</f>
        <v>0</v>
      </c>
      <c r="L130" s="465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465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465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57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10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665">
        <f ca="1">I154</f>
        <v>2</v>
      </c>
      <c r="J136" s="665">
        <f>J154</f>
        <v>0</v>
      </c>
      <c r="K136" s="664">
        <f ca="1">IF(I136&gt;0,J136*100/I136,0)</f>
        <v>0</v>
      </c>
      <c r="L136" s="510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665">
        <f ca="1">I152</f>
        <v>50</v>
      </c>
      <c r="J137" s="665">
        <f>J152</f>
        <v>0</v>
      </c>
      <c r="K137" s="664">
        <f ca="1">IF(I137&gt;0,J137*100/I137,0)</f>
        <v>0</v>
      </c>
      <c r="L137" s="510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665">
        <f ca="1">I153</f>
        <v>5</v>
      </c>
      <c r="J138" s="665">
        <f>J153</f>
        <v>0</v>
      </c>
      <c r="K138" s="664">
        <f ca="1">IF(I138&gt;0,J138*100/I138,0)</f>
        <v>0</v>
      </c>
      <c r="L138" s="510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129" t="s">
        <v>18</v>
      </c>
      <c r="D139" s="472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471">
        <f ca="1">L140+L141</f>
        <v>83100</v>
      </c>
      <c r="M139" s="470">
        <f ca="1">M140+M141</f>
        <v>78100</v>
      </c>
      <c r="N139" s="470">
        <f ca="1">N140+N141</f>
        <v>0</v>
      </c>
      <c r="O139" s="470">
        <f t="shared" ref="O139:O147" ca="1" si="41">IF(L139&gt;0,N139*100/L139,0)</f>
        <v>0</v>
      </c>
      <c r="P139" s="470">
        <f t="shared" ref="P139:P147" ca="1" si="42">IF(M139&gt;0,N139*100/M139,0)</f>
        <v>0</v>
      </c>
      <c r="Q139" s="470">
        <f ca="1">Q140+Q141</f>
        <v>0</v>
      </c>
      <c r="R139" s="470">
        <f ca="1">R140+R141</f>
        <v>0</v>
      </c>
      <c r="S139" s="470">
        <f ca="1">S140+S141</f>
        <v>0</v>
      </c>
      <c r="T139" s="470">
        <f t="shared" ref="T139:T147" ca="1" si="43">IF(Q139&gt;0,S139*100/Q139,0)</f>
        <v>0</v>
      </c>
      <c r="U139" s="470">
        <f t="shared" ref="U139:U147" ca="1" si="44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469">
        <f t="shared" ref="L140:N141" si="45">L143+L146</f>
        <v>0</v>
      </c>
      <c r="M140" s="83">
        <f t="shared" si="45"/>
        <v>0</v>
      </c>
      <c r="N140" s="83">
        <f t="shared" si="45"/>
        <v>0</v>
      </c>
      <c r="O140" s="83">
        <f t="shared" si="41"/>
        <v>0</v>
      </c>
      <c r="P140" s="83">
        <f t="shared" si="42"/>
        <v>0</v>
      </c>
      <c r="Q140" s="83">
        <f t="shared" ref="Q140:S141" si="46">Q143+Q146</f>
        <v>0</v>
      </c>
      <c r="R140" s="83">
        <f t="shared" si="46"/>
        <v>0</v>
      </c>
      <c r="S140" s="83">
        <f t="shared" si="46"/>
        <v>0</v>
      </c>
      <c r="T140" s="83">
        <f t="shared" si="43"/>
        <v>0</v>
      </c>
      <c r="U140" s="83">
        <f t="shared" si="44"/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468">
        <f t="shared" ca="1" si="45"/>
        <v>83100</v>
      </c>
      <c r="M141" s="224">
        <f t="shared" ca="1" si="45"/>
        <v>78100</v>
      </c>
      <c r="N141" s="224">
        <f t="shared" ca="1" si="45"/>
        <v>0</v>
      </c>
      <c r="O141" s="224">
        <f t="shared" ca="1" si="41"/>
        <v>0</v>
      </c>
      <c r="P141" s="224">
        <f t="shared" ca="1" si="42"/>
        <v>0</v>
      </c>
      <c r="Q141" s="224">
        <f t="shared" ca="1" si="46"/>
        <v>0</v>
      </c>
      <c r="R141" s="224">
        <f t="shared" ca="1" si="46"/>
        <v>0</v>
      </c>
      <c r="S141" s="224">
        <f t="shared" ca="1" si="46"/>
        <v>0</v>
      </c>
      <c r="T141" s="224">
        <f t="shared" ca="1" si="43"/>
        <v>0</v>
      </c>
      <c r="U141" s="224">
        <f t="shared" ca="1" si="44"/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468">
        <f ca="1">L143+L144</f>
        <v>83100</v>
      </c>
      <c r="M142" s="224">
        <f ca="1">M143+M144</f>
        <v>78100</v>
      </c>
      <c r="N142" s="224">
        <f ca="1">N143+N144</f>
        <v>0</v>
      </c>
      <c r="O142" s="224">
        <f t="shared" ca="1" si="41"/>
        <v>0</v>
      </c>
      <c r="P142" s="224">
        <f t="shared" ca="1" si="42"/>
        <v>0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t="shared" ca="1" si="43"/>
        <v>0</v>
      </c>
      <c r="U142" s="224">
        <f t="shared" ca="1" si="44"/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469">
        <v>0</v>
      </c>
      <c r="M143" s="83">
        <v>0</v>
      </c>
      <c r="N143" s="83">
        <v>0</v>
      </c>
      <c r="O143" s="83">
        <f t="shared" si="41"/>
        <v>0</v>
      </c>
      <c r="P143" s="83">
        <f t="shared" si="42"/>
        <v>0</v>
      </c>
      <c r="Q143" s="83">
        <v>0</v>
      </c>
      <c r="R143" s="83">
        <v>0</v>
      </c>
      <c r="S143" s="83">
        <v>0</v>
      </c>
      <c r="T143" s="83">
        <f t="shared" si="43"/>
        <v>0</v>
      </c>
      <c r="U143" s="83">
        <f t="shared" si="44"/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468">
        <f ca="1">IFERROR(__xludf.DUMMYFUNCTION("IMPORTRANGE(""https://docs.google.com/spreadsheets/d/1-uDff_7J0KD5mKrp0Vvzr7lt3OU09vwQwhkpOPPYv2Y/edit?usp=sharing"",""งบพรบ!BQ19"")"),83100)</f>
        <v>83100</v>
      </c>
      <c r="M144" s="224">
        <f ca="1">IFERROR(__xludf.DUMMYFUNCTION("IMPORTRANGE(""https://docs.google.com/spreadsheets/d/1-uDff_7J0KD5mKrp0Vvzr7lt3OU09vwQwhkpOPPYv2Y/edit?usp=sharing"",""งบพรบ!BV19"")"),78100)</f>
        <v>78100</v>
      </c>
      <c r="N144" s="224">
        <f ca="1">IFERROR(__xludf.DUMMYFUNCTION("IMPORTRANGE(""https://docs.google.com/spreadsheets/d/1-uDff_7J0KD5mKrp0Vvzr7lt3OU09vwQwhkpOPPYv2Y/edit?usp=sharing"",""งบพรบ!BX19"")"),0)</f>
        <v>0</v>
      </c>
      <c r="O144" s="224">
        <f t="shared" ca="1" si="41"/>
        <v>0</v>
      </c>
      <c r="P144" s="224">
        <f t="shared" ca="1" si="42"/>
        <v>0</v>
      </c>
      <c r="Q144" s="224">
        <f ca="1">IFERROR(__xludf.DUMMYFUNCTION("IMPORTRANGE(""https://docs.google.com/spreadsheets/d/1ItG2mGa2ceCfYo0BwxsXqNm01IGEUdYcSSLTEv9YCik/edit?usp=sharing"",""เบิกจ่ายกองทุน!BB19"")"),0)</f>
        <v>0</v>
      </c>
      <c r="R144" s="224">
        <f ca="1">IFERROR(__xludf.DUMMYFUNCTION("IMPORTRANGE(""https://docs.google.com/spreadsheets/d/1ItG2mGa2ceCfYo0BwxsXqNm01IGEUdYcSSLTEv9YCik/edit?usp=sharing"",""เบิกจ่ายกองทุน!BC19"")"),0)</f>
        <v>0</v>
      </c>
      <c r="S144" s="224">
        <f ca="1">IFERROR(__xludf.DUMMYFUNCTION("IMPORTRANGE(""https://docs.google.com/spreadsheets/d/1ItG2mGa2ceCfYo0BwxsXqNm01IGEUdYcSSLTEv9YCik/edit?usp=sharing"",""เบิกจ่ายกองทุน!BD19"")"),0)</f>
        <v>0</v>
      </c>
      <c r="T144" s="224">
        <f t="shared" ca="1" si="43"/>
        <v>0</v>
      </c>
      <c r="U144" s="224">
        <f t="shared" ca="1" si="44"/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468">
        <f ca="1">L146+L147</f>
        <v>0</v>
      </c>
      <c r="M145" s="224">
        <f ca="1">M146+M147</f>
        <v>0</v>
      </c>
      <c r="N145" s="224">
        <f ca="1">N146+N147</f>
        <v>0</v>
      </c>
      <c r="O145" s="224">
        <f t="shared" ca="1" si="41"/>
        <v>0</v>
      </c>
      <c r="P145" s="224">
        <f t="shared" ca="1" si="42"/>
        <v>0</v>
      </c>
      <c r="Q145" s="224">
        <f>Q146+Q147</f>
        <v>0</v>
      </c>
      <c r="R145" s="224">
        <f>R146+R147</f>
        <v>0</v>
      </c>
      <c r="S145" s="224">
        <f>S146+S147</f>
        <v>0</v>
      </c>
      <c r="T145" s="224">
        <f t="shared" si="43"/>
        <v>0</v>
      </c>
      <c r="U145" s="224">
        <f t="shared" si="44"/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469">
        <v>0</v>
      </c>
      <c r="M146" s="83">
        <v>0</v>
      </c>
      <c r="N146" s="83">
        <v>0</v>
      </c>
      <c r="O146" s="83">
        <f t="shared" si="41"/>
        <v>0</v>
      </c>
      <c r="P146" s="83">
        <f t="shared" si="42"/>
        <v>0</v>
      </c>
      <c r="Q146" s="83">
        <v>0</v>
      </c>
      <c r="R146" s="83">
        <v>0</v>
      </c>
      <c r="S146" s="83">
        <v>0</v>
      </c>
      <c r="T146" s="83">
        <f t="shared" si="43"/>
        <v>0</v>
      </c>
      <c r="U146" s="83">
        <f t="shared" si="44"/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468">
        <f ca="1">IFERROR(__xludf.DUMMYFUNCTION("IMPORTRANGE(""https://docs.google.com/spreadsheets/d/1-uDff_7J0KD5mKrp0Vvzr7lt3OU09vwQwhkpOPPYv2Y/edit?usp=sharing"",""งบพรบ!BT19"")"),0)</f>
        <v>0</v>
      </c>
      <c r="M147" s="224">
        <f ca="1">IFERROR(__xludf.DUMMYFUNCTION("IMPORTRANGE(""https://docs.google.com/spreadsheets/d/1-uDff_7J0KD5mKrp0Vvzr7lt3OU09vwQwhkpOPPYv2Y/edit?usp=sharing"",""งบพรบ!BW19"")"),0)</f>
        <v>0</v>
      </c>
      <c r="N147" s="224">
        <f ca="1">IFERROR(__xludf.DUMMYFUNCTION("IMPORTRANGE(""https://docs.google.com/spreadsheets/d/1-uDff_7J0KD5mKrp0Vvzr7lt3OU09vwQwhkpOPPYv2Y/edit?usp=sharing"",""งบพรบ!BY19"")"),0)</f>
        <v>0</v>
      </c>
      <c r="O147" s="224">
        <f t="shared" ca="1" si="41"/>
        <v>0</v>
      </c>
      <c r="P147" s="224">
        <f t="shared" ca="1" si="42"/>
        <v>0</v>
      </c>
      <c r="Q147" s="224">
        <v>0</v>
      </c>
      <c r="R147" s="224">
        <v>0</v>
      </c>
      <c r="S147" s="224">
        <v>0</v>
      </c>
      <c r="T147" s="224">
        <f t="shared" si="43"/>
        <v>0</v>
      </c>
      <c r="U147" s="224">
        <f t="shared" si="44"/>
        <v>0</v>
      </c>
    </row>
    <row r="148" spans="1:21" ht="19.5" x14ac:dyDescent="0.3">
      <c r="A148" s="138"/>
      <c r="B148" s="139"/>
      <c r="C148" s="129" t="s">
        <v>18</v>
      </c>
      <c r="D148" s="498" t="s">
        <v>38</v>
      </c>
      <c r="E148" s="141"/>
      <c r="F148" s="141"/>
      <c r="G148" s="142"/>
      <c r="H148" s="178"/>
      <c r="I148" s="44"/>
      <c r="J148" s="44"/>
      <c r="K148" s="45"/>
      <c r="L148" s="465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466">
        <v>0</v>
      </c>
      <c r="K149" s="45"/>
      <c r="L149" s="465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IFERROR(__xludf.DUMMYFUNCTION("IMPORTRANGE(""https://docs.google.com/spreadsheets/d/1eHaY18a8A9IcSdp1K8H6x8fbOy06t2VsZHhMHf-1x7Y/edit?usp=sharing"",""แผน!U19"")"),20)</f>
        <v>20</v>
      </c>
      <c r="J150" s="466">
        <v>0</v>
      </c>
      <c r="K150" s="224">
        <f ca="1">IF(I150&gt;0,J150*100/I150,0)</f>
        <v>0</v>
      </c>
      <c r="L150" s="465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IFERROR(__xludf.DUMMYFUNCTION("IMPORTRANGE(""https://docs.google.com/spreadsheets/d/1eHaY18a8A9IcSdp1K8H6x8fbOy06t2VsZHhMHf-1x7Y/edit?usp=sharing"",""แผน!V19"")"),2)</f>
        <v>2</v>
      </c>
      <c r="J151" s="466">
        <v>0</v>
      </c>
      <c r="K151" s="224">
        <f ca="1">IF(I151&gt;0,J151*100/I151,0)</f>
        <v>0</v>
      </c>
      <c r="L151" s="465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IFERROR(__xludf.DUMMYFUNCTION("IMPORTRANGE(""https://docs.google.com/spreadsheets/d/1eHaY18a8A9IcSdp1K8H6x8fbOy06t2VsZHhMHf-1x7Y/edit?usp=sharing"",""แผน!W19"")"),50)</f>
        <v>50</v>
      </c>
      <c r="J152" s="466">
        <v>0</v>
      </c>
      <c r="K152" s="224">
        <f ca="1">IF(I152&gt;0,J152*100/I152,0)</f>
        <v>0</v>
      </c>
      <c r="L152" s="465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IFERROR(__xludf.DUMMYFUNCTION("IMPORTRANGE(""https://docs.google.com/spreadsheets/d/1eHaY18a8A9IcSdp1K8H6x8fbOy06t2VsZHhMHf-1x7Y/edit?usp=sharing"",""แผน!X19"")"),5)</f>
        <v>5</v>
      </c>
      <c r="J153" s="466">
        <v>0</v>
      </c>
      <c r="K153" s="224">
        <f ca="1">IF(I153&gt;0,J153*100/I153,0)</f>
        <v>0</v>
      </c>
      <c r="L153" s="465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IFERROR(__xludf.DUMMYFUNCTION("IMPORTRANGE(""https://docs.google.com/spreadsheets/d/1eHaY18a8A9IcSdp1K8H6x8fbOy06t2VsZHhMHf-1x7Y/edit?usp=sharing"",""แผน!Y19"")"),2)</f>
        <v>2</v>
      </c>
      <c r="J154" s="466">
        <v>0</v>
      </c>
      <c r="K154" s="224">
        <f ca="1">IF(I154&gt;0,J154*100/I154,0)</f>
        <v>0</v>
      </c>
      <c r="L154" s="465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hidden="1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665">
        <f ca="1">I169</f>
        <v>0</v>
      </c>
      <c r="J156" s="665">
        <f>J169</f>
        <v>0</v>
      </c>
      <c r="K156" s="664">
        <f ca="1">IF(I156&gt;0,J156*100/I156,0)</f>
        <v>0</v>
      </c>
      <c r="L156" s="510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hidden="1" x14ac:dyDescent="0.3">
      <c r="A157" s="128"/>
      <c r="B157" s="40"/>
      <c r="C157" s="129" t="s">
        <v>18</v>
      </c>
      <c r="D157" s="472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471">
        <f ca="1">L158+L159</f>
        <v>0</v>
      </c>
      <c r="M157" s="470">
        <f ca="1">M158+M159</f>
        <v>2080</v>
      </c>
      <c r="N157" s="470">
        <f ca="1">N158+N159</f>
        <v>0</v>
      </c>
      <c r="O157" s="470">
        <f t="shared" ref="O157:O165" ca="1" si="47">IF(L157&gt;0,N157*100/L157,0)</f>
        <v>0</v>
      </c>
      <c r="P157" s="470">
        <f t="shared" ref="P157:P165" ca="1" si="48">IF(M157&gt;0,N157*100/M157,0)</f>
        <v>0</v>
      </c>
      <c r="Q157" s="470">
        <f ca="1">Q158+Q159</f>
        <v>0</v>
      </c>
      <c r="R157" s="470">
        <f ca="1">R158+R159</f>
        <v>0</v>
      </c>
      <c r="S157" s="470">
        <f ca="1">S158+S159</f>
        <v>0</v>
      </c>
      <c r="T157" s="470">
        <f t="shared" ref="T157:T165" ca="1" si="49">IF(Q157&gt;0,S157*100/Q157,0)</f>
        <v>0</v>
      </c>
      <c r="U157" s="470">
        <f t="shared" ref="U157:U165" ca="1" si="50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469">
        <f t="shared" ref="L158:N159" si="51">L161+L164</f>
        <v>0</v>
      </c>
      <c r="M158" s="83">
        <f t="shared" si="51"/>
        <v>0</v>
      </c>
      <c r="N158" s="83">
        <f t="shared" si="51"/>
        <v>0</v>
      </c>
      <c r="O158" s="83">
        <f t="shared" si="47"/>
        <v>0</v>
      </c>
      <c r="P158" s="83">
        <f t="shared" si="48"/>
        <v>0</v>
      </c>
      <c r="Q158" s="83">
        <f t="shared" ref="Q158:S159" si="52">Q161+Q164</f>
        <v>0</v>
      </c>
      <c r="R158" s="83">
        <f t="shared" si="52"/>
        <v>0</v>
      </c>
      <c r="S158" s="83">
        <f t="shared" si="52"/>
        <v>0</v>
      </c>
      <c r="T158" s="83">
        <f t="shared" si="49"/>
        <v>0</v>
      </c>
      <c r="U158" s="83">
        <f t="shared" si="50"/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468">
        <f t="shared" ca="1" si="51"/>
        <v>0</v>
      </c>
      <c r="M159" s="224">
        <f t="shared" ca="1" si="51"/>
        <v>2080</v>
      </c>
      <c r="N159" s="224">
        <f t="shared" ca="1" si="51"/>
        <v>0</v>
      </c>
      <c r="O159" s="224">
        <f t="shared" ca="1" si="47"/>
        <v>0</v>
      </c>
      <c r="P159" s="224">
        <f t="shared" ca="1" si="48"/>
        <v>0</v>
      </c>
      <c r="Q159" s="224">
        <f t="shared" ca="1" si="52"/>
        <v>0</v>
      </c>
      <c r="R159" s="224">
        <f t="shared" ca="1" si="52"/>
        <v>0</v>
      </c>
      <c r="S159" s="224">
        <f t="shared" ca="1" si="52"/>
        <v>0</v>
      </c>
      <c r="T159" s="224">
        <f t="shared" ca="1" si="49"/>
        <v>0</v>
      </c>
      <c r="U159" s="224">
        <f t="shared" ca="1" si="50"/>
        <v>0</v>
      </c>
    </row>
    <row r="160" spans="1:21" ht="18.75" hidden="1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468">
        <f ca="1">L161+L162</f>
        <v>0</v>
      </c>
      <c r="M160" s="224">
        <f ca="1">M161+M162</f>
        <v>2080</v>
      </c>
      <c r="N160" s="224">
        <f ca="1">N161+N162</f>
        <v>0</v>
      </c>
      <c r="O160" s="224">
        <f t="shared" ca="1" si="47"/>
        <v>0</v>
      </c>
      <c r="P160" s="224">
        <f t="shared" ca="1" si="48"/>
        <v>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t="shared" ca="1" si="49"/>
        <v>0</v>
      </c>
      <c r="U160" s="224">
        <f t="shared" ca="1" si="50"/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469">
        <v>0</v>
      </c>
      <c r="M161" s="83">
        <v>0</v>
      </c>
      <c r="N161" s="83">
        <v>0</v>
      </c>
      <c r="O161" s="83">
        <f t="shared" si="47"/>
        <v>0</v>
      </c>
      <c r="P161" s="83">
        <f t="shared" si="48"/>
        <v>0</v>
      </c>
      <c r="Q161" s="83">
        <v>0</v>
      </c>
      <c r="R161" s="83">
        <v>0</v>
      </c>
      <c r="S161" s="83">
        <v>0</v>
      </c>
      <c r="T161" s="83">
        <f t="shared" si="49"/>
        <v>0</v>
      </c>
      <c r="U161" s="83">
        <f t="shared" si="50"/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468">
        <f ca="1">IFERROR(__xludf.DUMMYFUNCTION("IMPORTRANGE(""https://docs.google.com/spreadsheets/d/1-uDff_7J0KD5mKrp0Vvzr7lt3OU09vwQwhkpOPPYv2Y/edit?usp=sharing"",""งบพรบ!CA19"")"),0)</f>
        <v>0</v>
      </c>
      <c r="M162" s="224">
        <f ca="1">IFERROR(__xludf.DUMMYFUNCTION("IMPORTRANGE(""https://docs.google.com/spreadsheets/d/1-uDff_7J0KD5mKrp0Vvzr7lt3OU09vwQwhkpOPPYv2Y/edit?usp=sharing"",""งบพรบ!CF19"")"),2080)</f>
        <v>2080</v>
      </c>
      <c r="N162" s="224">
        <f ca="1">IFERROR(__xludf.DUMMYFUNCTION("IMPORTRANGE(""https://docs.google.com/spreadsheets/d/1-uDff_7J0KD5mKrp0Vvzr7lt3OU09vwQwhkpOPPYv2Y/edit?usp=sharing"",""งบพรบ!CH19"")"),0)</f>
        <v>0</v>
      </c>
      <c r="O162" s="224">
        <f t="shared" ca="1" si="47"/>
        <v>0</v>
      </c>
      <c r="P162" s="224">
        <f t="shared" ca="1" si="48"/>
        <v>0</v>
      </c>
      <c r="Q162" s="224">
        <f ca="1">IFERROR(__xludf.DUMMYFUNCTION("IMPORTRANGE(""https://docs.google.com/spreadsheets/d/1ItG2mGa2ceCfYo0BwxsXqNm01IGEUdYcSSLTEv9YCik/edit?usp=sharing"",""เบิกจ่ายกองทุน!AG19"")"),0)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IFERROR(__xludf.DUMMYFUNCTION("IMPORTRANGE(""https://docs.google.com/spreadsheets/d/1ItG2mGa2ceCfYo0BwxsXqNm01IGEUdYcSSLTEv9YCik/edit?usp=sharing"",""เบิกจ่ายกองทุน!AH19"")"),0)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IFERROR(__xludf.DUMMYFUNCTION("IMPORTRANGE(""https://docs.google.com/spreadsheets/d/1ItG2mGa2ceCfYo0BwxsXqNm01IGEUdYcSSLTEv9YCik/edit?usp=sharing"",""เบิกจ่ายกองทุน!AI19"")"),0)</f>
        <v>0</v>
      </c>
      <c r="T162" s="224">
        <f t="shared" ca="1" si="49"/>
        <v>0</v>
      </c>
      <c r="U162" s="224">
        <f t="shared" ca="1" si="50"/>
        <v>0</v>
      </c>
    </row>
    <row r="163" spans="1:21" ht="18.75" hidden="1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468">
        <f ca="1">L164+L165</f>
        <v>0</v>
      </c>
      <c r="M163" s="224">
        <f ca="1">M164+M165</f>
        <v>0</v>
      </c>
      <c r="N163" s="224">
        <f ca="1">N164+N165</f>
        <v>0</v>
      </c>
      <c r="O163" s="224">
        <f t="shared" ca="1" si="47"/>
        <v>0</v>
      </c>
      <c r="P163" s="224">
        <f t="shared" ca="1" si="48"/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 t="shared" si="49"/>
        <v>0</v>
      </c>
      <c r="U163" s="224">
        <f t="shared" si="50"/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469">
        <v>0</v>
      </c>
      <c r="M164" s="83">
        <v>0</v>
      </c>
      <c r="N164" s="83">
        <v>0</v>
      </c>
      <c r="O164" s="83">
        <f t="shared" si="47"/>
        <v>0</v>
      </c>
      <c r="P164" s="83">
        <f t="shared" si="48"/>
        <v>0</v>
      </c>
      <c r="Q164" s="83">
        <v>0</v>
      </c>
      <c r="R164" s="83">
        <v>0</v>
      </c>
      <c r="S164" s="83">
        <v>0</v>
      </c>
      <c r="T164" s="83">
        <f t="shared" si="49"/>
        <v>0</v>
      </c>
      <c r="U164" s="83">
        <f t="shared" si="50"/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468">
        <f ca="1">IFERROR(__xludf.DUMMYFUNCTION("IMPORTRANGE(""https://docs.google.com/spreadsheets/d/1-uDff_7J0KD5mKrp0Vvzr7lt3OU09vwQwhkpOPPYv2Y/edit?usp=sharing"",""งบพรบ!CD19"")"),0)</f>
        <v>0</v>
      </c>
      <c r="M165" s="224">
        <f ca="1">IFERROR(__xludf.DUMMYFUNCTION("IMPORTRANGE(""https://docs.google.com/spreadsheets/d/1-uDff_7J0KD5mKrp0Vvzr7lt3OU09vwQwhkpOPPYv2Y/edit?usp=sharing"",""งบพรบ!CG19"")"),0)</f>
        <v>0</v>
      </c>
      <c r="N165" s="224">
        <f ca="1">IFERROR(__xludf.DUMMYFUNCTION("IMPORTRANGE(""https://docs.google.com/spreadsheets/d/1-uDff_7J0KD5mKrp0Vvzr7lt3OU09vwQwhkpOPPYv2Y/edit?usp=sharing"",""งบพรบ!CI19"")"),0)</f>
        <v>0</v>
      </c>
      <c r="O165" s="224">
        <f t="shared" ca="1" si="47"/>
        <v>0</v>
      </c>
      <c r="P165" s="224">
        <f t="shared" ca="1" si="48"/>
        <v>0</v>
      </c>
      <c r="Q165" s="224">
        <v>0</v>
      </c>
      <c r="R165" s="224">
        <v>0</v>
      </c>
      <c r="S165" s="224">
        <v>0</v>
      </c>
      <c r="T165" s="224">
        <f t="shared" si="49"/>
        <v>0</v>
      </c>
      <c r="U165" s="224">
        <f t="shared" si="50"/>
        <v>0</v>
      </c>
    </row>
    <row r="166" spans="1:21" ht="19.5" hidden="1" x14ac:dyDescent="0.3">
      <c r="A166" s="138"/>
      <c r="B166" s="139"/>
      <c r="C166" s="129" t="s">
        <v>18</v>
      </c>
      <c r="D166" s="498" t="s">
        <v>38</v>
      </c>
      <c r="E166" s="141"/>
      <c r="F166" s="141"/>
      <c r="G166" s="142"/>
      <c r="H166" s="178"/>
      <c r="I166" s="44"/>
      <c r="J166" s="44"/>
      <c r="K166" s="45"/>
      <c r="L166" s="465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hidden="1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IFERROR(__xludf.DUMMYFUNCTION("IMPORTRANGE(""https://docs.google.com/spreadsheets/d/1eHaY18a8A9IcSdp1K8H6x8fbOy06t2VsZHhMHf-1x7Y/edit?usp=sharing"",""แผน!Z19"")"),0)</f>
        <v>0</v>
      </c>
      <c r="J167" s="466">
        <v>0</v>
      </c>
      <c r="K167" s="224">
        <f ca="1">IF(I167&gt;0,J167*100/I167,0)</f>
        <v>0</v>
      </c>
      <c r="L167" s="465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375" t="s">
        <v>35</v>
      </c>
      <c r="I168" s="430">
        <f ca="1">IFERROR(__xludf.DUMMYFUNCTION("IMPORTRANGE(""https://docs.google.com/spreadsheets/d/1eHaY18a8A9IcSdp1K8H6x8fbOy06t2VsZHhMHf-1x7Y/edit?usp=sharing"",""แผน!Z19"")"),0)</f>
        <v>0</v>
      </c>
      <c r="J168" s="525">
        <v>0</v>
      </c>
      <c r="K168" s="83">
        <f ca="1">IF(I168&gt;0,J168*100/I168,0)</f>
        <v>0</v>
      </c>
      <c r="L168" s="465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31" t="s">
        <v>71</v>
      </c>
      <c r="E169" s="1"/>
      <c r="F169" s="1"/>
      <c r="G169" s="52"/>
      <c r="H169" s="663" t="s">
        <v>35</v>
      </c>
      <c r="I169" s="433">
        <f ca="1">IFERROR(__xludf.DUMMYFUNCTION("IMPORTRANGE(""https://docs.google.com/spreadsheets/d/1eHaY18a8A9IcSdp1K8H6x8fbOy06t2VsZHhMHf-1x7Y/edit?usp=sharing"",""แผน!Z19"")"),0)</f>
        <v>0</v>
      </c>
      <c r="J169" s="522">
        <v>0</v>
      </c>
      <c r="K169" s="521">
        <f ca="1">IF(I169&gt;0,J169*100/I169,0)</f>
        <v>0</v>
      </c>
      <c r="L169" s="46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662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661">
        <f ca="1">I183+I184</f>
        <v>7</v>
      </c>
      <c r="J172" s="661">
        <f>J183+J184</f>
        <v>7</v>
      </c>
      <c r="K172" s="660">
        <f ca="1">IF(I172&gt;0,J172*100/I172,0)</f>
        <v>100</v>
      </c>
      <c r="L172" s="659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472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471">
        <f ca="1">L174+L175</f>
        <v>19590</v>
      </c>
      <c r="M173" s="470">
        <f ca="1">M174+M175</f>
        <v>228195</v>
      </c>
      <c r="N173" s="470">
        <f ca="1">N174+N175</f>
        <v>202565</v>
      </c>
      <c r="O173" s="470">
        <f t="shared" ref="O173:O181" ca="1" si="53">IF(L173&gt;0,N173*100/L173,0)</f>
        <v>1034.0224604389996</v>
      </c>
      <c r="P173" s="470">
        <f t="shared" ref="P173:P181" ca="1" si="54">IF(M173&gt;0,N173*100/M173,0)</f>
        <v>88.76837792239094</v>
      </c>
      <c r="Q173" s="470">
        <f ca="1">Q174+Q175</f>
        <v>0</v>
      </c>
      <c r="R173" s="470">
        <f ca="1">R174+R175</f>
        <v>0</v>
      </c>
      <c r="S173" s="470">
        <f ca="1">S174+S175</f>
        <v>0</v>
      </c>
      <c r="T173" s="470">
        <f t="shared" ref="T173:T181" ca="1" si="55">IF(Q173&gt;0,S173*100/Q173,0)</f>
        <v>0</v>
      </c>
      <c r="U173" s="470">
        <f t="shared" ref="U173:U181" ca="1" si="56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469">
        <f t="shared" ref="L174:N175" si="57">L177+L180</f>
        <v>0</v>
      </c>
      <c r="M174" s="83">
        <f t="shared" si="57"/>
        <v>0</v>
      </c>
      <c r="N174" s="83">
        <f t="shared" si="57"/>
        <v>0</v>
      </c>
      <c r="O174" s="83">
        <f t="shared" si="53"/>
        <v>0</v>
      </c>
      <c r="P174" s="83">
        <f t="shared" si="54"/>
        <v>0</v>
      </c>
      <c r="Q174" s="83">
        <f t="shared" ref="Q174:S175" si="58">Q177+Q180</f>
        <v>0</v>
      </c>
      <c r="R174" s="83">
        <f t="shared" si="58"/>
        <v>0</v>
      </c>
      <c r="S174" s="83">
        <f t="shared" si="58"/>
        <v>0</v>
      </c>
      <c r="T174" s="83">
        <f t="shared" si="55"/>
        <v>0</v>
      </c>
      <c r="U174" s="83">
        <f t="shared" si="56"/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468">
        <f t="shared" ca="1" si="57"/>
        <v>19590</v>
      </c>
      <c r="M175" s="224">
        <f t="shared" ca="1" si="57"/>
        <v>228195</v>
      </c>
      <c r="N175" s="224">
        <f t="shared" ca="1" si="57"/>
        <v>202565</v>
      </c>
      <c r="O175" s="224">
        <f t="shared" ca="1" si="53"/>
        <v>1034.0224604389996</v>
      </c>
      <c r="P175" s="224">
        <f t="shared" ca="1" si="54"/>
        <v>88.76837792239094</v>
      </c>
      <c r="Q175" s="224">
        <f t="shared" ca="1" si="58"/>
        <v>0</v>
      </c>
      <c r="R175" s="224">
        <f t="shared" ca="1" si="58"/>
        <v>0</v>
      </c>
      <c r="S175" s="224">
        <f t="shared" ca="1" si="58"/>
        <v>0</v>
      </c>
      <c r="T175" s="224">
        <f t="shared" ca="1" si="55"/>
        <v>0</v>
      </c>
      <c r="U175" s="224">
        <f t="shared" ca="1" si="56"/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468">
        <f ca="1">L177+L178</f>
        <v>19590</v>
      </c>
      <c r="M176" s="224">
        <f ca="1">M177+M178</f>
        <v>228195</v>
      </c>
      <c r="N176" s="224">
        <f ca="1">N177+N178</f>
        <v>202565</v>
      </c>
      <c r="O176" s="224">
        <f t="shared" ca="1" si="53"/>
        <v>1034.0224604389996</v>
      </c>
      <c r="P176" s="224">
        <f t="shared" ca="1" si="54"/>
        <v>88.76837792239094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t="shared" ca="1" si="55"/>
        <v>0</v>
      </c>
      <c r="U176" s="224">
        <f t="shared" ca="1" si="56"/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469">
        <v>0</v>
      </c>
      <c r="M177" s="83">
        <v>0</v>
      </c>
      <c r="N177" s="83">
        <v>0</v>
      </c>
      <c r="O177" s="83">
        <f t="shared" si="53"/>
        <v>0</v>
      </c>
      <c r="P177" s="83">
        <f t="shared" si="54"/>
        <v>0</v>
      </c>
      <c r="Q177" s="83">
        <v>0</v>
      </c>
      <c r="R177" s="83">
        <v>0</v>
      </c>
      <c r="S177" s="83">
        <v>0</v>
      </c>
      <c r="T177" s="83">
        <f t="shared" si="55"/>
        <v>0</v>
      </c>
      <c r="U177" s="83">
        <f t="shared" si="56"/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468">
        <f ca="1">IFERROR(__xludf.DUMMYFUNCTION("IMPORTRANGE(""https://docs.google.com/spreadsheets/d/1-uDff_7J0KD5mKrp0Vvzr7lt3OU09vwQwhkpOPPYv2Y/edit?usp=sharing"",""งบพรบ!CK19"")"),19590)</f>
        <v>19590</v>
      </c>
      <c r="M178" s="224">
        <f ca="1">IFERROR(__xludf.DUMMYFUNCTION("IMPORTRANGE(""https://docs.google.com/spreadsheets/d/1-uDff_7J0KD5mKrp0Vvzr7lt3OU09vwQwhkpOPPYv2Y/edit?usp=sharing"",""งบพรบ!CP19"")"),228195)</f>
        <v>228195</v>
      </c>
      <c r="N178" s="224">
        <f ca="1">IFERROR(__xludf.DUMMYFUNCTION("IMPORTRANGE(""https://docs.google.com/spreadsheets/d/1-uDff_7J0KD5mKrp0Vvzr7lt3OU09vwQwhkpOPPYv2Y/edit?usp=sharing"",""งบพรบ!CR19"")"),202565)</f>
        <v>202565</v>
      </c>
      <c r="O178" s="224">
        <f t="shared" ca="1" si="53"/>
        <v>1034.0224604389996</v>
      </c>
      <c r="P178" s="224">
        <f t="shared" ca="1" si="54"/>
        <v>88.76837792239094</v>
      </c>
      <c r="Q178" s="224">
        <f ca="1">IFERROR(__xludf.DUMMYFUNCTION("IMPORTRANGE(""https://docs.google.com/spreadsheets/d/1ItG2mGa2ceCfYo0BwxsXqNm01IGEUdYcSSLTEv9YCik/edit?usp=sharing"",""เบิกจ่ายกองทุน!BE19"")"),0)</f>
        <v>0</v>
      </c>
      <c r="R178" s="224">
        <f ca="1">IFERROR(__xludf.DUMMYFUNCTION("IMPORTRANGE(""https://docs.google.com/spreadsheets/d/1ItG2mGa2ceCfYo0BwxsXqNm01IGEUdYcSSLTEv9YCik/edit?usp=sharing"",""เบิกจ่ายกองทุน!BF19"")"),0)</f>
        <v>0</v>
      </c>
      <c r="S178" s="224">
        <f ca="1">IFERROR(__xludf.DUMMYFUNCTION("IMPORTRANGE(""https://docs.google.com/spreadsheets/d/1ItG2mGa2ceCfYo0BwxsXqNm01IGEUdYcSSLTEv9YCik/edit?usp=sharing"",""เบิกจ่ายกองทุน!BG19"")"),0)</f>
        <v>0</v>
      </c>
      <c r="T178" s="224">
        <f t="shared" ca="1" si="55"/>
        <v>0</v>
      </c>
      <c r="U178" s="224">
        <f t="shared" ca="1" si="56"/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468">
        <f ca="1">L180+L181</f>
        <v>0</v>
      </c>
      <c r="M179" s="224">
        <f ca="1">M180+M181</f>
        <v>0</v>
      </c>
      <c r="N179" s="224">
        <f ca="1">N180+N181</f>
        <v>0</v>
      </c>
      <c r="O179" s="224">
        <f t="shared" ca="1" si="53"/>
        <v>0</v>
      </c>
      <c r="P179" s="224">
        <f t="shared" ca="1" si="54"/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 t="shared" si="55"/>
        <v>0</v>
      </c>
      <c r="U179" s="224">
        <f t="shared" si="56"/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469">
        <v>0</v>
      </c>
      <c r="M180" s="83">
        <v>0</v>
      </c>
      <c r="N180" s="83">
        <v>0</v>
      </c>
      <c r="O180" s="83">
        <f t="shared" si="53"/>
        <v>0</v>
      </c>
      <c r="P180" s="83">
        <f t="shared" si="54"/>
        <v>0</v>
      </c>
      <c r="Q180" s="83">
        <v>0</v>
      </c>
      <c r="R180" s="83">
        <v>0</v>
      </c>
      <c r="S180" s="83">
        <v>0</v>
      </c>
      <c r="T180" s="83">
        <f t="shared" si="55"/>
        <v>0</v>
      </c>
      <c r="U180" s="83">
        <f t="shared" si="56"/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468">
        <f ca="1">IFERROR(__xludf.DUMMYFUNCTION("IMPORTRANGE(""https://docs.google.com/spreadsheets/d/1-uDff_7J0KD5mKrp0Vvzr7lt3OU09vwQwhkpOPPYv2Y/edit?usp=sharing"",""งบพรบ!CN19"")"),0)</f>
        <v>0</v>
      </c>
      <c r="M181" s="224">
        <f ca="1">IFERROR(__xludf.DUMMYFUNCTION("IMPORTRANGE(""https://docs.google.com/spreadsheets/d/1-uDff_7J0KD5mKrp0Vvzr7lt3OU09vwQwhkpOPPYv2Y/edit?usp=sharing"",""งบพรบ!CQ19"")"),0)</f>
        <v>0</v>
      </c>
      <c r="N181" s="224">
        <f ca="1">IFERROR(__xludf.DUMMYFUNCTION("IMPORTRANGE(""https://docs.google.com/spreadsheets/d/1-uDff_7J0KD5mKrp0Vvzr7lt3OU09vwQwhkpOPPYv2Y/edit?usp=sharing"",""งบพรบ!CS19"")"),0)</f>
        <v>0</v>
      </c>
      <c r="O181" s="224">
        <f t="shared" ca="1" si="53"/>
        <v>0</v>
      </c>
      <c r="P181" s="224">
        <f t="shared" ca="1" si="54"/>
        <v>0</v>
      </c>
      <c r="Q181" s="224">
        <v>0</v>
      </c>
      <c r="R181" s="224">
        <v>0</v>
      </c>
      <c r="S181" s="224">
        <v>0</v>
      </c>
      <c r="T181" s="224">
        <f t="shared" si="55"/>
        <v>0</v>
      </c>
      <c r="U181" s="224">
        <f t="shared" si="56"/>
        <v>0</v>
      </c>
    </row>
    <row r="182" spans="1:21" ht="19.5" x14ac:dyDescent="0.3">
      <c r="A182" s="138"/>
      <c r="B182" s="139"/>
      <c r="C182" s="129" t="s">
        <v>18</v>
      </c>
      <c r="D182" s="498" t="s">
        <v>38</v>
      </c>
      <c r="E182" s="141"/>
      <c r="F182" s="141"/>
      <c r="G182" s="142"/>
      <c r="H182" s="178"/>
      <c r="I182" s="44"/>
      <c r="J182" s="44"/>
      <c r="K182" s="45"/>
      <c r="L182" s="465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IFERROR(__xludf.DUMMYFUNCTION("IMPORTRANGE(""https://docs.google.com/spreadsheets/d/1eHaY18a8A9IcSdp1K8H6x8fbOy06t2VsZHhMHf-1x7Y/edit?usp=sharing"",""แผน!AA19"")"),7)</f>
        <v>7</v>
      </c>
      <c r="J183" s="466">
        <v>7</v>
      </c>
      <c r="K183" s="224">
        <f ca="1">IF(I183&gt;0,J183*100/I183,0)</f>
        <v>100</v>
      </c>
      <c r="L183" s="465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14" t="s">
        <v>76</v>
      </c>
      <c r="E184" s="40"/>
      <c r="F184" s="40"/>
      <c r="G184" s="42"/>
      <c r="H184" s="526" t="s">
        <v>35</v>
      </c>
      <c r="I184" s="430">
        <v>0</v>
      </c>
      <c r="J184" s="430">
        <v>0</v>
      </c>
      <c r="K184" s="83">
        <f>IF(I184&gt;0,J184*100/I184,0)</f>
        <v>0</v>
      </c>
      <c r="L184" s="465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661">
        <f ca="1">I230+I231</f>
        <v>70</v>
      </c>
      <c r="J185" s="661">
        <f>J230+J231</f>
        <v>120</v>
      </c>
      <c r="K185" s="660">
        <f ca="1">IF(I185&gt;0,J185*100/I185,0)</f>
        <v>171.42857142857142</v>
      </c>
      <c r="L185" s="659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472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471">
        <f ca="1">L187+L188</f>
        <v>389800</v>
      </c>
      <c r="M186" s="470">
        <f ca="1">M187+M188</f>
        <v>342000</v>
      </c>
      <c r="N186" s="470">
        <f ca="1">N187+N188</f>
        <v>188943</v>
      </c>
      <c r="O186" s="470">
        <f t="shared" ref="O186:O194" ca="1" si="59">IF(L186&gt;0,N186*100/L186,0)</f>
        <v>48.471780400205233</v>
      </c>
      <c r="P186" s="470">
        <f t="shared" ref="P186:P194" ca="1" si="60">IF(M186&gt;0,N186*100/M186,0)</f>
        <v>55.246491228070177</v>
      </c>
      <c r="Q186" s="470">
        <f ca="1">Q187+Q188</f>
        <v>212000</v>
      </c>
      <c r="R186" s="470">
        <f ca="1">R187+R188</f>
        <v>212000</v>
      </c>
      <c r="S186" s="470">
        <f ca="1">S187+S188</f>
        <v>84280</v>
      </c>
      <c r="T186" s="470">
        <f t="shared" ref="T186:T194" ca="1" si="61">IF(Q186&gt;0,S186*100/Q186,0)</f>
        <v>39.754716981132077</v>
      </c>
      <c r="U186" s="470">
        <f t="shared" ref="U186:U194" ca="1" si="62">IF(R186&gt;0,S186*100/R186,0)</f>
        <v>39.754716981132077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469">
        <f t="shared" ref="L187:N188" si="63">L190+L193</f>
        <v>0</v>
      </c>
      <c r="M187" s="83">
        <f t="shared" si="63"/>
        <v>0</v>
      </c>
      <c r="N187" s="83">
        <f t="shared" si="63"/>
        <v>0</v>
      </c>
      <c r="O187" s="83">
        <f t="shared" si="59"/>
        <v>0</v>
      </c>
      <c r="P187" s="83">
        <f t="shared" si="60"/>
        <v>0</v>
      </c>
      <c r="Q187" s="83">
        <f t="shared" ref="Q187:S188" si="64">Q190+Q193</f>
        <v>0</v>
      </c>
      <c r="R187" s="83">
        <f t="shared" si="64"/>
        <v>0</v>
      </c>
      <c r="S187" s="83">
        <f t="shared" si="64"/>
        <v>0</v>
      </c>
      <c r="T187" s="83">
        <f t="shared" si="61"/>
        <v>0</v>
      </c>
      <c r="U187" s="83">
        <f t="shared" si="62"/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468">
        <f t="shared" ca="1" si="63"/>
        <v>389800</v>
      </c>
      <c r="M188" s="224">
        <f t="shared" ca="1" si="63"/>
        <v>342000</v>
      </c>
      <c r="N188" s="224">
        <f t="shared" ca="1" si="63"/>
        <v>188943</v>
      </c>
      <c r="O188" s="224">
        <f t="shared" ca="1" si="59"/>
        <v>48.471780400205233</v>
      </c>
      <c r="P188" s="224">
        <f t="shared" ca="1" si="60"/>
        <v>55.246491228070177</v>
      </c>
      <c r="Q188" s="224">
        <f t="shared" ca="1" si="64"/>
        <v>212000</v>
      </c>
      <c r="R188" s="224">
        <f t="shared" ca="1" si="64"/>
        <v>212000</v>
      </c>
      <c r="S188" s="224">
        <f t="shared" ca="1" si="64"/>
        <v>84280</v>
      </c>
      <c r="T188" s="224">
        <f t="shared" ca="1" si="61"/>
        <v>39.754716981132077</v>
      </c>
      <c r="U188" s="224">
        <f t="shared" ca="1" si="62"/>
        <v>39.754716981132077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468">
        <f ca="1">L190+L191</f>
        <v>389800</v>
      </c>
      <c r="M189" s="224">
        <f ca="1">M190+M191</f>
        <v>342000</v>
      </c>
      <c r="N189" s="224">
        <f ca="1">N190+N191</f>
        <v>188943</v>
      </c>
      <c r="O189" s="224">
        <f t="shared" ca="1" si="59"/>
        <v>48.471780400205233</v>
      </c>
      <c r="P189" s="224">
        <f t="shared" ca="1" si="60"/>
        <v>55.246491228070177</v>
      </c>
      <c r="Q189" s="224">
        <f ca="1">Q190+Q191</f>
        <v>212000</v>
      </c>
      <c r="R189" s="224">
        <f ca="1">R190+R191</f>
        <v>212000</v>
      </c>
      <c r="S189" s="224">
        <f ca="1">S190+S191</f>
        <v>84280</v>
      </c>
      <c r="T189" s="224">
        <f t="shared" ca="1" si="61"/>
        <v>39.754716981132077</v>
      </c>
      <c r="U189" s="224">
        <f t="shared" ca="1" si="62"/>
        <v>39.754716981132077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469">
        <v>0</v>
      </c>
      <c r="M190" s="83">
        <v>0</v>
      </c>
      <c r="N190" s="83">
        <v>0</v>
      </c>
      <c r="O190" s="83">
        <f t="shared" si="59"/>
        <v>0</v>
      </c>
      <c r="P190" s="83">
        <f t="shared" si="60"/>
        <v>0</v>
      </c>
      <c r="Q190" s="83">
        <v>0</v>
      </c>
      <c r="R190" s="83">
        <v>0</v>
      </c>
      <c r="S190" s="83">
        <v>0</v>
      </c>
      <c r="T190" s="83">
        <f t="shared" si="61"/>
        <v>0</v>
      </c>
      <c r="U190" s="83">
        <f t="shared" si="62"/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468">
        <f ca="1">IFERROR(__xludf.DUMMYFUNCTION("IMPORTRANGE(""https://docs.google.com/spreadsheets/d/1-uDff_7J0KD5mKrp0Vvzr7lt3OU09vwQwhkpOPPYv2Y/edit?usp=sharing"",""งบพรบ!CU19"")"),389800)</f>
        <v>389800</v>
      </c>
      <c r="M191" s="224">
        <f ca="1">IFERROR(__xludf.DUMMYFUNCTION("IMPORTRANGE(""https://docs.google.com/spreadsheets/d/1-uDff_7J0KD5mKrp0Vvzr7lt3OU09vwQwhkpOPPYv2Y/edit?usp=sharing"",""งบพรบ!CZ19"")"),342000)</f>
        <v>342000</v>
      </c>
      <c r="N191" s="224">
        <f ca="1">IFERROR(__xludf.DUMMYFUNCTION("IMPORTRANGE(""https://docs.google.com/spreadsheets/d/1-uDff_7J0KD5mKrp0Vvzr7lt3OU09vwQwhkpOPPYv2Y/edit?usp=sharing"",""งบพรบ!DB19"")"),188943)</f>
        <v>188943</v>
      </c>
      <c r="O191" s="224">
        <f t="shared" ca="1" si="59"/>
        <v>48.471780400205233</v>
      </c>
      <c r="P191" s="224">
        <f t="shared" ca="1" si="60"/>
        <v>55.246491228070177</v>
      </c>
      <c r="Q191" s="224">
        <f ca="1">IFERROR(__xludf.DUMMYFUNCTION("IMPORTRANGE(""https://docs.google.com/spreadsheets/d/1ItG2mGa2ceCfYo0BwxsXqNm01IGEUdYcSSLTEv9YCik/edit?usp=sharing"",""เบิกจ่ายกองทุน!AV19"")"),212000)</f>
        <v>212000</v>
      </c>
      <c r="R191" s="224">
        <f ca="1">IFERROR(__xludf.DUMMYFUNCTION("IMPORTRANGE(""https://docs.google.com/spreadsheets/d/1ItG2mGa2ceCfYo0BwxsXqNm01IGEUdYcSSLTEv9YCik/edit?usp=sharing"",""เบิกจ่ายกองทุน!AW19"")"),212000)</f>
        <v>212000</v>
      </c>
      <c r="S191" s="224">
        <f ca="1">IFERROR(__xludf.DUMMYFUNCTION("IMPORTRANGE(""https://docs.google.com/spreadsheets/d/1ItG2mGa2ceCfYo0BwxsXqNm01IGEUdYcSSLTEv9YCik/edit?usp=sharing"",""เบิกจ่ายกองทุน!AX19"")"),84280)</f>
        <v>84280</v>
      </c>
      <c r="T191" s="224">
        <f t="shared" ca="1" si="61"/>
        <v>39.754716981132077</v>
      </c>
      <c r="U191" s="224">
        <f t="shared" ca="1" si="62"/>
        <v>39.754716981132077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468">
        <f ca="1">L193+L194</f>
        <v>0</v>
      </c>
      <c r="M192" s="224">
        <f ca="1">M193+M194</f>
        <v>0</v>
      </c>
      <c r="N192" s="224">
        <f ca="1">N193+N194</f>
        <v>0</v>
      </c>
      <c r="O192" s="224">
        <f t="shared" ca="1" si="59"/>
        <v>0</v>
      </c>
      <c r="P192" s="224">
        <f t="shared" ca="1" si="60"/>
        <v>0</v>
      </c>
      <c r="Q192" s="224">
        <f>Q193+Q194</f>
        <v>0</v>
      </c>
      <c r="R192" s="224">
        <f>R193+R194</f>
        <v>0</v>
      </c>
      <c r="S192" s="224">
        <f>S193+S194</f>
        <v>0</v>
      </c>
      <c r="T192" s="224">
        <f t="shared" si="61"/>
        <v>0</v>
      </c>
      <c r="U192" s="224">
        <f t="shared" si="62"/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469">
        <v>0</v>
      </c>
      <c r="M193" s="83">
        <v>0</v>
      </c>
      <c r="N193" s="83">
        <v>0</v>
      </c>
      <c r="O193" s="83">
        <f t="shared" si="59"/>
        <v>0</v>
      </c>
      <c r="P193" s="83">
        <f t="shared" si="60"/>
        <v>0</v>
      </c>
      <c r="Q193" s="83">
        <v>0</v>
      </c>
      <c r="R193" s="83">
        <v>0</v>
      </c>
      <c r="S193" s="83">
        <v>0</v>
      </c>
      <c r="T193" s="83">
        <f t="shared" si="61"/>
        <v>0</v>
      </c>
      <c r="U193" s="83">
        <f t="shared" si="62"/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468">
        <f ca="1">IFERROR(__xludf.DUMMYFUNCTION("IMPORTRANGE(""https://docs.google.com/spreadsheets/d/1-uDff_7J0KD5mKrp0Vvzr7lt3OU09vwQwhkpOPPYv2Y/edit?usp=sharing"",""งบพรบ!CX19"")"),0)</f>
        <v>0</v>
      </c>
      <c r="M194" s="224">
        <f ca="1">IFERROR(__xludf.DUMMYFUNCTION("IMPORTRANGE(""https://docs.google.com/spreadsheets/d/1-uDff_7J0KD5mKrp0Vvzr7lt3OU09vwQwhkpOPPYv2Y/edit?usp=sharing"",""งบพรบ!DA19"")"),0)</f>
        <v>0</v>
      </c>
      <c r="N194" s="224">
        <f ca="1">IFERROR(__xludf.DUMMYFUNCTION("IMPORTRANGE(""https://docs.google.com/spreadsheets/d/1-uDff_7J0KD5mKrp0Vvzr7lt3OU09vwQwhkpOPPYv2Y/edit?usp=sharing"",""งบพรบ!DC19"")"),0)</f>
        <v>0</v>
      </c>
      <c r="O194" s="224">
        <f t="shared" ca="1" si="59"/>
        <v>0</v>
      </c>
      <c r="P194" s="224">
        <f t="shared" ca="1" si="60"/>
        <v>0</v>
      </c>
      <c r="Q194" s="224">
        <v>0</v>
      </c>
      <c r="R194" s="224">
        <v>0</v>
      </c>
      <c r="S194" s="224">
        <v>0</v>
      </c>
      <c r="T194" s="224">
        <f t="shared" si="61"/>
        <v>0</v>
      </c>
      <c r="U194" s="224">
        <f t="shared" si="62"/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ca="1">I198</f>
        <v>4</v>
      </c>
      <c r="J195" s="303">
        <f>J198</f>
        <v>2</v>
      </c>
      <c r="K195" s="304">
        <f ca="1">IF(I195&gt;0,J195*100/I195,0)</f>
        <v>50</v>
      </c>
      <c r="L195" s="557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654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471">
        <f ca="1">IFERROR(__xludf.DUMMYFUNCTION("IMPORTRANGE(""https://docs.google.com/spreadsheets/d/1eHaY18a8A9IcSdp1K8H6x8fbOy06t2VsZHhMHf-1x7Y/edit?usp=sharing"",""แผน!AB19"")"),6000)</f>
        <v>6000</v>
      </c>
      <c r="M196" s="45"/>
      <c r="N196" s="658">
        <v>3380</v>
      </c>
      <c r="O196" s="470">
        <f ca="1">IF(L196&gt;0,N196*100/L196,0)</f>
        <v>56.333333333333336</v>
      </c>
      <c r="P196" s="47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498" t="s">
        <v>38</v>
      </c>
      <c r="E197" s="141"/>
      <c r="F197" s="141"/>
      <c r="G197" s="142"/>
      <c r="H197" s="143"/>
      <c r="I197" s="44"/>
      <c r="J197" s="44"/>
      <c r="K197" s="45"/>
      <c r="L197" s="465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IFERROR(__xludf.DUMMYFUNCTION("IMPORTRANGE(""https://docs.google.com/spreadsheets/d/1eHaY18a8A9IcSdp1K8H6x8fbOy06t2VsZHhMHf-1x7Y/edit?usp=sharing"",""แผน!AE19"")"),4)</f>
        <v>4</v>
      </c>
      <c r="J198" s="466">
        <v>2</v>
      </c>
      <c r="K198" s="224">
        <f ca="1">IF(I198&gt;0,J198*100/I198,0)</f>
        <v>50</v>
      </c>
      <c r="L198" s="465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0</v>
      </c>
      <c r="K199" s="45"/>
      <c r="L199" s="465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466">
        <v>0</v>
      </c>
      <c r="K200" s="45"/>
      <c r="L200" s="465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466">
        <v>0</v>
      </c>
      <c r="K201" s="45"/>
      <c r="L201" s="465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ca="1">I209</f>
        <v>4</v>
      </c>
      <c r="J202" s="303">
        <f>J209</f>
        <v>0</v>
      </c>
      <c r="K202" s="304">
        <f ca="1">IF(I202&gt;0,J202*100/I202,0)</f>
        <v>0</v>
      </c>
      <c r="L202" s="557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654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471">
        <f ca="1">L204+L205+L206+L207</f>
        <v>18000</v>
      </c>
      <c r="M203" s="45"/>
      <c r="N203" s="470">
        <f>N204+N205+N206+N207</f>
        <v>0</v>
      </c>
      <c r="O203" s="470">
        <f ca="1">IF(L203&gt;0,N203*100/L203,0)</f>
        <v>0</v>
      </c>
      <c r="P203" s="470">
        <f>IF(M203&gt;0,N203*100/M203,0)</f>
        <v>0</v>
      </c>
      <c r="Q203" s="657">
        <f ca="1">Q204+Q205+Q206+Q207</f>
        <v>56000</v>
      </c>
      <c r="R203" s="656"/>
      <c r="S203" s="655">
        <f>S204+S205+S206+S207</f>
        <v>0</v>
      </c>
      <c r="T203" s="655">
        <f ca="1">IF(Q203&gt;0,S203*100/Q203,0)</f>
        <v>0</v>
      </c>
      <c r="U203" s="655">
        <f>IF(R203&gt;0,S203*100/R203,0)</f>
        <v>0</v>
      </c>
    </row>
    <row r="204" spans="1:21" ht="18.75" x14ac:dyDescent="0.25">
      <c r="A204" s="128"/>
      <c r="B204" s="158"/>
      <c r="C204" s="40"/>
      <c r="D204" s="653" t="s">
        <v>311</v>
      </c>
      <c r="E204" s="40"/>
      <c r="F204" s="40"/>
      <c r="G204" s="42"/>
      <c r="H204" s="134" t="s">
        <v>14</v>
      </c>
      <c r="I204" s="135"/>
      <c r="J204" s="135"/>
      <c r="K204" s="136"/>
      <c r="L204" s="468">
        <f ca="1">IFERROR(__xludf.DUMMYFUNCTION("IMPORTRANGE(""https://docs.google.com/spreadsheets/d/1eHaY18a8A9IcSdp1K8H6x8fbOy06t2VsZHhMHf-1x7Y/edit?usp=sharing"",""แผน!AG19"")"),3000)</f>
        <v>3000</v>
      </c>
      <c r="M204" s="45"/>
      <c r="N204" s="644">
        <v>0</v>
      </c>
      <c r="O204" s="136"/>
      <c r="P204" s="45"/>
      <c r="Q204" s="468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307</v>
      </c>
      <c r="E205" s="40"/>
      <c r="F205" s="40"/>
      <c r="G205" s="42"/>
      <c r="H205" s="43" t="s">
        <v>14</v>
      </c>
      <c r="I205" s="44"/>
      <c r="J205" s="44"/>
      <c r="K205" s="45"/>
      <c r="L205" s="468">
        <f ca="1">IFERROR(__xludf.DUMMYFUNCTION("IMPORTRANGE(""https://docs.google.com/spreadsheets/d/1eHaY18a8A9IcSdp1K8H6x8fbOy06t2VsZHhMHf-1x7Y/edit?usp=sharing"",""แผน!AH19"")"),0)</f>
        <v>0</v>
      </c>
      <c r="M205" s="45"/>
      <c r="N205" s="644">
        <v>0</v>
      </c>
      <c r="O205" s="136"/>
      <c r="P205" s="45"/>
      <c r="Q205" s="468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468">
        <f ca="1">IFERROR(__xludf.DUMMYFUNCTION("IMPORTRANGE(""https://docs.google.com/spreadsheets/d/1eHaY18a8A9IcSdp1K8H6x8fbOy06t2VsZHhMHf-1x7Y/edit?usp=sharing"",""แผน!AI19"")"),0)</f>
        <v>0</v>
      </c>
      <c r="M206" s="45"/>
      <c r="N206" s="644">
        <v>0</v>
      </c>
      <c r="O206" s="136"/>
      <c r="P206" s="45"/>
      <c r="Q206" s="468">
        <f ca="1">IFERROR(__xludf.DUMMYFUNCTION("IMPORTRANGE(""https://docs.google.com/spreadsheets/d/1eHaY18a8A9IcSdp1K8H6x8fbOy06t2VsZHhMHf-1x7Y/edit?usp=sharing"",""แผน!LV19"")"),56000)</f>
        <v>56000</v>
      </c>
      <c r="R206" s="45"/>
      <c r="S206" s="644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468">
        <f ca="1">IFERROR(__xludf.DUMMYFUNCTION("IMPORTRANGE(""https://docs.google.com/spreadsheets/d/1eHaY18a8A9IcSdp1K8H6x8fbOy06t2VsZHhMHf-1x7Y/edit?usp=sharing"",""แผน!AJ19"")"),15000)</f>
        <v>15000</v>
      </c>
      <c r="M207" s="45"/>
      <c r="N207" s="644">
        <v>0</v>
      </c>
      <c r="O207" s="136"/>
      <c r="P207" s="45"/>
      <c r="Q207" s="468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498" t="s">
        <v>38</v>
      </c>
      <c r="E208" s="141"/>
      <c r="F208" s="141"/>
      <c r="G208" s="142"/>
      <c r="H208" s="143"/>
      <c r="I208" s="135"/>
      <c r="J208" s="135"/>
      <c r="K208" s="136"/>
      <c r="L208" s="492"/>
      <c r="M208" s="136"/>
      <c r="N208" s="136"/>
      <c r="O208" s="136"/>
      <c r="P208" s="136"/>
      <c r="Q208" s="4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IFERROR(__xludf.DUMMYFUNCTION("IMPORTRANGE(""https://docs.google.com/spreadsheets/d/1eHaY18a8A9IcSdp1K8H6x8fbOy06t2VsZHhMHf-1x7Y/edit?usp=sharing"",""แผน!AK19"")"),4)</f>
        <v>4</v>
      </c>
      <c r="J209" s="466">
        <v>0</v>
      </c>
      <c r="K209" s="497">
        <f ca="1">IF(I209&gt;0,J209*100/I209,0)</f>
        <v>0</v>
      </c>
      <c r="L209" s="465"/>
      <c r="M209" s="45"/>
      <c r="N209" s="45"/>
      <c r="O209" s="45"/>
      <c r="P209" s="45"/>
      <c r="Q209" s="465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465"/>
      <c r="M210" s="45"/>
      <c r="N210" s="45"/>
      <c r="O210" s="45"/>
      <c r="P210" s="45"/>
      <c r="Q210" s="46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IFERROR(__xludf.DUMMYFUNCTION("IMPORTRANGE(""https://docs.google.com/spreadsheets/d/1eHaY18a8A9IcSdp1K8H6x8fbOy06t2VsZHhMHf-1x7Y/edit?usp=sharing"",""แผน!JX19"")"),3)</f>
        <v>3</v>
      </c>
      <c r="J211" s="466">
        <v>0</v>
      </c>
      <c r="K211" s="497">
        <f ca="1">IF(I211&gt;0,J211*100/I211,0)</f>
        <v>0</v>
      </c>
      <c r="L211" s="465"/>
      <c r="M211" s="45"/>
      <c r="N211" s="45"/>
      <c r="O211" s="45"/>
      <c r="P211" s="45"/>
      <c r="Q211" s="46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IFERROR(__xludf.DUMMYFUNCTION("IMPORTRANGE(""https://docs.google.com/spreadsheets/d/1eHaY18a8A9IcSdp1K8H6x8fbOy06t2VsZHhMHf-1x7Y/edit?usp=sharing"",""แผน!JY19"")"),1)</f>
        <v>1</v>
      </c>
      <c r="J212" s="466">
        <v>0</v>
      </c>
      <c r="K212" s="497">
        <f ca="1">IF(I212&gt;0,J212*100/I212,0)</f>
        <v>0</v>
      </c>
      <c r="L212" s="465"/>
      <c r="M212" s="45"/>
      <c r="N212" s="45"/>
      <c r="O212" s="45"/>
      <c r="P212" s="45"/>
      <c r="Q212" s="465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ca="1">I220</f>
        <v>0</v>
      </c>
      <c r="J213" s="303">
        <f>J220</f>
        <v>0</v>
      </c>
      <c r="K213" s="304">
        <f ca="1">IF(I213&gt;0,J213*100/I213,0)</f>
        <v>0</v>
      </c>
      <c r="L213" s="557"/>
      <c r="M213" s="219"/>
      <c r="N213" s="219"/>
      <c r="O213" s="219"/>
      <c r="P213" s="219"/>
      <c r="Q213" s="557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654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471">
        <f ca="1">L215+L216+L217</f>
        <v>0</v>
      </c>
      <c r="M214" s="45"/>
      <c r="N214" s="470">
        <f>N215+N216+N217</f>
        <v>0</v>
      </c>
      <c r="O214" s="470">
        <f ca="1">IF(L214&gt;0,N214*100/L214,0)</f>
        <v>0</v>
      </c>
      <c r="P214" s="470">
        <f>IF(M214&gt;0,N214*100/M214,0)</f>
        <v>0</v>
      </c>
      <c r="Q214" s="471">
        <f ca="1">Q215+Q216+Q217</f>
        <v>0</v>
      </c>
      <c r="R214" s="45"/>
      <c r="S214" s="470">
        <f>S215+S216+S217</f>
        <v>0</v>
      </c>
      <c r="T214" s="470">
        <f ca="1">IF(Q214&gt;0,S214*100/Q214,0)</f>
        <v>0</v>
      </c>
      <c r="U214" s="470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468">
        <f ca="1">IFERROR(__xludf.DUMMYFUNCTION("IMPORTRANGE(""https://docs.google.com/spreadsheets/d/1eHaY18a8A9IcSdp1K8H6x8fbOy06t2VsZHhMHf-1x7Y/edit?usp=sharing"",""แผน!AM19"")"),0)</f>
        <v>0</v>
      </c>
      <c r="M215" s="45"/>
      <c r="N215" s="644">
        <v>0</v>
      </c>
      <c r="O215" s="136"/>
      <c r="P215" s="45"/>
      <c r="Q215" s="468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468">
        <f ca="1">IFERROR(__xludf.DUMMYFUNCTION("IMPORTRANGE(""https://docs.google.com/spreadsheets/d/1eHaY18a8A9IcSdp1K8H6x8fbOy06t2VsZHhMHf-1x7Y/edit?usp=sharing"",""แผน!AN19"")"),0)</f>
        <v>0</v>
      </c>
      <c r="M216" s="45"/>
      <c r="N216" s="644">
        <v>0</v>
      </c>
      <c r="O216" s="136"/>
      <c r="P216" s="45"/>
      <c r="Q216" s="468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468">
        <f ca="1">IFERROR(__xludf.DUMMYFUNCTION("IMPORTRANGE(""https://docs.google.com/spreadsheets/d/1eHaY18a8A9IcSdp1K8H6x8fbOy06t2VsZHhMHf-1x7Y/edit?usp=sharing"",""แผน!AO19"")"),0)</f>
        <v>0</v>
      </c>
      <c r="M217" s="45"/>
      <c r="N217" s="644">
        <v>0</v>
      </c>
      <c r="O217" s="136"/>
      <c r="P217" s="45"/>
      <c r="Q217" s="468">
        <f ca="1">IFERROR(__xludf.DUMMYFUNCTION("IMPORTRANGE(""https://docs.google.com/spreadsheets/d/1eHaY18a8A9IcSdp1K8H6x8fbOy06t2VsZHhMHf-1x7Y/edit?usp=sharing"",""แผน!LY19"")"),0)</f>
        <v>0</v>
      </c>
      <c r="R217" s="45"/>
      <c r="S217" s="644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498" t="s">
        <v>38</v>
      </c>
      <c r="E218" s="141"/>
      <c r="F218" s="141"/>
      <c r="G218" s="142"/>
      <c r="H218" s="143"/>
      <c r="I218" s="135"/>
      <c r="J218" s="44"/>
      <c r="K218" s="45"/>
      <c r="L218" s="465"/>
      <c r="M218" s="45"/>
      <c r="N218" s="45"/>
      <c r="O218" s="136"/>
      <c r="P218" s="136"/>
      <c r="Q218" s="465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IFERROR(__xludf.DUMMYFUNCTION("IMPORTRANGE(""https://docs.google.com/spreadsheets/d/1eHaY18a8A9IcSdp1K8H6x8fbOy06t2VsZHhMHf-1x7Y/edit?usp=sharing"",""แผน!AP19"")"),0)</f>
        <v>0</v>
      </c>
      <c r="J219" s="466">
        <v>0</v>
      </c>
      <c r="K219" s="224">
        <f ca="1">IF(I219&gt;0,J219*100/I219,0)</f>
        <v>0</v>
      </c>
      <c r="L219" s="465"/>
      <c r="M219" s="45"/>
      <c r="N219" s="45"/>
      <c r="O219" s="45"/>
      <c r="P219" s="45"/>
      <c r="Q219" s="465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IFERROR(__xludf.DUMMYFUNCTION("IMPORTRANGE(""https://docs.google.com/spreadsheets/d/1eHaY18a8A9IcSdp1K8H6x8fbOy06t2VsZHhMHf-1x7Y/edit?usp=sharing"",""แผน!AP19"")"),0)</f>
        <v>0</v>
      </c>
      <c r="J220" s="466">
        <v>0</v>
      </c>
      <c r="K220" s="224">
        <f ca="1">IF(I220&gt;0,J220*100/I220,0)</f>
        <v>0</v>
      </c>
      <c r="L220" s="465"/>
      <c r="M220" s="45"/>
      <c r="N220" s="45"/>
      <c r="O220" s="45"/>
      <c r="P220" s="45"/>
      <c r="Q220" s="465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ca="1">I229</f>
        <v>50000</v>
      </c>
      <c r="J221" s="303">
        <f>J229</f>
        <v>0</v>
      </c>
      <c r="K221" s="304">
        <f ca="1">IF(I221&gt;0,J221*100/I221,0)</f>
        <v>0</v>
      </c>
      <c r="L221" s="557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654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471">
        <f ca="1">L223+L224+L225</f>
        <v>8500</v>
      </c>
      <c r="M222" s="45"/>
      <c r="N222" s="470">
        <f>N223+N224+N225</f>
        <v>0</v>
      </c>
      <c r="O222" s="470">
        <f ca="1">IF(L222&gt;0,N222*100/L222,0)</f>
        <v>0</v>
      </c>
      <c r="P222" s="47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653" t="s">
        <v>308</v>
      </c>
      <c r="E223" s="40"/>
      <c r="F223" s="40"/>
      <c r="G223" s="42"/>
      <c r="H223" s="134" t="s">
        <v>14</v>
      </c>
      <c r="I223" s="135"/>
      <c r="J223" s="135"/>
      <c r="K223" s="136"/>
      <c r="L223" s="468">
        <f ca="1">IFERROR(__xludf.DUMMYFUNCTION("IMPORTRANGE(""https://docs.google.com/spreadsheets/d/1eHaY18a8A9IcSdp1K8H6x8fbOy06t2VsZHhMHf-1x7Y/edit?usp=sharing"",""แผน!AR19"")"),2500)</f>
        <v>2500</v>
      </c>
      <c r="M223" s="45"/>
      <c r="N223" s="644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307</v>
      </c>
      <c r="E224" s="40"/>
      <c r="F224" s="40"/>
      <c r="G224" s="42"/>
      <c r="H224" s="134" t="s">
        <v>14</v>
      </c>
      <c r="I224" s="44"/>
      <c r="J224" s="44"/>
      <c r="K224" s="45"/>
      <c r="L224" s="468">
        <f ca="1">IFERROR(__xludf.DUMMYFUNCTION("IMPORTRANGE(""https://docs.google.com/spreadsheets/d/1eHaY18a8A9IcSdp1K8H6x8fbOy06t2VsZHhMHf-1x7Y/edit?usp=sharing"",""แผน!AS19"")"),6000)</f>
        <v>6000</v>
      </c>
      <c r="M224" s="45"/>
      <c r="N224" s="644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468">
        <f ca="1">IFERROR(__xludf.DUMMYFUNCTION("IMPORTRANGE(""https://docs.google.com/spreadsheets/d/1eHaY18a8A9IcSdp1K8H6x8fbOy06t2VsZHhMHf-1x7Y/edit?usp=sharing"",""แผน!AT19"")"),0)</f>
        <v>0</v>
      </c>
      <c r="M225" s="45"/>
      <c r="N225" s="644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498" t="s">
        <v>38</v>
      </c>
      <c r="E226" s="141"/>
      <c r="F226" s="141"/>
      <c r="G226" s="142"/>
      <c r="H226" s="143"/>
      <c r="I226" s="135"/>
      <c r="J226" s="135"/>
      <c r="K226" s="136"/>
      <c r="L226" s="4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4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IFERROR(__xludf.DUMMYFUNCTION("IMPORTRANGE(""https://docs.google.com/spreadsheets/d/1eHaY18a8A9IcSdp1K8H6x8fbOy06t2VsZHhMHf-1x7Y/edit?usp=sharing"",""แผน!AV19"")"),50000)</f>
        <v>50000</v>
      </c>
      <c r="J228" s="466">
        <v>0</v>
      </c>
      <c r="K228" s="497">
        <f ca="1">IF(I228&gt;0,J228*100/I228,0)</f>
        <v>0</v>
      </c>
      <c r="L228" s="4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IFERROR(__xludf.DUMMYFUNCTION("IMPORTRANGE(""https://docs.google.com/spreadsheets/d/1eHaY18a8A9IcSdp1K8H6x8fbOy06t2VsZHhMHf-1x7Y/edit?usp=sharing"",""แผน!AV19"")"),50000)</f>
        <v>50000</v>
      </c>
      <c r="J229" s="466">
        <v>0</v>
      </c>
      <c r="K229" s="497">
        <f ca="1">IF(I229&gt;0,J229*100/I229,0)</f>
        <v>0</v>
      </c>
      <c r="L229" s="465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IFERROR(__xludf.DUMMYFUNCTION("IMPORTRANGE(""https://docs.google.com/spreadsheets/d/1eHaY18a8A9IcSdp1K8H6x8fbOy06t2VsZHhMHf-1x7Y/edit?usp=sharing"",""แผน!AU19"")"),0)</f>
        <v>0</v>
      </c>
      <c r="J230" s="466">
        <v>0</v>
      </c>
      <c r="K230" s="497">
        <f ca="1">IF(I230&gt;0,J230*100/I230,0)</f>
        <v>0</v>
      </c>
      <c r="L230" s="465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745"/>
      <c r="B231" s="744"/>
      <c r="C231" s="649" t="s">
        <v>105</v>
      </c>
      <c r="D231" s="743"/>
      <c r="E231" s="743"/>
      <c r="F231" s="743"/>
      <c r="G231" s="742"/>
      <c r="H231" s="648" t="s">
        <v>35</v>
      </c>
      <c r="I231" s="647">
        <f ca="1">I242+I253</f>
        <v>70</v>
      </c>
      <c r="J231" s="647">
        <f>J242+J253</f>
        <v>120</v>
      </c>
      <c r="K231" s="646">
        <f ca="1">IF(I231&gt;0,J231*100/I231,0)</f>
        <v>171.42857142857142</v>
      </c>
      <c r="L231" s="557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615"/>
      <c r="B232" s="614"/>
      <c r="C232" s="527" t="s">
        <v>18</v>
      </c>
      <c r="D232" s="494" t="s">
        <v>19</v>
      </c>
      <c r="E232" s="614"/>
      <c r="F232" s="614"/>
      <c r="G232" s="613"/>
      <c r="H232" s="372" t="s">
        <v>14</v>
      </c>
      <c r="I232" s="612"/>
      <c r="J232" s="612"/>
      <c r="K232" s="611"/>
      <c r="L232" s="652">
        <f ca="1">L243+L254</f>
        <v>210300</v>
      </c>
      <c r="M232" s="45"/>
      <c r="N232" s="651">
        <f>N243+N254</f>
        <v>90450</v>
      </c>
      <c r="O232" s="45"/>
      <c r="P232" s="45"/>
      <c r="Q232" s="652">
        <f ca="1">Q243+Q254</f>
        <v>156000</v>
      </c>
      <c r="R232" s="45"/>
      <c r="S232" s="651">
        <f>S243+S254</f>
        <v>84280</v>
      </c>
      <c r="T232" s="45"/>
      <c r="U232" s="45"/>
    </row>
    <row r="233" spans="1:21" ht="18.75" hidden="1" x14ac:dyDescent="0.25">
      <c r="A233" s="615"/>
      <c r="B233" s="740"/>
      <c r="C233" s="614"/>
      <c r="D233" s="653" t="s">
        <v>311</v>
      </c>
      <c r="E233" s="614"/>
      <c r="F233" s="614"/>
      <c r="G233" s="613"/>
      <c r="H233" s="159" t="s">
        <v>14</v>
      </c>
      <c r="I233" s="612"/>
      <c r="J233" s="612"/>
      <c r="K233" s="611"/>
      <c r="L233" s="469">
        <f ca="1">L244+L255</f>
        <v>20000</v>
      </c>
      <c r="M233" s="45"/>
      <c r="N233" s="83">
        <f>N244+N255</f>
        <v>12450</v>
      </c>
      <c r="O233" s="45"/>
      <c r="P233" s="45"/>
      <c r="Q233" s="469">
        <f>Q244+Q255</f>
        <v>0</v>
      </c>
      <c r="R233" s="45"/>
      <c r="S233" s="83">
        <f>S244+S255</f>
        <v>0</v>
      </c>
      <c r="T233" s="45"/>
      <c r="U233" s="45"/>
    </row>
    <row r="234" spans="1:21" ht="18.75" hidden="1" x14ac:dyDescent="0.25">
      <c r="A234" s="741"/>
      <c r="B234" s="740"/>
      <c r="C234" s="740"/>
      <c r="D234" s="47" t="s">
        <v>87</v>
      </c>
      <c r="E234" s="614"/>
      <c r="F234" s="614"/>
      <c r="G234" s="613"/>
      <c r="H234" s="159" t="s">
        <v>14</v>
      </c>
      <c r="I234" s="619"/>
      <c r="J234" s="619"/>
      <c r="K234" s="618"/>
      <c r="L234" s="469">
        <f ca="1">L245+L256</f>
        <v>91000</v>
      </c>
      <c r="M234" s="45"/>
      <c r="N234" s="83">
        <f>N245+N256</f>
        <v>78000</v>
      </c>
      <c r="O234" s="45"/>
      <c r="P234" s="45"/>
      <c r="Q234" s="469">
        <f>Q245+Q256</f>
        <v>0</v>
      </c>
      <c r="R234" s="45"/>
      <c r="S234" s="83">
        <f>S245+S256</f>
        <v>0</v>
      </c>
      <c r="T234" s="45"/>
      <c r="U234" s="45"/>
    </row>
    <row r="235" spans="1:21" ht="18.75" hidden="1" x14ac:dyDescent="0.25">
      <c r="A235" s="741"/>
      <c r="B235" s="740"/>
      <c r="C235" s="740"/>
      <c r="D235" s="47" t="s">
        <v>88</v>
      </c>
      <c r="E235" s="614"/>
      <c r="F235" s="614"/>
      <c r="G235" s="613"/>
      <c r="H235" s="159" t="s">
        <v>14</v>
      </c>
      <c r="I235" s="619"/>
      <c r="J235" s="619"/>
      <c r="K235" s="618"/>
      <c r="L235" s="469">
        <f ca="1">L246+L257</f>
        <v>15300</v>
      </c>
      <c r="M235" s="45"/>
      <c r="N235" s="83">
        <f>N246+N257</f>
        <v>0</v>
      </c>
      <c r="O235" s="45"/>
      <c r="P235" s="45"/>
      <c r="Q235" s="469">
        <f ca="1">Q246+Q257</f>
        <v>156000</v>
      </c>
      <c r="R235" s="45"/>
      <c r="S235" s="83">
        <f>S246+S257</f>
        <v>84280</v>
      </c>
      <c r="T235" s="45"/>
      <c r="U235" s="45"/>
    </row>
    <row r="236" spans="1:21" ht="18.75" hidden="1" x14ac:dyDescent="0.25">
      <c r="A236" s="741"/>
      <c r="B236" s="740"/>
      <c r="C236" s="740"/>
      <c r="D236" s="47" t="s">
        <v>89</v>
      </c>
      <c r="E236" s="614"/>
      <c r="F236" s="614"/>
      <c r="G236" s="613"/>
      <c r="H236" s="159" t="s">
        <v>14</v>
      </c>
      <c r="I236" s="619"/>
      <c r="J236" s="619"/>
      <c r="K236" s="618"/>
      <c r="L236" s="469">
        <f ca="1">L247+L258</f>
        <v>84000</v>
      </c>
      <c r="M236" s="45"/>
      <c r="N236" s="83">
        <f>N247+N258</f>
        <v>0</v>
      </c>
      <c r="O236" s="45"/>
      <c r="P236" s="45"/>
      <c r="Q236" s="469">
        <f>Q247+Q258</f>
        <v>0</v>
      </c>
      <c r="R236" s="45"/>
      <c r="S236" s="83">
        <f>S247+S258</f>
        <v>0</v>
      </c>
      <c r="T236" s="45"/>
      <c r="U236" s="45"/>
    </row>
    <row r="237" spans="1:21" ht="19.5" hidden="1" x14ac:dyDescent="0.3">
      <c r="A237" s="737"/>
      <c r="B237" s="736"/>
      <c r="C237" s="643" t="s">
        <v>18</v>
      </c>
      <c r="D237" s="509" t="s">
        <v>38</v>
      </c>
      <c r="E237" s="739"/>
      <c r="F237" s="739"/>
      <c r="G237" s="738"/>
      <c r="H237" s="734"/>
      <c r="I237" s="612"/>
      <c r="J237" s="619"/>
      <c r="K237" s="618"/>
      <c r="L237" s="465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737"/>
      <c r="B238" s="736"/>
      <c r="C238" s="736"/>
      <c r="D238" s="179" t="s">
        <v>108</v>
      </c>
      <c r="E238" s="735"/>
      <c r="F238" s="735"/>
      <c r="G238" s="734"/>
      <c r="H238" s="640" t="s">
        <v>35</v>
      </c>
      <c r="I238" s="430">
        <f ca="1">I249+I260</f>
        <v>70</v>
      </c>
      <c r="J238" s="430">
        <f>J249+J260</f>
        <v>120</v>
      </c>
      <c r="K238" s="83">
        <f ca="1">IF(I238&gt;0,J238*100/I238,0)</f>
        <v>171.42857142857142</v>
      </c>
      <c r="L238" s="465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737"/>
      <c r="B239" s="736"/>
      <c r="C239" s="736"/>
      <c r="D239" s="642" t="s">
        <v>43</v>
      </c>
      <c r="E239" s="735"/>
      <c r="F239" s="735"/>
      <c r="G239" s="734"/>
      <c r="H239" s="734"/>
      <c r="I239" s="619"/>
      <c r="J239" s="619"/>
      <c r="K239" s="618"/>
      <c r="L239" s="465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737"/>
      <c r="B240" s="736"/>
      <c r="C240" s="736"/>
      <c r="D240" s="736"/>
      <c r="E240" s="641" t="s">
        <v>109</v>
      </c>
      <c r="F240" s="735"/>
      <c r="G240" s="734"/>
      <c r="H240" s="640" t="s">
        <v>35</v>
      </c>
      <c r="I240" s="430">
        <f ca="1">I251+I262</f>
        <v>70</v>
      </c>
      <c r="J240" s="430">
        <f>J251+J262</f>
        <v>0</v>
      </c>
      <c r="K240" s="83">
        <f ca="1">IF(I240&gt;0,J240*100/I240,0)</f>
        <v>0</v>
      </c>
      <c r="L240" s="465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737"/>
      <c r="B241" s="736"/>
      <c r="C241" s="736"/>
      <c r="D241" s="736"/>
      <c r="E241" s="641" t="s">
        <v>110</v>
      </c>
      <c r="F241" s="735"/>
      <c r="G241" s="734"/>
      <c r="H241" s="640" t="s">
        <v>61</v>
      </c>
      <c r="I241" s="430">
        <f ca="1">I252+I263</f>
        <v>2</v>
      </c>
      <c r="J241" s="430">
        <f>J252+J263</f>
        <v>0</v>
      </c>
      <c r="K241" s="83">
        <f ca="1">IF(I241&gt;0,J241*100/I241,0)</f>
        <v>0</v>
      </c>
      <c r="L241" s="465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x14ac:dyDescent="0.3">
      <c r="A242" s="733"/>
      <c r="B242" s="732"/>
      <c r="C242" s="731" t="s">
        <v>318</v>
      </c>
      <c r="D242" s="730"/>
      <c r="E242" s="730"/>
      <c r="F242" s="730"/>
      <c r="G242" s="729"/>
      <c r="H242" s="728" t="s">
        <v>35</v>
      </c>
      <c r="I242" s="727">
        <f ca="1">I249</f>
        <v>30</v>
      </c>
      <c r="J242" s="727">
        <f>J249</f>
        <v>0</v>
      </c>
      <c r="K242" s="726">
        <f ca="1">IF(I242&gt;0,J242*100/I242,0)</f>
        <v>0</v>
      </c>
      <c r="L242" s="557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x14ac:dyDescent="0.3">
      <c r="A243" s="610"/>
      <c r="B243" s="609"/>
      <c r="C243" s="624" t="s">
        <v>18</v>
      </c>
      <c r="D243" s="623" t="s">
        <v>19</v>
      </c>
      <c r="E243" s="609"/>
      <c r="F243" s="609"/>
      <c r="G243" s="608"/>
      <c r="H243" s="725" t="s">
        <v>14</v>
      </c>
      <c r="I243" s="601"/>
      <c r="J243" s="601"/>
      <c r="K243" s="599"/>
      <c r="L243" s="471">
        <f ca="1">L244+L245+L246+L247</f>
        <v>56300</v>
      </c>
      <c r="M243" s="45"/>
      <c r="N243" s="470">
        <f>N244+N245+N246+N247</f>
        <v>8420</v>
      </c>
      <c r="O243" s="470">
        <f ca="1">IF(L243&gt;0,N243*100/L243,0)</f>
        <v>14.955595026642984</v>
      </c>
      <c r="P243" s="470">
        <f>IF(M243&gt;0,N243*100/M243,0)</f>
        <v>0</v>
      </c>
      <c r="Q243" s="45"/>
      <c r="R243" s="45"/>
      <c r="S243" s="45"/>
      <c r="T243" s="45"/>
      <c r="U243" s="45"/>
    </row>
    <row r="244" spans="1:21" ht="18.75" x14ac:dyDescent="0.25">
      <c r="A244" s="610"/>
      <c r="B244" s="545"/>
      <c r="C244" s="609"/>
      <c r="D244" s="653" t="s">
        <v>311</v>
      </c>
      <c r="E244" s="609"/>
      <c r="F244" s="609"/>
      <c r="G244" s="608"/>
      <c r="H244" s="617" t="s">
        <v>14</v>
      </c>
      <c r="I244" s="601"/>
      <c r="J244" s="601"/>
      <c r="K244" s="599"/>
      <c r="L244" s="468">
        <f ca="1">IFERROR(__xludf.DUMMYFUNCTION("IMPORTRANGE(""https://docs.google.com/spreadsheets/d/1eHaY18a8A9IcSdp1K8H6x8fbOy06t2VsZHhMHf-1x7Y/edit?usp=sharing"",""แผน!AX19"")"),10000)</f>
        <v>10000</v>
      </c>
      <c r="M244" s="45"/>
      <c r="N244" s="644">
        <v>8420</v>
      </c>
      <c r="O244" s="45"/>
      <c r="P244" s="45"/>
      <c r="Q244" s="45"/>
      <c r="R244" s="45"/>
      <c r="S244" s="45"/>
      <c r="T244" s="45"/>
      <c r="U244" s="45"/>
    </row>
    <row r="245" spans="1:21" ht="18.75" x14ac:dyDescent="0.25">
      <c r="A245" s="724"/>
      <c r="B245" s="545"/>
      <c r="C245" s="545"/>
      <c r="D245" s="47" t="s">
        <v>307</v>
      </c>
      <c r="E245" s="609"/>
      <c r="F245" s="609"/>
      <c r="G245" s="608"/>
      <c r="H245" s="617" t="s">
        <v>14</v>
      </c>
      <c r="I245" s="479"/>
      <c r="J245" s="479"/>
      <c r="K245" s="476"/>
      <c r="L245" s="468">
        <f ca="1">IFERROR(__xludf.DUMMYFUNCTION("IMPORTRANGE(""https://docs.google.com/spreadsheets/d/1eHaY18a8A9IcSdp1K8H6x8fbOy06t2VsZHhMHf-1x7Y/edit?usp=sharing"",""แผน!AY19"")"),0)</f>
        <v>0</v>
      </c>
      <c r="M245" s="45"/>
      <c r="N245" s="644">
        <v>0</v>
      </c>
      <c r="O245" s="45"/>
      <c r="P245" s="45"/>
      <c r="Q245" s="45"/>
      <c r="R245" s="45"/>
      <c r="S245" s="45"/>
      <c r="T245" s="45"/>
      <c r="U245" s="45"/>
    </row>
    <row r="246" spans="1:21" ht="18.75" x14ac:dyDescent="0.25">
      <c r="A246" s="724"/>
      <c r="B246" s="545"/>
      <c r="C246" s="545"/>
      <c r="D246" s="47" t="s">
        <v>88</v>
      </c>
      <c r="E246" s="609"/>
      <c r="F246" s="609"/>
      <c r="G246" s="608"/>
      <c r="H246" s="617" t="s">
        <v>14</v>
      </c>
      <c r="I246" s="479"/>
      <c r="J246" s="479"/>
      <c r="K246" s="476"/>
      <c r="L246" s="468">
        <f ca="1">IFERROR(__xludf.DUMMYFUNCTION("IMPORTRANGE(""https://docs.google.com/spreadsheets/d/1eHaY18a8A9IcSdp1K8H6x8fbOy06t2VsZHhMHf-1x7Y/edit?usp=sharing"",""แผน!AZ19"")"),15300)</f>
        <v>15300</v>
      </c>
      <c r="M246" s="45"/>
      <c r="N246" s="644">
        <v>0</v>
      </c>
      <c r="O246" s="45"/>
      <c r="P246" s="45"/>
      <c r="Q246" s="45"/>
      <c r="R246" s="45"/>
      <c r="S246" s="45"/>
      <c r="T246" s="45"/>
      <c r="U246" s="45"/>
    </row>
    <row r="247" spans="1:21" ht="18.75" x14ac:dyDescent="0.25">
      <c r="A247" s="724"/>
      <c r="B247" s="545"/>
      <c r="C247" s="545"/>
      <c r="D247" s="47" t="s">
        <v>89</v>
      </c>
      <c r="E247" s="609"/>
      <c r="F247" s="609"/>
      <c r="G247" s="608"/>
      <c r="H247" s="617" t="s">
        <v>14</v>
      </c>
      <c r="I247" s="479"/>
      <c r="J247" s="479"/>
      <c r="K247" s="476"/>
      <c r="L247" s="468">
        <f ca="1">IFERROR(__xludf.DUMMYFUNCTION("IMPORTRANGE(""https://docs.google.com/spreadsheets/d/1eHaY18a8A9IcSdp1K8H6x8fbOy06t2VsZHhMHf-1x7Y/edit?usp=sharing"",""แผน!BA19"")"),31000)</f>
        <v>31000</v>
      </c>
      <c r="M247" s="45"/>
      <c r="N247" s="644">
        <v>0</v>
      </c>
      <c r="O247" s="45"/>
      <c r="P247" s="45"/>
      <c r="Q247" s="45"/>
      <c r="R247" s="45"/>
      <c r="S247" s="45"/>
      <c r="T247" s="45"/>
      <c r="U247" s="45"/>
    </row>
    <row r="248" spans="1:21" ht="19.5" x14ac:dyDescent="0.3">
      <c r="A248" s="485"/>
      <c r="B248" s="484"/>
      <c r="C248" s="723" t="s">
        <v>18</v>
      </c>
      <c r="D248" s="604" t="s">
        <v>38</v>
      </c>
      <c r="E248" s="603"/>
      <c r="F248" s="603"/>
      <c r="G248" s="602"/>
      <c r="H248" s="481"/>
      <c r="I248" s="601"/>
      <c r="J248" s="479"/>
      <c r="K248" s="476"/>
      <c r="L248" s="465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x14ac:dyDescent="0.25">
      <c r="A249" s="485"/>
      <c r="B249" s="484"/>
      <c r="C249" s="484"/>
      <c r="D249" s="482" t="s">
        <v>108</v>
      </c>
      <c r="E249" s="483"/>
      <c r="F249" s="483"/>
      <c r="G249" s="481"/>
      <c r="H249" s="721" t="s">
        <v>35</v>
      </c>
      <c r="I249" s="487">
        <f ca="1">IFERROR(__xludf.DUMMYFUNCTION("IMPORTRANGE(""https://docs.google.com/spreadsheets/d/1eHaY18a8A9IcSdp1K8H6x8fbOy06t2VsZHhMHf-1x7Y/edit?usp=sharing"",""แผน!BG19"")"),30)</f>
        <v>30</v>
      </c>
      <c r="J249" s="478">
        <v>0</v>
      </c>
      <c r="K249" s="486">
        <f ca="1">IF(I249&gt;0,J249*100/I249,0)</f>
        <v>0</v>
      </c>
      <c r="L249" s="465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x14ac:dyDescent="0.25">
      <c r="A250" s="485"/>
      <c r="B250" s="484"/>
      <c r="C250" s="484"/>
      <c r="D250" s="722" t="s">
        <v>43</v>
      </c>
      <c r="E250" s="483"/>
      <c r="F250" s="483"/>
      <c r="G250" s="481"/>
      <c r="H250" s="481"/>
      <c r="I250" s="479"/>
      <c r="J250" s="479"/>
      <c r="K250" s="476"/>
      <c r="L250" s="465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x14ac:dyDescent="0.25">
      <c r="A251" s="485"/>
      <c r="B251" s="484"/>
      <c r="C251" s="484"/>
      <c r="D251" s="484"/>
      <c r="E251" s="308" t="s">
        <v>109</v>
      </c>
      <c r="F251" s="483"/>
      <c r="G251" s="481"/>
      <c r="H251" s="721" t="s">
        <v>35</v>
      </c>
      <c r="I251" s="487">
        <f ca="1">IFERROR(__xludf.DUMMYFUNCTION("IMPORTRANGE(""https://docs.google.com/spreadsheets/d/1eHaY18a8A9IcSdp1K8H6x8fbOy06t2VsZHhMHf-1x7Y/edit?usp=sharing"",""แผน!kv19"")"),30)</f>
        <v>30</v>
      </c>
      <c r="J251" s="478">
        <v>0</v>
      </c>
      <c r="K251" s="486">
        <f ca="1">IF(I251&gt;0,J251*100/I251,0)</f>
        <v>0</v>
      </c>
      <c r="L251" s="465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x14ac:dyDescent="0.25">
      <c r="A252" s="485"/>
      <c r="B252" s="484"/>
      <c r="C252" s="484"/>
      <c r="D252" s="484"/>
      <c r="E252" s="308" t="s">
        <v>110</v>
      </c>
      <c r="F252" s="483"/>
      <c r="G252" s="481"/>
      <c r="H252" s="721" t="s">
        <v>35</v>
      </c>
      <c r="I252" s="487">
        <f ca="1">IFERROR(__xludf.DUMMYFUNCTION("IMPORTRANGE(""https://docs.google.com/spreadsheets/d/1eHaY18a8A9IcSdp1K8H6x8fbOy06t2VsZHhMHf-1x7Y/edit?usp=sharing"",""แผน!kw19"")"),1)</f>
        <v>1</v>
      </c>
      <c r="J252" s="478">
        <v>0</v>
      </c>
      <c r="K252" s="486">
        <f ca="1">IF(I252&gt;0,J252*100/I252,0)</f>
        <v>0</v>
      </c>
      <c r="L252" s="465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x14ac:dyDescent="0.3">
      <c r="A253" s="733"/>
      <c r="B253" s="732"/>
      <c r="C253" s="731" t="s">
        <v>317</v>
      </c>
      <c r="D253" s="730"/>
      <c r="E253" s="730"/>
      <c r="F253" s="730"/>
      <c r="G253" s="729"/>
      <c r="H253" s="728" t="s">
        <v>35</v>
      </c>
      <c r="I253" s="727">
        <f ca="1">I260</f>
        <v>40</v>
      </c>
      <c r="J253" s="727">
        <f>J260</f>
        <v>120</v>
      </c>
      <c r="K253" s="726">
        <f ca="1">IF(I253&gt;0,J253*100/I253,0)</f>
        <v>300</v>
      </c>
      <c r="L253" s="557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x14ac:dyDescent="0.3">
      <c r="A254" s="610"/>
      <c r="B254" s="609"/>
      <c r="C254" s="624" t="s">
        <v>18</v>
      </c>
      <c r="D254" s="751" t="s">
        <v>19</v>
      </c>
      <c r="E254" s="609"/>
      <c r="F254" s="609"/>
      <c r="G254" s="608"/>
      <c r="H254" s="725" t="s">
        <v>14</v>
      </c>
      <c r="I254" s="601"/>
      <c r="J254" s="601"/>
      <c r="K254" s="599"/>
      <c r="L254" s="471">
        <f ca="1">L255+L256+L257+L258</f>
        <v>154000</v>
      </c>
      <c r="M254" s="45"/>
      <c r="N254" s="470">
        <f>N255+N256+N257+N258</f>
        <v>82030</v>
      </c>
      <c r="O254" s="470">
        <f ca="1">IF(L254&gt;0,N254*100/L254,0)</f>
        <v>53.266233766233768</v>
      </c>
      <c r="P254" s="470">
        <f>IF(M254&gt;0,N254*100/M254,0)</f>
        <v>0</v>
      </c>
      <c r="Q254" s="657">
        <f ca="1">Q255+Q256+Q257+Q258</f>
        <v>156000</v>
      </c>
      <c r="R254" s="656"/>
      <c r="S254" s="655">
        <f>S255+S256+S257+S258</f>
        <v>84280</v>
      </c>
      <c r="T254" s="655">
        <f ca="1">IF(Q254&gt;0,S254*100/Q254,0)</f>
        <v>54.025641025641029</v>
      </c>
      <c r="U254" s="655">
        <f>IF(R254&gt;0,S254*100/R254,0)</f>
        <v>0</v>
      </c>
    </row>
    <row r="255" spans="1:21" ht="18.75" x14ac:dyDescent="0.25">
      <c r="A255" s="610"/>
      <c r="B255" s="545"/>
      <c r="C255" s="609"/>
      <c r="D255" s="653" t="s">
        <v>311</v>
      </c>
      <c r="E255" s="609"/>
      <c r="F255" s="609"/>
      <c r="G255" s="608"/>
      <c r="H255" s="617" t="s">
        <v>14</v>
      </c>
      <c r="I255" s="601"/>
      <c r="J255" s="601"/>
      <c r="K255" s="599"/>
      <c r="L255" s="468">
        <f ca="1">IFERROR(__xludf.DUMMYFUNCTION("IMPORTRANGE(""https://docs.google.com/spreadsheets/d/1eHaY18a8A9IcSdp1K8H6x8fbOy06t2VsZHhMHf-1x7Y/edit?usp=sharing"",""แผน!BB19"")"),10000)</f>
        <v>10000</v>
      </c>
      <c r="M255" s="45"/>
      <c r="N255" s="644">
        <v>4030</v>
      </c>
      <c r="O255" s="45"/>
      <c r="P255" s="45"/>
      <c r="Q255" s="468">
        <v>0</v>
      </c>
      <c r="R255" s="45"/>
      <c r="S255" s="224">
        <v>0</v>
      </c>
      <c r="T255" s="136"/>
      <c r="U255" s="45"/>
    </row>
    <row r="256" spans="1:21" ht="18.75" x14ac:dyDescent="0.25">
      <c r="A256" s="724"/>
      <c r="B256" s="545"/>
      <c r="C256" s="545"/>
      <c r="D256" s="47" t="s">
        <v>307</v>
      </c>
      <c r="E256" s="609"/>
      <c r="F256" s="609"/>
      <c r="G256" s="608"/>
      <c r="H256" s="617" t="s">
        <v>14</v>
      </c>
      <c r="I256" s="479"/>
      <c r="J256" s="479"/>
      <c r="K256" s="476"/>
      <c r="L256" s="468">
        <f ca="1">IFERROR(__xludf.DUMMYFUNCTION("IMPORTRANGE(""https://docs.google.com/spreadsheets/d/1eHaY18a8A9IcSdp1K8H6x8fbOy06t2VsZHhMHf-1x7Y/edit?usp=sharing"",""แผน!BC19"")"),91000)</f>
        <v>91000</v>
      </c>
      <c r="M256" s="45"/>
      <c r="N256" s="644">
        <v>78000</v>
      </c>
      <c r="O256" s="45"/>
      <c r="P256" s="45"/>
      <c r="Q256" s="468">
        <v>0</v>
      </c>
      <c r="R256" s="45"/>
      <c r="S256" s="224">
        <v>0</v>
      </c>
      <c r="T256" s="136"/>
      <c r="U256" s="45"/>
    </row>
    <row r="257" spans="1:21" ht="18.75" x14ac:dyDescent="0.25">
      <c r="A257" s="724"/>
      <c r="B257" s="545"/>
      <c r="C257" s="545"/>
      <c r="D257" s="47" t="s">
        <v>88</v>
      </c>
      <c r="E257" s="609"/>
      <c r="F257" s="609"/>
      <c r="G257" s="608"/>
      <c r="H257" s="617" t="s">
        <v>14</v>
      </c>
      <c r="I257" s="479"/>
      <c r="J257" s="479"/>
      <c r="K257" s="476"/>
      <c r="L257" s="468">
        <f ca="1">IFERROR(__xludf.DUMMYFUNCTION("IMPORTRANGE(""https://docs.google.com/spreadsheets/d/1eHaY18a8A9IcSdp1K8H6x8fbOy06t2VsZHhMHf-1x7Y/edit?usp=sharing"",""แผน!BD19"")"),0)</f>
        <v>0</v>
      </c>
      <c r="M257" s="45"/>
      <c r="N257" s="644">
        <v>0</v>
      </c>
      <c r="O257" s="45"/>
      <c r="P257" s="45"/>
      <c r="Q257" s="468">
        <f ca="1">IFERROR(__xludf.DUMMYFUNCTION("IMPORTRANGE(""https://docs.google.com/spreadsheets/d/1eHaY18a8A9IcSdp1K8H6x8fbOy06t2VsZHhMHf-1x7Y/edit?usp=sharing"",""แผน!MH19"")"),156000)</f>
        <v>156000</v>
      </c>
      <c r="R257" s="45"/>
      <c r="S257" s="644">
        <v>84280</v>
      </c>
      <c r="T257" s="136"/>
      <c r="U257" s="45"/>
    </row>
    <row r="258" spans="1:21" ht="18.75" x14ac:dyDescent="0.25">
      <c r="A258" s="724"/>
      <c r="B258" s="545"/>
      <c r="C258" s="545"/>
      <c r="D258" s="47" t="s">
        <v>89</v>
      </c>
      <c r="E258" s="609"/>
      <c r="F258" s="609"/>
      <c r="G258" s="608"/>
      <c r="H258" s="617" t="s">
        <v>14</v>
      </c>
      <c r="I258" s="479"/>
      <c r="J258" s="479"/>
      <c r="K258" s="476"/>
      <c r="L258" s="468">
        <f ca="1">IFERROR(__xludf.DUMMYFUNCTION("IMPORTRANGE(""https://docs.google.com/spreadsheets/d/1eHaY18a8A9IcSdp1K8H6x8fbOy06t2VsZHhMHf-1x7Y/edit?usp=sharing"",""แผน!BE19"")"),53000)</f>
        <v>53000</v>
      </c>
      <c r="M258" s="45"/>
      <c r="N258" s="644">
        <v>0</v>
      </c>
      <c r="O258" s="45"/>
      <c r="P258" s="45"/>
      <c r="Q258" s="468">
        <v>0</v>
      </c>
      <c r="R258" s="45"/>
      <c r="S258" s="224">
        <v>0</v>
      </c>
      <c r="T258" s="136"/>
      <c r="U258" s="45"/>
    </row>
    <row r="259" spans="1:21" ht="19.5" x14ac:dyDescent="0.3">
      <c r="A259" s="485"/>
      <c r="B259" s="484"/>
      <c r="C259" s="723" t="s">
        <v>18</v>
      </c>
      <c r="D259" s="604" t="s">
        <v>38</v>
      </c>
      <c r="E259" s="603"/>
      <c r="F259" s="603"/>
      <c r="G259" s="602"/>
      <c r="H259" s="481"/>
      <c r="I259" s="601"/>
      <c r="J259" s="479"/>
      <c r="K259" s="476"/>
      <c r="L259" s="465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x14ac:dyDescent="0.25">
      <c r="A260" s="485"/>
      <c r="B260" s="484"/>
      <c r="C260" s="484"/>
      <c r="D260" s="482" t="s">
        <v>108</v>
      </c>
      <c r="E260" s="483"/>
      <c r="F260" s="483"/>
      <c r="G260" s="481"/>
      <c r="H260" s="721" t="s">
        <v>35</v>
      </c>
      <c r="I260" s="487">
        <f ca="1">IFERROR(__xludf.DUMMYFUNCTION("IMPORTRANGE(""https://docs.google.com/spreadsheets/d/1eHaY18a8A9IcSdp1K8H6x8fbOy06t2VsZHhMHf-1x7Y/edit?usp=sharing"",""แผน!BH19"")"),40)</f>
        <v>40</v>
      </c>
      <c r="J260" s="478">
        <v>120</v>
      </c>
      <c r="K260" s="486">
        <f ca="1">IF(I260&gt;0,J260*100/I260,0)</f>
        <v>300</v>
      </c>
      <c r="L260" s="465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x14ac:dyDescent="0.25">
      <c r="A261" s="485"/>
      <c r="B261" s="484"/>
      <c r="C261" s="484"/>
      <c r="D261" s="722" t="s">
        <v>43</v>
      </c>
      <c r="E261" s="483"/>
      <c r="F261" s="483"/>
      <c r="G261" s="481"/>
      <c r="H261" s="481"/>
      <c r="I261" s="479"/>
      <c r="J261" s="479"/>
      <c r="K261" s="476"/>
      <c r="L261" s="465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x14ac:dyDescent="0.25">
      <c r="A262" s="485"/>
      <c r="B262" s="484"/>
      <c r="C262" s="484"/>
      <c r="D262" s="484"/>
      <c r="E262" s="308" t="s">
        <v>109</v>
      </c>
      <c r="F262" s="483"/>
      <c r="G262" s="481"/>
      <c r="H262" s="721" t="s">
        <v>35</v>
      </c>
      <c r="I262" s="487">
        <f ca="1">IFERROR(__xludf.DUMMYFUNCTION("IMPORTRANGE(""https://docs.google.com/spreadsheets/d/1eHaY18a8A9IcSdp1K8H6x8fbOy06t2VsZHhMHf-1x7Y/edit?usp=sharing"",""แผน!KT19"")"),40)</f>
        <v>40</v>
      </c>
      <c r="J262" s="478">
        <v>0</v>
      </c>
      <c r="K262" s="486">
        <f ca="1">IF(I262&gt;0,J262*100/I262,0)</f>
        <v>0</v>
      </c>
      <c r="L262" s="465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x14ac:dyDescent="0.25">
      <c r="A263" s="485"/>
      <c r="B263" s="484"/>
      <c r="C263" s="484"/>
      <c r="D263" s="484"/>
      <c r="E263" s="308" t="s">
        <v>110</v>
      </c>
      <c r="F263" s="483"/>
      <c r="G263" s="481"/>
      <c r="H263" s="721" t="s">
        <v>35</v>
      </c>
      <c r="I263" s="487">
        <f ca="1">IFERROR(__xludf.DUMMYFUNCTION("IMPORTRANGE(""https://docs.google.com/spreadsheets/d/1eHaY18a8A9IcSdp1K8H6x8fbOy06t2VsZHhMHf-1x7Y/edit?usp=sharing"",""แผน!KU19"")"),1)</f>
        <v>1</v>
      </c>
      <c r="J263" s="478">
        <v>0</v>
      </c>
      <c r="K263" s="486">
        <f ca="1">IF(I263&gt;0,J263*100/I263,0)</f>
        <v>0</v>
      </c>
      <c r="L263" s="465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639" t="s">
        <v>113</v>
      </c>
      <c r="B264" s="638"/>
      <c r="C264" s="638"/>
      <c r="D264" s="637"/>
      <c r="E264" s="637"/>
      <c r="F264" s="637"/>
      <c r="G264" s="636"/>
      <c r="H264" s="636"/>
      <c r="I264" s="635"/>
      <c r="J264" s="635"/>
      <c r="K264" s="633"/>
      <c r="L264" s="634"/>
      <c r="M264" s="633"/>
      <c r="N264" s="633"/>
      <c r="O264" s="633"/>
      <c r="P264" s="633"/>
      <c r="Q264" s="633"/>
      <c r="R264" s="633"/>
      <c r="S264" s="633"/>
      <c r="T264" s="633"/>
      <c r="U264" s="633"/>
    </row>
    <row r="265" spans="1:21" ht="19.5" x14ac:dyDescent="0.3">
      <c r="A265" s="632"/>
      <c r="B265" s="631" t="s">
        <v>114</v>
      </c>
      <c r="C265" s="630"/>
      <c r="D265" s="603"/>
      <c r="E265" s="603"/>
      <c r="F265" s="603"/>
      <c r="G265" s="602"/>
      <c r="H265" s="629" t="s">
        <v>35</v>
      </c>
      <c r="I265" s="628">
        <f ca="1">I276</f>
        <v>22</v>
      </c>
      <c r="J265" s="628">
        <f>J276</f>
        <v>0</v>
      </c>
      <c r="K265" s="627">
        <f ca="1">IF(I265&gt;0,J265*100/I265,0)</f>
        <v>0</v>
      </c>
      <c r="L265" s="626"/>
      <c r="M265" s="625"/>
      <c r="N265" s="625"/>
      <c r="O265" s="625"/>
      <c r="P265" s="625"/>
      <c r="Q265" s="625"/>
      <c r="R265" s="625"/>
      <c r="S265" s="625"/>
      <c r="T265" s="625"/>
      <c r="U265" s="625"/>
    </row>
    <row r="266" spans="1:21" ht="19.5" x14ac:dyDescent="0.3">
      <c r="A266" s="610"/>
      <c r="B266" s="609"/>
      <c r="C266" s="624" t="s">
        <v>18</v>
      </c>
      <c r="D266" s="623" t="s">
        <v>19</v>
      </c>
      <c r="E266" s="609"/>
      <c r="F266" s="609"/>
      <c r="G266" s="608"/>
      <c r="H266" s="622" t="s">
        <v>14</v>
      </c>
      <c r="I266" s="479"/>
      <c r="J266" s="479"/>
      <c r="K266" s="476"/>
      <c r="L266" s="621">
        <f ca="1">L267+L268</f>
        <v>0</v>
      </c>
      <c r="M266" s="620">
        <f ca="1">M267+M268</f>
        <v>5000</v>
      </c>
      <c r="N266" s="620">
        <f ca="1">N267+N268</f>
        <v>0</v>
      </c>
      <c r="O266" s="620">
        <f t="shared" ref="O266:O274" ca="1" si="65">IF(L266&gt;0,N266*100/L266,0)</f>
        <v>0</v>
      </c>
      <c r="P266" s="620">
        <f t="shared" ref="P266:P274" ca="1" si="66">IF(M266&gt;0,N266*100/M266,0)</f>
        <v>0</v>
      </c>
      <c r="Q266" s="620">
        <f ca="1">Q267+Q268</f>
        <v>50660</v>
      </c>
      <c r="R266" s="620">
        <f ca="1">R267+R268</f>
        <v>50660</v>
      </c>
      <c r="S266" s="620">
        <f ca="1">S267+S268</f>
        <v>0</v>
      </c>
      <c r="T266" s="620">
        <f t="shared" ref="T266:T274" ca="1" si="67">IF(Q266&gt;0,S266*100/Q266,0)</f>
        <v>0</v>
      </c>
      <c r="U266" s="620">
        <f t="shared" ref="U266:U274" ca="1" si="68">IF(R266&gt;0,S266*100/R266,0)</f>
        <v>0</v>
      </c>
    </row>
    <row r="267" spans="1:21" ht="18.75" hidden="1" x14ac:dyDescent="0.25">
      <c r="A267" s="615"/>
      <c r="B267" s="614"/>
      <c r="C267" s="614"/>
      <c r="D267" s="614"/>
      <c r="E267" s="156" t="s">
        <v>20</v>
      </c>
      <c r="F267" s="614"/>
      <c r="G267" s="613"/>
      <c r="H267" s="157" t="s">
        <v>14</v>
      </c>
      <c r="I267" s="619"/>
      <c r="J267" s="619"/>
      <c r="K267" s="618"/>
      <c r="L267" s="469">
        <f t="shared" ref="L267:N268" si="69">L270+L273</f>
        <v>0</v>
      </c>
      <c r="M267" s="83">
        <f t="shared" si="69"/>
        <v>0</v>
      </c>
      <c r="N267" s="83">
        <f t="shared" si="69"/>
        <v>0</v>
      </c>
      <c r="O267" s="83">
        <f t="shared" si="65"/>
        <v>0</v>
      </c>
      <c r="P267" s="83">
        <f t="shared" si="66"/>
        <v>0</v>
      </c>
      <c r="Q267" s="83">
        <f t="shared" ref="Q267:S268" si="70">Q270+Q273</f>
        <v>0</v>
      </c>
      <c r="R267" s="83">
        <f t="shared" si="70"/>
        <v>0</v>
      </c>
      <c r="S267" s="83">
        <f t="shared" si="70"/>
        <v>0</v>
      </c>
      <c r="T267" s="83">
        <f t="shared" si="67"/>
        <v>0</v>
      </c>
      <c r="U267" s="83">
        <f t="shared" si="68"/>
        <v>0</v>
      </c>
    </row>
    <row r="268" spans="1:21" ht="18.75" hidden="1" x14ac:dyDescent="0.25">
      <c r="A268" s="610"/>
      <c r="B268" s="609"/>
      <c r="C268" s="609"/>
      <c r="D268" s="609"/>
      <c r="E268" s="605" t="s">
        <v>21</v>
      </c>
      <c r="F268" s="609"/>
      <c r="G268" s="608"/>
      <c r="H268" s="480" t="s">
        <v>14</v>
      </c>
      <c r="I268" s="479"/>
      <c r="J268" s="479"/>
      <c r="K268" s="476"/>
      <c r="L268" s="606">
        <f t="shared" ca="1" si="69"/>
        <v>0</v>
      </c>
      <c r="M268" s="486">
        <f t="shared" ca="1" si="69"/>
        <v>5000</v>
      </c>
      <c r="N268" s="486">
        <f t="shared" ca="1" si="69"/>
        <v>0</v>
      </c>
      <c r="O268" s="486">
        <f t="shared" ca="1" si="65"/>
        <v>0</v>
      </c>
      <c r="P268" s="486">
        <f t="shared" ca="1" si="66"/>
        <v>0</v>
      </c>
      <c r="Q268" s="486">
        <f t="shared" ca="1" si="70"/>
        <v>50660</v>
      </c>
      <c r="R268" s="486">
        <f t="shared" ca="1" si="70"/>
        <v>50660</v>
      </c>
      <c r="S268" s="486">
        <f t="shared" ca="1" si="70"/>
        <v>0</v>
      </c>
      <c r="T268" s="486">
        <f t="shared" ca="1" si="67"/>
        <v>0</v>
      </c>
      <c r="U268" s="486">
        <f t="shared" ca="1" si="68"/>
        <v>0</v>
      </c>
    </row>
    <row r="269" spans="1:21" ht="18.75" x14ac:dyDescent="0.25">
      <c r="A269" s="610"/>
      <c r="B269" s="609"/>
      <c r="C269" s="609"/>
      <c r="D269" s="616" t="s">
        <v>22</v>
      </c>
      <c r="E269" s="609"/>
      <c r="F269" s="609"/>
      <c r="G269" s="608"/>
      <c r="H269" s="617" t="s">
        <v>14</v>
      </c>
      <c r="I269" s="601"/>
      <c r="J269" s="601"/>
      <c r="K269" s="599"/>
      <c r="L269" s="606">
        <f ca="1">L270+L271</f>
        <v>0</v>
      </c>
      <c r="M269" s="486">
        <f ca="1">M270+M271</f>
        <v>5000</v>
      </c>
      <c r="N269" s="486">
        <f ca="1">N270+N271</f>
        <v>0</v>
      </c>
      <c r="O269" s="486">
        <f t="shared" ca="1" si="65"/>
        <v>0</v>
      </c>
      <c r="P269" s="486">
        <f t="shared" ca="1" si="66"/>
        <v>0</v>
      </c>
      <c r="Q269" s="486">
        <f ca="1">Q270+Q271</f>
        <v>50660</v>
      </c>
      <c r="R269" s="486">
        <f ca="1">R270+R271</f>
        <v>50660</v>
      </c>
      <c r="S269" s="486">
        <f ca="1">S270+S271</f>
        <v>0</v>
      </c>
      <c r="T269" s="486">
        <f t="shared" ca="1" si="67"/>
        <v>0</v>
      </c>
      <c r="U269" s="486">
        <f t="shared" ca="1" si="68"/>
        <v>0</v>
      </c>
    </row>
    <row r="270" spans="1:21" ht="18.75" hidden="1" x14ac:dyDescent="0.25">
      <c r="A270" s="615"/>
      <c r="B270" s="614"/>
      <c r="C270" s="614"/>
      <c r="D270" s="614"/>
      <c r="E270" s="156" t="s">
        <v>36</v>
      </c>
      <c r="F270" s="614"/>
      <c r="G270" s="613"/>
      <c r="H270" s="159" t="s">
        <v>14</v>
      </c>
      <c r="I270" s="612"/>
      <c r="J270" s="612"/>
      <c r="K270" s="611"/>
      <c r="L270" s="469">
        <v>0</v>
      </c>
      <c r="M270" s="83">
        <v>0</v>
      </c>
      <c r="N270" s="83">
        <v>0</v>
      </c>
      <c r="O270" s="83">
        <f t="shared" si="65"/>
        <v>0</v>
      </c>
      <c r="P270" s="83">
        <f t="shared" si="66"/>
        <v>0</v>
      </c>
      <c r="Q270" s="83">
        <v>0</v>
      </c>
      <c r="R270" s="83">
        <v>0</v>
      </c>
      <c r="S270" s="83">
        <v>0</v>
      </c>
      <c r="T270" s="83">
        <f t="shared" si="67"/>
        <v>0</v>
      </c>
      <c r="U270" s="83">
        <f t="shared" si="68"/>
        <v>0</v>
      </c>
    </row>
    <row r="271" spans="1:21" ht="18.75" hidden="1" x14ac:dyDescent="0.25">
      <c r="A271" s="610"/>
      <c r="B271" s="609"/>
      <c r="C271" s="609"/>
      <c r="D271" s="609"/>
      <c r="E271" s="605" t="s">
        <v>37</v>
      </c>
      <c r="F271" s="609"/>
      <c r="G271" s="608"/>
      <c r="H271" s="617" t="s">
        <v>14</v>
      </c>
      <c r="I271" s="601"/>
      <c r="J271" s="601"/>
      <c r="K271" s="599"/>
      <c r="L271" s="606">
        <f ca="1">IFERROR(__xludf.DUMMYFUNCTION("IMPORTRANGE(""https://docs.google.com/spreadsheets/d/1-uDff_7J0KD5mKrp0Vvzr7lt3OU09vwQwhkpOPPYv2Y/edit?usp=sharing"",""งบพรบ!DE19"")"),0)</f>
        <v>0</v>
      </c>
      <c r="M271" s="486">
        <f ca="1">IFERROR(__xludf.DUMMYFUNCTION("IMPORTRANGE(""https://docs.google.com/spreadsheets/d/1-uDff_7J0KD5mKrp0Vvzr7lt3OU09vwQwhkpOPPYv2Y/edit?usp=sharing"",""งบพรบ!DJ19"")"),5000)</f>
        <v>5000</v>
      </c>
      <c r="N271" s="486">
        <f ca="1">IFERROR(__xludf.DUMMYFUNCTION("IMPORTRANGE(""https://docs.google.com/spreadsheets/d/1-uDff_7J0KD5mKrp0Vvzr7lt3OU09vwQwhkpOPPYv2Y/edit?usp=sharing"",""งบพรบ!DL19"")"),0)</f>
        <v>0</v>
      </c>
      <c r="O271" s="486">
        <f t="shared" ca="1" si="65"/>
        <v>0</v>
      </c>
      <c r="P271" s="486">
        <f t="shared" ca="1" si="66"/>
        <v>0</v>
      </c>
      <c r="Q271" s="486">
        <f ca="1">IFERROR(__xludf.DUMMYFUNCTION("IMPORTRANGE(""https://docs.google.com/spreadsheets/d/1ItG2mGa2ceCfYo0BwxsXqNm01IGEUdYcSSLTEv9YCik/edit?usp=sharing"",""เบิกจ่ายกองทุน!AJ19"")"),50660)</f>
        <v>50660</v>
      </c>
      <c r="R271" s="486">
        <f ca="1">IFERROR(__xludf.DUMMYFUNCTION("IMPORTRANGE(""https://docs.google.com/spreadsheets/d/1ItG2mGa2ceCfYo0BwxsXqNm01IGEUdYcSSLTEv9YCik/edit?usp=sharing"",""เบิกจ่ายกองทุน!AK19"")"),50660)</f>
        <v>50660</v>
      </c>
      <c r="S271" s="486">
        <f ca="1">IFERROR(__xludf.DUMMYFUNCTION("IMPORTRANGE(""https://docs.google.com/spreadsheets/d/1ItG2mGa2ceCfYo0BwxsXqNm01IGEUdYcSSLTEv9YCik/edit?usp=sharing"",""เบิกจ่ายกองทุน!AL19"")"),0)</f>
        <v>0</v>
      </c>
      <c r="T271" s="486">
        <f t="shared" ca="1" si="67"/>
        <v>0</v>
      </c>
      <c r="U271" s="486">
        <f t="shared" ca="1" si="68"/>
        <v>0</v>
      </c>
    </row>
    <row r="272" spans="1:21" ht="18.75" x14ac:dyDescent="0.25">
      <c r="A272" s="610"/>
      <c r="B272" s="609"/>
      <c r="C272" s="609"/>
      <c r="D272" s="616" t="s">
        <v>23</v>
      </c>
      <c r="E272" s="609"/>
      <c r="F272" s="609"/>
      <c r="G272" s="608"/>
      <c r="H272" s="607" t="s">
        <v>14</v>
      </c>
      <c r="I272" s="601"/>
      <c r="J272" s="601"/>
      <c r="K272" s="599"/>
      <c r="L272" s="606">
        <f ca="1">L273+L274</f>
        <v>0</v>
      </c>
      <c r="M272" s="486">
        <f ca="1">M273+M274</f>
        <v>0</v>
      </c>
      <c r="N272" s="486">
        <f ca="1">N273+N274</f>
        <v>0</v>
      </c>
      <c r="O272" s="486">
        <f t="shared" ca="1" si="65"/>
        <v>0</v>
      </c>
      <c r="P272" s="486">
        <f t="shared" ca="1" si="66"/>
        <v>0</v>
      </c>
      <c r="Q272" s="486">
        <f>Q273+Q274</f>
        <v>0</v>
      </c>
      <c r="R272" s="486">
        <f>R273+R274</f>
        <v>0</v>
      </c>
      <c r="S272" s="486">
        <f>S273+S274</f>
        <v>0</v>
      </c>
      <c r="T272" s="486">
        <f t="shared" si="67"/>
        <v>0</v>
      </c>
      <c r="U272" s="486">
        <f t="shared" si="68"/>
        <v>0</v>
      </c>
    </row>
    <row r="273" spans="1:21" ht="18.75" hidden="1" x14ac:dyDescent="0.25">
      <c r="A273" s="615"/>
      <c r="B273" s="614"/>
      <c r="C273" s="614"/>
      <c r="D273" s="614"/>
      <c r="E273" s="156" t="s">
        <v>20</v>
      </c>
      <c r="F273" s="614"/>
      <c r="G273" s="613"/>
      <c r="H273" s="159" t="s">
        <v>14</v>
      </c>
      <c r="I273" s="612"/>
      <c r="J273" s="612"/>
      <c r="K273" s="611"/>
      <c r="L273" s="469">
        <v>0</v>
      </c>
      <c r="M273" s="83">
        <v>0</v>
      </c>
      <c r="N273" s="83">
        <v>0</v>
      </c>
      <c r="O273" s="83">
        <f t="shared" si="65"/>
        <v>0</v>
      </c>
      <c r="P273" s="83">
        <f t="shared" si="66"/>
        <v>0</v>
      </c>
      <c r="Q273" s="83">
        <v>0</v>
      </c>
      <c r="R273" s="83">
        <v>0</v>
      </c>
      <c r="S273" s="83">
        <v>0</v>
      </c>
      <c r="T273" s="83">
        <f t="shared" si="67"/>
        <v>0</v>
      </c>
      <c r="U273" s="83">
        <f t="shared" si="68"/>
        <v>0</v>
      </c>
    </row>
    <row r="274" spans="1:21" ht="18.75" hidden="1" x14ac:dyDescent="0.25">
      <c r="A274" s="610"/>
      <c r="B274" s="609"/>
      <c r="C274" s="609"/>
      <c r="D274" s="609"/>
      <c r="E274" s="605" t="s">
        <v>21</v>
      </c>
      <c r="F274" s="609"/>
      <c r="G274" s="608"/>
      <c r="H274" s="607" t="s">
        <v>14</v>
      </c>
      <c r="I274" s="601"/>
      <c r="J274" s="601"/>
      <c r="K274" s="599"/>
      <c r="L274" s="606">
        <f ca="1">IFERROR(__xludf.DUMMYFUNCTION("IMPORTRANGE(""https://docs.google.com/spreadsheets/d/1-uDff_7J0KD5mKrp0Vvzr7lt3OU09vwQwhkpOPPYv2Y/edit?usp=sharing"",""งบพรบ!DH19"")"),0)</f>
        <v>0</v>
      </c>
      <c r="M274" s="486">
        <f ca="1">IFERROR(__xludf.DUMMYFUNCTION("IMPORTRANGE(""https://docs.google.com/spreadsheets/d/1-uDff_7J0KD5mKrp0Vvzr7lt3OU09vwQwhkpOPPYv2Y/edit?usp=sharing"",""งบพรบ!DK19"")"),0)</f>
        <v>0</v>
      </c>
      <c r="N274" s="486">
        <f ca="1">IFERROR(__xludf.DUMMYFUNCTION("IMPORTRANGE(""https://docs.google.com/spreadsheets/d/1-uDff_7J0KD5mKrp0Vvzr7lt3OU09vwQwhkpOPPYv2Y/edit?usp=sharing"",""งบพรบ!DM19"")"),0)</f>
        <v>0</v>
      </c>
      <c r="O274" s="486">
        <f t="shared" ca="1" si="65"/>
        <v>0</v>
      </c>
      <c r="P274" s="486">
        <f t="shared" ca="1" si="66"/>
        <v>0</v>
      </c>
      <c r="Q274" s="486">
        <v>0</v>
      </c>
      <c r="R274" s="486">
        <v>0</v>
      </c>
      <c r="S274" s="486">
        <v>0</v>
      </c>
      <c r="T274" s="486">
        <f t="shared" si="67"/>
        <v>0</v>
      </c>
      <c r="U274" s="486">
        <f t="shared" si="68"/>
        <v>0</v>
      </c>
    </row>
    <row r="275" spans="1:21" ht="19.5" x14ac:dyDescent="0.3">
      <c r="A275" s="485"/>
      <c r="B275" s="484"/>
      <c r="C275" s="605" t="s">
        <v>18</v>
      </c>
      <c r="D275" s="604" t="s">
        <v>38</v>
      </c>
      <c r="E275" s="603"/>
      <c r="F275" s="603"/>
      <c r="G275" s="602"/>
      <c r="H275" s="481"/>
      <c r="I275" s="601"/>
      <c r="J275" s="601"/>
      <c r="K275" s="599"/>
      <c r="L275" s="600"/>
      <c r="M275" s="599"/>
      <c r="N275" s="599"/>
      <c r="O275" s="599"/>
      <c r="P275" s="599"/>
      <c r="Q275" s="599"/>
      <c r="R275" s="599"/>
      <c r="S275" s="599"/>
      <c r="T275" s="599"/>
      <c r="U275" s="599"/>
    </row>
    <row r="276" spans="1:21" ht="18.75" x14ac:dyDescent="0.25">
      <c r="A276" s="598"/>
      <c r="B276" s="597"/>
      <c r="C276" s="597"/>
      <c r="D276" s="596" t="s">
        <v>115</v>
      </c>
      <c r="E276" s="595"/>
      <c r="F276" s="595"/>
      <c r="G276" s="594"/>
      <c r="H276" s="593" t="s">
        <v>35</v>
      </c>
      <c r="I276" s="592">
        <f ca="1">IFERROR(__xludf.DUMMYFUNCTION("IMPORTRANGE(""https://docs.google.com/spreadsheets/d/1eHaY18a8A9IcSdp1K8H6x8fbOy06t2VsZHhMHf-1x7Y/edit?usp=sharing"",""แผน!EC19"")"),22)</f>
        <v>22</v>
      </c>
      <c r="J276" s="444">
        <v>0</v>
      </c>
      <c r="K276" s="591">
        <f ca="1">IF(I276&gt;0,J276*100/I276,0)</f>
        <v>0</v>
      </c>
      <c r="L276" s="465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590" t="s">
        <v>116</v>
      </c>
      <c r="E277" s="252"/>
      <c r="F277" s="252"/>
      <c r="G277" s="253"/>
      <c r="H277" s="589" t="s">
        <v>35</v>
      </c>
      <c r="I277" s="433">
        <v>0</v>
      </c>
      <c r="J277" s="433">
        <v>0</v>
      </c>
      <c r="K277" s="588">
        <v>0</v>
      </c>
      <c r="L277" s="587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58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585">
        <f ca="1">I293</f>
        <v>10</v>
      </c>
      <c r="J280" s="585">
        <f>J293</f>
        <v>0</v>
      </c>
      <c r="K280" s="584">
        <f ca="1">IF(I280&gt;0,J280*100/I280,0)</f>
        <v>0</v>
      </c>
      <c r="L280" s="583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585">
        <f ca="1">I292</f>
        <v>100</v>
      </c>
      <c r="J281" s="585">
        <f>J292</f>
        <v>0</v>
      </c>
      <c r="K281" s="584">
        <f ca="1">IF(I281&gt;0,J281*100/I281,0)</f>
        <v>0</v>
      </c>
      <c r="L281" s="583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472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471">
        <f ca="1">L283+L284</f>
        <v>137220</v>
      </c>
      <c r="M282" s="470">
        <f ca="1">M283+M284</f>
        <v>137220</v>
      </c>
      <c r="N282" s="470">
        <f ca="1">N283+N284</f>
        <v>83260.899999999994</v>
      </c>
      <c r="O282" s="470">
        <f t="shared" ref="O282:O290" ca="1" si="71">IF(L282&gt;0,N282*100/L282,0)</f>
        <v>60.676942136714757</v>
      </c>
      <c r="P282" s="470">
        <f t="shared" ref="P282:P290" ca="1" si="72">IF(M282&gt;0,N282*100/M282,0)</f>
        <v>60.676942136714757</v>
      </c>
      <c r="Q282" s="470">
        <f>Q283+Q284</f>
        <v>0</v>
      </c>
      <c r="R282" s="470">
        <f>R283+R284</f>
        <v>0</v>
      </c>
      <c r="S282" s="470">
        <f>S283+S284</f>
        <v>0</v>
      </c>
      <c r="T282" s="470">
        <f t="shared" ref="T282:T290" si="73">IF(Q282&gt;0,S282*100/Q282,0)</f>
        <v>0</v>
      </c>
      <c r="U282" s="470">
        <f t="shared" ref="U282:U290" si="74"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469">
        <f t="shared" ref="L283:N284" si="75">L286+L289</f>
        <v>0</v>
      </c>
      <c r="M283" s="83">
        <f t="shared" si="75"/>
        <v>0</v>
      </c>
      <c r="N283" s="83">
        <f t="shared" si="75"/>
        <v>0</v>
      </c>
      <c r="O283" s="83">
        <f t="shared" si="71"/>
        <v>0</v>
      </c>
      <c r="P283" s="83">
        <f t="shared" si="72"/>
        <v>0</v>
      </c>
      <c r="Q283" s="83">
        <f t="shared" ref="Q283:S284" si="76">Q286+Q289</f>
        <v>0</v>
      </c>
      <c r="R283" s="83">
        <f t="shared" si="76"/>
        <v>0</v>
      </c>
      <c r="S283" s="83">
        <f t="shared" si="76"/>
        <v>0</v>
      </c>
      <c r="T283" s="83">
        <f t="shared" si="73"/>
        <v>0</v>
      </c>
      <c r="U283" s="83">
        <f t="shared" si="74"/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468">
        <f t="shared" ca="1" si="75"/>
        <v>137220</v>
      </c>
      <c r="M284" s="224">
        <f t="shared" ca="1" si="75"/>
        <v>137220</v>
      </c>
      <c r="N284" s="224">
        <f t="shared" ca="1" si="75"/>
        <v>83260.899999999994</v>
      </c>
      <c r="O284" s="224">
        <f t="shared" ca="1" si="71"/>
        <v>60.676942136714757</v>
      </c>
      <c r="P284" s="224">
        <f t="shared" ca="1" si="72"/>
        <v>60.676942136714757</v>
      </c>
      <c r="Q284" s="224">
        <f t="shared" si="76"/>
        <v>0</v>
      </c>
      <c r="R284" s="224">
        <f t="shared" si="76"/>
        <v>0</v>
      </c>
      <c r="S284" s="224">
        <f t="shared" si="76"/>
        <v>0</v>
      </c>
      <c r="T284" s="224">
        <f t="shared" si="73"/>
        <v>0</v>
      </c>
      <c r="U284" s="224">
        <f t="shared" si="74"/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468">
        <f ca="1">L286+L287</f>
        <v>137220</v>
      </c>
      <c r="M285" s="224">
        <f ca="1">M286+M287</f>
        <v>137220</v>
      </c>
      <c r="N285" s="224">
        <f ca="1">N286+N287</f>
        <v>83260.899999999994</v>
      </c>
      <c r="O285" s="224">
        <f t="shared" ca="1" si="71"/>
        <v>60.676942136714757</v>
      </c>
      <c r="P285" s="224">
        <f t="shared" ca="1" si="72"/>
        <v>60.676942136714757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 t="shared" si="73"/>
        <v>0</v>
      </c>
      <c r="U285" s="224">
        <f t="shared" si="74"/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469">
        <v>0</v>
      </c>
      <c r="M286" s="83">
        <v>0</v>
      </c>
      <c r="N286" s="83">
        <v>0</v>
      </c>
      <c r="O286" s="83">
        <f t="shared" si="71"/>
        <v>0</v>
      </c>
      <c r="P286" s="83">
        <f t="shared" si="72"/>
        <v>0</v>
      </c>
      <c r="Q286" s="83">
        <v>0</v>
      </c>
      <c r="R286" s="83">
        <v>0</v>
      </c>
      <c r="S286" s="83">
        <v>0</v>
      </c>
      <c r="T286" s="83">
        <f t="shared" si="73"/>
        <v>0</v>
      </c>
      <c r="U286" s="83">
        <f t="shared" si="74"/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468">
        <f ca="1">IFERROR(__xludf.DUMMYFUNCTION("IMPORTRANGE(""https://docs.google.com/spreadsheets/d/1-uDff_7J0KD5mKrp0Vvzr7lt3OU09vwQwhkpOPPYv2Y/edit?usp=sharing"",""งบพรบ!DO19"")"),137220)</f>
        <v>137220</v>
      </c>
      <c r="M287" s="224">
        <f ca="1">IFERROR(__xludf.DUMMYFUNCTION("IMPORTRANGE(""https://docs.google.com/spreadsheets/d/1-uDff_7J0KD5mKrp0Vvzr7lt3OU09vwQwhkpOPPYv2Y/edit?usp=sharing"",""งบพรบ!DT19"")"),137220)</f>
        <v>137220</v>
      </c>
      <c r="N287" s="224">
        <f ca="1">IFERROR(__xludf.DUMMYFUNCTION("IMPORTRANGE(""https://docs.google.com/spreadsheets/d/1-uDff_7J0KD5mKrp0Vvzr7lt3OU09vwQwhkpOPPYv2Y/edit?usp=sharing"",""งบพรบ!DV19"")"),83260.9)</f>
        <v>83260.899999999994</v>
      </c>
      <c r="O287" s="224">
        <f t="shared" ca="1" si="71"/>
        <v>60.676942136714757</v>
      </c>
      <c r="P287" s="224">
        <f t="shared" ca="1" si="72"/>
        <v>60.676942136714757</v>
      </c>
      <c r="Q287" s="224">
        <v>0</v>
      </c>
      <c r="R287" s="224">
        <v>0</v>
      </c>
      <c r="S287" s="224">
        <v>0</v>
      </c>
      <c r="T287" s="83">
        <f t="shared" si="73"/>
        <v>0</v>
      </c>
      <c r="U287" s="83">
        <f t="shared" si="74"/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468">
        <f ca="1">L289+L290</f>
        <v>0</v>
      </c>
      <c r="M288" s="224">
        <f ca="1">M289+M290</f>
        <v>0</v>
      </c>
      <c r="N288" s="224">
        <f ca="1">N289+N290</f>
        <v>0</v>
      </c>
      <c r="O288" s="224">
        <f t="shared" ca="1" si="71"/>
        <v>0</v>
      </c>
      <c r="P288" s="224">
        <f t="shared" ca="1" si="72"/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 t="shared" si="73"/>
        <v>0</v>
      </c>
      <c r="U288" s="224">
        <f t="shared" si="74"/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469">
        <v>0</v>
      </c>
      <c r="M289" s="83">
        <v>0</v>
      </c>
      <c r="N289" s="83">
        <v>0</v>
      </c>
      <c r="O289" s="83">
        <f t="shared" si="71"/>
        <v>0</v>
      </c>
      <c r="P289" s="83">
        <f t="shared" si="72"/>
        <v>0</v>
      </c>
      <c r="Q289" s="83">
        <v>0</v>
      </c>
      <c r="R289" s="83">
        <v>0</v>
      </c>
      <c r="S289" s="83">
        <v>0</v>
      </c>
      <c r="T289" s="83">
        <f t="shared" si="73"/>
        <v>0</v>
      </c>
      <c r="U289" s="83">
        <f t="shared" si="74"/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468">
        <f ca="1">IFERROR(__xludf.DUMMYFUNCTION("IMPORTRANGE(""https://docs.google.com/spreadsheets/d/1-uDff_7J0KD5mKrp0Vvzr7lt3OU09vwQwhkpOPPYv2Y/edit?usp=sharing"",""งบพรบ!DR19"")"),0)</f>
        <v>0</v>
      </c>
      <c r="M290" s="224">
        <f ca="1">IFERROR(__xludf.DUMMYFUNCTION("IMPORTRANGE(""https://docs.google.com/spreadsheets/d/1-uDff_7J0KD5mKrp0Vvzr7lt3OU09vwQwhkpOPPYv2Y/edit?usp=sharing"",""งบพรบ!DU19"")"),0)</f>
        <v>0</v>
      </c>
      <c r="N290" s="224">
        <f ca="1">IFERROR(__xludf.DUMMYFUNCTION("IMPORTRANGE(""https://docs.google.com/spreadsheets/d/1-uDff_7J0KD5mKrp0Vvzr7lt3OU09vwQwhkpOPPYv2Y/edit?usp=sharing"",""งบพรบ!DW19"")"),0)</f>
        <v>0</v>
      </c>
      <c r="O290" s="224">
        <f t="shared" ca="1" si="71"/>
        <v>0</v>
      </c>
      <c r="P290" s="224">
        <f t="shared" ca="1" si="72"/>
        <v>0</v>
      </c>
      <c r="Q290" s="224">
        <v>0</v>
      </c>
      <c r="R290" s="224">
        <v>0</v>
      </c>
      <c r="S290" s="224">
        <v>0</v>
      </c>
      <c r="T290" s="224">
        <f t="shared" si="73"/>
        <v>0</v>
      </c>
      <c r="U290" s="224">
        <f t="shared" si="74"/>
        <v>0</v>
      </c>
    </row>
    <row r="291" spans="1:21" ht="19.5" x14ac:dyDescent="0.3">
      <c r="A291" s="138"/>
      <c r="B291" s="139"/>
      <c r="C291" s="129" t="s">
        <v>18</v>
      </c>
      <c r="D291" s="498" t="s">
        <v>38</v>
      </c>
      <c r="E291" s="141"/>
      <c r="F291" s="141"/>
      <c r="G291" s="142"/>
      <c r="H291" s="143"/>
      <c r="I291" s="135"/>
      <c r="J291" s="135"/>
      <c r="K291" s="136"/>
      <c r="L291" s="4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IFERROR(__xludf.DUMMYFUNCTION("IMPORTRANGE(""https://docs.google.com/spreadsheets/d/1eHaY18a8A9IcSdp1K8H6x8fbOy06t2VsZHhMHf-1x7Y/edit?usp=sharing"",""แผน!EE19"")"),100)</f>
        <v>100</v>
      </c>
      <c r="J292" s="466">
        <v>0</v>
      </c>
      <c r="K292" s="497">
        <f ca="1">IF(I292&gt;0,J292*100/I292,0)</f>
        <v>0</v>
      </c>
      <c r="L292" s="4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IFERROR(__xludf.DUMMYFUNCTION("IMPORTRANGE(""https://docs.google.com/spreadsheets/d/1eHaY18a8A9IcSdp1K8H6x8fbOy06t2VsZHhMHf-1x7Y/edit?usp=sharing"",""แผน!ED19"")"),10)</f>
        <v>10</v>
      </c>
      <c r="J293" s="328">
        <f>J296</f>
        <v>0</v>
      </c>
      <c r="K293" s="582">
        <f ca="1">IF(I293&gt;0,J293*100/I293,0)</f>
        <v>0</v>
      </c>
      <c r="L293" s="4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4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581">
        <f ca="1">IFERROR(__xludf.DUMMYFUNCTION("IMPORTRANGE(""https://docs.google.com/spreadsheets/d/1eHaY18a8A9IcSdp1K8H6x8fbOy06t2VsZHhMHf-1x7Y/edit?usp=sharing"",""แผน!ED19"")"),10)</f>
        <v>10</v>
      </c>
      <c r="J295" s="466">
        <v>0</v>
      </c>
      <c r="K295" s="497">
        <f ca="1">IF(I295&gt;0,J295*100/I295,0)</f>
        <v>0</v>
      </c>
      <c r="L295" s="4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581">
        <f ca="1">IFERROR(__xludf.DUMMYFUNCTION("IMPORTRANGE(""https://docs.google.com/spreadsheets/d/1eHaY18a8A9IcSdp1K8H6x8fbOy06t2VsZHhMHf-1x7Y/edit?usp=sharing"",""แผน!ED19"")"),10)</f>
        <v>10</v>
      </c>
      <c r="J296" s="466">
        <v>0</v>
      </c>
      <c r="K296" s="497">
        <f ca="1">IF(I296&gt;0,J296*100/I296,0)</f>
        <v>0</v>
      </c>
      <c r="L296" s="4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571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hidden="1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571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580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57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541">
        <f ca="1">I314</f>
        <v>30</v>
      </c>
      <c r="J302" s="541">
        <f>J314</f>
        <v>30</v>
      </c>
      <c r="K302" s="540">
        <f ca="1">IF(I302&gt;0,J302*100/I302,0)</f>
        <v>100</v>
      </c>
      <c r="L302" s="539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472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471">
        <f ca="1">L304+L305</f>
        <v>0</v>
      </c>
      <c r="M303" s="470">
        <f ca="1">M304+M305</f>
        <v>0</v>
      </c>
      <c r="N303" s="470">
        <f ca="1">N304+N305</f>
        <v>0</v>
      </c>
      <c r="O303" s="470">
        <f t="shared" ref="O303:O311" ca="1" si="77">IF(L303&gt;0,N303*100/L303,0)</f>
        <v>0</v>
      </c>
      <c r="P303" s="470">
        <f t="shared" ref="P303:P311" ca="1" si="78">IF(M303&gt;0,N303*100/M303,0)</f>
        <v>0</v>
      </c>
      <c r="Q303" s="470">
        <f ca="1">Q304+Q305</f>
        <v>260958.39</v>
      </c>
      <c r="R303" s="470">
        <f ca="1">R304+R305</f>
        <v>260958</v>
      </c>
      <c r="S303" s="470">
        <f ca="1">S304+S305</f>
        <v>16470</v>
      </c>
      <c r="T303" s="470">
        <f t="shared" ref="T303:T311" ca="1" si="79">IF(Q303&gt;0,S303*100/Q303,0)</f>
        <v>6.3113510165356246</v>
      </c>
      <c r="U303" s="470">
        <f t="shared" ref="U303:U311" ca="1" si="80">IF(R303&gt;0,S303*100/R303,0)</f>
        <v>6.3113604488078545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469">
        <f t="shared" ref="L304:N305" si="81">L307+L310</f>
        <v>0</v>
      </c>
      <c r="M304" s="83">
        <f t="shared" si="81"/>
        <v>0</v>
      </c>
      <c r="N304" s="83">
        <f t="shared" si="81"/>
        <v>0</v>
      </c>
      <c r="O304" s="83">
        <f t="shared" si="77"/>
        <v>0</v>
      </c>
      <c r="P304" s="83">
        <f t="shared" si="78"/>
        <v>0</v>
      </c>
      <c r="Q304" s="83">
        <f t="shared" ref="Q304:S305" si="82">Q307+Q310</f>
        <v>0</v>
      </c>
      <c r="R304" s="83">
        <f t="shared" si="82"/>
        <v>0</v>
      </c>
      <c r="S304" s="83">
        <f t="shared" si="82"/>
        <v>0</v>
      </c>
      <c r="T304" s="83">
        <f t="shared" si="79"/>
        <v>0</v>
      </c>
      <c r="U304" s="83">
        <f t="shared" si="80"/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468">
        <f t="shared" ca="1" si="81"/>
        <v>0</v>
      </c>
      <c r="M305" s="224">
        <f t="shared" ca="1" si="81"/>
        <v>0</v>
      </c>
      <c r="N305" s="224">
        <f t="shared" ca="1" si="81"/>
        <v>0</v>
      </c>
      <c r="O305" s="224">
        <f t="shared" ca="1" si="77"/>
        <v>0</v>
      </c>
      <c r="P305" s="224">
        <f t="shared" ca="1" si="78"/>
        <v>0</v>
      </c>
      <c r="Q305" s="224">
        <f t="shared" ca="1" si="82"/>
        <v>260958.39</v>
      </c>
      <c r="R305" s="224">
        <f t="shared" ca="1" si="82"/>
        <v>260958</v>
      </c>
      <c r="S305" s="224">
        <f t="shared" ca="1" si="82"/>
        <v>16470</v>
      </c>
      <c r="T305" s="224">
        <f t="shared" ca="1" si="79"/>
        <v>6.3113510165356246</v>
      </c>
      <c r="U305" s="224">
        <f t="shared" ca="1" si="80"/>
        <v>6.3113604488078545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468">
        <f ca="1">L307+L308</f>
        <v>0</v>
      </c>
      <c r="M306" s="224">
        <f ca="1">M307+M308</f>
        <v>0</v>
      </c>
      <c r="N306" s="224">
        <f ca="1">N307+N308</f>
        <v>0</v>
      </c>
      <c r="O306" s="224">
        <f t="shared" ca="1" si="77"/>
        <v>0</v>
      </c>
      <c r="P306" s="224">
        <f t="shared" ca="1" si="78"/>
        <v>0</v>
      </c>
      <c r="Q306" s="224">
        <f ca="1">Q307+Q308</f>
        <v>260958.39</v>
      </c>
      <c r="R306" s="224">
        <f ca="1">R307+R308</f>
        <v>260958</v>
      </c>
      <c r="S306" s="224">
        <f ca="1">S307+S308</f>
        <v>16470</v>
      </c>
      <c r="T306" s="224">
        <f t="shared" ca="1" si="79"/>
        <v>6.3113510165356246</v>
      </c>
      <c r="U306" s="224">
        <f t="shared" ca="1" si="80"/>
        <v>6.3113604488078545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469">
        <v>0</v>
      </c>
      <c r="M307" s="83">
        <v>0</v>
      </c>
      <c r="N307" s="83">
        <v>0</v>
      </c>
      <c r="O307" s="83">
        <f t="shared" si="77"/>
        <v>0</v>
      </c>
      <c r="P307" s="83">
        <f t="shared" si="78"/>
        <v>0</v>
      </c>
      <c r="Q307" s="83">
        <v>0</v>
      </c>
      <c r="R307" s="83">
        <v>0</v>
      </c>
      <c r="S307" s="83">
        <v>0</v>
      </c>
      <c r="T307" s="83">
        <f t="shared" si="79"/>
        <v>0</v>
      </c>
      <c r="U307" s="83">
        <f t="shared" si="80"/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468">
        <f ca="1">IFERROR(__xludf.DUMMYFUNCTION("IMPORTRANGE(""https://docs.google.com/spreadsheets/d/1-uDff_7J0KD5mKrp0Vvzr7lt3OU09vwQwhkpOPPYv2Y/edit?usp=sharing"",""งบพรบ!DY19"")"),0)</f>
        <v>0</v>
      </c>
      <c r="M308" s="224">
        <f ca="1">IFERROR(__xludf.DUMMYFUNCTION("IMPORTRANGE(""https://docs.google.com/spreadsheets/d/1-uDff_7J0KD5mKrp0Vvzr7lt3OU09vwQwhkpOPPYv2Y/edit?usp=sharing"",""งบพรบ!ED19"")"),0)</f>
        <v>0</v>
      </c>
      <c r="N308" s="224">
        <f ca="1">IFERROR(__xludf.DUMMYFUNCTION("IMPORTRANGE(""https://docs.google.com/spreadsheets/d/1-uDff_7J0KD5mKrp0Vvzr7lt3OU09vwQwhkpOPPYv2Y/edit?usp=sharing"",""งบพรบ!EF19"")"),0)</f>
        <v>0</v>
      </c>
      <c r="O308" s="224">
        <f t="shared" ca="1" si="77"/>
        <v>0</v>
      </c>
      <c r="P308" s="224">
        <f t="shared" ca="1" si="78"/>
        <v>0</v>
      </c>
      <c r="Q308" s="224">
        <f ca="1">IFERROR(__xludf.DUMMYFUNCTION("IMPORTRANGE(""https://docs.google.com/spreadsheets/d/1ItG2mGa2ceCfYo0BwxsXqNm01IGEUdYcSSLTEv9YCik/edit?usp=sharing"",""เบิกจ่ายกองทุน!AP19"")"),260958.39)</f>
        <v>260958.39</v>
      </c>
      <c r="R308" s="224">
        <f ca="1">IFERROR(__xludf.DUMMYFUNCTION("IMPORTRANGE(""https://docs.google.com/spreadsheets/d/1ItG2mGa2ceCfYo0BwxsXqNm01IGEUdYcSSLTEv9YCik/edit?usp=sharing"",""เบิกจ่ายกองทุน!AQ19"")"),260958)</f>
        <v>260958</v>
      </c>
      <c r="S308" s="224">
        <f ca="1">IFERROR(__xludf.DUMMYFUNCTION("IMPORTRANGE(""https://docs.google.com/spreadsheets/d/1ItG2mGa2ceCfYo0BwxsXqNm01IGEUdYcSSLTEv9YCik/edit?usp=sharing"",""เบิกจ่ายกองทุน!AR19"")"),16470)</f>
        <v>16470</v>
      </c>
      <c r="T308" s="224">
        <f t="shared" ca="1" si="79"/>
        <v>6.3113510165356246</v>
      </c>
      <c r="U308" s="224">
        <f t="shared" ca="1" si="80"/>
        <v>6.3113604488078545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468">
        <f ca="1">L310+L311</f>
        <v>0</v>
      </c>
      <c r="M309" s="224">
        <f ca="1">M310+M311</f>
        <v>0</v>
      </c>
      <c r="N309" s="224">
        <f ca="1">N310+N311</f>
        <v>0</v>
      </c>
      <c r="O309" s="224">
        <f t="shared" ca="1" si="77"/>
        <v>0</v>
      </c>
      <c r="P309" s="224">
        <f t="shared" ca="1" si="78"/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 t="shared" si="79"/>
        <v>0</v>
      </c>
      <c r="U309" s="224">
        <f t="shared" si="80"/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469">
        <v>0</v>
      </c>
      <c r="M310" s="83">
        <v>0</v>
      </c>
      <c r="N310" s="83">
        <v>0</v>
      </c>
      <c r="O310" s="83">
        <f t="shared" si="77"/>
        <v>0</v>
      </c>
      <c r="P310" s="83">
        <f t="shared" si="78"/>
        <v>0</v>
      </c>
      <c r="Q310" s="83">
        <v>0</v>
      </c>
      <c r="R310" s="83">
        <v>0</v>
      </c>
      <c r="S310" s="83">
        <v>0</v>
      </c>
      <c r="T310" s="83">
        <f t="shared" si="79"/>
        <v>0</v>
      </c>
      <c r="U310" s="83">
        <f t="shared" si="80"/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468">
        <f ca="1">IFERROR(__xludf.DUMMYFUNCTION("IMPORTRANGE(""https://docs.google.com/spreadsheets/d/1-uDff_7J0KD5mKrp0Vvzr7lt3OU09vwQwhkpOPPYv2Y/edit?usp=sharing"",""งบพรบ!EB19"")"),0)</f>
        <v>0</v>
      </c>
      <c r="M311" s="224">
        <f ca="1">IFERROR(__xludf.DUMMYFUNCTION("IMPORTRANGE(""https://docs.google.com/spreadsheets/d/1-uDff_7J0KD5mKrp0Vvzr7lt3OU09vwQwhkpOPPYv2Y/edit?usp=sharing"",""งบพรบ!EE19"")"),0)</f>
        <v>0</v>
      </c>
      <c r="N311" s="224">
        <f ca="1">IFERROR(__xludf.DUMMYFUNCTION("IMPORTRANGE(""https://docs.google.com/spreadsheets/d/1-uDff_7J0KD5mKrp0Vvzr7lt3OU09vwQwhkpOPPYv2Y/edit?usp=sharing"",""งบพรบ!EG19"")"),0)</f>
        <v>0</v>
      </c>
      <c r="O311" s="224">
        <f t="shared" ca="1" si="77"/>
        <v>0</v>
      </c>
      <c r="P311" s="224">
        <f t="shared" ca="1" si="78"/>
        <v>0</v>
      </c>
      <c r="Q311" s="224">
        <v>0</v>
      </c>
      <c r="R311" s="224">
        <v>0</v>
      </c>
      <c r="S311" s="224">
        <v>0</v>
      </c>
      <c r="T311" s="224">
        <f t="shared" si="79"/>
        <v>0</v>
      </c>
      <c r="U311" s="224">
        <f t="shared" si="80"/>
        <v>0</v>
      </c>
    </row>
    <row r="312" spans="1:21" ht="19.5" x14ac:dyDescent="0.3">
      <c r="A312" s="138"/>
      <c r="B312" s="139"/>
      <c r="C312" s="129" t="s">
        <v>18</v>
      </c>
      <c r="D312" s="498" t="s">
        <v>38</v>
      </c>
      <c r="E312" s="141"/>
      <c r="F312" s="141"/>
      <c r="G312" s="142"/>
      <c r="H312" s="143"/>
      <c r="I312" s="44"/>
      <c r="J312" s="44"/>
      <c r="K312" s="45"/>
      <c r="L312" s="465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579"/>
      <c r="E313" s="18"/>
      <c r="F313" s="18"/>
      <c r="G313" s="19"/>
      <c r="H313" s="19"/>
      <c r="I313" s="20"/>
      <c r="J313" s="577"/>
      <c r="K313" s="21"/>
      <c r="L313" s="571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IFERROR(__xludf.DUMMYFUNCTION("IMPORTRANGE(""https://docs.google.com/spreadsheets/d/1eHaY18a8A9IcSdp1K8H6x8fbOy06t2VsZHhMHf-1x7Y/edit?usp=sharing"",""แผน!EF19"")"),30)</f>
        <v>30</v>
      </c>
      <c r="J314" s="466">
        <v>30</v>
      </c>
      <c r="K314" s="224">
        <f ca="1">IF(I314&gt;0,J314*100/I314,0)</f>
        <v>100</v>
      </c>
      <c r="L314" s="465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579"/>
      <c r="E315" s="18"/>
      <c r="F315" s="18"/>
      <c r="G315" s="19"/>
      <c r="H315" s="578"/>
      <c r="I315" s="577"/>
      <c r="J315" s="577"/>
      <c r="K315" s="576"/>
      <c r="L315" s="571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579"/>
      <c r="E316" s="18"/>
      <c r="F316" s="18"/>
      <c r="G316" s="19"/>
      <c r="H316" s="578"/>
      <c r="I316" s="577"/>
      <c r="J316" s="577"/>
      <c r="K316" s="576"/>
      <c r="L316" s="571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575"/>
      <c r="E317" s="18"/>
      <c r="F317" s="18"/>
      <c r="G317" s="19"/>
      <c r="H317" s="574"/>
      <c r="I317" s="573"/>
      <c r="J317" s="573"/>
      <c r="K317" s="572"/>
      <c r="L317" s="571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57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hidden="1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541">
        <f ca="1">I330</f>
        <v>0</v>
      </c>
      <c r="J319" s="541">
        <f>J330</f>
        <v>0</v>
      </c>
      <c r="K319" s="540">
        <f ca="1">IF(I319&gt;0,J319*100/I319,0)</f>
        <v>0</v>
      </c>
      <c r="L319" s="539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hidden="1" x14ac:dyDescent="0.3">
      <c r="A320" s="128"/>
      <c r="B320" s="40"/>
      <c r="C320" s="129" t="s">
        <v>18</v>
      </c>
      <c r="D320" s="472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471">
        <f ca="1">L321+L322</f>
        <v>0</v>
      </c>
      <c r="M320" s="470">
        <f ca="1">M321+M322</f>
        <v>0</v>
      </c>
      <c r="N320" s="470">
        <f ca="1">N321+N322</f>
        <v>0</v>
      </c>
      <c r="O320" s="470">
        <f t="shared" ref="O320:O328" ca="1" si="83">IF(L320&gt;0,N320*100/L320,0)</f>
        <v>0</v>
      </c>
      <c r="P320" s="470">
        <f t="shared" ref="P320:P328" ca="1" si="84">IF(M320&gt;0,N320*100/M320,0)</f>
        <v>0</v>
      </c>
      <c r="Q320" s="470">
        <f>Q321+Q322</f>
        <v>0</v>
      </c>
      <c r="R320" s="470">
        <f>R321+R322</f>
        <v>0</v>
      </c>
      <c r="S320" s="470">
        <f>S321+S322</f>
        <v>0</v>
      </c>
      <c r="T320" s="470">
        <f t="shared" ref="T320:T328" si="85">IF(Q320&gt;0,S320*100/Q320,0)</f>
        <v>0</v>
      </c>
      <c r="U320" s="470">
        <f t="shared" ref="U320:U328" si="86"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469">
        <f t="shared" ref="L321:N322" si="87">L324+L327</f>
        <v>0</v>
      </c>
      <c r="M321" s="83">
        <f t="shared" si="87"/>
        <v>0</v>
      </c>
      <c r="N321" s="83">
        <f t="shared" si="87"/>
        <v>0</v>
      </c>
      <c r="O321" s="83">
        <f t="shared" si="83"/>
        <v>0</v>
      </c>
      <c r="P321" s="83">
        <f t="shared" si="84"/>
        <v>0</v>
      </c>
      <c r="Q321" s="83">
        <f t="shared" ref="Q321:S322" si="88">Q324+Q327</f>
        <v>0</v>
      </c>
      <c r="R321" s="83">
        <f t="shared" si="88"/>
        <v>0</v>
      </c>
      <c r="S321" s="83">
        <f t="shared" si="88"/>
        <v>0</v>
      </c>
      <c r="T321" s="83">
        <f t="shared" si="85"/>
        <v>0</v>
      </c>
      <c r="U321" s="83">
        <f t="shared" si="86"/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468">
        <f t="shared" ca="1" si="87"/>
        <v>0</v>
      </c>
      <c r="M322" s="224">
        <f t="shared" ca="1" si="87"/>
        <v>0</v>
      </c>
      <c r="N322" s="224">
        <f t="shared" ca="1" si="87"/>
        <v>0</v>
      </c>
      <c r="O322" s="224">
        <f t="shared" ca="1" si="83"/>
        <v>0</v>
      </c>
      <c r="P322" s="224">
        <f t="shared" ca="1" si="84"/>
        <v>0</v>
      </c>
      <c r="Q322" s="224">
        <f t="shared" si="88"/>
        <v>0</v>
      </c>
      <c r="R322" s="224">
        <f t="shared" si="88"/>
        <v>0</v>
      </c>
      <c r="S322" s="224">
        <f t="shared" si="88"/>
        <v>0</v>
      </c>
      <c r="T322" s="224">
        <f t="shared" si="85"/>
        <v>0</v>
      </c>
      <c r="U322" s="224">
        <f t="shared" si="86"/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468">
        <f ca="1">L324+L325</f>
        <v>0</v>
      </c>
      <c r="M323" s="224">
        <f ca="1">M324+M325</f>
        <v>0</v>
      </c>
      <c r="N323" s="224">
        <f ca="1">N324+N325</f>
        <v>0</v>
      </c>
      <c r="O323" s="224">
        <f t="shared" ca="1" si="83"/>
        <v>0</v>
      </c>
      <c r="P323" s="224">
        <f t="shared" ca="1" si="84"/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 t="shared" si="85"/>
        <v>0</v>
      </c>
      <c r="U323" s="224">
        <f t="shared" si="86"/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469">
        <v>0</v>
      </c>
      <c r="M324" s="83">
        <v>0</v>
      </c>
      <c r="N324" s="83">
        <v>0</v>
      </c>
      <c r="O324" s="83">
        <f t="shared" si="83"/>
        <v>0</v>
      </c>
      <c r="P324" s="83">
        <f t="shared" si="84"/>
        <v>0</v>
      </c>
      <c r="Q324" s="83">
        <v>0</v>
      </c>
      <c r="R324" s="83">
        <v>0</v>
      </c>
      <c r="S324" s="83">
        <v>0</v>
      </c>
      <c r="T324" s="83">
        <f t="shared" si="85"/>
        <v>0</v>
      </c>
      <c r="U324" s="83">
        <f t="shared" si="86"/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468">
        <f ca="1">IFERROR(__xludf.DUMMYFUNCTION("IMPORTRANGE(""https://docs.google.com/spreadsheets/d/1-uDff_7J0KD5mKrp0Vvzr7lt3OU09vwQwhkpOPPYv2Y/edit?usp=sharing"",""งบพรบ!EI19"")"),0)</f>
        <v>0</v>
      </c>
      <c r="M325" s="224">
        <f ca="1">IFERROR(__xludf.DUMMYFUNCTION("IMPORTRANGE(""https://docs.google.com/spreadsheets/d/1-uDff_7J0KD5mKrp0Vvzr7lt3OU09vwQwhkpOPPYv2Y/edit?usp=sharing"",""งบพรบ!EN19"")"),0)</f>
        <v>0</v>
      </c>
      <c r="N325" s="224">
        <f ca="1">IFERROR(__xludf.DUMMYFUNCTION("IMPORTRANGE(""https://docs.google.com/spreadsheets/d/1-uDff_7J0KD5mKrp0Vvzr7lt3OU09vwQwhkpOPPYv2Y/edit?usp=sharing"",""งบพรบ!EP19"")"),0)</f>
        <v>0</v>
      </c>
      <c r="O325" s="224">
        <f t="shared" ca="1" si="83"/>
        <v>0</v>
      </c>
      <c r="P325" s="224">
        <f t="shared" ca="1" si="84"/>
        <v>0</v>
      </c>
      <c r="Q325" s="224">
        <v>0</v>
      </c>
      <c r="R325" s="224">
        <v>0</v>
      </c>
      <c r="S325" s="224">
        <v>0</v>
      </c>
      <c r="T325" s="224">
        <f t="shared" si="85"/>
        <v>0</v>
      </c>
      <c r="U325" s="224">
        <f t="shared" si="86"/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468">
        <f ca="1">L327+L328</f>
        <v>0</v>
      </c>
      <c r="M326" s="224">
        <f ca="1">M327+M328</f>
        <v>0</v>
      </c>
      <c r="N326" s="224">
        <f ca="1">N327+N328</f>
        <v>0</v>
      </c>
      <c r="O326" s="224">
        <f t="shared" ca="1" si="83"/>
        <v>0</v>
      </c>
      <c r="P326" s="224">
        <f t="shared" ca="1" si="84"/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 t="shared" si="85"/>
        <v>0</v>
      </c>
      <c r="U326" s="224">
        <f t="shared" si="86"/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469">
        <v>0</v>
      </c>
      <c r="M327" s="83">
        <v>0</v>
      </c>
      <c r="N327" s="83">
        <v>0</v>
      </c>
      <c r="O327" s="83">
        <f t="shared" si="83"/>
        <v>0</v>
      </c>
      <c r="P327" s="83">
        <f t="shared" si="84"/>
        <v>0</v>
      </c>
      <c r="Q327" s="83">
        <v>0</v>
      </c>
      <c r="R327" s="83">
        <v>0</v>
      </c>
      <c r="S327" s="83">
        <v>0</v>
      </c>
      <c r="T327" s="83">
        <f t="shared" si="85"/>
        <v>0</v>
      </c>
      <c r="U327" s="83">
        <f t="shared" si="86"/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468">
        <f ca="1">IFERROR(__xludf.DUMMYFUNCTION("IMPORTRANGE(""https://docs.google.com/spreadsheets/d/1-uDff_7J0KD5mKrp0Vvzr7lt3OU09vwQwhkpOPPYv2Y/edit?usp=sharing"",""งบพรบ!EL19"")"),0)</f>
        <v>0</v>
      </c>
      <c r="M328" s="224">
        <f ca="1">IFERROR(__xludf.DUMMYFUNCTION("IMPORTRANGE(""https://docs.google.com/spreadsheets/d/1-uDff_7J0KD5mKrp0Vvzr7lt3OU09vwQwhkpOPPYv2Y/edit?usp=sharing"",""งบพรบ!EO19"")"),0)</f>
        <v>0</v>
      </c>
      <c r="N328" s="224">
        <f ca="1">IFERROR(__xludf.DUMMYFUNCTION("IMPORTRANGE(""https://docs.google.com/spreadsheets/d/1-uDff_7J0KD5mKrp0Vvzr7lt3OU09vwQwhkpOPPYv2Y/edit?usp=sharing"",""งบพรบ!EQ19"")"),0)</f>
        <v>0</v>
      </c>
      <c r="O328" s="224">
        <f t="shared" ca="1" si="83"/>
        <v>0</v>
      </c>
      <c r="P328" s="224">
        <f t="shared" ca="1" si="84"/>
        <v>0</v>
      </c>
      <c r="Q328" s="224">
        <v>0</v>
      </c>
      <c r="R328" s="224">
        <v>0</v>
      </c>
      <c r="S328" s="224">
        <v>0</v>
      </c>
      <c r="T328" s="224">
        <f t="shared" si="85"/>
        <v>0</v>
      </c>
      <c r="U328" s="224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8" t="s">
        <v>38</v>
      </c>
      <c r="E329" s="141"/>
      <c r="F329" s="141"/>
      <c r="G329" s="142"/>
      <c r="H329" s="143"/>
      <c r="I329" s="135"/>
      <c r="J329" s="44"/>
      <c r="K329" s="45"/>
      <c r="L329" s="465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IFERROR(__xludf.DUMMYFUNCTION("IMPORTRANGE(""https://docs.google.com/spreadsheets/d/1eHaY18a8A9IcSdp1K8H6x8fbOy06t2VsZHhMHf-1x7Y/edit?usp=sharing"",""แผน!EJ19"")"),0)</f>
        <v>0</v>
      </c>
      <c r="J330" s="466">
        <v>0</v>
      </c>
      <c r="K330" s="224">
        <f ca="1">IF(I330&gt;0,J330*100/I330,0)</f>
        <v>0</v>
      </c>
      <c r="L330" s="465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57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569">
        <f ca="1">I344</f>
        <v>1060</v>
      </c>
      <c r="J332" s="568">
        <f ca="1">J344+J347+J348+J349+J353</f>
        <v>8610</v>
      </c>
      <c r="K332" s="567">
        <f ca="1">IF(I332&gt;0,J332*100/I332,0)</f>
        <v>812.2641509433962</v>
      </c>
      <c r="L332" s="539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472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471">
        <f ca="1">L334+L335</f>
        <v>110000</v>
      </c>
      <c r="M333" s="470">
        <f ca="1">M334+M335</f>
        <v>115000</v>
      </c>
      <c r="N333" s="470">
        <f ca="1">N334+N335</f>
        <v>79560</v>
      </c>
      <c r="O333" s="470">
        <f t="shared" ref="O333:O341" ca="1" si="89">IF(L333&gt;0,N333*100/L333,0)</f>
        <v>72.327272727272728</v>
      </c>
      <c r="P333" s="470">
        <f t="shared" ref="P333:P341" ca="1" si="90">IF(M333&gt;0,N333*100/M333,0)</f>
        <v>69.182608695652178</v>
      </c>
      <c r="Q333" s="470">
        <f>Q334+Q335</f>
        <v>0</v>
      </c>
      <c r="R333" s="470">
        <f>R334+R335</f>
        <v>0</v>
      </c>
      <c r="S333" s="470">
        <f>S334+S335</f>
        <v>0</v>
      </c>
      <c r="T333" s="470">
        <f t="shared" ref="T333:T341" si="91">IF(Q333&gt;0,S333*100/Q333,0)</f>
        <v>0</v>
      </c>
      <c r="U333" s="470">
        <f t="shared" ref="U333:U341" si="92"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469">
        <f t="shared" ref="L334:N335" si="93">L337+L340</f>
        <v>0</v>
      </c>
      <c r="M334" s="83">
        <f t="shared" si="93"/>
        <v>0</v>
      </c>
      <c r="N334" s="83">
        <f t="shared" si="93"/>
        <v>0</v>
      </c>
      <c r="O334" s="83">
        <f t="shared" si="89"/>
        <v>0</v>
      </c>
      <c r="P334" s="83">
        <f t="shared" si="90"/>
        <v>0</v>
      </c>
      <c r="Q334" s="83">
        <f t="shared" ref="Q334:S335" si="94">Q337+Q340</f>
        <v>0</v>
      </c>
      <c r="R334" s="83">
        <f t="shared" si="94"/>
        <v>0</v>
      </c>
      <c r="S334" s="83">
        <f t="shared" si="94"/>
        <v>0</v>
      </c>
      <c r="T334" s="83">
        <f t="shared" si="91"/>
        <v>0</v>
      </c>
      <c r="U334" s="83">
        <f t="shared" si="92"/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468">
        <f t="shared" ca="1" si="93"/>
        <v>110000</v>
      </c>
      <c r="M335" s="224">
        <f t="shared" ca="1" si="93"/>
        <v>115000</v>
      </c>
      <c r="N335" s="224">
        <f t="shared" ca="1" si="93"/>
        <v>79560</v>
      </c>
      <c r="O335" s="224">
        <f t="shared" ca="1" si="89"/>
        <v>72.327272727272728</v>
      </c>
      <c r="P335" s="224">
        <f t="shared" ca="1" si="90"/>
        <v>69.182608695652178</v>
      </c>
      <c r="Q335" s="224">
        <f t="shared" si="94"/>
        <v>0</v>
      </c>
      <c r="R335" s="224">
        <f t="shared" si="94"/>
        <v>0</v>
      </c>
      <c r="S335" s="224">
        <f t="shared" si="94"/>
        <v>0</v>
      </c>
      <c r="T335" s="224">
        <f t="shared" si="91"/>
        <v>0</v>
      </c>
      <c r="U335" s="224">
        <f t="shared" si="92"/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468">
        <f ca="1">L337+L338</f>
        <v>110000</v>
      </c>
      <c r="M336" s="224">
        <f ca="1">M337+M338</f>
        <v>115000</v>
      </c>
      <c r="N336" s="224">
        <f ca="1">N337+N338</f>
        <v>79560</v>
      </c>
      <c r="O336" s="224">
        <f t="shared" ca="1" si="89"/>
        <v>72.327272727272728</v>
      </c>
      <c r="P336" s="224">
        <f t="shared" ca="1" si="90"/>
        <v>69.182608695652178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 t="shared" si="91"/>
        <v>0</v>
      </c>
      <c r="U336" s="224">
        <f t="shared" si="92"/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469">
        <v>0</v>
      </c>
      <c r="M337" s="83">
        <v>0</v>
      </c>
      <c r="N337" s="83">
        <v>0</v>
      </c>
      <c r="O337" s="83">
        <f t="shared" si="89"/>
        <v>0</v>
      </c>
      <c r="P337" s="83">
        <f t="shared" si="90"/>
        <v>0</v>
      </c>
      <c r="Q337" s="83">
        <v>0</v>
      </c>
      <c r="R337" s="83">
        <v>0</v>
      </c>
      <c r="S337" s="83">
        <v>0</v>
      </c>
      <c r="T337" s="83">
        <f t="shared" si="91"/>
        <v>0</v>
      </c>
      <c r="U337" s="83">
        <f t="shared" si="92"/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468">
        <f ca="1">IFERROR(__xludf.DUMMYFUNCTION("IMPORTRANGE(""https://docs.google.com/spreadsheets/d/1-uDff_7J0KD5mKrp0Vvzr7lt3OU09vwQwhkpOPPYv2Y/edit?usp=sharing"",""งบพรบ!ES19"")"),110000)</f>
        <v>110000</v>
      </c>
      <c r="M338" s="224">
        <f ca="1">IFERROR(__xludf.DUMMYFUNCTION("IMPORTRANGE(""https://docs.google.com/spreadsheets/d/1-uDff_7J0KD5mKrp0Vvzr7lt3OU09vwQwhkpOPPYv2Y/edit?usp=sharing"",""งบพรบ!EX19"")"),115000)</f>
        <v>115000</v>
      </c>
      <c r="N338" s="224">
        <f ca="1">IFERROR(__xludf.DUMMYFUNCTION("IMPORTRANGE(""https://docs.google.com/spreadsheets/d/1-uDff_7J0KD5mKrp0Vvzr7lt3OU09vwQwhkpOPPYv2Y/edit?usp=sharing"",""งบพรบ!EZ19"")"),79560)</f>
        <v>79560</v>
      </c>
      <c r="O338" s="224">
        <f t="shared" ca="1" si="89"/>
        <v>72.327272727272728</v>
      </c>
      <c r="P338" s="224">
        <f t="shared" ca="1" si="90"/>
        <v>69.182608695652178</v>
      </c>
      <c r="Q338" s="224">
        <v>0</v>
      </c>
      <c r="R338" s="224">
        <v>0</v>
      </c>
      <c r="S338" s="224">
        <v>0</v>
      </c>
      <c r="T338" s="224">
        <f t="shared" si="91"/>
        <v>0</v>
      </c>
      <c r="U338" s="224">
        <f t="shared" si="92"/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468">
        <f ca="1">L340+L341</f>
        <v>0</v>
      </c>
      <c r="M339" s="224">
        <f ca="1">M340+M341</f>
        <v>0</v>
      </c>
      <c r="N339" s="224">
        <f ca="1">N340+N341</f>
        <v>0</v>
      </c>
      <c r="O339" s="224">
        <f t="shared" ca="1" si="89"/>
        <v>0</v>
      </c>
      <c r="P339" s="224">
        <f t="shared" ca="1" si="90"/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 t="shared" si="91"/>
        <v>0</v>
      </c>
      <c r="U339" s="224">
        <f t="shared" si="92"/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469">
        <v>0</v>
      </c>
      <c r="M340" s="83">
        <v>0</v>
      </c>
      <c r="N340" s="83">
        <v>0</v>
      </c>
      <c r="O340" s="83">
        <f t="shared" si="89"/>
        <v>0</v>
      </c>
      <c r="P340" s="83">
        <f t="shared" si="90"/>
        <v>0</v>
      </c>
      <c r="Q340" s="83">
        <v>0</v>
      </c>
      <c r="R340" s="83">
        <v>0</v>
      </c>
      <c r="S340" s="83">
        <v>0</v>
      </c>
      <c r="T340" s="83">
        <f t="shared" si="91"/>
        <v>0</v>
      </c>
      <c r="U340" s="83">
        <f t="shared" si="92"/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468">
        <f ca="1">IFERROR(__xludf.DUMMYFUNCTION("IMPORTRANGE(""https://docs.google.com/spreadsheets/d/1-uDff_7J0KD5mKrp0Vvzr7lt3OU09vwQwhkpOPPYv2Y/edit?usp=sharing"",""งบพรบ!EV19"")"),0)</f>
        <v>0</v>
      </c>
      <c r="M341" s="224">
        <f ca="1">IFERROR(__xludf.DUMMYFUNCTION("IMPORTRANGE(""https://docs.google.com/spreadsheets/d/1-uDff_7J0KD5mKrp0Vvzr7lt3OU09vwQwhkpOPPYv2Y/edit?usp=sharing"",""งบพรบ!EY19"")"),0)</f>
        <v>0</v>
      </c>
      <c r="N341" s="224">
        <f ca="1">IFERROR(__xludf.DUMMYFUNCTION("IMPORTRANGE(""https://docs.google.com/spreadsheets/d/1-uDff_7J0KD5mKrp0Vvzr7lt3OU09vwQwhkpOPPYv2Y/edit?usp=sharing"",""งบพรบ!FA19"")"),0)</f>
        <v>0</v>
      </c>
      <c r="O341" s="224">
        <f t="shared" ca="1" si="89"/>
        <v>0</v>
      </c>
      <c r="P341" s="224">
        <f t="shared" ca="1" si="90"/>
        <v>0</v>
      </c>
      <c r="Q341" s="224">
        <v>0</v>
      </c>
      <c r="R341" s="224">
        <v>0</v>
      </c>
      <c r="S341" s="224">
        <v>0</v>
      </c>
      <c r="T341" s="224">
        <f t="shared" si="91"/>
        <v>0</v>
      </c>
      <c r="U341" s="224">
        <f t="shared" si="92"/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465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566"/>
      <c r="B343" s="563"/>
      <c r="C343" s="565"/>
      <c r="D343" s="563"/>
      <c r="E343" s="564" t="s">
        <v>137</v>
      </c>
      <c r="F343" s="563"/>
      <c r="G343" s="562"/>
      <c r="H343" s="561" t="s">
        <v>35</v>
      </c>
      <c r="I343" s="560">
        <v>0</v>
      </c>
      <c r="J343" s="560">
        <f ca="1">J344+J347+J348+J349</f>
        <v>1723</v>
      </c>
      <c r="K343" s="559">
        <v>0</v>
      </c>
      <c r="L343" s="557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IFERROR(__xludf.DUMMYFUNCTION("IMPORTRANGE(""https://docs.google.com/spreadsheets/d/1eHaY18a8A9IcSdp1K8H6x8fbOy06t2VsZHhMHf-1x7Y/edit?usp=sharing"",""แผน!EK19"")"),1060)</f>
        <v>1060</v>
      </c>
      <c r="J344" s="184">
        <f ca="1">IFERROR(__xludf.DUMMYFUNCTION("IMPORTRANGE(""https://docs.google.com/spreadsheets/d/1awYsYK3VOup2i3Pq_Yjnu8DRu_mYwSBnCR2QPthd0rU/edit?usp=sharing"",""ศูนย์ยกเว้นโฉนด!D19"")"),1723)</f>
        <v>1723</v>
      </c>
      <c r="K344" s="224">
        <f ca="1">IF(I344&gt;0,J344*100/I344,0)</f>
        <v>162.54716981132074</v>
      </c>
      <c r="L344" s="465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465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IFERROR(__xludf.DUMMYFUNCTION("IMPORTRANGE(""https://docs.google.com/spreadsheets/d/1eHaY18a8A9IcSdp1K8H6x8fbOy06t2VsZHhMHf-1x7Y/edit?usp=sharing"",""แผน!EL19"")"),5)</f>
        <v>5</v>
      </c>
      <c r="J346" s="184">
        <f ca="1">IFERROR(__xludf.DUMMYFUNCTION("IMPORTRANGE(""https://docs.google.com/spreadsheets/d/1awYsYK3VOup2i3Pq_Yjnu8DRu_mYwSBnCR2QPthd0rU/edit?usp=sharing"",""ศูนย์รวม!E19"")"),2)</f>
        <v>2</v>
      </c>
      <c r="K346" s="224">
        <f ca="1">IF(I346&gt;0,J346*100/I346,0)</f>
        <v>40</v>
      </c>
      <c r="L346" s="465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IFERROR(__xludf.DUMMYFUNCTION("IMPORTRANGE(""https://docs.google.com/spreadsheets/d/1awYsYK3VOup2i3Pq_Yjnu8DRu_mYwSBnCR2QPthd0rU/edit?usp=sharing"",""ศูนย์ยกเว้นโฉนด!F19"")"),0)</f>
        <v>0</v>
      </c>
      <c r="K347" s="45"/>
      <c r="L347" s="465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IFERROR(__xludf.DUMMYFUNCTION("IMPORTRANGE(""https://docs.google.com/spreadsheets/d/1awYsYK3VOup2i3Pq_Yjnu8DRu_mYwSBnCR2QPthd0rU/edit?usp=sharing"",""ศูนย์ยกเว้นโฉนด!G19"")"),0)</f>
        <v>0</v>
      </c>
      <c r="K348" s="45"/>
      <c r="L348" s="465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IFERROR(__xludf.DUMMYFUNCTION("IMPORTRANGE(""https://docs.google.com/spreadsheets/d/1awYsYK3VOup2i3Pq_Yjnu8DRu_mYwSBnCR2QPthd0rU/edit?usp=sharing"",""ศูนย์ยกเว้นโฉนด!H19"")"),0)</f>
        <v>0</v>
      </c>
      <c r="K349" s="45"/>
      <c r="L349" s="465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0"/>
      <c r="F350" s="40"/>
      <c r="G350" s="42"/>
      <c r="H350" s="180"/>
      <c r="I350" s="44"/>
      <c r="J350" s="44"/>
      <c r="K350" s="45"/>
      <c r="L350" s="465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558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7893</v>
      </c>
      <c r="K351" s="304">
        <v>0</v>
      </c>
      <c r="L351" s="557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IFERROR(__xludf.DUMMYFUNCTION("IMPORTRANGE(""https://docs.google.com/spreadsheets/d/1awYsYK3VOup2i3Pq_Yjnu8DRu_mYwSBnCR2QPthd0rU/edit?usp=sharing"",""โฉนดM3!G19"")"),1006)</f>
        <v>1006</v>
      </c>
      <c r="K352" s="45"/>
      <c r="L352" s="465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IFERROR(__xludf.DUMMYFUNCTION("IMPORTRANGE(""https://docs.google.com/spreadsheets/d/1awYsYK3VOup2i3Pq_Yjnu8DRu_mYwSBnCR2QPthd0rU/edit?usp=sharing"",""โฉนดM3!H19"")"),6887)</f>
        <v>6887</v>
      </c>
      <c r="K353" s="45"/>
      <c r="L353" s="465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0"/>
      <c r="F354" s="40"/>
      <c r="G354" s="42"/>
      <c r="H354" s="180"/>
      <c r="I354" s="44"/>
      <c r="J354" s="44"/>
      <c r="K354" s="45"/>
      <c r="L354" s="465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539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472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471">
        <f ca="1">L357+L358</f>
        <v>814875</v>
      </c>
      <c r="M356" s="470">
        <f ca="1">M357+M358</f>
        <v>814875</v>
      </c>
      <c r="N356" s="470">
        <f ca="1">N357+N358</f>
        <v>480378</v>
      </c>
      <c r="O356" s="470">
        <f t="shared" ref="O356:O364" ca="1" si="95">IF(L356&gt;0,N356*100/L356,0)</f>
        <v>58.951127473538889</v>
      </c>
      <c r="P356" s="470">
        <f t="shared" ref="P356:P364" ca="1" si="96">IF(M356&gt;0,N356*100/M356,0)</f>
        <v>58.951127473538889</v>
      </c>
      <c r="Q356" s="470">
        <f>Q357+Q358</f>
        <v>0</v>
      </c>
      <c r="R356" s="470">
        <f>R357+R358</f>
        <v>0</v>
      </c>
      <c r="S356" s="470">
        <f>S357+S358</f>
        <v>0</v>
      </c>
      <c r="T356" s="470">
        <f t="shared" ref="T356:T364" si="97">IF(Q356&gt;0,S356*100/Q356,0)</f>
        <v>0</v>
      </c>
      <c r="U356" s="470">
        <f t="shared" ref="U356:U364" si="98"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469">
        <f t="shared" ref="L357:N358" si="99">L360+L363</f>
        <v>0</v>
      </c>
      <c r="M357" s="83">
        <f t="shared" si="99"/>
        <v>0</v>
      </c>
      <c r="N357" s="83">
        <f t="shared" si="99"/>
        <v>0</v>
      </c>
      <c r="O357" s="83">
        <f t="shared" si="95"/>
        <v>0</v>
      </c>
      <c r="P357" s="83">
        <f t="shared" si="96"/>
        <v>0</v>
      </c>
      <c r="Q357" s="83">
        <f t="shared" ref="Q357:S358" si="100">Q360+Q363</f>
        <v>0</v>
      </c>
      <c r="R357" s="83">
        <f t="shared" si="100"/>
        <v>0</v>
      </c>
      <c r="S357" s="83">
        <f t="shared" si="100"/>
        <v>0</v>
      </c>
      <c r="T357" s="83">
        <f t="shared" si="97"/>
        <v>0</v>
      </c>
      <c r="U357" s="83">
        <f t="shared" si="98"/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468">
        <f t="shared" ca="1" si="99"/>
        <v>814875</v>
      </c>
      <c r="M358" s="224">
        <f t="shared" ca="1" si="99"/>
        <v>814875</v>
      </c>
      <c r="N358" s="224">
        <f t="shared" ca="1" si="99"/>
        <v>480378</v>
      </c>
      <c r="O358" s="224">
        <f t="shared" ca="1" si="95"/>
        <v>58.951127473538889</v>
      </c>
      <c r="P358" s="224">
        <f t="shared" ca="1" si="96"/>
        <v>58.951127473538889</v>
      </c>
      <c r="Q358" s="224">
        <f t="shared" si="100"/>
        <v>0</v>
      </c>
      <c r="R358" s="224">
        <f t="shared" si="100"/>
        <v>0</v>
      </c>
      <c r="S358" s="224">
        <f t="shared" si="100"/>
        <v>0</v>
      </c>
      <c r="T358" s="224">
        <f t="shared" si="97"/>
        <v>0</v>
      </c>
      <c r="U358" s="224">
        <f t="shared" si="98"/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468">
        <f ca="1">L360+L361</f>
        <v>814875</v>
      </c>
      <c r="M359" s="224">
        <f ca="1">M360+M361</f>
        <v>814875</v>
      </c>
      <c r="N359" s="224">
        <f ca="1">N360+N361</f>
        <v>480378</v>
      </c>
      <c r="O359" s="224">
        <f t="shared" ca="1" si="95"/>
        <v>58.951127473538889</v>
      </c>
      <c r="P359" s="224">
        <f t="shared" ca="1" si="96"/>
        <v>58.951127473538889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 t="shared" si="97"/>
        <v>0</v>
      </c>
      <c r="U359" s="224">
        <f t="shared" si="98"/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469">
        <v>0</v>
      </c>
      <c r="M360" s="83">
        <v>0</v>
      </c>
      <c r="N360" s="83">
        <v>0</v>
      </c>
      <c r="O360" s="83">
        <f t="shared" si="95"/>
        <v>0</v>
      </c>
      <c r="P360" s="83">
        <f t="shared" si="96"/>
        <v>0</v>
      </c>
      <c r="Q360" s="83">
        <v>0</v>
      </c>
      <c r="R360" s="83">
        <v>0</v>
      </c>
      <c r="S360" s="83">
        <v>0</v>
      </c>
      <c r="T360" s="83">
        <f t="shared" si="97"/>
        <v>0</v>
      </c>
      <c r="U360" s="83">
        <f t="shared" si="98"/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468">
        <f ca="1">IFERROR(__xludf.DUMMYFUNCTION("IMPORTRANGE(""https://docs.google.com/spreadsheets/d/1-uDff_7J0KD5mKrp0Vvzr7lt3OU09vwQwhkpOPPYv2Y/edit?usp=sharing"",""งบพรบ!FC19"")"),814875)</f>
        <v>814875</v>
      </c>
      <c r="M361" s="224">
        <f ca="1">IFERROR(__xludf.DUMMYFUNCTION("IMPORTRANGE(""https://docs.google.com/spreadsheets/d/1-uDff_7J0KD5mKrp0Vvzr7lt3OU09vwQwhkpOPPYv2Y/edit?usp=sharing"",""งบพรบ!FH19"")"),814875)</f>
        <v>814875</v>
      </c>
      <c r="N361" s="224">
        <f ca="1">IFERROR(__xludf.DUMMYFUNCTION("IMPORTRANGE(""https://docs.google.com/spreadsheets/d/1-uDff_7J0KD5mKrp0Vvzr7lt3OU09vwQwhkpOPPYv2Y/edit?usp=sharing"",""งบพรบ!FJ19"")"),480378)</f>
        <v>480378</v>
      </c>
      <c r="O361" s="224">
        <f t="shared" ca="1" si="95"/>
        <v>58.951127473538889</v>
      </c>
      <c r="P361" s="224">
        <f t="shared" ca="1" si="96"/>
        <v>58.951127473538889</v>
      </c>
      <c r="Q361" s="224">
        <v>0</v>
      </c>
      <c r="R361" s="224">
        <v>0</v>
      </c>
      <c r="S361" s="224">
        <v>0</v>
      </c>
      <c r="T361" s="224">
        <f t="shared" si="97"/>
        <v>0</v>
      </c>
      <c r="U361" s="224">
        <f t="shared" si="98"/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468">
        <f ca="1">L363+L364</f>
        <v>0</v>
      </c>
      <c r="M362" s="224">
        <f ca="1">M363+M364</f>
        <v>0</v>
      </c>
      <c r="N362" s="224">
        <f ca="1">N363+N364</f>
        <v>0</v>
      </c>
      <c r="O362" s="224">
        <f t="shared" ca="1" si="95"/>
        <v>0</v>
      </c>
      <c r="P362" s="224">
        <f t="shared" ca="1" si="96"/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 t="shared" si="97"/>
        <v>0</v>
      </c>
      <c r="U362" s="224">
        <f t="shared" si="98"/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469">
        <v>0</v>
      </c>
      <c r="M363" s="83">
        <v>0</v>
      </c>
      <c r="N363" s="83">
        <v>0</v>
      </c>
      <c r="O363" s="83">
        <f t="shared" si="95"/>
        <v>0</v>
      </c>
      <c r="P363" s="83">
        <f t="shared" si="96"/>
        <v>0</v>
      </c>
      <c r="Q363" s="83">
        <v>0</v>
      </c>
      <c r="R363" s="83">
        <v>0</v>
      </c>
      <c r="S363" s="83">
        <v>0</v>
      </c>
      <c r="T363" s="83">
        <f t="shared" si="97"/>
        <v>0</v>
      </c>
      <c r="U363" s="83">
        <f t="shared" si="98"/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468">
        <f ca="1">IFERROR(__xludf.DUMMYFUNCTION("IMPORTRANGE(""https://docs.google.com/spreadsheets/d/1-uDff_7J0KD5mKrp0Vvzr7lt3OU09vwQwhkpOPPYv2Y/edit?usp=sharing"",""งบพรบ!FF19"")"),0)</f>
        <v>0</v>
      </c>
      <c r="M364" s="224">
        <f ca="1">IFERROR(__xludf.DUMMYFUNCTION("IMPORTRANGE(""https://docs.google.com/spreadsheets/d/1-uDff_7J0KD5mKrp0Vvzr7lt3OU09vwQwhkpOPPYv2Y/edit?usp=sharing"",""งบพรบ!FI19"")"),0)</f>
        <v>0</v>
      </c>
      <c r="N364" s="224">
        <f ca="1">IFERROR(__xludf.DUMMYFUNCTION("IMPORTRANGE(""https://docs.google.com/spreadsheets/d/1-uDff_7J0KD5mKrp0Vvzr7lt3OU09vwQwhkpOPPYv2Y/edit?usp=sharing"",""งบพรบ!FK19"")"),0)</f>
        <v>0</v>
      </c>
      <c r="O364" s="224">
        <f t="shared" ca="1" si="95"/>
        <v>0</v>
      </c>
      <c r="P364" s="224">
        <f t="shared" ca="1" si="96"/>
        <v>0</v>
      </c>
      <c r="Q364" s="224">
        <v>0</v>
      </c>
      <c r="R364" s="224">
        <v>0</v>
      </c>
      <c r="S364" s="224">
        <v>0</v>
      </c>
      <c r="T364" s="224">
        <f t="shared" si="97"/>
        <v>0</v>
      </c>
      <c r="U364" s="224">
        <f t="shared" si="98"/>
        <v>0</v>
      </c>
    </row>
    <row r="365" spans="1:21" ht="19.5" x14ac:dyDescent="0.3">
      <c r="A365" s="211"/>
      <c r="B365" s="212"/>
      <c r="C365" s="214"/>
      <c r="D365" s="558" t="s">
        <v>149</v>
      </c>
      <c r="E365" s="214"/>
      <c r="F365" s="214"/>
      <c r="G365" s="215"/>
      <c r="H365" s="223" t="s">
        <v>35</v>
      </c>
      <c r="I365" s="303">
        <f ca="1">I371</f>
        <v>820</v>
      </c>
      <c r="J365" s="303">
        <f ca="1">J371</f>
        <v>907</v>
      </c>
      <c r="K365" s="304">
        <f ca="1">IF(I365&gt;0,J365*100/I365,0)</f>
        <v>110.60975609756098</v>
      </c>
      <c r="L365" s="557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498" t="s">
        <v>38</v>
      </c>
      <c r="E366" s="141"/>
      <c r="F366" s="141"/>
      <c r="G366" s="142"/>
      <c r="H366" s="143"/>
      <c r="I366" s="44"/>
      <c r="J366" s="44"/>
      <c r="K366" s="45"/>
      <c r="L366" s="4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IFERROR(__xludf.DUMMYFUNCTION("IMPORTRANGE(""https://docs.google.com/spreadsheets/d/1tdoBKaGub7dwA3U6UFTqxio9LNnvDCQjHKmttSEBsFQ/edit?usp=sharing"",""จัดที่ดิน!AB19"")"),275)</f>
        <v>275</v>
      </c>
      <c r="K367" s="224">
        <f t="shared" ref="K367:K372" si="101">IF(I367&gt;0,J367*100/I367,0)</f>
        <v>0</v>
      </c>
      <c r="L367" s="4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IFERROR(__xludf.DUMMYFUNCTION("IMPORTRANGE(""https://docs.google.com/spreadsheets/d/1eHaY18a8A9IcSdp1K8H6x8fbOy06t2VsZHhMHf-1x7Y/edit?usp=sharing"",""แผน!EW19"")"),570)</f>
        <v>570</v>
      </c>
      <c r="J368" s="556">
        <f ca="1">IFERROR(__xludf.DUMMYFUNCTION("IMPORTRANGE(""https://docs.google.com/spreadsheets/d/1tdoBKaGub7dwA3U6UFTqxio9LNnvDCQjHKmttSEBsFQ/edit?usp=sharing"",""จัดที่ดิน!AC19"")"),1140.63)</f>
        <v>1140.6300000000001</v>
      </c>
      <c r="K368" s="224">
        <f t="shared" ca="1" si="101"/>
        <v>200.11052631578949</v>
      </c>
      <c r="L368" s="4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IFERROR(__xludf.DUMMYFUNCTION("IMPORTRANGE(""https://docs.google.com/spreadsheets/d/1eHaY18a8A9IcSdp1K8H6x8fbOy06t2VsZHhMHf-1x7Y/edit?usp=sharing"",""แผน!EX19"")"),820)</f>
        <v>820</v>
      </c>
      <c r="J369" s="184">
        <f ca="1">IFERROR(__xludf.DUMMYFUNCTION("IMPORTRANGE(""https://docs.google.com/spreadsheets/d/1tdoBKaGub7dwA3U6UFTqxio9LNnvDCQjHKmttSEBsFQ/edit?usp=sharing"",""จัดที่ดิน!AD19"")"),936)</f>
        <v>936</v>
      </c>
      <c r="K369" s="224">
        <f t="shared" ca="1" si="101"/>
        <v>114.14634146341463</v>
      </c>
      <c r="L369" s="4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556">
        <f ca="1">IFERROR(__xludf.DUMMYFUNCTION("IMPORTRANGE(""https://docs.google.com/spreadsheets/d/1tdoBKaGub7dwA3U6UFTqxio9LNnvDCQjHKmttSEBsFQ/edit?usp=sharing"",""จัดที่ดิน!AE19"")"),6113.19)</f>
        <v>6113.19</v>
      </c>
      <c r="K370" s="224">
        <f t="shared" si="101"/>
        <v>0</v>
      </c>
      <c r="L370" s="4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IFERROR(__xludf.DUMMYFUNCTION("IMPORTRANGE(""https://docs.google.com/spreadsheets/d/1eHaY18a8A9IcSdp1K8H6x8fbOy06t2VsZHhMHf-1x7Y/edit?usp=sharing"",""แผน!EY19"")"),820)</f>
        <v>820</v>
      </c>
      <c r="J371" s="184">
        <f ca="1">IFERROR(__xludf.DUMMYFUNCTION("IMPORTRANGE(""https://docs.google.com/spreadsheets/d/1tdoBKaGub7dwA3U6UFTqxio9LNnvDCQjHKmttSEBsFQ/edit?usp=sharing"",""จัดที่ดิน!AF19"")"),907)</f>
        <v>907</v>
      </c>
      <c r="K371" s="224">
        <f t="shared" ca="1" si="101"/>
        <v>110.60975609756098</v>
      </c>
      <c r="L371" s="4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556">
        <f ca="1">IFERROR(__xludf.DUMMYFUNCTION("IMPORTRANGE(""https://docs.google.com/spreadsheets/d/1tdoBKaGub7dwA3U6UFTqxio9LNnvDCQjHKmttSEBsFQ/edit?usp=sharing"",""จัดที่ดิน!AG19"")"),5993.04)</f>
        <v>5993.04</v>
      </c>
      <c r="K372" s="224">
        <f t="shared" si="101"/>
        <v>0</v>
      </c>
      <c r="L372" s="4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2"/>
      <c r="H373" s="52"/>
      <c r="I373" s="54"/>
      <c r="J373" s="54"/>
      <c r="K373" s="3"/>
      <c r="L373" s="46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555"/>
      <c r="B374" s="554" t="s">
        <v>153</v>
      </c>
      <c r="C374" s="553"/>
      <c r="D374" s="552"/>
      <c r="E374" s="551"/>
      <c r="F374" s="551"/>
      <c r="G374" s="550"/>
      <c r="H374" s="549" t="s">
        <v>46</v>
      </c>
      <c r="I374" s="548">
        <f ca="1">I386+I388</f>
        <v>1000</v>
      </c>
      <c r="J374" s="548">
        <f ca="1">J386+J388</f>
        <v>0</v>
      </c>
      <c r="K374" s="547">
        <f ca="1">IF(I374&gt;0,J374*100/I374,0)</f>
        <v>0</v>
      </c>
      <c r="L374" s="539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128"/>
      <c r="B375" s="158"/>
      <c r="C375" s="161" t="s">
        <v>18</v>
      </c>
      <c r="D375" s="544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471">
        <f>L376+L377</f>
        <v>0</v>
      </c>
      <c r="M375" s="470">
        <f>M376+M377</f>
        <v>0</v>
      </c>
      <c r="N375" s="470">
        <f>N376+N377</f>
        <v>0</v>
      </c>
      <c r="O375" s="470">
        <f t="shared" ref="O375:O383" si="102">IF(L375&gt;0,N375*100/L375,0)</f>
        <v>0</v>
      </c>
      <c r="P375" s="470">
        <f t="shared" ref="P375:P383" si="103">IF(M375&gt;0,N375*100/M375,0)</f>
        <v>0</v>
      </c>
      <c r="Q375" s="470">
        <f ca="1">Q376+Q377</f>
        <v>62500</v>
      </c>
      <c r="R375" s="470">
        <f ca="1">R376+R377</f>
        <v>62500</v>
      </c>
      <c r="S375" s="470">
        <f ca="1">S376+S377</f>
        <v>0</v>
      </c>
      <c r="T375" s="470">
        <f t="shared" ref="T375:T383" ca="1" si="104">IF(Q375&gt;0,S375*100/Q375,0)</f>
        <v>0</v>
      </c>
      <c r="U375" s="470">
        <f t="shared" ref="U375:U383" ca="1" si="105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469">
        <f t="shared" ref="L376:N377" si="106">L379+L382</f>
        <v>0</v>
      </c>
      <c r="M376" s="83">
        <f t="shared" si="106"/>
        <v>0</v>
      </c>
      <c r="N376" s="83">
        <f t="shared" si="106"/>
        <v>0</v>
      </c>
      <c r="O376" s="83">
        <f t="shared" si="102"/>
        <v>0</v>
      </c>
      <c r="P376" s="83">
        <f t="shared" si="103"/>
        <v>0</v>
      </c>
      <c r="Q376" s="83">
        <f t="shared" ref="Q376:S377" si="107">Q379+Q382</f>
        <v>0</v>
      </c>
      <c r="R376" s="83">
        <f t="shared" si="107"/>
        <v>0</v>
      </c>
      <c r="S376" s="83">
        <f t="shared" si="107"/>
        <v>0</v>
      </c>
      <c r="T376" s="83">
        <f t="shared" si="104"/>
        <v>0</v>
      </c>
      <c r="U376" s="83">
        <f t="shared" si="105"/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468">
        <f t="shared" si="106"/>
        <v>0</v>
      </c>
      <c r="M377" s="224">
        <f t="shared" si="106"/>
        <v>0</v>
      </c>
      <c r="N377" s="224">
        <f t="shared" si="106"/>
        <v>0</v>
      </c>
      <c r="O377" s="224">
        <f t="shared" si="102"/>
        <v>0</v>
      </c>
      <c r="P377" s="224">
        <f t="shared" si="103"/>
        <v>0</v>
      </c>
      <c r="Q377" s="224">
        <f t="shared" ca="1" si="107"/>
        <v>62500</v>
      </c>
      <c r="R377" s="224">
        <f t="shared" ca="1" si="107"/>
        <v>62500</v>
      </c>
      <c r="S377" s="224">
        <f t="shared" ca="1" si="107"/>
        <v>0</v>
      </c>
      <c r="T377" s="224">
        <f t="shared" ca="1" si="104"/>
        <v>0</v>
      </c>
      <c r="U377" s="224">
        <f t="shared" ca="1" si="105"/>
        <v>0</v>
      </c>
    </row>
    <row r="378" spans="1:21" ht="18.75" x14ac:dyDescent="0.25">
      <c r="A378" s="128"/>
      <c r="B378" s="158"/>
      <c r="C378" s="158"/>
      <c r="D378" s="53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468">
        <f>L379+L380</f>
        <v>0</v>
      </c>
      <c r="M378" s="224">
        <f>M379+M380</f>
        <v>0</v>
      </c>
      <c r="N378" s="224">
        <f>N379+N380</f>
        <v>0</v>
      </c>
      <c r="O378" s="224">
        <f t="shared" si="102"/>
        <v>0</v>
      </c>
      <c r="P378" s="224">
        <f t="shared" si="103"/>
        <v>0</v>
      </c>
      <c r="Q378" s="224">
        <f ca="1">Q379+Q380</f>
        <v>62500</v>
      </c>
      <c r="R378" s="224">
        <f ca="1">R379+R380</f>
        <v>62500</v>
      </c>
      <c r="S378" s="224">
        <f ca="1">S379+S380</f>
        <v>0</v>
      </c>
      <c r="T378" s="224">
        <f t="shared" ca="1" si="104"/>
        <v>0</v>
      </c>
      <c r="U378" s="224">
        <f t="shared" ca="1" si="105"/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469">
        <v>0</v>
      </c>
      <c r="M379" s="83">
        <v>0</v>
      </c>
      <c r="N379" s="83">
        <v>0</v>
      </c>
      <c r="O379" s="83">
        <f t="shared" si="102"/>
        <v>0</v>
      </c>
      <c r="P379" s="83">
        <f t="shared" si="103"/>
        <v>0</v>
      </c>
      <c r="Q379" s="83">
        <v>0</v>
      </c>
      <c r="R379" s="83">
        <v>0</v>
      </c>
      <c r="S379" s="83">
        <v>0</v>
      </c>
      <c r="T379" s="83">
        <f t="shared" si="104"/>
        <v>0</v>
      </c>
      <c r="U379" s="83">
        <f t="shared" si="105"/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468">
        <v>0</v>
      </c>
      <c r="M380" s="224">
        <v>0</v>
      </c>
      <c r="N380" s="224">
        <v>0</v>
      </c>
      <c r="O380" s="224">
        <f t="shared" si="102"/>
        <v>0</v>
      </c>
      <c r="P380" s="224">
        <f t="shared" si="103"/>
        <v>0</v>
      </c>
      <c r="Q380" s="224">
        <f ca="1">IFERROR(__xludf.DUMMYFUNCTION("IMPORTRANGE(""https://docs.google.com/spreadsheets/d/1ItG2mGa2ceCfYo0BwxsXqNm01IGEUdYcSSLTEv9YCik/edit?usp=sharing"",""เบิกจ่ายกองทุน!AY19"")"),62500)</f>
        <v>62500</v>
      </c>
      <c r="R380" s="224">
        <f ca="1">IFERROR(__xludf.DUMMYFUNCTION("IMPORTRANGE(""https://docs.google.com/spreadsheets/d/1ItG2mGa2ceCfYo0BwxsXqNm01IGEUdYcSSLTEv9YCik/edit?usp=sharing"",""เบิกจ่ายกองทุน!AZ19"")"),62500)</f>
        <v>62500</v>
      </c>
      <c r="S380" s="224">
        <f ca="1">IFERROR(__xludf.DUMMYFUNCTION("IMPORTRANGE(""https://docs.google.com/spreadsheets/d/1ItG2mGa2ceCfYo0BwxsXqNm01IGEUdYcSSLTEv9YCik/edit?usp=sharing"",""เบิกจ่ายกองทุน!BA19"")"),0)</f>
        <v>0</v>
      </c>
      <c r="T380" s="224">
        <f t="shared" ca="1" si="104"/>
        <v>0</v>
      </c>
      <c r="U380" s="224">
        <f t="shared" ca="1" si="105"/>
        <v>0</v>
      </c>
    </row>
    <row r="381" spans="1:21" ht="18.75" x14ac:dyDescent="0.25">
      <c r="A381" s="128"/>
      <c r="B381" s="158"/>
      <c r="C381" s="158"/>
      <c r="D381" s="53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468">
        <f>L382+L383</f>
        <v>0</v>
      </c>
      <c r="M381" s="224">
        <f>M382+M383</f>
        <v>0</v>
      </c>
      <c r="N381" s="224">
        <f>N382+N383</f>
        <v>0</v>
      </c>
      <c r="O381" s="224">
        <f t="shared" si="102"/>
        <v>0</v>
      </c>
      <c r="P381" s="224">
        <f t="shared" si="103"/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 t="shared" si="104"/>
        <v>0</v>
      </c>
      <c r="U381" s="224">
        <f t="shared" si="105"/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469">
        <v>0</v>
      </c>
      <c r="M382" s="83">
        <v>0</v>
      </c>
      <c r="N382" s="83">
        <v>0</v>
      </c>
      <c r="O382" s="83">
        <f t="shared" si="102"/>
        <v>0</v>
      </c>
      <c r="P382" s="83">
        <f t="shared" si="103"/>
        <v>0</v>
      </c>
      <c r="Q382" s="83">
        <v>0</v>
      </c>
      <c r="R382" s="83">
        <v>0</v>
      </c>
      <c r="S382" s="83">
        <v>0</v>
      </c>
      <c r="T382" s="83">
        <f t="shared" si="104"/>
        <v>0</v>
      </c>
      <c r="U382" s="83">
        <f t="shared" si="105"/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468">
        <v>0</v>
      </c>
      <c r="M383" s="224">
        <v>0</v>
      </c>
      <c r="N383" s="224">
        <v>0</v>
      </c>
      <c r="O383" s="224">
        <f t="shared" si="102"/>
        <v>0</v>
      </c>
      <c r="P383" s="224">
        <f t="shared" si="103"/>
        <v>0</v>
      </c>
      <c r="Q383" s="224">
        <v>0</v>
      </c>
      <c r="R383" s="224">
        <v>0</v>
      </c>
      <c r="S383" s="224">
        <v>0</v>
      </c>
      <c r="T383" s="224">
        <f t="shared" si="104"/>
        <v>0</v>
      </c>
      <c r="U383" s="224">
        <f t="shared" si="105"/>
        <v>0</v>
      </c>
    </row>
    <row r="384" spans="1:21" ht="19.5" x14ac:dyDescent="0.3">
      <c r="A384" s="138"/>
      <c r="B384" s="139"/>
      <c r="C384" s="161" t="s">
        <v>18</v>
      </c>
      <c r="D384" s="491" t="s">
        <v>38</v>
      </c>
      <c r="E384" s="141"/>
      <c r="F384" s="141"/>
      <c r="G384" s="142"/>
      <c r="H384" s="178"/>
      <c r="I384" s="135"/>
      <c r="J384" s="44"/>
      <c r="K384" s="45"/>
      <c r="L384" s="465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IFERROR(__xludf.DUMMYFUNCTION("IMPORTRANGE(""https://docs.google.com/spreadsheets/d/1w5rwWK1o49a35cNtocGL0gxDwhFSTZUQu90BiH9_zqM/edit?usp=sharing"",""RTK!H19"")"),0)</f>
        <v>0</v>
      </c>
      <c r="K385" s="224">
        <f>IF(I385&gt;0,J385*100/I385,0)</f>
        <v>0</v>
      </c>
      <c r="L385" s="465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IFERROR(__xludf.DUMMYFUNCTION("IMPORTRANGE(""https://docs.google.com/spreadsheets/d/1w5rwWK1o49a35cNtocGL0gxDwhFSTZUQu90BiH9_zqM/edit?usp=sharing"",""RTK!G19"")"),1000)</f>
        <v>1000</v>
      </c>
      <c r="J386" s="184">
        <f ca="1">IFERROR(__xludf.DUMMYFUNCTION("IMPORTRANGE(""https://docs.google.com/spreadsheets/d/1w5rwWK1o49a35cNtocGL0gxDwhFSTZUQu90BiH9_zqM/edit?usp=sharing"",""RTK!I19"")"),0)</f>
        <v>0</v>
      </c>
      <c r="K386" s="224">
        <f ca="1">IF(I386&gt;0,J386*100/I386,0)</f>
        <v>0</v>
      </c>
      <c r="L386" s="465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545"/>
      <c r="B387" s="545"/>
      <c r="C387" s="545"/>
      <c r="D387" s="545"/>
      <c r="E387" s="546" t="s">
        <v>155</v>
      </c>
      <c r="F387" s="545"/>
      <c r="G387" s="488"/>
      <c r="H387" s="480" t="s">
        <v>34</v>
      </c>
      <c r="I387" s="487">
        <v>0</v>
      </c>
      <c r="J387" s="487">
        <f ca="1">IFERROR(__xludf.DUMMYFUNCTION("IMPORTRANGE(""https://docs.google.com/spreadsheets/d/1w5rwWK1o49a35cNtocGL0gxDwhFSTZUQu90BiH9_zqM/edit?usp=sharing"",""RTK!L19"")"),0)</f>
        <v>0</v>
      </c>
      <c r="K387" s="486">
        <f>IF(I387&gt;0,J387*100/I387,0)</f>
        <v>0</v>
      </c>
      <c r="L387" s="465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545"/>
      <c r="B388" s="545"/>
      <c r="C388" s="545"/>
      <c r="D388" s="545"/>
      <c r="E388" s="545"/>
      <c r="F388" s="545"/>
      <c r="G388" s="488"/>
      <c r="H388" s="480" t="s">
        <v>46</v>
      </c>
      <c r="I388" s="487">
        <f ca="1">IFERROR(__xludf.DUMMYFUNCTION("IMPORTRANGE(""https://docs.google.com/spreadsheets/d/1w5rwWK1o49a35cNtocGL0gxDwhFSTZUQu90BiH9_zqM/edit?usp=sharing"",""RTK!K19"")"),0)</f>
        <v>0</v>
      </c>
      <c r="J388" s="487">
        <f ca="1">IFERROR(__xludf.DUMMYFUNCTION("IMPORTRANGE(""https://docs.google.com/spreadsheets/d/1w5rwWK1o49a35cNtocGL0gxDwhFSTZUQu90BiH9_zqM/edit?usp=sharing"",""RTK!M19"")"),0)</f>
        <v>0</v>
      </c>
      <c r="K388" s="486">
        <f ca="1">IF(I388&gt;0,J388*100/I388,0)</f>
        <v>0</v>
      </c>
      <c r="L388" s="465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11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16"/>
      <c r="B390" s="316"/>
      <c r="C390" s="316"/>
      <c r="D390" s="316"/>
      <c r="E390" s="316"/>
      <c r="F390" s="316"/>
      <c r="G390" s="317"/>
      <c r="H390" s="317"/>
      <c r="I390" s="318"/>
      <c r="J390" s="318"/>
      <c r="K390" s="319"/>
      <c r="L390" s="496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hidden="1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>I402</f>
        <v>0</v>
      </c>
      <c r="J391" s="307">
        <f>J402</f>
        <v>0</v>
      </c>
      <c r="K391" s="540">
        <f>IF(I391&gt;0,J391*100/I391,0)</f>
        <v>0</v>
      </c>
      <c r="L391" s="539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hidden="1" x14ac:dyDescent="0.3">
      <c r="A392" s="128"/>
      <c r="B392" s="158"/>
      <c r="C392" s="161" t="s">
        <v>18</v>
      </c>
      <c r="D392" s="54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471">
        <f>L393+L394</f>
        <v>0</v>
      </c>
      <c r="M392" s="470">
        <f>M393+M394</f>
        <v>0</v>
      </c>
      <c r="N392" s="470">
        <f>N393+N394</f>
        <v>0</v>
      </c>
      <c r="O392" s="470">
        <f t="shared" ref="O392:O400" si="108">IF(L392&gt;0,N392*100/L392,0)</f>
        <v>0</v>
      </c>
      <c r="P392" s="470">
        <f t="shared" ref="P392:P400" si="109">IF(M392&gt;0,N392*100/M392,0)</f>
        <v>0</v>
      </c>
      <c r="Q392" s="470">
        <f>Q393+Q394</f>
        <v>0</v>
      </c>
      <c r="R392" s="470">
        <f>R393+R394</f>
        <v>0</v>
      </c>
      <c r="S392" s="470">
        <f>S393+S394</f>
        <v>0</v>
      </c>
      <c r="T392" s="470">
        <f t="shared" ref="T392:T400" si="110">IF(Q392&gt;0,S392*100/Q392,0)</f>
        <v>0</v>
      </c>
      <c r="U392" s="470">
        <f t="shared" ref="U392:U400" si="11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469">
        <f t="shared" ref="L393:N394" si="112">L396+L399</f>
        <v>0</v>
      </c>
      <c r="M393" s="83">
        <f t="shared" si="112"/>
        <v>0</v>
      </c>
      <c r="N393" s="83">
        <f t="shared" si="112"/>
        <v>0</v>
      </c>
      <c r="O393" s="83">
        <f t="shared" si="108"/>
        <v>0</v>
      </c>
      <c r="P393" s="83">
        <f t="shared" si="109"/>
        <v>0</v>
      </c>
      <c r="Q393" s="83">
        <f t="shared" ref="Q393:S394" si="113">Q396+Q399</f>
        <v>0</v>
      </c>
      <c r="R393" s="83">
        <f t="shared" si="113"/>
        <v>0</v>
      </c>
      <c r="S393" s="83">
        <f t="shared" si="113"/>
        <v>0</v>
      </c>
      <c r="T393" s="83">
        <f t="shared" si="110"/>
        <v>0</v>
      </c>
      <c r="U393" s="83">
        <f t="shared" si="111"/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468">
        <f t="shared" si="112"/>
        <v>0</v>
      </c>
      <c r="M394" s="224">
        <f t="shared" si="112"/>
        <v>0</v>
      </c>
      <c r="N394" s="224">
        <f t="shared" si="112"/>
        <v>0</v>
      </c>
      <c r="O394" s="224">
        <f t="shared" si="108"/>
        <v>0</v>
      </c>
      <c r="P394" s="224">
        <f t="shared" si="109"/>
        <v>0</v>
      </c>
      <c r="Q394" s="224">
        <f t="shared" si="113"/>
        <v>0</v>
      </c>
      <c r="R394" s="224">
        <f t="shared" si="113"/>
        <v>0</v>
      </c>
      <c r="S394" s="224">
        <f t="shared" si="113"/>
        <v>0</v>
      </c>
      <c r="T394" s="224">
        <f t="shared" si="110"/>
        <v>0</v>
      </c>
      <c r="U394" s="224">
        <f t="shared" si="111"/>
        <v>0</v>
      </c>
    </row>
    <row r="395" spans="1:21" ht="18.75" hidden="1" x14ac:dyDescent="0.25">
      <c r="A395" s="128"/>
      <c r="B395" s="158"/>
      <c r="C395" s="158"/>
      <c r="D395" s="53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468">
        <f>L396+L397</f>
        <v>0</v>
      </c>
      <c r="M395" s="224">
        <f>M396+M397</f>
        <v>0</v>
      </c>
      <c r="N395" s="224">
        <f>N396+N397</f>
        <v>0</v>
      </c>
      <c r="O395" s="224">
        <f t="shared" si="108"/>
        <v>0</v>
      </c>
      <c r="P395" s="224">
        <f t="shared" si="109"/>
        <v>0</v>
      </c>
      <c r="Q395" s="224">
        <f>Q396+Q397</f>
        <v>0</v>
      </c>
      <c r="R395" s="224">
        <f>R396+R397</f>
        <v>0</v>
      </c>
      <c r="S395" s="224">
        <f>S396+S397</f>
        <v>0</v>
      </c>
      <c r="T395" s="224">
        <f t="shared" si="110"/>
        <v>0</v>
      </c>
      <c r="U395" s="224">
        <f t="shared" si="111"/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469">
        <v>0</v>
      </c>
      <c r="M396" s="83">
        <v>0</v>
      </c>
      <c r="N396" s="83">
        <v>0</v>
      </c>
      <c r="O396" s="83">
        <f t="shared" si="108"/>
        <v>0</v>
      </c>
      <c r="P396" s="83">
        <f t="shared" si="109"/>
        <v>0</v>
      </c>
      <c r="Q396" s="83">
        <v>0</v>
      </c>
      <c r="R396" s="83">
        <v>0</v>
      </c>
      <c r="S396" s="83">
        <v>0</v>
      </c>
      <c r="T396" s="83">
        <f t="shared" si="110"/>
        <v>0</v>
      </c>
      <c r="U396" s="83">
        <f t="shared" si="111"/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468">
        <v>0</v>
      </c>
      <c r="M397" s="224">
        <v>0</v>
      </c>
      <c r="N397" s="224">
        <v>0</v>
      </c>
      <c r="O397" s="224">
        <f t="shared" si="108"/>
        <v>0</v>
      </c>
      <c r="P397" s="224">
        <f t="shared" si="109"/>
        <v>0</v>
      </c>
      <c r="Q397" s="224">
        <v>0</v>
      </c>
      <c r="R397" s="224">
        <v>0</v>
      </c>
      <c r="S397" s="224">
        <v>0</v>
      </c>
      <c r="T397" s="224">
        <f t="shared" si="110"/>
        <v>0</v>
      </c>
      <c r="U397" s="224">
        <f t="shared" si="111"/>
        <v>0</v>
      </c>
    </row>
    <row r="398" spans="1:21" ht="18.75" hidden="1" x14ac:dyDescent="0.25">
      <c r="A398" s="128"/>
      <c r="B398" s="158"/>
      <c r="C398" s="158"/>
      <c r="D398" s="53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468">
        <f>L399+L400</f>
        <v>0</v>
      </c>
      <c r="M398" s="224">
        <f>M399+M400</f>
        <v>0</v>
      </c>
      <c r="N398" s="224">
        <f>N399+N400</f>
        <v>0</v>
      </c>
      <c r="O398" s="224">
        <f t="shared" si="108"/>
        <v>0</v>
      </c>
      <c r="P398" s="224">
        <f t="shared" si="109"/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 t="shared" si="110"/>
        <v>0</v>
      </c>
      <c r="U398" s="224">
        <f t="shared" si="111"/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469">
        <v>0</v>
      </c>
      <c r="M399" s="83">
        <v>0</v>
      </c>
      <c r="N399" s="83">
        <v>0</v>
      </c>
      <c r="O399" s="83">
        <f t="shared" si="108"/>
        <v>0</v>
      </c>
      <c r="P399" s="83">
        <f t="shared" si="109"/>
        <v>0</v>
      </c>
      <c r="Q399" s="83">
        <v>0</v>
      </c>
      <c r="R399" s="83">
        <v>0</v>
      </c>
      <c r="S399" s="83">
        <v>0</v>
      </c>
      <c r="T399" s="83">
        <f t="shared" si="110"/>
        <v>0</v>
      </c>
      <c r="U399" s="83">
        <f t="shared" si="111"/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468">
        <v>0</v>
      </c>
      <c r="M400" s="224">
        <v>0</v>
      </c>
      <c r="N400" s="224">
        <v>0</v>
      </c>
      <c r="O400" s="224">
        <f t="shared" si="108"/>
        <v>0</v>
      </c>
      <c r="P400" s="224">
        <f t="shared" si="109"/>
        <v>0</v>
      </c>
      <c r="Q400" s="224">
        <v>0</v>
      </c>
      <c r="R400" s="224">
        <v>0</v>
      </c>
      <c r="S400" s="224">
        <v>0</v>
      </c>
      <c r="T400" s="224">
        <f t="shared" si="110"/>
        <v>0</v>
      </c>
      <c r="U400" s="224">
        <f t="shared" si="111"/>
        <v>0</v>
      </c>
    </row>
    <row r="401" spans="1:21" ht="19.5" hidden="1" x14ac:dyDescent="0.3">
      <c r="A401" s="138"/>
      <c r="B401" s="139"/>
      <c r="C401" s="161" t="s">
        <v>18</v>
      </c>
      <c r="D401" s="491" t="s">
        <v>38</v>
      </c>
      <c r="E401" s="141"/>
      <c r="F401" s="141"/>
      <c r="G401" s="142"/>
      <c r="H401" s="178"/>
      <c r="I401" s="135"/>
      <c r="J401" s="44"/>
      <c r="K401" s="45"/>
      <c r="L401" s="465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11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11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11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11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11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11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11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11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11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496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hidden="1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541">
        <f ca="1">I423</f>
        <v>0</v>
      </c>
      <c r="J412" s="541">
        <f>J423</f>
        <v>0</v>
      </c>
      <c r="K412" s="540">
        <f ca="1">IF(I412&gt;0,J412*100/I412,0)</f>
        <v>0</v>
      </c>
      <c r="L412" s="539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hidden="1" x14ac:dyDescent="0.3">
      <c r="A413" s="128"/>
      <c r="B413" s="158"/>
      <c r="C413" s="322" t="s">
        <v>18</v>
      </c>
      <c r="D413" s="819" t="s">
        <v>19</v>
      </c>
      <c r="E413" s="800"/>
      <c r="F413" s="800"/>
      <c r="G413" s="801"/>
      <c r="H413" s="323" t="s">
        <v>14</v>
      </c>
      <c r="I413" s="44"/>
      <c r="J413" s="44"/>
      <c r="K413" s="45"/>
      <c r="L413" s="471">
        <f>L414+L415</f>
        <v>0</v>
      </c>
      <c r="M413" s="470">
        <f>M414+M415</f>
        <v>0</v>
      </c>
      <c r="N413" s="470">
        <f>N414+N415</f>
        <v>0</v>
      </c>
      <c r="O413" s="470">
        <f t="shared" ref="O413:O421" si="114">IF(L413&gt;0,N413*100/L413,0)</f>
        <v>0</v>
      </c>
      <c r="P413" s="470">
        <f t="shared" ref="P413:P421" si="115">IF(M413&gt;0,N413*100/M413,0)</f>
        <v>0</v>
      </c>
      <c r="Q413" s="470">
        <f ca="1">Q414+Q415</f>
        <v>0</v>
      </c>
      <c r="R413" s="470">
        <f ca="1">R414+R415</f>
        <v>0</v>
      </c>
      <c r="S413" s="470">
        <f ca="1">S414+S415</f>
        <v>0</v>
      </c>
      <c r="T413" s="470">
        <f t="shared" ref="T413:T421" ca="1" si="116">IF(Q413&gt;0,S413*100/Q413,0)</f>
        <v>0</v>
      </c>
      <c r="U413" s="470">
        <f t="shared" ref="U413:U421" ca="1" si="117">IF(R413&gt;0,S413*100/R413,0)</f>
        <v>0</v>
      </c>
    </row>
    <row r="414" spans="1:21" ht="18.75" hidden="1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469">
        <f t="shared" ref="L414:N415" si="118">L417+L420</f>
        <v>0</v>
      </c>
      <c r="M414" s="83">
        <f t="shared" si="118"/>
        <v>0</v>
      </c>
      <c r="N414" s="83">
        <f t="shared" si="118"/>
        <v>0</v>
      </c>
      <c r="O414" s="83">
        <f t="shared" si="114"/>
        <v>0</v>
      </c>
      <c r="P414" s="83">
        <f t="shared" si="115"/>
        <v>0</v>
      </c>
      <c r="Q414" s="83">
        <f t="shared" ref="Q414:S415" si="119">Q417+Q420</f>
        <v>0</v>
      </c>
      <c r="R414" s="83">
        <f t="shared" si="119"/>
        <v>0</v>
      </c>
      <c r="S414" s="83">
        <f t="shared" si="119"/>
        <v>0</v>
      </c>
      <c r="T414" s="83">
        <f t="shared" si="116"/>
        <v>0</v>
      </c>
      <c r="U414" s="83">
        <f t="shared" si="117"/>
        <v>0</v>
      </c>
    </row>
    <row r="415" spans="1:21" ht="18.75" hidden="1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468">
        <f t="shared" si="118"/>
        <v>0</v>
      </c>
      <c r="M415" s="224">
        <f t="shared" si="118"/>
        <v>0</v>
      </c>
      <c r="N415" s="224">
        <f t="shared" si="118"/>
        <v>0</v>
      </c>
      <c r="O415" s="224">
        <f t="shared" si="114"/>
        <v>0</v>
      </c>
      <c r="P415" s="224">
        <f t="shared" si="115"/>
        <v>0</v>
      </c>
      <c r="Q415" s="224">
        <f t="shared" ca="1" si="119"/>
        <v>0</v>
      </c>
      <c r="R415" s="224">
        <f t="shared" ca="1" si="119"/>
        <v>0</v>
      </c>
      <c r="S415" s="224">
        <f t="shared" ca="1" si="119"/>
        <v>0</v>
      </c>
      <c r="T415" s="224">
        <f t="shared" ca="1" si="116"/>
        <v>0</v>
      </c>
      <c r="U415" s="224">
        <f t="shared" ca="1" si="117"/>
        <v>0</v>
      </c>
    </row>
    <row r="416" spans="1:21" ht="19.5" hidden="1" x14ac:dyDescent="0.3">
      <c r="A416" s="128"/>
      <c r="B416" s="158"/>
      <c r="C416" s="158"/>
      <c r="D416" s="54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468">
        <f>L417+L418</f>
        <v>0</v>
      </c>
      <c r="M416" s="224">
        <f>M417+M418</f>
        <v>0</v>
      </c>
      <c r="N416" s="224">
        <f>N417+N418</f>
        <v>0</v>
      </c>
      <c r="O416" s="224">
        <f t="shared" si="114"/>
        <v>0</v>
      </c>
      <c r="P416" s="224">
        <f t="shared" si="115"/>
        <v>0</v>
      </c>
      <c r="Q416" s="224">
        <f ca="1">Q417+Q418</f>
        <v>0</v>
      </c>
      <c r="R416" s="224">
        <f ca="1">R417+R418</f>
        <v>0</v>
      </c>
      <c r="S416" s="224">
        <f ca="1">S417+S418</f>
        <v>0</v>
      </c>
      <c r="T416" s="224">
        <f t="shared" ca="1" si="116"/>
        <v>0</v>
      </c>
      <c r="U416" s="224">
        <f t="shared" ca="1" si="117"/>
        <v>0</v>
      </c>
    </row>
    <row r="417" spans="1:21" ht="18.75" hidden="1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469">
        <v>0</v>
      </c>
      <c r="M417" s="83">
        <v>0</v>
      </c>
      <c r="N417" s="83">
        <v>0</v>
      </c>
      <c r="O417" s="83">
        <f t="shared" si="114"/>
        <v>0</v>
      </c>
      <c r="P417" s="83">
        <f t="shared" si="115"/>
        <v>0</v>
      </c>
      <c r="Q417" s="83">
        <v>0</v>
      </c>
      <c r="R417" s="83">
        <v>0</v>
      </c>
      <c r="S417" s="83">
        <v>0</v>
      </c>
      <c r="T417" s="83">
        <f t="shared" si="116"/>
        <v>0</v>
      </c>
      <c r="U417" s="83">
        <f t="shared" si="117"/>
        <v>0</v>
      </c>
    </row>
    <row r="418" spans="1:21" ht="18.75" hidden="1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468">
        <v>0</v>
      </c>
      <c r="M418" s="224">
        <v>0</v>
      </c>
      <c r="N418" s="224">
        <v>0</v>
      </c>
      <c r="O418" s="224">
        <f t="shared" si="114"/>
        <v>0</v>
      </c>
      <c r="P418" s="224">
        <f t="shared" si="115"/>
        <v>0</v>
      </c>
      <c r="Q418" s="224">
        <f ca="1">IFERROR(__xludf.DUMMYFUNCTION("IMPORTRANGE(""https://docs.google.com/spreadsheets/d/1ItG2mGa2ceCfYo0BwxsXqNm01IGEUdYcSSLTEv9YCik/edit?usp=sharing"",""เบิกจ่ายกองทุน!BH19"")"),0)</f>
        <v>0</v>
      </c>
      <c r="R418" s="224">
        <f ca="1">IFERROR(__xludf.DUMMYFUNCTION("IMPORTRANGE(""https://docs.google.com/spreadsheets/d/1ItG2mGa2ceCfYo0BwxsXqNm01IGEUdYcSSLTEv9YCik/edit?usp=sharing"",""เบิกจ่ายกองทุน!BI19"")"),0)</f>
        <v>0</v>
      </c>
      <c r="S418" s="224">
        <f ca="1">IFERROR(__xludf.DUMMYFUNCTION("IMPORTRANGE(""https://docs.google.com/spreadsheets/d/1ItG2mGa2ceCfYo0BwxsXqNm01IGEUdYcSSLTEv9YCik/edit?usp=sharing"",""เบิกจ่ายกองทุน!BJ19"")"),0)</f>
        <v>0</v>
      </c>
      <c r="T418" s="224">
        <f t="shared" ca="1" si="116"/>
        <v>0</v>
      </c>
      <c r="U418" s="224">
        <f t="shared" ca="1" si="117"/>
        <v>0</v>
      </c>
    </row>
    <row r="419" spans="1:21" ht="19.5" hidden="1" x14ac:dyDescent="0.3">
      <c r="A419" s="128"/>
      <c r="B419" s="158"/>
      <c r="C419" s="158"/>
      <c r="D419" s="54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468">
        <f>L420+L421</f>
        <v>0</v>
      </c>
      <c r="M419" s="224">
        <f>M420+M421</f>
        <v>0</v>
      </c>
      <c r="N419" s="224">
        <f>N420+N421</f>
        <v>0</v>
      </c>
      <c r="O419" s="224">
        <f t="shared" si="114"/>
        <v>0</v>
      </c>
      <c r="P419" s="224">
        <f t="shared" si="115"/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 t="shared" si="116"/>
        <v>0</v>
      </c>
      <c r="U419" s="224">
        <f t="shared" si="117"/>
        <v>0</v>
      </c>
    </row>
    <row r="420" spans="1:21" ht="18.75" hidden="1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469">
        <v>0</v>
      </c>
      <c r="M420" s="83">
        <v>0</v>
      </c>
      <c r="N420" s="83">
        <v>0</v>
      </c>
      <c r="O420" s="83">
        <f t="shared" si="114"/>
        <v>0</v>
      </c>
      <c r="P420" s="83">
        <f t="shared" si="115"/>
        <v>0</v>
      </c>
      <c r="Q420" s="83">
        <v>0</v>
      </c>
      <c r="R420" s="83">
        <v>0</v>
      </c>
      <c r="S420" s="83">
        <v>0</v>
      </c>
      <c r="T420" s="83">
        <f t="shared" si="116"/>
        <v>0</v>
      </c>
      <c r="U420" s="83">
        <f t="shared" si="117"/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468">
        <v>0</v>
      </c>
      <c r="M421" s="224">
        <v>0</v>
      </c>
      <c r="N421" s="224">
        <v>0</v>
      </c>
      <c r="O421" s="224">
        <f t="shared" si="114"/>
        <v>0</v>
      </c>
      <c r="P421" s="224">
        <f t="shared" si="115"/>
        <v>0</v>
      </c>
      <c r="Q421" s="224">
        <v>0</v>
      </c>
      <c r="R421" s="224">
        <v>0</v>
      </c>
      <c r="S421" s="224">
        <v>0</v>
      </c>
      <c r="T421" s="224">
        <f t="shared" si="116"/>
        <v>0</v>
      </c>
      <c r="U421" s="224">
        <f t="shared" si="117"/>
        <v>0</v>
      </c>
    </row>
    <row r="422" spans="1:21" ht="19.5" hidden="1" x14ac:dyDescent="0.3">
      <c r="A422" s="208"/>
      <c r="B422" s="158"/>
      <c r="C422" s="322" t="s">
        <v>18</v>
      </c>
      <c r="D422" s="543" t="s">
        <v>38</v>
      </c>
      <c r="E422" s="158"/>
      <c r="F422" s="158"/>
      <c r="G422" s="180"/>
      <c r="H422" s="180"/>
      <c r="I422" s="44"/>
      <c r="J422" s="44"/>
      <c r="K422" s="45"/>
      <c r="L422" s="465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ca="1">I440</f>
        <v>0</v>
      </c>
      <c r="J423" s="328">
        <f>J440</f>
        <v>0</v>
      </c>
      <c r="K423" s="470">
        <f ca="1">IF(I423&gt;0,J423*100/I423,0)</f>
        <v>0</v>
      </c>
      <c r="L423" s="465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IFERROR(__xludf.DUMMYFUNCTION("IMPORTRANGE(""https://docs.google.com/spreadsheets/d/1eHaY18a8A9IcSdp1K8H6x8fbOy06t2VsZHhMHf-1x7Y/edit?usp=sharing"",""แผน!HJ19"")"),0)</f>
        <v>0</v>
      </c>
      <c r="J424" s="328">
        <f>J426+J428+J430</f>
        <v>0</v>
      </c>
      <c r="K424" s="470">
        <f ca="1">IF(I424&gt;0,J424*100/I424,0)</f>
        <v>0</v>
      </c>
      <c r="L424" s="465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IFERROR(__xludf.DUMMYFUNCTION("IMPORTRANGE(""https://docs.google.com/spreadsheets/d/1eHaY18a8A9IcSdp1K8H6x8fbOy06t2VsZHhMHf-1x7Y/edit?usp=sharing"",""แผน!HK19"")"),0)</f>
        <v>0</v>
      </c>
      <c r="J425" s="328">
        <f>J427+J429+J431</f>
        <v>0</v>
      </c>
      <c r="K425" s="470">
        <f ca="1">IF(I425&gt;0,J425*100/I425,0)</f>
        <v>0</v>
      </c>
      <c r="L425" s="465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465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465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465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465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465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465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IFERROR(__xludf.DUMMYFUNCTION("IMPORTRANGE(""https://docs.google.com/spreadsheets/d/1eHaY18a8A9IcSdp1K8H6x8fbOy06t2VsZHhMHf-1x7Y/edit?usp=sharing"",""แผน!HJ19"")"),0)</f>
        <v>0</v>
      </c>
      <c r="J432" s="328">
        <f>J434+J436+J438</f>
        <v>0</v>
      </c>
      <c r="K432" s="470">
        <f ca="1">IF(I432&gt;0,J432*100/I432,0)</f>
        <v>0</v>
      </c>
      <c r="L432" s="465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IFERROR(__xludf.DUMMYFUNCTION("IMPORTRANGE(""https://docs.google.com/spreadsheets/d/1eHaY18a8A9IcSdp1K8H6x8fbOy06t2VsZHhMHf-1x7Y/edit?usp=sharing"",""แผน!HK19"")"),0)</f>
        <v>0</v>
      </c>
      <c r="J433" s="328">
        <f>J435+J437+J439</f>
        <v>0</v>
      </c>
      <c r="K433" s="470">
        <f ca="1">IF(I433&gt;0,J433*100/I433,0)</f>
        <v>0</v>
      </c>
      <c r="L433" s="465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465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465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465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465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465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465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IFERROR(__xludf.DUMMYFUNCTION("IMPORTRANGE(""https://docs.google.com/spreadsheets/d/1eHaY18a8A9IcSdp1K8H6x8fbOy06t2VsZHhMHf-1x7Y/edit?usp=sharing"",""แผน!HJ19"")"),0)</f>
        <v>0</v>
      </c>
      <c r="J440" s="328">
        <f>J442+J444+J446+J452+J454</f>
        <v>0</v>
      </c>
      <c r="K440" s="470">
        <f ca="1">IF(I440&gt;0,J440*100/I440,0)</f>
        <v>0</v>
      </c>
      <c r="L440" s="465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IFERROR(__xludf.DUMMYFUNCTION("IMPORTRANGE(""https://docs.google.com/spreadsheets/d/1eHaY18a8A9IcSdp1K8H6x8fbOy06t2VsZHhMHf-1x7Y/edit?usp=sharing"",""แผน!HK19"")"),0)</f>
        <v>0</v>
      </c>
      <c r="J441" s="328">
        <f>J443+J445+J447+J453+J455</f>
        <v>0</v>
      </c>
      <c r="K441" s="470">
        <f ca="1">IF(I441&gt;0,J441*100/I441,0)</f>
        <v>0</v>
      </c>
      <c r="L441" s="465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465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465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465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465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>J448+J450</f>
        <v>0</v>
      </c>
      <c r="K446" s="45"/>
      <c r="L446" s="465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>J449+J451</f>
        <v>0</v>
      </c>
      <c r="K447" s="45"/>
      <c r="L447" s="465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465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465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465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465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465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465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542"/>
      <c r="K454" s="45"/>
      <c r="L454" s="465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465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hidden="1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ca="1">I457</f>
        <v>0</v>
      </c>
      <c r="J456" s="328">
        <f>J457</f>
        <v>0</v>
      </c>
      <c r="K456" s="470">
        <f ca="1">IF(I456&gt;0,J456*100/I456,0)</f>
        <v>0</v>
      </c>
      <c r="L456" s="465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IFERROR(__xludf.DUMMYFUNCTION("IMPORTRANGE(""https://docs.google.com/spreadsheets/d/1eHaY18a8A9IcSdp1K8H6x8fbOy06t2VsZHhMHf-1x7Y/edit?usp=sharing"",""แผน!HL19"")"),0)</f>
        <v>0</v>
      </c>
      <c r="J457" s="328">
        <f>J459+J467+J473</f>
        <v>0</v>
      </c>
      <c r="K457" s="470">
        <f ca="1">IF(I457&gt;0,J457*100/I457,0)</f>
        <v>0</v>
      </c>
      <c r="L457" s="465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IFERROR(__xludf.DUMMYFUNCTION("IMPORTRANGE(""https://docs.google.com/spreadsheets/d/1eHaY18a8A9IcSdp1K8H6x8fbOy06t2VsZHhMHf-1x7Y/edit?usp=sharing"",""แผน!HM19"")"),0)</f>
        <v>0</v>
      </c>
      <c r="J458" s="328">
        <f>J460+J468+J474</f>
        <v>0</v>
      </c>
      <c r="K458" s="470">
        <f ca="1">IF(I458&gt;0,J458*100/I458,0)</f>
        <v>0</v>
      </c>
      <c r="L458" s="465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hidden="1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>J461+J463</f>
        <v>0</v>
      </c>
      <c r="K459" s="45"/>
      <c r="L459" s="465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>J462+J464</f>
        <v>0</v>
      </c>
      <c r="K460" s="45"/>
      <c r="L460" s="465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465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465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465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465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465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465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>J469+J471</f>
        <v>0</v>
      </c>
      <c r="K467" s="45"/>
      <c r="L467" s="465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>J470+J472</f>
        <v>0</v>
      </c>
      <c r="K468" s="45"/>
      <c r="L468" s="465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465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465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465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465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465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465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470">
        <f>IF(I475&gt;0,J475*100/I475,0)</f>
        <v>0</v>
      </c>
      <c r="L475" s="465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>J478+J480</f>
        <v>0</v>
      </c>
      <c r="K476" s="470">
        <f>IF(I476&gt;0,J476*100/I476,0)</f>
        <v>0</v>
      </c>
      <c r="L476" s="465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>J479+J481</f>
        <v>0</v>
      </c>
      <c r="K477" s="470">
        <f>IF(I477&gt;0,J477*100/I477,0)</f>
        <v>0</v>
      </c>
      <c r="L477" s="465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hidden="1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465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465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465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465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IFERROR(__xludf.DUMMYFUNCTION("IMPORTRANGE(""https://docs.google.com/spreadsheets/d/1eHaY18a8A9IcSdp1K8H6x8fbOy06t2VsZHhMHf-1x7Y/edit?usp=sharing"",""แผน!HN19"")"),0)</f>
        <v>0</v>
      </c>
      <c r="K482" s="45"/>
      <c r="L482" s="465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IFERROR(__xludf.DUMMYFUNCTION("IMPORTRANGE(""https://docs.google.com/spreadsheets/d/1eHaY18a8A9IcSdp1K8H6x8fbOy06t2VsZHhMHf-1x7Y/edit?usp=sharing"",""แผน!HO19"")"),0)</f>
        <v>0</v>
      </c>
      <c r="K483" s="45"/>
      <c r="L483" s="465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>J480</f>
        <v>0</v>
      </c>
      <c r="J484" s="328">
        <f>J486+J488+J490</f>
        <v>0</v>
      </c>
      <c r="K484" s="470">
        <f>IF(I484&gt;0,J484*100/I484,0)</f>
        <v>0</v>
      </c>
      <c r="L484" s="465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>J481</f>
        <v>0</v>
      </c>
      <c r="J485" s="328">
        <f>J487+J489+J491</f>
        <v>0</v>
      </c>
      <c r="K485" s="470">
        <f>IF(I485&gt;0,J485*100/I485,0)</f>
        <v>0</v>
      </c>
      <c r="L485" s="465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hidden="1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465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465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465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465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465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46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541">
        <f ca="1">I503</f>
        <v>0</v>
      </c>
      <c r="J492" s="541">
        <f ca="1">J503</f>
        <v>0</v>
      </c>
      <c r="K492" s="540">
        <f ca="1">IF(I492&gt;0,J492*100/I492,0)</f>
        <v>0</v>
      </c>
      <c r="L492" s="539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hidden="1" x14ac:dyDescent="0.3">
      <c r="A493" s="128"/>
      <c r="B493" s="158"/>
      <c r="C493" s="177" t="s">
        <v>18</v>
      </c>
      <c r="D493" s="819" t="s">
        <v>19</v>
      </c>
      <c r="E493" s="800"/>
      <c r="F493" s="800"/>
      <c r="G493" s="42"/>
      <c r="H493" s="221" t="s">
        <v>14</v>
      </c>
      <c r="I493" s="44"/>
      <c r="J493" s="44"/>
      <c r="K493" s="45"/>
      <c r="L493" s="471">
        <f>L494+L495</f>
        <v>0</v>
      </c>
      <c r="M493" s="470">
        <f>M494+M495</f>
        <v>0</v>
      </c>
      <c r="N493" s="470">
        <f>N494+N495</f>
        <v>0</v>
      </c>
      <c r="O493" s="470">
        <f t="shared" ref="O493:O501" si="120">IF(L493&gt;0,N493*100/L493,0)</f>
        <v>0</v>
      </c>
      <c r="P493" s="470">
        <f t="shared" ref="P493:P501" si="121">IF(M493&gt;0,N493*100/M493,0)</f>
        <v>0</v>
      </c>
      <c r="Q493" s="470">
        <f ca="1">Q494+Q495</f>
        <v>0</v>
      </c>
      <c r="R493" s="470">
        <f ca="1">R494+R495</f>
        <v>0</v>
      </c>
      <c r="S493" s="470">
        <f ca="1">S494+S495</f>
        <v>0</v>
      </c>
      <c r="T493" s="470">
        <f t="shared" ref="T493:T501" ca="1" si="122">IF(Q493&gt;0,S493*100/Q493,0)</f>
        <v>0</v>
      </c>
      <c r="U493" s="470">
        <f t="shared" ref="U493:U501" ca="1" si="123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469">
        <f t="shared" ref="L494:N495" si="124">L497+L500</f>
        <v>0</v>
      </c>
      <c r="M494" s="83">
        <f t="shared" si="124"/>
        <v>0</v>
      </c>
      <c r="N494" s="83">
        <f t="shared" si="124"/>
        <v>0</v>
      </c>
      <c r="O494" s="83">
        <f t="shared" si="120"/>
        <v>0</v>
      </c>
      <c r="P494" s="83">
        <f t="shared" si="121"/>
        <v>0</v>
      </c>
      <c r="Q494" s="83">
        <f t="shared" ref="Q494:S495" si="125">Q497+Q500</f>
        <v>0</v>
      </c>
      <c r="R494" s="83">
        <f t="shared" si="125"/>
        <v>0</v>
      </c>
      <c r="S494" s="83">
        <f t="shared" si="125"/>
        <v>0</v>
      </c>
      <c r="T494" s="83">
        <f t="shared" si="122"/>
        <v>0</v>
      </c>
      <c r="U494" s="83">
        <f t="shared" si="123"/>
        <v>0</v>
      </c>
    </row>
    <row r="495" spans="1:21" ht="18.75" hidden="1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468">
        <f t="shared" si="124"/>
        <v>0</v>
      </c>
      <c r="M495" s="224">
        <f t="shared" si="124"/>
        <v>0</v>
      </c>
      <c r="N495" s="224">
        <f t="shared" si="124"/>
        <v>0</v>
      </c>
      <c r="O495" s="224">
        <f t="shared" si="120"/>
        <v>0</v>
      </c>
      <c r="P495" s="224">
        <f t="shared" si="121"/>
        <v>0</v>
      </c>
      <c r="Q495" s="224">
        <f t="shared" ca="1" si="125"/>
        <v>0</v>
      </c>
      <c r="R495" s="224">
        <f t="shared" ca="1" si="125"/>
        <v>0</v>
      </c>
      <c r="S495" s="224">
        <f t="shared" ca="1" si="125"/>
        <v>0</v>
      </c>
      <c r="T495" s="224">
        <f t="shared" ca="1" si="122"/>
        <v>0</v>
      </c>
      <c r="U495" s="224">
        <f t="shared" ca="1" si="123"/>
        <v>0</v>
      </c>
    </row>
    <row r="496" spans="1:21" ht="18.75" hidden="1" x14ac:dyDescent="0.25">
      <c r="A496" s="128"/>
      <c r="B496" s="158"/>
      <c r="C496" s="158"/>
      <c r="D496" s="53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468">
        <f>L497+L498</f>
        <v>0</v>
      </c>
      <c r="M496" s="224">
        <f>M497+M498</f>
        <v>0</v>
      </c>
      <c r="N496" s="224">
        <f>N497+N498</f>
        <v>0</v>
      </c>
      <c r="O496" s="224">
        <f t="shared" si="120"/>
        <v>0</v>
      </c>
      <c r="P496" s="224">
        <f t="shared" si="121"/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t="shared" ca="1" si="122"/>
        <v>0</v>
      </c>
      <c r="U496" s="224">
        <f t="shared" ca="1" si="123"/>
        <v>0</v>
      </c>
    </row>
    <row r="497" spans="1:21" ht="18.75" hidden="1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469">
        <v>0</v>
      </c>
      <c r="M497" s="83">
        <v>0</v>
      </c>
      <c r="N497" s="83">
        <v>0</v>
      </c>
      <c r="O497" s="83">
        <f t="shared" si="120"/>
        <v>0</v>
      </c>
      <c r="P497" s="83">
        <f t="shared" si="121"/>
        <v>0</v>
      </c>
      <c r="Q497" s="83">
        <v>0</v>
      </c>
      <c r="R497" s="83">
        <v>0</v>
      </c>
      <c r="S497" s="83">
        <v>0</v>
      </c>
      <c r="T497" s="83">
        <f t="shared" si="122"/>
        <v>0</v>
      </c>
      <c r="U497" s="83">
        <f t="shared" si="123"/>
        <v>0</v>
      </c>
    </row>
    <row r="498" spans="1:21" ht="18.75" hidden="1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468">
        <v>0</v>
      </c>
      <c r="M498" s="224">
        <v>0</v>
      </c>
      <c r="N498" s="224">
        <v>0</v>
      </c>
      <c r="O498" s="224">
        <f t="shared" si="120"/>
        <v>0</v>
      </c>
      <c r="P498" s="224">
        <f t="shared" si="121"/>
        <v>0</v>
      </c>
      <c r="Q498" s="224">
        <f ca="1">IFERROR(__xludf.DUMMYFUNCTION("IMPORTRANGE(""https://docs.google.com/spreadsheets/d/1ItG2mGa2ceCfYo0BwxsXqNm01IGEUdYcSSLTEv9YCik/edit?usp=sharing"",""เบิกจ่ายกองทุน!X19"")"),0)</f>
        <v>0</v>
      </c>
      <c r="R498" s="224">
        <f ca="1">IFERROR(__xludf.DUMMYFUNCTION("IMPORTRANGE(""https://docs.google.com/spreadsheets/d/1ItG2mGa2ceCfYo0BwxsXqNm01IGEUdYcSSLTEv9YCik/edit?usp=sharing"",""เบิกจ่ายกองทุน!Y19"")"),0)</f>
        <v>0</v>
      </c>
      <c r="S498" s="224">
        <f ca="1">IFERROR(__xludf.DUMMYFUNCTION("IMPORTRANGE(""https://docs.google.com/spreadsheets/d/1ItG2mGa2ceCfYo0BwxsXqNm01IGEUdYcSSLTEv9YCik/edit?usp=sharing"",""เบิกจ่ายกองทุน!Z19"")"),0)</f>
        <v>0</v>
      </c>
      <c r="T498" s="224">
        <f t="shared" ca="1" si="122"/>
        <v>0</v>
      </c>
      <c r="U498" s="224">
        <f t="shared" ca="1" si="123"/>
        <v>0</v>
      </c>
    </row>
    <row r="499" spans="1:21" ht="18.75" hidden="1" x14ac:dyDescent="0.25">
      <c r="A499" s="128"/>
      <c r="B499" s="158"/>
      <c r="C499" s="158"/>
      <c r="D499" s="53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468">
        <f>L500+L501</f>
        <v>0</v>
      </c>
      <c r="M499" s="224">
        <f>M500+M501</f>
        <v>0</v>
      </c>
      <c r="N499" s="224">
        <f>N500+N501</f>
        <v>0</v>
      </c>
      <c r="O499" s="224">
        <f t="shared" si="120"/>
        <v>0</v>
      </c>
      <c r="P499" s="224">
        <f t="shared" si="121"/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 t="shared" si="122"/>
        <v>0</v>
      </c>
      <c r="U499" s="224">
        <f t="shared" si="123"/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469">
        <v>0</v>
      </c>
      <c r="M500" s="83">
        <v>0</v>
      </c>
      <c r="N500" s="83">
        <v>0</v>
      </c>
      <c r="O500" s="83">
        <f t="shared" si="120"/>
        <v>0</v>
      </c>
      <c r="P500" s="83">
        <f t="shared" si="121"/>
        <v>0</v>
      </c>
      <c r="Q500" s="83">
        <v>0</v>
      </c>
      <c r="R500" s="83">
        <v>0</v>
      </c>
      <c r="S500" s="83">
        <v>0</v>
      </c>
      <c r="T500" s="83">
        <f t="shared" si="122"/>
        <v>0</v>
      </c>
      <c r="U500" s="83">
        <f t="shared" si="123"/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468">
        <v>0</v>
      </c>
      <c r="M501" s="224">
        <v>0</v>
      </c>
      <c r="N501" s="224">
        <v>0</v>
      </c>
      <c r="O501" s="224">
        <f t="shared" si="120"/>
        <v>0</v>
      </c>
      <c r="P501" s="224">
        <f t="shared" si="121"/>
        <v>0</v>
      </c>
      <c r="Q501" s="224">
        <v>0</v>
      </c>
      <c r="R501" s="224">
        <v>0</v>
      </c>
      <c r="S501" s="224">
        <v>0</v>
      </c>
      <c r="T501" s="224">
        <f t="shared" si="122"/>
        <v>0</v>
      </c>
      <c r="U501" s="224">
        <f t="shared" si="123"/>
        <v>0</v>
      </c>
    </row>
    <row r="502" spans="1:21" ht="19.5" hidden="1" x14ac:dyDescent="0.3">
      <c r="A502" s="138"/>
      <c r="B502" s="139"/>
      <c r="C502" s="177" t="s">
        <v>18</v>
      </c>
      <c r="D502" s="491" t="s">
        <v>38</v>
      </c>
      <c r="E502" s="141"/>
      <c r="F502" s="141"/>
      <c r="G502" s="142"/>
      <c r="H502" s="178"/>
      <c r="I502" s="135"/>
      <c r="J502" s="135"/>
      <c r="K502" s="136"/>
      <c r="L502" s="4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IFERROR(__xludf.DUMMYFUNCTION("IMPORTRANGE(""https://docs.google.com/spreadsheets/d/1eHaY18a8A9IcSdp1K8H6x8fbOy06t2VsZHhMHf-1x7Y/edit?usp=sharing"",""แผน!GX19"")"),0)</f>
        <v>0</v>
      </c>
      <c r="J503" s="328">
        <f ca="1">IF(AND(J504=I504,J505=I505,J506=I506,J507=I507),I503,0)</f>
        <v>0</v>
      </c>
      <c r="K503" s="470">
        <f t="shared" ref="K503:K509" ca="1" si="126">IF(I503&gt;0,J503*100/I503,0)</f>
        <v>0</v>
      </c>
      <c r="L503" s="465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IFERROR(__xludf.DUMMYFUNCTION("IMPORTRANGE(""https://docs.google.com/spreadsheets/d/1eHaY18a8A9IcSdp1K8H6x8fbOy06t2VsZHhMHf-1x7Y/edit?usp=sharing"",""แผน!GY19"")"),0)</f>
        <v>0</v>
      </c>
      <c r="J504" s="466">
        <v>0</v>
      </c>
      <c r="K504" s="224">
        <f t="shared" ca="1" si="126"/>
        <v>0</v>
      </c>
      <c r="L504" s="465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IFERROR(__xludf.DUMMYFUNCTION("IMPORTRANGE(""https://docs.google.com/spreadsheets/d/1eHaY18a8A9IcSdp1K8H6x8fbOy06t2VsZHhMHf-1x7Y/edit?usp=sharing"",""แผน!GZ19"")"),0)</f>
        <v>0</v>
      </c>
      <c r="J505" s="466">
        <v>0</v>
      </c>
      <c r="K505" s="224">
        <f t="shared" ca="1" si="126"/>
        <v>0</v>
      </c>
      <c r="L505" s="465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IFERROR(__xludf.DUMMYFUNCTION("IMPORTRANGE(""https://docs.google.com/spreadsheets/d/1eHaY18a8A9IcSdp1K8H6x8fbOy06t2VsZHhMHf-1x7Y/edit?usp=sharing"",""แผน!HA19"")"),0)</f>
        <v>0</v>
      </c>
      <c r="J506" s="466">
        <v>0</v>
      </c>
      <c r="K506" s="224">
        <f t="shared" ca="1" si="126"/>
        <v>0</v>
      </c>
      <c r="L506" s="465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IFERROR(__xludf.DUMMYFUNCTION("IMPORTRANGE(""https://docs.google.com/spreadsheets/d/1eHaY18a8A9IcSdp1K8H6x8fbOy06t2VsZHhMHf-1x7Y/edit?usp=sharing"",""แผน!HB19"")"),0)</f>
        <v>0</v>
      </c>
      <c r="J507" s="466">
        <v>0</v>
      </c>
      <c r="K507" s="224">
        <f t="shared" ca="1" si="126"/>
        <v>0</v>
      </c>
      <c r="L507" s="465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 t="shared" si="126"/>
        <v>0</v>
      </c>
      <c r="L508" s="465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IFERROR(__xludf.DUMMYFUNCTION("IMPORTRANGE(""https://docs.google.com/spreadsheets/d/1eHaY18a8A9IcSdp1K8H6x8fbOy06t2VsZHhMHf-1x7Y/edit?usp=sharing"",""แผน!HC19"")"),0)</f>
        <v>0</v>
      </c>
      <c r="J509" s="464">
        <v>0</v>
      </c>
      <c r="K509" s="455">
        <f t="shared" ca="1" si="126"/>
        <v>0</v>
      </c>
      <c r="L509" s="46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537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536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hidden="1" x14ac:dyDescent="0.3">
      <c r="A511" s="535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534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hidden="1" x14ac:dyDescent="0.3">
      <c r="A512" s="349"/>
      <c r="B512" s="533" t="s">
        <v>207</v>
      </c>
      <c r="C512" s="351"/>
      <c r="D512" s="352"/>
      <c r="E512" s="352"/>
      <c r="F512" s="352"/>
      <c r="G512" s="353"/>
      <c r="H512" s="532" t="s">
        <v>61</v>
      </c>
      <c r="I512" s="531">
        <f>I524</f>
        <v>0</v>
      </c>
      <c r="J512" s="531">
        <f>J524</f>
        <v>0</v>
      </c>
      <c r="K512" s="530">
        <f>IF(I512&gt;0,J512*100/I512,0)</f>
        <v>0</v>
      </c>
      <c r="L512" s="512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hidden="1" x14ac:dyDescent="0.3">
      <c r="A513" s="128"/>
      <c r="B513" s="40"/>
      <c r="C513" s="527" t="s">
        <v>18</v>
      </c>
      <c r="D513" s="494" t="s">
        <v>19</v>
      </c>
      <c r="E513" s="40"/>
      <c r="F513" s="40"/>
      <c r="G513" s="42"/>
      <c r="H513" s="529" t="s">
        <v>14</v>
      </c>
      <c r="I513" s="44"/>
      <c r="J513" s="44"/>
      <c r="K513" s="45"/>
      <c r="L513" s="471">
        <f ca="1">L514+L515</f>
        <v>0</v>
      </c>
      <c r="M513" s="470">
        <f ca="1">M514+M515</f>
        <v>0</v>
      </c>
      <c r="N513" s="470">
        <f ca="1">N514+N515</f>
        <v>0</v>
      </c>
      <c r="O513" s="470">
        <f t="shared" ref="O513:O521" ca="1" si="127">IF(L513&gt;0,N513*100/L513,0)</f>
        <v>0</v>
      </c>
      <c r="P513" s="470">
        <f t="shared" ref="P513:P521" ca="1" si="128">IF(M513&gt;0,N513*100/M513,0)</f>
        <v>0</v>
      </c>
      <c r="Q513" s="470">
        <f>Q514+Q515</f>
        <v>0</v>
      </c>
      <c r="R513" s="470">
        <f>R514+R515</f>
        <v>0</v>
      </c>
      <c r="S513" s="470">
        <f>S514+S515</f>
        <v>0</v>
      </c>
      <c r="T513" s="470">
        <f t="shared" ref="T513:T521" si="129">IF(Q513&gt;0,S513*100/Q513,0)</f>
        <v>0</v>
      </c>
      <c r="U513" s="470">
        <f t="shared" ref="U513:U521" si="130"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469">
        <f t="shared" ref="L514:N515" si="131">L517+L520</f>
        <v>0</v>
      </c>
      <c r="M514" s="83">
        <f t="shared" si="131"/>
        <v>0</v>
      </c>
      <c r="N514" s="83">
        <f t="shared" si="131"/>
        <v>0</v>
      </c>
      <c r="O514" s="83">
        <f t="shared" si="127"/>
        <v>0</v>
      </c>
      <c r="P514" s="83">
        <f t="shared" si="128"/>
        <v>0</v>
      </c>
      <c r="Q514" s="83">
        <f t="shared" ref="Q514:S515" si="132">Q517+Q520</f>
        <v>0</v>
      </c>
      <c r="R514" s="83">
        <f t="shared" si="132"/>
        <v>0</v>
      </c>
      <c r="S514" s="83">
        <f t="shared" si="132"/>
        <v>0</v>
      </c>
      <c r="T514" s="83">
        <f t="shared" si="129"/>
        <v>0</v>
      </c>
      <c r="U514" s="83">
        <f t="shared" si="130"/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468">
        <f t="shared" ca="1" si="131"/>
        <v>0</v>
      </c>
      <c r="M515" s="224">
        <f t="shared" ca="1" si="131"/>
        <v>0</v>
      </c>
      <c r="N515" s="224">
        <f t="shared" ca="1" si="131"/>
        <v>0</v>
      </c>
      <c r="O515" s="224">
        <f t="shared" ca="1" si="127"/>
        <v>0</v>
      </c>
      <c r="P515" s="224">
        <f t="shared" ca="1" si="128"/>
        <v>0</v>
      </c>
      <c r="Q515" s="224">
        <f t="shared" si="132"/>
        <v>0</v>
      </c>
      <c r="R515" s="224">
        <f t="shared" si="132"/>
        <v>0</v>
      </c>
      <c r="S515" s="224">
        <f t="shared" si="132"/>
        <v>0</v>
      </c>
      <c r="T515" s="224">
        <f t="shared" si="129"/>
        <v>0</v>
      </c>
      <c r="U515" s="224">
        <f t="shared" si="130"/>
        <v>0</v>
      </c>
    </row>
    <row r="516" spans="1:21" ht="18.75" hidden="1" x14ac:dyDescent="0.25">
      <c r="A516" s="128"/>
      <c r="B516" s="40"/>
      <c r="C516" s="40"/>
      <c r="D516" s="52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468">
        <f ca="1">L517+L518</f>
        <v>0</v>
      </c>
      <c r="M516" s="224">
        <f ca="1">M517+M518</f>
        <v>0</v>
      </c>
      <c r="N516" s="224">
        <f ca="1">N517+N518</f>
        <v>0</v>
      </c>
      <c r="O516" s="224">
        <f t="shared" ca="1" si="127"/>
        <v>0</v>
      </c>
      <c r="P516" s="224">
        <f t="shared" ca="1" si="128"/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 t="shared" si="129"/>
        <v>0</v>
      </c>
      <c r="U516" s="224">
        <f t="shared" si="130"/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469">
        <v>0</v>
      </c>
      <c r="M517" s="83">
        <v>0</v>
      </c>
      <c r="N517" s="83">
        <v>0</v>
      </c>
      <c r="O517" s="83">
        <f t="shared" si="127"/>
        <v>0</v>
      </c>
      <c r="P517" s="83">
        <f t="shared" si="128"/>
        <v>0</v>
      </c>
      <c r="Q517" s="83">
        <v>0</v>
      </c>
      <c r="R517" s="83">
        <v>0</v>
      </c>
      <c r="S517" s="83">
        <v>0</v>
      </c>
      <c r="T517" s="83">
        <f t="shared" si="129"/>
        <v>0</v>
      </c>
      <c r="U517" s="83">
        <f t="shared" si="130"/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468">
        <f ca="1">IFERROR(__xludf.DUMMYFUNCTION("IMPORTRANGE(""https://docs.google.com/spreadsheets/d/1-uDff_7J0KD5mKrp0Vvzr7lt3OU09vwQwhkpOPPYv2Y/edit?usp=sharing"",""งบพรบ!FM19"")"),0)</f>
        <v>0</v>
      </c>
      <c r="M518" s="224">
        <f ca="1">IFERROR(__xludf.DUMMYFUNCTION("IMPORTRANGE(""https://docs.google.com/spreadsheets/d/1-uDff_7J0KD5mKrp0Vvzr7lt3OU09vwQwhkpOPPYv2Y/edit?usp=sharing"",""งบพรบ!FR19"")"),0)</f>
        <v>0</v>
      </c>
      <c r="N518" s="224">
        <f ca="1">IFERROR(__xludf.DUMMYFUNCTION("IMPORTRANGE(""https://docs.google.com/spreadsheets/d/1-uDff_7J0KD5mKrp0Vvzr7lt3OU09vwQwhkpOPPYv2Y/edit?usp=sharing"",""งบพรบ!FT19"")"),0)</f>
        <v>0</v>
      </c>
      <c r="O518" s="224">
        <f t="shared" ca="1" si="127"/>
        <v>0</v>
      </c>
      <c r="P518" s="224">
        <f t="shared" ca="1" si="128"/>
        <v>0</v>
      </c>
      <c r="Q518" s="224">
        <v>0</v>
      </c>
      <c r="R518" s="224">
        <v>0</v>
      </c>
      <c r="S518" s="224">
        <v>0</v>
      </c>
      <c r="T518" s="224">
        <f t="shared" si="129"/>
        <v>0</v>
      </c>
      <c r="U518" s="224">
        <f t="shared" si="130"/>
        <v>0</v>
      </c>
    </row>
    <row r="519" spans="1:21" ht="18.75" hidden="1" x14ac:dyDescent="0.25">
      <c r="A519" s="128"/>
      <c r="B519" s="40"/>
      <c r="C519" s="40"/>
      <c r="D519" s="528" t="s">
        <v>23</v>
      </c>
      <c r="E519" s="40"/>
      <c r="F519" s="40"/>
      <c r="G519" s="42"/>
      <c r="H519" s="375" t="s">
        <v>14</v>
      </c>
      <c r="I519" s="135"/>
      <c r="J519" s="135"/>
      <c r="K519" s="136"/>
      <c r="L519" s="468">
        <f ca="1">L520+L521</f>
        <v>0</v>
      </c>
      <c r="M519" s="224">
        <f ca="1">M520+M521</f>
        <v>0</v>
      </c>
      <c r="N519" s="224">
        <f ca="1">N520+N521</f>
        <v>0</v>
      </c>
      <c r="O519" s="224">
        <f t="shared" ca="1" si="127"/>
        <v>0</v>
      </c>
      <c r="P519" s="224">
        <f t="shared" ca="1" si="128"/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 t="shared" si="129"/>
        <v>0</v>
      </c>
      <c r="U519" s="224">
        <f t="shared" si="130"/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469">
        <v>0</v>
      </c>
      <c r="M520" s="83">
        <v>0</v>
      </c>
      <c r="N520" s="83">
        <v>0</v>
      </c>
      <c r="O520" s="83">
        <f t="shared" si="127"/>
        <v>0</v>
      </c>
      <c r="P520" s="83">
        <f t="shared" si="128"/>
        <v>0</v>
      </c>
      <c r="Q520" s="83">
        <v>0</v>
      </c>
      <c r="R520" s="83">
        <v>0</v>
      </c>
      <c r="S520" s="83">
        <v>0</v>
      </c>
      <c r="T520" s="83">
        <f t="shared" si="129"/>
        <v>0</v>
      </c>
      <c r="U520" s="83">
        <f t="shared" si="130"/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375" t="s">
        <v>14</v>
      </c>
      <c r="I521" s="135"/>
      <c r="J521" s="135"/>
      <c r="K521" s="136"/>
      <c r="L521" s="468">
        <f ca="1">IFERROR(__xludf.DUMMYFUNCTION("IMPORTRANGE(""https://docs.google.com/spreadsheets/d/1-uDff_7J0KD5mKrp0Vvzr7lt3OU09vwQwhkpOPPYv2Y/edit?usp=sharing"",""งบพรบ!FP19"")"),0)</f>
        <v>0</v>
      </c>
      <c r="M521" s="224">
        <f ca="1">IFERROR(__xludf.DUMMYFUNCTION("IMPORTRANGE(""https://docs.google.com/spreadsheets/d/1-uDff_7J0KD5mKrp0Vvzr7lt3OU09vwQwhkpOPPYv2Y/edit?usp=sharing"",""งบพรบ!FS19"")"),0)</f>
        <v>0</v>
      </c>
      <c r="N521" s="224">
        <f ca="1">IFERROR(__xludf.DUMMYFUNCTION("IMPORTRANGE(""https://docs.google.com/spreadsheets/d/1-uDff_7J0KD5mKrp0Vvzr7lt3OU09vwQwhkpOPPYv2Y/edit?usp=sharing"",""งบพรบ!FU19"")"),0)</f>
        <v>0</v>
      </c>
      <c r="O521" s="224">
        <f t="shared" ca="1" si="127"/>
        <v>0</v>
      </c>
      <c r="P521" s="224">
        <f t="shared" ca="1" si="128"/>
        <v>0</v>
      </c>
      <c r="Q521" s="224">
        <v>0</v>
      </c>
      <c r="R521" s="224">
        <v>0</v>
      </c>
      <c r="S521" s="224">
        <v>0</v>
      </c>
      <c r="T521" s="224">
        <f t="shared" si="129"/>
        <v>0</v>
      </c>
      <c r="U521" s="224">
        <f t="shared" si="130"/>
        <v>0</v>
      </c>
    </row>
    <row r="522" spans="1:21" ht="19.5" hidden="1" x14ac:dyDescent="0.3">
      <c r="A522" s="138"/>
      <c r="B522" s="139"/>
      <c r="C522" s="527" t="s">
        <v>18</v>
      </c>
      <c r="D522" s="509" t="s">
        <v>38</v>
      </c>
      <c r="E522" s="141"/>
      <c r="F522" s="141"/>
      <c r="G522" s="142"/>
      <c r="H522" s="143"/>
      <c r="I522" s="135"/>
      <c r="J522" s="44"/>
      <c r="K522" s="45"/>
      <c r="L522" s="465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208</v>
      </c>
      <c r="E523" s="139"/>
      <c r="F523" s="40"/>
      <c r="G523" s="42"/>
      <c r="H523" s="526" t="s">
        <v>11</v>
      </c>
      <c r="I523" s="430">
        <v>0</v>
      </c>
      <c r="J523" s="525">
        <v>0</v>
      </c>
      <c r="K523" s="83">
        <f>IF(I523&gt;0,J523*100/I523,0)</f>
        <v>0</v>
      </c>
      <c r="L523" s="465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29"/>
      <c r="B524" s="1"/>
      <c r="C524" s="2"/>
      <c r="D524" s="524" t="s">
        <v>209</v>
      </c>
      <c r="E524" s="250"/>
      <c r="F524" s="1"/>
      <c r="G524" s="52"/>
      <c r="H524" s="523" t="s">
        <v>61</v>
      </c>
      <c r="I524" s="433">
        <v>0</v>
      </c>
      <c r="J524" s="522">
        <v>0</v>
      </c>
      <c r="K524" s="521">
        <f>IF(I524&gt;0,J524*100/I524,0)</f>
        <v>0</v>
      </c>
      <c r="L524" s="465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520"/>
      <c r="B525" s="519"/>
      <c r="C525" s="519"/>
      <c r="D525" s="518"/>
      <c r="E525" s="518"/>
      <c r="F525" s="518"/>
      <c r="G525" s="517"/>
      <c r="H525" s="516"/>
      <c r="I525" s="515"/>
      <c r="J525" s="515"/>
      <c r="K525" s="514"/>
      <c r="L525" s="511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11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11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11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11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11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11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496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hidden="1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64">
        <f>I545</f>
        <v>0</v>
      </c>
      <c r="J533" s="364">
        <f>J545</f>
        <v>0</v>
      </c>
      <c r="K533" s="513">
        <f>IF(I533&gt;0,J533*100/I533,0)</f>
        <v>0</v>
      </c>
      <c r="L533" s="512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hidden="1" x14ac:dyDescent="0.3">
      <c r="A534" s="128"/>
      <c r="B534" s="40"/>
      <c r="C534" s="129" t="s">
        <v>18</v>
      </c>
      <c r="D534" s="472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471">
        <f>L535+L536</f>
        <v>0</v>
      </c>
      <c r="M534" s="470">
        <f>M535+M536</f>
        <v>0</v>
      </c>
      <c r="N534" s="470">
        <f>N535+N536</f>
        <v>0</v>
      </c>
      <c r="O534" s="470">
        <f t="shared" ref="O534:O542" si="133">IF(L534&gt;0,N534*100/L534,0)</f>
        <v>0</v>
      </c>
      <c r="P534" s="470">
        <f t="shared" ref="P534:P542" si="134">IF(M534&gt;0,N534*100/M534,0)</f>
        <v>0</v>
      </c>
      <c r="Q534" s="470">
        <f>Q535+Q536</f>
        <v>0</v>
      </c>
      <c r="R534" s="470">
        <f>R535+R536</f>
        <v>0</v>
      </c>
      <c r="S534" s="470">
        <f>S535+S536</f>
        <v>0</v>
      </c>
      <c r="T534" s="470">
        <f t="shared" ref="T534:T542" si="135">IF(Q534&gt;0,S534*100/Q534,0)</f>
        <v>0</v>
      </c>
      <c r="U534" s="470">
        <f t="shared" ref="U534:U542" si="136"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469">
        <f t="shared" ref="L535:N536" si="137">L538+L541</f>
        <v>0</v>
      </c>
      <c r="M535" s="83">
        <f t="shared" si="137"/>
        <v>0</v>
      </c>
      <c r="N535" s="83">
        <f t="shared" si="137"/>
        <v>0</v>
      </c>
      <c r="O535" s="83">
        <f t="shared" si="133"/>
        <v>0</v>
      </c>
      <c r="P535" s="83">
        <f t="shared" si="134"/>
        <v>0</v>
      </c>
      <c r="Q535" s="83">
        <f t="shared" ref="Q535:S536" si="138">Q538+Q541</f>
        <v>0</v>
      </c>
      <c r="R535" s="83">
        <f t="shared" si="138"/>
        <v>0</v>
      </c>
      <c r="S535" s="83">
        <f t="shared" si="138"/>
        <v>0</v>
      </c>
      <c r="T535" s="83">
        <f t="shared" si="135"/>
        <v>0</v>
      </c>
      <c r="U535" s="83">
        <f t="shared" si="136"/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468">
        <f t="shared" si="137"/>
        <v>0</v>
      </c>
      <c r="M536" s="224">
        <f t="shared" si="137"/>
        <v>0</v>
      </c>
      <c r="N536" s="224">
        <f t="shared" si="137"/>
        <v>0</v>
      </c>
      <c r="O536" s="224">
        <f t="shared" si="133"/>
        <v>0</v>
      </c>
      <c r="P536" s="224">
        <f t="shared" si="134"/>
        <v>0</v>
      </c>
      <c r="Q536" s="224">
        <f t="shared" si="138"/>
        <v>0</v>
      </c>
      <c r="R536" s="224">
        <f t="shared" si="138"/>
        <v>0</v>
      </c>
      <c r="S536" s="224">
        <f t="shared" si="138"/>
        <v>0</v>
      </c>
      <c r="T536" s="224">
        <f t="shared" si="135"/>
        <v>0</v>
      </c>
      <c r="U536" s="224">
        <f t="shared" si="136"/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468">
        <f>L538+L539</f>
        <v>0</v>
      </c>
      <c r="M537" s="224">
        <f>M538+M539</f>
        <v>0</v>
      </c>
      <c r="N537" s="224">
        <f>N538+N539</f>
        <v>0</v>
      </c>
      <c r="O537" s="224">
        <f t="shared" si="133"/>
        <v>0</v>
      </c>
      <c r="P537" s="224">
        <f t="shared" si="134"/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 t="shared" si="135"/>
        <v>0</v>
      </c>
      <c r="U537" s="224">
        <f t="shared" si="136"/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469">
        <v>0</v>
      </c>
      <c r="M538" s="83">
        <v>0</v>
      </c>
      <c r="N538" s="83">
        <v>0</v>
      </c>
      <c r="O538" s="83">
        <f t="shared" si="133"/>
        <v>0</v>
      </c>
      <c r="P538" s="83">
        <f t="shared" si="134"/>
        <v>0</v>
      </c>
      <c r="Q538" s="83">
        <v>0</v>
      </c>
      <c r="R538" s="83">
        <v>0</v>
      </c>
      <c r="S538" s="83">
        <v>0</v>
      </c>
      <c r="T538" s="83">
        <f t="shared" si="135"/>
        <v>0</v>
      </c>
      <c r="U538" s="83">
        <f t="shared" si="136"/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468">
        <v>0</v>
      </c>
      <c r="M539" s="224">
        <v>0</v>
      </c>
      <c r="N539" s="224">
        <v>0</v>
      </c>
      <c r="O539" s="224">
        <f t="shared" si="133"/>
        <v>0</v>
      </c>
      <c r="P539" s="224">
        <f t="shared" si="134"/>
        <v>0</v>
      </c>
      <c r="Q539" s="224">
        <v>0</v>
      </c>
      <c r="R539" s="224">
        <v>0</v>
      </c>
      <c r="S539" s="224">
        <v>0</v>
      </c>
      <c r="T539" s="224">
        <f t="shared" si="135"/>
        <v>0</v>
      </c>
      <c r="U539" s="224">
        <f t="shared" si="136"/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468">
        <f>L541+L542</f>
        <v>0</v>
      </c>
      <c r="M540" s="224">
        <f>M541+M542</f>
        <v>0</v>
      </c>
      <c r="N540" s="224">
        <f>N541+N542</f>
        <v>0</v>
      </c>
      <c r="O540" s="224">
        <f t="shared" si="133"/>
        <v>0</v>
      </c>
      <c r="P540" s="224">
        <f t="shared" si="134"/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 t="shared" si="135"/>
        <v>0</v>
      </c>
      <c r="U540" s="224">
        <f t="shared" si="136"/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469">
        <v>0</v>
      </c>
      <c r="M541" s="83">
        <v>0</v>
      </c>
      <c r="N541" s="83">
        <v>0</v>
      </c>
      <c r="O541" s="83">
        <f t="shared" si="133"/>
        <v>0</v>
      </c>
      <c r="P541" s="83">
        <f t="shared" si="134"/>
        <v>0</v>
      </c>
      <c r="Q541" s="83">
        <v>0</v>
      </c>
      <c r="R541" s="83">
        <v>0</v>
      </c>
      <c r="S541" s="83">
        <v>0</v>
      </c>
      <c r="T541" s="83">
        <f t="shared" si="135"/>
        <v>0</v>
      </c>
      <c r="U541" s="83">
        <f t="shared" si="136"/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468">
        <v>0</v>
      </c>
      <c r="M542" s="224">
        <v>0</v>
      </c>
      <c r="N542" s="224">
        <v>0</v>
      </c>
      <c r="O542" s="224">
        <f t="shared" si="133"/>
        <v>0</v>
      </c>
      <c r="P542" s="224">
        <f t="shared" si="134"/>
        <v>0</v>
      </c>
      <c r="Q542" s="224">
        <v>0</v>
      </c>
      <c r="R542" s="224">
        <v>0</v>
      </c>
      <c r="S542" s="224">
        <v>0</v>
      </c>
      <c r="T542" s="224">
        <f t="shared" si="135"/>
        <v>0</v>
      </c>
      <c r="U542" s="224">
        <f t="shared" si="136"/>
        <v>0</v>
      </c>
    </row>
    <row r="543" spans="1:21" ht="19.5" hidden="1" x14ac:dyDescent="0.3">
      <c r="A543" s="138"/>
      <c r="B543" s="139"/>
      <c r="C543" s="365" t="s">
        <v>18</v>
      </c>
      <c r="D543" s="498" t="s">
        <v>38</v>
      </c>
      <c r="E543" s="141"/>
      <c r="F543" s="141"/>
      <c r="G543" s="142"/>
      <c r="H543" s="143"/>
      <c r="I543" s="135"/>
      <c r="J543" s="44"/>
      <c r="K543" s="45"/>
      <c r="L543" s="465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11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11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11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11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11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11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11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11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11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496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hidden="1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64">
        <f>I566</f>
        <v>0</v>
      </c>
      <c r="J554" s="364">
        <f>J566</f>
        <v>0</v>
      </c>
      <c r="K554" s="513">
        <f>IF(I554&gt;0,J554*100/I554,0)</f>
        <v>0</v>
      </c>
      <c r="L554" s="512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hidden="1" x14ac:dyDescent="0.3">
      <c r="A555" s="128"/>
      <c r="B555" s="40"/>
      <c r="C555" s="129" t="s">
        <v>18</v>
      </c>
      <c r="D555" s="472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471">
        <f>L556+L557</f>
        <v>0</v>
      </c>
      <c r="M555" s="470">
        <f>M556+M557</f>
        <v>0</v>
      </c>
      <c r="N555" s="470">
        <f>N556+N557</f>
        <v>0</v>
      </c>
      <c r="O555" s="470">
        <f t="shared" ref="O555:O563" si="139">IF(L555&gt;0,N555*100/L555,0)</f>
        <v>0</v>
      </c>
      <c r="P555" s="470">
        <f t="shared" ref="P555:P563" si="140">IF(M555&gt;0,N555*100/M555,0)</f>
        <v>0</v>
      </c>
      <c r="Q555" s="470">
        <f>Q556+Q557</f>
        <v>0</v>
      </c>
      <c r="R555" s="470">
        <f>R556+R557</f>
        <v>0</v>
      </c>
      <c r="S555" s="470">
        <f>S556+S557</f>
        <v>0</v>
      </c>
      <c r="T555" s="470">
        <f t="shared" ref="T555:T563" si="141">IF(Q555&gt;0,S555*100/Q555,0)</f>
        <v>0</v>
      </c>
      <c r="U555" s="470">
        <f t="shared" ref="U555:U563" si="142"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469">
        <f t="shared" ref="L556:N557" si="143">L559+L562</f>
        <v>0</v>
      </c>
      <c r="M556" s="83">
        <f t="shared" si="143"/>
        <v>0</v>
      </c>
      <c r="N556" s="83">
        <f t="shared" si="143"/>
        <v>0</v>
      </c>
      <c r="O556" s="83">
        <f t="shared" si="139"/>
        <v>0</v>
      </c>
      <c r="P556" s="83">
        <f t="shared" si="140"/>
        <v>0</v>
      </c>
      <c r="Q556" s="83">
        <f t="shared" ref="Q556:S557" si="144">Q559+Q562</f>
        <v>0</v>
      </c>
      <c r="R556" s="83">
        <f t="shared" si="144"/>
        <v>0</v>
      </c>
      <c r="S556" s="83">
        <f t="shared" si="144"/>
        <v>0</v>
      </c>
      <c r="T556" s="83">
        <f t="shared" si="141"/>
        <v>0</v>
      </c>
      <c r="U556" s="83">
        <f t="shared" si="142"/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468">
        <f t="shared" si="143"/>
        <v>0</v>
      </c>
      <c r="M557" s="224">
        <f t="shared" si="143"/>
        <v>0</v>
      </c>
      <c r="N557" s="224">
        <f t="shared" si="143"/>
        <v>0</v>
      </c>
      <c r="O557" s="224">
        <f t="shared" si="139"/>
        <v>0</v>
      </c>
      <c r="P557" s="224">
        <f t="shared" si="140"/>
        <v>0</v>
      </c>
      <c r="Q557" s="224">
        <f t="shared" si="144"/>
        <v>0</v>
      </c>
      <c r="R557" s="224">
        <f t="shared" si="144"/>
        <v>0</v>
      </c>
      <c r="S557" s="224">
        <f t="shared" si="144"/>
        <v>0</v>
      </c>
      <c r="T557" s="224">
        <f t="shared" si="141"/>
        <v>0</v>
      </c>
      <c r="U557" s="224">
        <f t="shared" si="142"/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468">
        <f>L559+L560</f>
        <v>0</v>
      </c>
      <c r="M558" s="224">
        <f>M559+M560</f>
        <v>0</v>
      </c>
      <c r="N558" s="224">
        <f>N559+N560</f>
        <v>0</v>
      </c>
      <c r="O558" s="224">
        <f t="shared" si="139"/>
        <v>0</v>
      </c>
      <c r="P558" s="224">
        <f t="shared" si="140"/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 t="shared" si="141"/>
        <v>0</v>
      </c>
      <c r="U558" s="224">
        <f t="shared" si="142"/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469">
        <v>0</v>
      </c>
      <c r="M559" s="83">
        <v>0</v>
      </c>
      <c r="N559" s="83">
        <v>0</v>
      </c>
      <c r="O559" s="83">
        <f t="shared" si="139"/>
        <v>0</v>
      </c>
      <c r="P559" s="83">
        <f t="shared" si="140"/>
        <v>0</v>
      </c>
      <c r="Q559" s="83">
        <v>0</v>
      </c>
      <c r="R559" s="83">
        <v>0</v>
      </c>
      <c r="S559" s="83">
        <v>0</v>
      </c>
      <c r="T559" s="83">
        <f t="shared" si="141"/>
        <v>0</v>
      </c>
      <c r="U559" s="83">
        <f t="shared" si="142"/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468">
        <v>0</v>
      </c>
      <c r="M560" s="224">
        <v>0</v>
      </c>
      <c r="N560" s="224">
        <v>0</v>
      </c>
      <c r="O560" s="224">
        <f t="shared" si="139"/>
        <v>0</v>
      </c>
      <c r="P560" s="224">
        <f t="shared" si="140"/>
        <v>0</v>
      </c>
      <c r="Q560" s="224">
        <v>0</v>
      </c>
      <c r="R560" s="224">
        <v>0</v>
      </c>
      <c r="S560" s="224">
        <v>0</v>
      </c>
      <c r="T560" s="224">
        <f t="shared" si="141"/>
        <v>0</v>
      </c>
      <c r="U560" s="224">
        <f t="shared" si="142"/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468">
        <f>L562+L563</f>
        <v>0</v>
      </c>
      <c r="M561" s="224">
        <f>M562+M563</f>
        <v>0</v>
      </c>
      <c r="N561" s="224">
        <f>N562+N563</f>
        <v>0</v>
      </c>
      <c r="O561" s="224">
        <f t="shared" si="139"/>
        <v>0</v>
      </c>
      <c r="P561" s="224">
        <f t="shared" si="140"/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 t="shared" si="141"/>
        <v>0</v>
      </c>
      <c r="U561" s="224">
        <f t="shared" si="142"/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469">
        <v>0</v>
      </c>
      <c r="M562" s="83">
        <v>0</v>
      </c>
      <c r="N562" s="83">
        <v>0</v>
      </c>
      <c r="O562" s="83">
        <f t="shared" si="139"/>
        <v>0</v>
      </c>
      <c r="P562" s="83">
        <f t="shared" si="140"/>
        <v>0</v>
      </c>
      <c r="Q562" s="83">
        <v>0</v>
      </c>
      <c r="R562" s="83">
        <v>0</v>
      </c>
      <c r="S562" s="83">
        <v>0</v>
      </c>
      <c r="T562" s="83">
        <f t="shared" si="141"/>
        <v>0</v>
      </c>
      <c r="U562" s="83">
        <f t="shared" si="142"/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468">
        <v>0</v>
      </c>
      <c r="M563" s="224">
        <v>0</v>
      </c>
      <c r="N563" s="224">
        <v>0</v>
      </c>
      <c r="O563" s="224">
        <f t="shared" si="139"/>
        <v>0</v>
      </c>
      <c r="P563" s="224">
        <f t="shared" si="140"/>
        <v>0</v>
      </c>
      <c r="Q563" s="224">
        <v>0</v>
      </c>
      <c r="R563" s="224">
        <v>0</v>
      </c>
      <c r="S563" s="224">
        <v>0</v>
      </c>
      <c r="T563" s="224">
        <f t="shared" si="141"/>
        <v>0</v>
      </c>
      <c r="U563" s="224">
        <f t="shared" si="142"/>
        <v>0</v>
      </c>
    </row>
    <row r="564" spans="1:21" ht="19.5" hidden="1" x14ac:dyDescent="0.3">
      <c r="A564" s="138"/>
      <c r="B564" s="139"/>
      <c r="C564" s="365" t="s">
        <v>18</v>
      </c>
      <c r="D564" s="498" t="s">
        <v>38</v>
      </c>
      <c r="E564" s="141"/>
      <c r="F564" s="141"/>
      <c r="G564" s="142"/>
      <c r="H564" s="143"/>
      <c r="I564" s="135"/>
      <c r="J564" s="44"/>
      <c r="K564" s="45"/>
      <c r="L564" s="465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11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11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11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11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11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11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11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11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11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496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hidden="1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64">
        <f>I587</f>
        <v>0</v>
      </c>
      <c r="J575" s="364">
        <f>J587</f>
        <v>0</v>
      </c>
      <c r="K575" s="513">
        <f>IF(I575&gt;0,J575*100/I575,0)</f>
        <v>0</v>
      </c>
      <c r="L575" s="512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hidden="1" x14ac:dyDescent="0.3">
      <c r="A576" s="128"/>
      <c r="B576" s="40"/>
      <c r="C576" s="129" t="s">
        <v>18</v>
      </c>
      <c r="D576" s="472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471">
        <f>L577+L578</f>
        <v>0</v>
      </c>
      <c r="M576" s="470">
        <f>M577+M578</f>
        <v>0</v>
      </c>
      <c r="N576" s="470">
        <f>N577+N578</f>
        <v>0</v>
      </c>
      <c r="O576" s="470">
        <f t="shared" ref="O576:O584" si="145">IF(L576&gt;0,N576*100/L576,0)</f>
        <v>0</v>
      </c>
      <c r="P576" s="470">
        <f t="shared" ref="P576:P584" si="146">IF(M576&gt;0,N576*100/M576,0)</f>
        <v>0</v>
      </c>
      <c r="Q576" s="470">
        <f>Q577+Q578</f>
        <v>0</v>
      </c>
      <c r="R576" s="470">
        <f>R577+R578</f>
        <v>0</v>
      </c>
      <c r="S576" s="470">
        <f>S577+S578</f>
        <v>0</v>
      </c>
      <c r="T576" s="470">
        <f t="shared" ref="T576:T584" si="147">IF(Q576&gt;0,S576*100/Q576,0)</f>
        <v>0</v>
      </c>
      <c r="U576" s="470">
        <f t="shared" ref="U576:U584" si="148"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469">
        <f t="shared" ref="L577:N578" si="149">L580+L583</f>
        <v>0</v>
      </c>
      <c r="M577" s="83">
        <f t="shared" si="149"/>
        <v>0</v>
      </c>
      <c r="N577" s="83">
        <f t="shared" si="149"/>
        <v>0</v>
      </c>
      <c r="O577" s="83">
        <f t="shared" si="145"/>
        <v>0</v>
      </c>
      <c r="P577" s="83">
        <f t="shared" si="146"/>
        <v>0</v>
      </c>
      <c r="Q577" s="83">
        <f t="shared" ref="Q577:S578" si="150">Q580+Q583</f>
        <v>0</v>
      </c>
      <c r="R577" s="83">
        <f t="shared" si="150"/>
        <v>0</v>
      </c>
      <c r="S577" s="83">
        <f t="shared" si="150"/>
        <v>0</v>
      </c>
      <c r="T577" s="83">
        <f t="shared" si="147"/>
        <v>0</v>
      </c>
      <c r="U577" s="83">
        <f t="shared" si="148"/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468">
        <f t="shared" si="149"/>
        <v>0</v>
      </c>
      <c r="M578" s="224">
        <f t="shared" si="149"/>
        <v>0</v>
      </c>
      <c r="N578" s="224">
        <f t="shared" si="149"/>
        <v>0</v>
      </c>
      <c r="O578" s="224">
        <f t="shared" si="145"/>
        <v>0</v>
      </c>
      <c r="P578" s="224">
        <f t="shared" si="146"/>
        <v>0</v>
      </c>
      <c r="Q578" s="224">
        <f t="shared" si="150"/>
        <v>0</v>
      </c>
      <c r="R578" s="224">
        <f t="shared" si="150"/>
        <v>0</v>
      </c>
      <c r="S578" s="224">
        <f t="shared" si="150"/>
        <v>0</v>
      </c>
      <c r="T578" s="224">
        <f t="shared" si="147"/>
        <v>0</v>
      </c>
      <c r="U578" s="224">
        <f t="shared" si="148"/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468">
        <f>L580+L581</f>
        <v>0</v>
      </c>
      <c r="M579" s="224">
        <f>M580+M581</f>
        <v>0</v>
      </c>
      <c r="N579" s="224">
        <f>N580+N581</f>
        <v>0</v>
      </c>
      <c r="O579" s="224">
        <f t="shared" si="145"/>
        <v>0</v>
      </c>
      <c r="P579" s="224">
        <f t="shared" si="146"/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 t="shared" si="147"/>
        <v>0</v>
      </c>
      <c r="U579" s="224">
        <f t="shared" si="148"/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469">
        <v>0</v>
      </c>
      <c r="M580" s="83">
        <v>0</v>
      </c>
      <c r="N580" s="83">
        <v>0</v>
      </c>
      <c r="O580" s="83">
        <f t="shared" si="145"/>
        <v>0</v>
      </c>
      <c r="P580" s="83">
        <f t="shared" si="146"/>
        <v>0</v>
      </c>
      <c r="Q580" s="83">
        <v>0</v>
      </c>
      <c r="R580" s="83">
        <v>0</v>
      </c>
      <c r="S580" s="83">
        <v>0</v>
      </c>
      <c r="T580" s="83">
        <f t="shared" si="147"/>
        <v>0</v>
      </c>
      <c r="U580" s="83">
        <f t="shared" si="148"/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468">
        <v>0</v>
      </c>
      <c r="M581" s="224">
        <v>0</v>
      </c>
      <c r="N581" s="224">
        <v>0</v>
      </c>
      <c r="O581" s="224">
        <f t="shared" si="145"/>
        <v>0</v>
      </c>
      <c r="P581" s="224">
        <f t="shared" si="146"/>
        <v>0</v>
      </c>
      <c r="Q581" s="224">
        <v>0</v>
      </c>
      <c r="R581" s="224">
        <v>0</v>
      </c>
      <c r="S581" s="224">
        <v>0</v>
      </c>
      <c r="T581" s="224">
        <f t="shared" si="147"/>
        <v>0</v>
      </c>
      <c r="U581" s="224">
        <f t="shared" si="148"/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468">
        <f>L583+L584</f>
        <v>0</v>
      </c>
      <c r="M582" s="224">
        <f>M583+M584</f>
        <v>0</v>
      </c>
      <c r="N582" s="224">
        <f>N583+N584</f>
        <v>0</v>
      </c>
      <c r="O582" s="224">
        <f t="shared" si="145"/>
        <v>0</v>
      </c>
      <c r="P582" s="224">
        <f t="shared" si="146"/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 t="shared" si="147"/>
        <v>0</v>
      </c>
      <c r="U582" s="224">
        <f t="shared" si="148"/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469">
        <v>0</v>
      </c>
      <c r="M583" s="83">
        <v>0</v>
      </c>
      <c r="N583" s="83">
        <v>0</v>
      </c>
      <c r="O583" s="83">
        <f t="shared" si="145"/>
        <v>0</v>
      </c>
      <c r="P583" s="83">
        <f t="shared" si="146"/>
        <v>0</v>
      </c>
      <c r="Q583" s="83">
        <v>0</v>
      </c>
      <c r="R583" s="83">
        <v>0</v>
      </c>
      <c r="S583" s="83">
        <v>0</v>
      </c>
      <c r="T583" s="83">
        <f t="shared" si="147"/>
        <v>0</v>
      </c>
      <c r="U583" s="83">
        <f t="shared" si="148"/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468">
        <v>0</v>
      </c>
      <c r="M584" s="224">
        <v>0</v>
      </c>
      <c r="N584" s="224">
        <v>0</v>
      </c>
      <c r="O584" s="224">
        <f t="shared" si="145"/>
        <v>0</v>
      </c>
      <c r="P584" s="224">
        <f t="shared" si="146"/>
        <v>0</v>
      </c>
      <c r="Q584" s="224">
        <v>0</v>
      </c>
      <c r="R584" s="224">
        <v>0</v>
      </c>
      <c r="S584" s="224">
        <v>0</v>
      </c>
      <c r="T584" s="224">
        <f t="shared" si="147"/>
        <v>0</v>
      </c>
      <c r="U584" s="224">
        <f t="shared" si="148"/>
        <v>0</v>
      </c>
    </row>
    <row r="585" spans="1:21" ht="19.5" hidden="1" x14ac:dyDescent="0.3">
      <c r="A585" s="138"/>
      <c r="B585" s="139"/>
      <c r="C585" s="365" t="s">
        <v>18</v>
      </c>
      <c r="D585" s="498" t="s">
        <v>38</v>
      </c>
      <c r="E585" s="141"/>
      <c r="F585" s="141"/>
      <c r="G585" s="142"/>
      <c r="H585" s="143"/>
      <c r="I585" s="135"/>
      <c r="J585" s="44"/>
      <c r="K585" s="45"/>
      <c r="L585" s="465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11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11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11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11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11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11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11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11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11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496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hidden="1" x14ac:dyDescent="0.3">
      <c r="A596" s="366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67" t="s">
        <v>214</v>
      </c>
      <c r="C597" s="172"/>
      <c r="D597" s="125"/>
      <c r="E597" s="27"/>
      <c r="F597" s="27"/>
      <c r="G597" s="27"/>
      <c r="H597" s="368" t="s">
        <v>99</v>
      </c>
      <c r="I597" s="182"/>
      <c r="J597" s="32"/>
      <c r="K597" s="33"/>
      <c r="L597" s="510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369"/>
      <c r="B598" s="370" t="s">
        <v>215</v>
      </c>
      <c r="C598" s="125"/>
      <c r="D598" s="27"/>
      <c r="E598" s="27"/>
      <c r="F598" s="27"/>
      <c r="G598" s="30"/>
      <c r="H598" s="371" t="s">
        <v>35</v>
      </c>
      <c r="I598" s="32"/>
      <c r="J598" s="32"/>
      <c r="K598" s="33"/>
      <c r="L598" s="510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820" t="s">
        <v>19</v>
      </c>
      <c r="E599" s="793"/>
      <c r="F599" s="793"/>
      <c r="G599" s="794"/>
      <c r="H599" s="372" t="s">
        <v>14</v>
      </c>
      <c r="I599" s="44"/>
      <c r="J599" s="44"/>
      <c r="K599" s="45"/>
      <c r="L599" s="471">
        <f>L600+L601</f>
        <v>0</v>
      </c>
      <c r="M599" s="470">
        <f>M600+M601</f>
        <v>0</v>
      </c>
      <c r="N599" s="470">
        <f>N600+N601</f>
        <v>0</v>
      </c>
      <c r="O599" s="470">
        <f t="shared" ref="O599:O607" si="151">IF(L599&gt;0,N599*100/L599,0)</f>
        <v>0</v>
      </c>
      <c r="P599" s="470">
        <f t="shared" ref="P599:P607" si="152">IF(M599&gt;0,N599*100/M599,0)</f>
        <v>0</v>
      </c>
      <c r="Q599" s="470">
        <f>Q600+Q601</f>
        <v>0</v>
      </c>
      <c r="R599" s="470">
        <f>R600+R601</f>
        <v>0</v>
      </c>
      <c r="S599" s="470">
        <f>S600+S601</f>
        <v>0</v>
      </c>
      <c r="T599" s="470">
        <f t="shared" ref="T599:T607" si="153">IF(Q599&gt;0,S599*100/Q599,0)</f>
        <v>0</v>
      </c>
      <c r="U599" s="470">
        <f t="shared" ref="U599:U607" si="154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469">
        <f t="shared" ref="L600:N601" si="155">L603+L606</f>
        <v>0</v>
      </c>
      <c r="M600" s="83">
        <f t="shared" si="155"/>
        <v>0</v>
      </c>
      <c r="N600" s="83">
        <f t="shared" si="155"/>
        <v>0</v>
      </c>
      <c r="O600" s="83">
        <f t="shared" si="151"/>
        <v>0</v>
      </c>
      <c r="P600" s="83">
        <f t="shared" si="152"/>
        <v>0</v>
      </c>
      <c r="Q600" s="83">
        <f t="shared" ref="Q600:S601" si="156">Q603+Q606</f>
        <v>0</v>
      </c>
      <c r="R600" s="83">
        <f t="shared" si="156"/>
        <v>0</v>
      </c>
      <c r="S600" s="83">
        <f t="shared" si="156"/>
        <v>0</v>
      </c>
      <c r="T600" s="83">
        <f t="shared" si="153"/>
        <v>0</v>
      </c>
      <c r="U600" s="83">
        <f t="shared" si="154"/>
        <v>0</v>
      </c>
    </row>
    <row r="601" spans="1:21" ht="18.75" hidden="1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468">
        <f t="shared" si="155"/>
        <v>0</v>
      </c>
      <c r="M601" s="224">
        <f t="shared" si="155"/>
        <v>0</v>
      </c>
      <c r="N601" s="224">
        <f t="shared" si="155"/>
        <v>0</v>
      </c>
      <c r="O601" s="224">
        <f t="shared" si="151"/>
        <v>0</v>
      </c>
      <c r="P601" s="224">
        <f t="shared" si="152"/>
        <v>0</v>
      </c>
      <c r="Q601" s="224">
        <f t="shared" si="156"/>
        <v>0</v>
      </c>
      <c r="R601" s="224">
        <f t="shared" si="156"/>
        <v>0</v>
      </c>
      <c r="S601" s="224">
        <f t="shared" si="156"/>
        <v>0</v>
      </c>
      <c r="T601" s="224">
        <f t="shared" si="153"/>
        <v>0</v>
      </c>
      <c r="U601" s="224">
        <f t="shared" si="154"/>
        <v>0</v>
      </c>
    </row>
    <row r="602" spans="1:21" ht="19.5" hidden="1" x14ac:dyDescent="0.3">
      <c r="A602" s="128"/>
      <c r="B602" s="158"/>
      <c r="C602" s="158"/>
      <c r="D602" s="494" t="s">
        <v>22</v>
      </c>
      <c r="E602" s="40"/>
      <c r="F602" s="40"/>
      <c r="G602" s="42"/>
      <c r="H602" s="372" t="s">
        <v>14</v>
      </c>
      <c r="I602" s="135"/>
      <c r="J602" s="135"/>
      <c r="K602" s="136"/>
      <c r="L602" s="468">
        <f>L603+L604</f>
        <v>0</v>
      </c>
      <c r="M602" s="224">
        <f>M603+M604</f>
        <v>0</v>
      </c>
      <c r="N602" s="224">
        <f>N603+N604</f>
        <v>0</v>
      </c>
      <c r="O602" s="224">
        <f t="shared" si="151"/>
        <v>0</v>
      </c>
      <c r="P602" s="224">
        <f t="shared" si="152"/>
        <v>0</v>
      </c>
      <c r="Q602" s="224">
        <f>Q603+Q604</f>
        <v>0</v>
      </c>
      <c r="R602" s="224">
        <f>R603+R604</f>
        <v>0</v>
      </c>
      <c r="S602" s="224">
        <f>S603+S604</f>
        <v>0</v>
      </c>
      <c r="T602" s="224">
        <f t="shared" si="153"/>
        <v>0</v>
      </c>
      <c r="U602" s="224">
        <f t="shared" si="154"/>
        <v>0</v>
      </c>
    </row>
    <row r="603" spans="1:21" ht="18.75" hidden="1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469">
        <v>0</v>
      </c>
      <c r="M603" s="83">
        <v>0</v>
      </c>
      <c r="N603" s="83">
        <v>0</v>
      </c>
      <c r="O603" s="83">
        <f t="shared" si="151"/>
        <v>0</v>
      </c>
      <c r="P603" s="83">
        <f t="shared" si="152"/>
        <v>0</v>
      </c>
      <c r="Q603" s="83">
        <v>0</v>
      </c>
      <c r="R603" s="83">
        <v>0</v>
      </c>
      <c r="S603" s="83">
        <v>0</v>
      </c>
      <c r="T603" s="83">
        <f t="shared" si="153"/>
        <v>0</v>
      </c>
      <c r="U603" s="83">
        <f t="shared" si="154"/>
        <v>0</v>
      </c>
    </row>
    <row r="604" spans="1:21" ht="18.75" hidden="1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468">
        <v>0</v>
      </c>
      <c r="M604" s="224">
        <v>0</v>
      </c>
      <c r="N604" s="224">
        <v>0</v>
      </c>
      <c r="O604" s="224">
        <f t="shared" si="151"/>
        <v>0</v>
      </c>
      <c r="P604" s="224">
        <f t="shared" si="152"/>
        <v>0</v>
      </c>
      <c r="Q604" s="224">
        <v>0</v>
      </c>
      <c r="R604" s="224">
        <v>0</v>
      </c>
      <c r="S604" s="224">
        <v>0</v>
      </c>
      <c r="T604" s="224">
        <f t="shared" si="153"/>
        <v>0</v>
      </c>
      <c r="U604" s="224">
        <f t="shared" si="154"/>
        <v>0</v>
      </c>
    </row>
    <row r="605" spans="1:21" ht="19.5" hidden="1" x14ac:dyDescent="0.3">
      <c r="A605" s="128"/>
      <c r="B605" s="158"/>
      <c r="C605" s="158"/>
      <c r="D605" s="494" t="s">
        <v>23</v>
      </c>
      <c r="E605" s="158"/>
      <c r="F605" s="40"/>
      <c r="G605" s="42"/>
      <c r="H605" s="374" t="s">
        <v>14</v>
      </c>
      <c r="I605" s="135"/>
      <c r="J605" s="135"/>
      <c r="K605" s="136"/>
      <c r="L605" s="468">
        <f>L606+L607</f>
        <v>0</v>
      </c>
      <c r="M605" s="224">
        <f>M606+M607</f>
        <v>0</v>
      </c>
      <c r="N605" s="224">
        <f>N606+N607</f>
        <v>0</v>
      </c>
      <c r="O605" s="224">
        <f t="shared" si="151"/>
        <v>0</v>
      </c>
      <c r="P605" s="224">
        <f t="shared" si="152"/>
        <v>0</v>
      </c>
      <c r="Q605" s="224">
        <f>Q606+Q607</f>
        <v>0</v>
      </c>
      <c r="R605" s="224">
        <f>R606+R607</f>
        <v>0</v>
      </c>
      <c r="S605" s="224">
        <f>S606+S607</f>
        <v>0</v>
      </c>
      <c r="T605" s="224">
        <f t="shared" si="153"/>
        <v>0</v>
      </c>
      <c r="U605" s="224">
        <f t="shared" si="154"/>
        <v>0</v>
      </c>
    </row>
    <row r="606" spans="1:21" ht="18.75" hidden="1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469">
        <v>0</v>
      </c>
      <c r="M606" s="83">
        <v>0</v>
      </c>
      <c r="N606" s="83">
        <v>0</v>
      </c>
      <c r="O606" s="83">
        <f t="shared" si="151"/>
        <v>0</v>
      </c>
      <c r="P606" s="83">
        <f t="shared" si="152"/>
        <v>0</v>
      </c>
      <c r="Q606" s="83">
        <v>0</v>
      </c>
      <c r="R606" s="83">
        <v>0</v>
      </c>
      <c r="S606" s="83">
        <v>0</v>
      </c>
      <c r="T606" s="83">
        <f t="shared" si="153"/>
        <v>0</v>
      </c>
      <c r="U606" s="83">
        <f t="shared" si="154"/>
        <v>0</v>
      </c>
    </row>
    <row r="607" spans="1:21" ht="18.75" hidden="1" x14ac:dyDescent="0.25">
      <c r="A607" s="128"/>
      <c r="B607" s="158"/>
      <c r="C607" s="158"/>
      <c r="D607" s="40"/>
      <c r="E607" s="314" t="s">
        <v>21</v>
      </c>
      <c r="F607" s="40"/>
      <c r="G607" s="42"/>
      <c r="H607" s="375" t="s">
        <v>14</v>
      </c>
      <c r="I607" s="135"/>
      <c r="J607" s="135"/>
      <c r="K607" s="136"/>
      <c r="L607" s="468">
        <v>0</v>
      </c>
      <c r="M607" s="224">
        <v>0</v>
      </c>
      <c r="N607" s="224">
        <v>0</v>
      </c>
      <c r="O607" s="224">
        <f t="shared" si="151"/>
        <v>0</v>
      </c>
      <c r="P607" s="224">
        <f t="shared" si="152"/>
        <v>0</v>
      </c>
      <c r="Q607" s="224">
        <v>0</v>
      </c>
      <c r="R607" s="224">
        <v>0</v>
      </c>
      <c r="S607" s="224">
        <v>0</v>
      </c>
      <c r="T607" s="224">
        <f t="shared" si="153"/>
        <v>0</v>
      </c>
      <c r="U607" s="224">
        <f t="shared" si="154"/>
        <v>0</v>
      </c>
    </row>
    <row r="608" spans="1:21" ht="19.5" hidden="1" x14ac:dyDescent="0.3">
      <c r="A608" s="138"/>
      <c r="B608" s="139"/>
      <c r="C608" s="177" t="s">
        <v>18</v>
      </c>
      <c r="D608" s="509" t="s">
        <v>38</v>
      </c>
      <c r="E608" s="141"/>
      <c r="F608" s="141"/>
      <c r="G608" s="142"/>
      <c r="H608" s="178"/>
      <c r="I608" s="135"/>
      <c r="J608" s="135"/>
      <c r="K608" s="136"/>
      <c r="L608" s="465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377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465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377" t="s">
        <v>217</v>
      </c>
      <c r="E610" s="145"/>
      <c r="F610" s="145"/>
      <c r="G610" s="143"/>
      <c r="H610" s="372" t="s">
        <v>35</v>
      </c>
      <c r="I610" s="44"/>
      <c r="J610" s="44"/>
      <c r="K610" s="136"/>
      <c r="L610" s="465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377" t="s">
        <v>218</v>
      </c>
      <c r="F611" s="145"/>
      <c r="G611" s="143"/>
      <c r="H611" s="375" t="s">
        <v>35</v>
      </c>
      <c r="I611" s="44"/>
      <c r="J611" s="44"/>
      <c r="K611" s="136"/>
      <c r="L611" s="465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378"/>
      <c r="B612" s="379"/>
      <c r="C612" s="379"/>
      <c r="D612" s="379"/>
      <c r="E612" s="380" t="s">
        <v>219</v>
      </c>
      <c r="F612" s="381"/>
      <c r="G612" s="382"/>
      <c r="H612" s="383" t="s">
        <v>35</v>
      </c>
      <c r="I612" s="384"/>
      <c r="J612" s="384"/>
      <c r="K612" s="385"/>
      <c r="L612" s="508"/>
      <c r="M612" s="386"/>
      <c r="N612" s="386"/>
      <c r="O612" s="386"/>
      <c r="P612" s="386"/>
      <c r="Q612" s="386"/>
      <c r="R612" s="386"/>
      <c r="S612" s="386"/>
      <c r="T612" s="386"/>
      <c r="U612" s="386"/>
    </row>
    <row r="613" spans="1:21" ht="19.5" hidden="1" x14ac:dyDescent="0.3">
      <c r="A613" s="387" t="s">
        <v>220</v>
      </c>
      <c r="B613" s="388"/>
      <c r="C613" s="388"/>
      <c r="D613" s="389"/>
      <c r="E613" s="389"/>
      <c r="F613" s="389"/>
      <c r="G613" s="390"/>
      <c r="H613" s="391"/>
      <c r="I613" s="392"/>
      <c r="J613" s="392"/>
      <c r="K613" s="393"/>
      <c r="L613" s="507"/>
      <c r="M613" s="393"/>
      <c r="N613" s="393"/>
      <c r="O613" s="393"/>
      <c r="P613" s="393"/>
      <c r="Q613" s="393"/>
      <c r="R613" s="393"/>
      <c r="S613" s="393"/>
      <c r="T613" s="393"/>
      <c r="U613" s="393"/>
    </row>
    <row r="614" spans="1:21" ht="19.5" x14ac:dyDescent="0.3">
      <c r="A614" s="394"/>
      <c r="B614" s="395" t="s">
        <v>221</v>
      </c>
      <c r="C614" s="394"/>
      <c r="D614" s="396"/>
      <c r="E614" s="396"/>
      <c r="F614" s="396"/>
      <c r="G614" s="397"/>
      <c r="H614" s="398"/>
      <c r="I614" s="399"/>
      <c r="J614" s="399"/>
      <c r="K614" s="400"/>
      <c r="L614" s="473"/>
      <c r="M614" s="400"/>
      <c r="N614" s="400"/>
      <c r="O614" s="400"/>
      <c r="P614" s="400"/>
      <c r="Q614" s="400"/>
      <c r="R614" s="400"/>
      <c r="S614" s="400"/>
      <c r="T614" s="400"/>
      <c r="U614" s="400"/>
    </row>
    <row r="615" spans="1:21" ht="19.5" x14ac:dyDescent="0.3">
      <c r="A615" s="401"/>
      <c r="B615" s="402" t="s">
        <v>222</v>
      </c>
      <c r="C615" s="401"/>
      <c r="D615" s="403"/>
      <c r="E615" s="403"/>
      <c r="F615" s="403"/>
      <c r="G615" s="404"/>
      <c r="H615" s="405" t="s">
        <v>46</v>
      </c>
      <c r="I615" s="506">
        <f ca="1">I626</f>
        <v>0</v>
      </c>
      <c r="J615" s="506">
        <f>J626</f>
        <v>0</v>
      </c>
      <c r="K615" s="505">
        <f ca="1">IF(I615&gt;0,J615*100/I615,0)</f>
        <v>0</v>
      </c>
      <c r="L615" s="504"/>
      <c r="M615" s="408"/>
      <c r="N615" s="408"/>
      <c r="O615" s="408"/>
      <c r="P615" s="408"/>
      <c r="Q615" s="408"/>
      <c r="R615" s="408"/>
      <c r="S615" s="408"/>
      <c r="T615" s="408"/>
      <c r="U615" s="408"/>
    </row>
    <row r="616" spans="1:21" ht="19.5" x14ac:dyDescent="0.3">
      <c r="A616" s="128"/>
      <c r="B616" s="158"/>
      <c r="C616" s="177" t="s">
        <v>18</v>
      </c>
      <c r="D616" s="821" t="s">
        <v>19</v>
      </c>
      <c r="E616" s="793"/>
      <c r="F616" s="793"/>
      <c r="G616" s="794"/>
      <c r="H616" s="221" t="s">
        <v>14</v>
      </c>
      <c r="I616" s="44"/>
      <c r="J616" s="44"/>
      <c r="K616" s="45"/>
      <c r="L616" s="471">
        <f>L617+L618</f>
        <v>0</v>
      </c>
      <c r="M616" s="470">
        <f>M617+M618</f>
        <v>0</v>
      </c>
      <c r="N616" s="470">
        <f>N617+N618</f>
        <v>0</v>
      </c>
      <c r="O616" s="470">
        <f t="shared" ref="O616:O624" si="157">IF(L616&gt;0,N616*100/L616,0)</f>
        <v>0</v>
      </c>
      <c r="P616" s="470">
        <f t="shared" ref="P616:P624" si="158">IF(M616&gt;0,N616*100/M616,0)</f>
        <v>0</v>
      </c>
      <c r="Q616" s="470">
        <f ca="1">Q617+Q618</f>
        <v>1975</v>
      </c>
      <c r="R616" s="470">
        <f ca="1">R617+R618</f>
        <v>1975</v>
      </c>
      <c r="S616" s="470">
        <f ca="1">S617+S618</f>
        <v>0</v>
      </c>
      <c r="T616" s="470">
        <f t="shared" ref="T616:T624" ca="1" si="159">IF(Q616&gt;0,S616*100/Q616,0)</f>
        <v>0</v>
      </c>
      <c r="U616" s="470">
        <f t="shared" ref="U616:U624" ca="1" si="160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469">
        <f t="shared" ref="L617:N618" si="161">L620+L623</f>
        <v>0</v>
      </c>
      <c r="M617" s="83">
        <f t="shared" si="161"/>
        <v>0</v>
      </c>
      <c r="N617" s="83">
        <f t="shared" si="161"/>
        <v>0</v>
      </c>
      <c r="O617" s="83">
        <f t="shared" si="157"/>
        <v>0</v>
      </c>
      <c r="P617" s="83">
        <f t="shared" si="158"/>
        <v>0</v>
      </c>
      <c r="Q617" s="83">
        <f t="shared" ref="Q617:S618" si="162">Q620+Q623</f>
        <v>0</v>
      </c>
      <c r="R617" s="83">
        <f t="shared" si="162"/>
        <v>0</v>
      </c>
      <c r="S617" s="83">
        <f t="shared" si="162"/>
        <v>0</v>
      </c>
      <c r="T617" s="83">
        <f t="shared" si="159"/>
        <v>0</v>
      </c>
      <c r="U617" s="83">
        <f t="shared" si="160"/>
        <v>0</v>
      </c>
    </row>
    <row r="618" spans="1:21" ht="18.75" hidden="1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468">
        <f t="shared" si="161"/>
        <v>0</v>
      </c>
      <c r="M618" s="224">
        <f t="shared" si="161"/>
        <v>0</v>
      </c>
      <c r="N618" s="224">
        <f t="shared" si="161"/>
        <v>0</v>
      </c>
      <c r="O618" s="224">
        <f t="shared" si="157"/>
        <v>0</v>
      </c>
      <c r="P618" s="224">
        <f t="shared" si="158"/>
        <v>0</v>
      </c>
      <c r="Q618" s="224">
        <f t="shared" ca="1" si="162"/>
        <v>1975</v>
      </c>
      <c r="R618" s="224">
        <f t="shared" ca="1" si="162"/>
        <v>1975</v>
      </c>
      <c r="S618" s="224">
        <f t="shared" ca="1" si="162"/>
        <v>0</v>
      </c>
      <c r="T618" s="224">
        <f t="shared" ca="1" si="159"/>
        <v>0</v>
      </c>
      <c r="U618" s="224">
        <f t="shared" ca="1" si="160"/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468">
        <f>L620+L621</f>
        <v>0</v>
      </c>
      <c r="M619" s="224">
        <f>M620+M621</f>
        <v>0</v>
      </c>
      <c r="N619" s="224">
        <f>N620+N621</f>
        <v>0</v>
      </c>
      <c r="O619" s="224">
        <f t="shared" si="157"/>
        <v>0</v>
      </c>
      <c r="P619" s="224">
        <f t="shared" si="158"/>
        <v>0</v>
      </c>
      <c r="Q619" s="224">
        <f ca="1">Q620+Q621</f>
        <v>1975</v>
      </c>
      <c r="R619" s="224">
        <f ca="1">R620+R621</f>
        <v>1975</v>
      </c>
      <c r="S619" s="224">
        <f ca="1">S620+S621</f>
        <v>0</v>
      </c>
      <c r="T619" s="224">
        <f t="shared" ca="1" si="159"/>
        <v>0</v>
      </c>
      <c r="U619" s="224">
        <f t="shared" ca="1" si="160"/>
        <v>0</v>
      </c>
    </row>
    <row r="620" spans="1:21" ht="18.75" hidden="1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469">
        <v>0</v>
      </c>
      <c r="M620" s="83">
        <v>0</v>
      </c>
      <c r="N620" s="83">
        <v>0</v>
      </c>
      <c r="O620" s="83">
        <f t="shared" si="157"/>
        <v>0</v>
      </c>
      <c r="P620" s="83">
        <f t="shared" si="158"/>
        <v>0</v>
      </c>
      <c r="Q620" s="83">
        <v>0</v>
      </c>
      <c r="R620" s="83">
        <v>0</v>
      </c>
      <c r="S620" s="83">
        <v>0</v>
      </c>
      <c r="T620" s="83">
        <f t="shared" si="159"/>
        <v>0</v>
      </c>
      <c r="U620" s="83">
        <f t="shared" si="160"/>
        <v>0</v>
      </c>
    </row>
    <row r="621" spans="1:21" ht="18.75" hidden="1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468">
        <v>0</v>
      </c>
      <c r="M621" s="224">
        <v>0</v>
      </c>
      <c r="N621" s="224">
        <v>0</v>
      </c>
      <c r="O621" s="224">
        <f t="shared" si="157"/>
        <v>0</v>
      </c>
      <c r="P621" s="224">
        <f t="shared" si="158"/>
        <v>0</v>
      </c>
      <c r="Q621" s="224">
        <f ca="1">IFERROR(__xludf.DUMMYFUNCTION("IMPORTRANGE(""https://docs.google.com/spreadsheets/d/1ItG2mGa2ceCfYo0BwxsXqNm01IGEUdYcSSLTEv9YCik/edit?usp=sharing"",""เบิกจ่ายกองทุน!F19"")"),1975)</f>
        <v>1975</v>
      </c>
      <c r="R621" s="224">
        <f ca="1">IFERROR(__xludf.DUMMYFUNCTION("IMPORTRANGE(""https://docs.google.com/spreadsheets/d/1ItG2mGa2ceCfYo0BwxsXqNm01IGEUdYcSSLTEv9YCik/edit?usp=sharing"",""เบิกจ่ายกองทุน!G19"")"),1975)</f>
        <v>1975</v>
      </c>
      <c r="S621" s="224">
        <f ca="1">IFERROR(__xludf.DUMMYFUNCTION("IMPORTRANGE(""https://docs.google.com/spreadsheets/d/1ItG2mGa2ceCfYo0BwxsXqNm01IGEUdYcSSLTEv9YCik/edit?usp=sharing"",""เบิกจ่ายกองทุน!H19"")"),0)</f>
        <v>0</v>
      </c>
      <c r="T621" s="224">
        <f t="shared" ca="1" si="159"/>
        <v>0</v>
      </c>
      <c r="U621" s="224">
        <f t="shared" ca="1" si="160"/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468">
        <f>L623+L624</f>
        <v>0</v>
      </c>
      <c r="M622" s="224">
        <f>M623+M624</f>
        <v>0</v>
      </c>
      <c r="N622" s="224">
        <f>N623+N624</f>
        <v>0</v>
      </c>
      <c r="O622" s="224">
        <f t="shared" si="157"/>
        <v>0</v>
      </c>
      <c r="P622" s="224">
        <f t="shared" si="158"/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 t="shared" si="159"/>
        <v>0</v>
      </c>
      <c r="U622" s="224">
        <f t="shared" si="160"/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469">
        <v>0</v>
      </c>
      <c r="M623" s="83">
        <v>0</v>
      </c>
      <c r="N623" s="83">
        <v>0</v>
      </c>
      <c r="O623" s="83">
        <f t="shared" si="157"/>
        <v>0</v>
      </c>
      <c r="P623" s="83">
        <f t="shared" si="158"/>
        <v>0</v>
      </c>
      <c r="Q623" s="83">
        <v>0</v>
      </c>
      <c r="R623" s="83">
        <v>0</v>
      </c>
      <c r="S623" s="83">
        <v>0</v>
      </c>
      <c r="T623" s="83">
        <f t="shared" si="159"/>
        <v>0</v>
      </c>
      <c r="U623" s="83">
        <f t="shared" si="160"/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468">
        <v>0</v>
      </c>
      <c r="M624" s="224">
        <v>0</v>
      </c>
      <c r="N624" s="224">
        <v>0</v>
      </c>
      <c r="O624" s="224">
        <f t="shared" si="157"/>
        <v>0</v>
      </c>
      <c r="P624" s="224">
        <f t="shared" si="158"/>
        <v>0</v>
      </c>
      <c r="Q624" s="224">
        <v>0</v>
      </c>
      <c r="R624" s="224">
        <v>0</v>
      </c>
      <c r="S624" s="224">
        <v>0</v>
      </c>
      <c r="T624" s="224">
        <f t="shared" si="159"/>
        <v>0</v>
      </c>
      <c r="U624" s="224">
        <f t="shared" si="160"/>
        <v>0</v>
      </c>
    </row>
    <row r="625" spans="1:21" ht="19.5" x14ac:dyDescent="0.3">
      <c r="A625" s="138"/>
      <c r="B625" s="139"/>
      <c r="C625" s="177" t="s">
        <v>18</v>
      </c>
      <c r="D625" s="467" t="s">
        <v>38</v>
      </c>
      <c r="E625" s="141"/>
      <c r="F625" s="141"/>
      <c r="G625" s="142"/>
      <c r="H625" s="178"/>
      <c r="I625" s="135"/>
      <c r="J625" s="135"/>
      <c r="K625" s="136"/>
      <c r="L625" s="4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10" t="s">
        <v>223</v>
      </c>
      <c r="E626" s="145"/>
      <c r="F626" s="145"/>
      <c r="G626" s="143"/>
      <c r="H626" s="411" t="s">
        <v>46</v>
      </c>
      <c r="I626" s="328">
        <f ca="1">IFERROR(__xludf.DUMMYFUNCTION("IMPORTRANGE(""https://docs.google.com/spreadsheets/d/1eHaY18a8A9IcSdp1K8H6x8fbOy06t2VsZHhMHf-1x7Y/edit?usp=sharing"",""แผน!ID19"")"),0)</f>
        <v>0</v>
      </c>
      <c r="J626" s="328">
        <f>J632</f>
        <v>0</v>
      </c>
      <c r="K626" s="470">
        <f ca="1">IF(I626&gt;0,J626*100/I626,0)</f>
        <v>0</v>
      </c>
      <c r="L626" s="4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IFERROR(__xludf.DUMMYFUNCTION("IMPORTRANGE(""https://docs.google.com/spreadsheets/d/1eHaY18a8A9IcSdp1K8H6x8fbOy06t2VsZHhMHf-1x7Y/edit?usp=sharing"",""แผน!IC19"")"),1)</f>
        <v>1</v>
      </c>
      <c r="J627" s="466">
        <v>0</v>
      </c>
      <c r="K627" s="224">
        <f ca="1">IF(I627&gt;0,(J627*100)/I627,0)</f>
        <v>0</v>
      </c>
      <c r="L627" s="4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IFERROR(__xludf.DUMMYFUNCTION("IMPORTRANGE(""https://docs.google.com/spreadsheets/d/1eHaY18a8A9IcSdp1K8H6x8fbOy06t2VsZHhMHf-1x7Y/edit?usp=sharing"",""แผน!IC19"")"),1)</f>
        <v>1</v>
      </c>
      <c r="J628" s="466">
        <v>0</v>
      </c>
      <c r="K628" s="224">
        <f ca="1">IF(I628&gt;0,(J628*100)/I628,0)</f>
        <v>0</v>
      </c>
      <c r="L628" s="4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466">
        <v>0</v>
      </c>
      <c r="K629" s="224">
        <f ca="1">IF(I$626&gt;0,J629*100/I$626,0)</f>
        <v>0</v>
      </c>
      <c r="L629" s="4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466">
        <v>0</v>
      </c>
      <c r="K630" s="224">
        <f ca="1">IF(I$626&gt;0,J630*100/I$626,0)</f>
        <v>0</v>
      </c>
      <c r="L630" s="4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466">
        <v>0</v>
      </c>
      <c r="K631" s="224">
        <f ca="1">IF(I$626&gt;0,J631*100/I$626,0)</f>
        <v>0</v>
      </c>
      <c r="L631" s="4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470">
        <f ca="1">IF(I626&gt;0,J632*100/I626,0)</f>
        <v>0</v>
      </c>
      <c r="L632" s="4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466">
        <v>0</v>
      </c>
      <c r="K633" s="45"/>
      <c r="L633" s="4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466">
        <v>0</v>
      </c>
      <c r="K634" s="45"/>
      <c r="L634" s="4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10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IFERROR(__xludf.DUMMYFUNCTION("IMPORTRANGE(""https://docs.google.com/spreadsheets/d/1eHaY18a8A9IcSdp1K8H6x8fbOy06t2VsZHhMHf-1x7Y/edit?usp=sharing"",""แผน!IE19"")"),0)</f>
        <v>0</v>
      </c>
      <c r="J635" s="328">
        <f>J636</f>
        <v>0</v>
      </c>
      <c r="K635" s="470">
        <f ca="1">IF(I635&gt;0,J635*100/I635,0)</f>
        <v>0</v>
      </c>
      <c r="L635" s="4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4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466">
        <v>0</v>
      </c>
      <c r="K637" s="45"/>
      <c r="L637" s="4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466">
        <v>0</v>
      </c>
      <c r="K638" s="45"/>
      <c r="L638" s="4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466">
        <v>0</v>
      </c>
      <c r="K639" s="45"/>
      <c r="L639" s="4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466">
        <v>0</v>
      </c>
      <c r="K640" s="45"/>
      <c r="L640" s="4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01"/>
      <c r="B641" s="402" t="s">
        <v>236</v>
      </c>
      <c r="C641" s="401"/>
      <c r="D641" s="403"/>
      <c r="E641" s="403"/>
      <c r="F641" s="403"/>
      <c r="G641" s="404"/>
      <c r="H641" s="412"/>
      <c r="I641" s="413"/>
      <c r="J641" s="413"/>
      <c r="K641" s="408"/>
      <c r="L641" s="504"/>
      <c r="M641" s="408"/>
      <c r="N641" s="408"/>
      <c r="O641" s="408"/>
      <c r="P641" s="408"/>
      <c r="Q641" s="408"/>
      <c r="R641" s="408"/>
      <c r="S641" s="408"/>
      <c r="T641" s="408"/>
      <c r="U641" s="408"/>
    </row>
    <row r="642" spans="1:21" ht="19.5" hidden="1" x14ac:dyDescent="0.3">
      <c r="A642" s="128"/>
      <c r="B642" s="158"/>
      <c r="C642" s="209" t="s">
        <v>18</v>
      </c>
      <c r="D642" s="821" t="s">
        <v>19</v>
      </c>
      <c r="E642" s="793"/>
      <c r="F642" s="793"/>
      <c r="G642" s="794"/>
      <c r="H642" s="221" t="s">
        <v>14</v>
      </c>
      <c r="I642" s="44"/>
      <c r="J642" s="44"/>
      <c r="K642" s="45"/>
      <c r="L642" s="471">
        <f>L643+L644</f>
        <v>0</v>
      </c>
      <c r="M642" s="470">
        <f>M643+M644</f>
        <v>0</v>
      </c>
      <c r="N642" s="470">
        <f>N643+N644</f>
        <v>0</v>
      </c>
      <c r="O642" s="470">
        <f t="shared" ref="O642:O650" si="163">IF(L642&gt;0,N642*100/L642,0)</f>
        <v>0</v>
      </c>
      <c r="P642" s="470">
        <f t="shared" ref="P642:P650" si="164">IF(M642&gt;0,N642*100/M642,0)</f>
        <v>0</v>
      </c>
      <c r="Q642" s="470">
        <f ca="1">Q643+Q644</f>
        <v>0</v>
      </c>
      <c r="R642" s="470">
        <f ca="1">R643+R644</f>
        <v>0</v>
      </c>
      <c r="S642" s="470">
        <f ca="1">S643+S644</f>
        <v>0</v>
      </c>
      <c r="T642" s="470">
        <f t="shared" ref="T642:T650" ca="1" si="165">IF(Q642&gt;0,S642*100/Q642,0)</f>
        <v>0</v>
      </c>
      <c r="U642" s="470">
        <f t="shared" ref="U642:U650" ca="1" si="166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469">
        <f t="shared" ref="L643:N644" si="167">L646+L649</f>
        <v>0</v>
      </c>
      <c r="M643" s="83">
        <f t="shared" si="167"/>
        <v>0</v>
      </c>
      <c r="N643" s="83">
        <f t="shared" si="167"/>
        <v>0</v>
      </c>
      <c r="O643" s="83">
        <f t="shared" si="163"/>
        <v>0</v>
      </c>
      <c r="P643" s="83">
        <f t="shared" si="164"/>
        <v>0</v>
      </c>
      <c r="Q643" s="83">
        <f t="shared" ref="Q643:S644" si="168">Q646+Q649</f>
        <v>0</v>
      </c>
      <c r="R643" s="83">
        <f t="shared" si="168"/>
        <v>0</v>
      </c>
      <c r="S643" s="83">
        <f t="shared" si="168"/>
        <v>0</v>
      </c>
      <c r="T643" s="83">
        <f t="shared" si="165"/>
        <v>0</v>
      </c>
      <c r="U643" s="83">
        <f t="shared" si="166"/>
        <v>0</v>
      </c>
    </row>
    <row r="644" spans="1:21" ht="18.75" hidden="1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468">
        <f t="shared" si="167"/>
        <v>0</v>
      </c>
      <c r="M644" s="224">
        <f t="shared" si="167"/>
        <v>0</v>
      </c>
      <c r="N644" s="224">
        <f t="shared" si="167"/>
        <v>0</v>
      </c>
      <c r="O644" s="224">
        <f t="shared" si="163"/>
        <v>0</v>
      </c>
      <c r="P644" s="224">
        <f t="shared" si="164"/>
        <v>0</v>
      </c>
      <c r="Q644" s="224">
        <f t="shared" ca="1" si="168"/>
        <v>0</v>
      </c>
      <c r="R644" s="224">
        <f t="shared" ca="1" si="168"/>
        <v>0</v>
      </c>
      <c r="S644" s="224">
        <f t="shared" ca="1" si="168"/>
        <v>0</v>
      </c>
      <c r="T644" s="224">
        <f t="shared" ca="1" si="165"/>
        <v>0</v>
      </c>
      <c r="U644" s="224">
        <f t="shared" ca="1" si="166"/>
        <v>0</v>
      </c>
    </row>
    <row r="645" spans="1:21" ht="18.75" hidden="1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468">
        <f>L646+L647</f>
        <v>0</v>
      </c>
      <c r="M645" s="224">
        <f>M646+M647</f>
        <v>0</v>
      </c>
      <c r="N645" s="224">
        <f>N646+N647</f>
        <v>0</v>
      </c>
      <c r="O645" s="224">
        <f t="shared" si="163"/>
        <v>0</v>
      </c>
      <c r="P645" s="224">
        <f t="shared" si="164"/>
        <v>0</v>
      </c>
      <c r="Q645" s="224">
        <f ca="1">Q646+Q647</f>
        <v>0</v>
      </c>
      <c r="R645" s="224">
        <f ca="1">R646+R647</f>
        <v>0</v>
      </c>
      <c r="S645" s="224">
        <f ca="1">S646+S647</f>
        <v>0</v>
      </c>
      <c r="T645" s="224">
        <f t="shared" ca="1" si="165"/>
        <v>0</v>
      </c>
      <c r="U645" s="224">
        <f t="shared" ca="1" si="166"/>
        <v>0</v>
      </c>
    </row>
    <row r="646" spans="1:21" ht="18.75" hidden="1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469">
        <v>0</v>
      </c>
      <c r="M646" s="83">
        <v>0</v>
      </c>
      <c r="N646" s="83">
        <v>0</v>
      </c>
      <c r="O646" s="83">
        <f t="shared" si="163"/>
        <v>0</v>
      </c>
      <c r="P646" s="83">
        <f t="shared" si="164"/>
        <v>0</v>
      </c>
      <c r="Q646" s="83">
        <v>0</v>
      </c>
      <c r="R646" s="83">
        <v>0</v>
      </c>
      <c r="S646" s="83">
        <v>0</v>
      </c>
      <c r="T646" s="83">
        <f t="shared" si="165"/>
        <v>0</v>
      </c>
      <c r="U646" s="83">
        <f t="shared" si="166"/>
        <v>0</v>
      </c>
    </row>
    <row r="647" spans="1:21" ht="18.75" hidden="1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468">
        <v>0</v>
      </c>
      <c r="M647" s="224">
        <v>0</v>
      </c>
      <c r="N647" s="224">
        <v>0</v>
      </c>
      <c r="O647" s="224">
        <f t="shared" si="163"/>
        <v>0</v>
      </c>
      <c r="P647" s="224">
        <f t="shared" si="164"/>
        <v>0</v>
      </c>
      <c r="Q647" s="224">
        <f ca="1">IFERROR(__xludf.DUMMYFUNCTION("IMPORTRANGE(""https://docs.google.com/spreadsheets/d/1ItG2mGa2ceCfYo0BwxsXqNm01IGEUdYcSSLTEv9YCik/edit?usp=sharing"",""เบิกจ่ายกองทุน!I19"")"),0)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IFERROR(__xludf.DUMMYFUNCTION("IMPORTRANGE(""https://docs.google.com/spreadsheets/d/1ItG2mGa2ceCfYo0BwxsXqNm01IGEUdYcSSLTEv9YCik/edit?usp=sharing"",""เบิกจ่ายกองทุน!J19"")"),0)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IFERROR(__xludf.DUMMYFUNCTION("IMPORTRANGE(""https://docs.google.com/spreadsheets/d/1ItG2mGa2ceCfYo0BwxsXqNm01IGEUdYcSSLTEv9YCik/edit?usp=sharing"",""เบิกจ่ายกองทุน!K19"")"),0)</f>
        <v>0</v>
      </c>
      <c r="T647" s="224">
        <f t="shared" ca="1" si="165"/>
        <v>0</v>
      </c>
      <c r="U647" s="224">
        <f t="shared" ca="1" si="166"/>
        <v>0</v>
      </c>
    </row>
    <row r="648" spans="1:21" ht="18.75" hidden="1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468">
        <f>L649+L650</f>
        <v>0</v>
      </c>
      <c r="M648" s="224">
        <f>M649+M650</f>
        <v>0</v>
      </c>
      <c r="N648" s="224">
        <f>N649+N650</f>
        <v>0</v>
      </c>
      <c r="O648" s="224">
        <f t="shared" si="163"/>
        <v>0</v>
      </c>
      <c r="P648" s="224">
        <f t="shared" si="164"/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 t="shared" si="165"/>
        <v>0</v>
      </c>
      <c r="U648" s="224">
        <f t="shared" si="166"/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469">
        <v>0</v>
      </c>
      <c r="M649" s="83">
        <v>0</v>
      </c>
      <c r="N649" s="83">
        <v>0</v>
      </c>
      <c r="O649" s="83">
        <f t="shared" si="163"/>
        <v>0</v>
      </c>
      <c r="P649" s="83">
        <f t="shared" si="164"/>
        <v>0</v>
      </c>
      <c r="Q649" s="83">
        <v>0</v>
      </c>
      <c r="R649" s="83">
        <v>0</v>
      </c>
      <c r="S649" s="83">
        <v>0</v>
      </c>
      <c r="T649" s="83">
        <f t="shared" si="165"/>
        <v>0</v>
      </c>
      <c r="U649" s="83">
        <f t="shared" si="166"/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468">
        <v>0</v>
      </c>
      <c r="M650" s="224">
        <v>0</v>
      </c>
      <c r="N650" s="224">
        <v>0</v>
      </c>
      <c r="O650" s="224">
        <f t="shared" si="163"/>
        <v>0</v>
      </c>
      <c r="P650" s="224">
        <f t="shared" si="164"/>
        <v>0</v>
      </c>
      <c r="Q650" s="224">
        <v>0</v>
      </c>
      <c r="R650" s="224">
        <v>0</v>
      </c>
      <c r="S650" s="224">
        <v>0</v>
      </c>
      <c r="T650" s="224">
        <f t="shared" si="165"/>
        <v>0</v>
      </c>
      <c r="U650" s="224">
        <f t="shared" si="166"/>
        <v>0</v>
      </c>
    </row>
    <row r="651" spans="1:21" ht="19.5" hidden="1" x14ac:dyDescent="0.3">
      <c r="A651" s="138"/>
      <c r="B651" s="139"/>
      <c r="C651" s="209" t="s">
        <v>18</v>
      </c>
      <c r="D651" s="503" t="s">
        <v>38</v>
      </c>
      <c r="E651" s="141"/>
      <c r="F651" s="141"/>
      <c r="G651" s="142"/>
      <c r="H651" s="178"/>
      <c r="I651" s="135"/>
      <c r="J651" s="135"/>
      <c r="K651" s="136"/>
      <c r="L651" s="4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502">
        <f ca="1">IFERROR(__xludf.DUMMYFUNCTION("IMPORTRANGE(""https://docs.google.com/spreadsheets/d/1eHaY18a8A9IcSdp1K8H6x8fbOy06t2VsZHhMHf-1x7Y/edit?usp=sharing"",""แผน!IF19"")"),0)</f>
        <v>0</v>
      </c>
      <c r="J652" s="184">
        <f ca="1">IFERROR(__xludf.DUMMYFUNCTION("IMPORTRANGE(""https://docs.google.com/spreadsheets/d/1tdoBKaGub7dwA3U6UFTqxio9LNnvDCQjHKmttSEBsFQ/edit?usp=sharing"",""จัดที่ดิน!AU19"")"),0)</f>
        <v>0</v>
      </c>
      <c r="K652" s="224">
        <f ca="1">IF(I652&gt;0,J652*100/I652,0)</f>
        <v>0</v>
      </c>
      <c r="L652" s="465"/>
      <c r="M652" s="45"/>
      <c r="N652" s="416"/>
      <c r="O652" s="45"/>
      <c r="P652" s="45"/>
      <c r="Q652" s="45"/>
      <c r="R652" s="45"/>
      <c r="S652" s="416"/>
      <c r="T652" s="45"/>
      <c r="U652" s="45"/>
    </row>
    <row r="653" spans="1:21" ht="18.75" hidden="1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502">
        <f ca="1">IFERROR(__xludf.DUMMYFUNCTION("IMPORTRANGE(""https://docs.google.com/spreadsheets/d/1eHaY18a8A9IcSdp1K8H6x8fbOy06t2VsZHhMHf-1x7Y/edit?usp=sharing"",""แผน!IG19"")"),0)</f>
        <v>0</v>
      </c>
      <c r="J653" s="184">
        <f ca="1">IFERROR(__xludf.DUMMYFUNCTION("IMPORTRANGE(""https://docs.google.com/spreadsheets/d/1tdoBKaGub7dwA3U6UFTqxio9LNnvDCQjHKmttSEBsFQ/edit?usp=sharing"",""จัดที่ดิน!AW19"")"),0)</f>
        <v>0</v>
      </c>
      <c r="K653" s="224">
        <f ca="1">IF(I653&gt;0,J653*100/I653,0)</f>
        <v>0</v>
      </c>
      <c r="L653" s="465"/>
      <c r="M653" s="45"/>
      <c r="N653" s="416"/>
      <c r="O653" s="45"/>
      <c r="P653" s="45"/>
      <c r="Q653" s="45"/>
      <c r="R653" s="45"/>
      <c r="S653" s="416"/>
      <c r="T653" s="45"/>
      <c r="U653" s="45"/>
    </row>
    <row r="654" spans="1:21" ht="19.5" hidden="1" x14ac:dyDescent="0.3">
      <c r="A654" s="208"/>
      <c r="B654" s="158"/>
      <c r="C654" s="158"/>
      <c r="D654" s="47" t="s">
        <v>239</v>
      </c>
      <c r="E654" s="40"/>
      <c r="F654" s="40"/>
      <c r="G654" s="42"/>
      <c r="H654" s="411" t="s">
        <v>46</v>
      </c>
      <c r="I654" s="501">
        <f ca="1">IFERROR(__xludf.DUMMYFUNCTION("IMPORTRANGE(""https://docs.google.com/spreadsheets/d/1eHaY18a8A9IcSdp1K8H6x8fbOy06t2VsZHhMHf-1x7Y/edit?usp=sharing"",""แผน!IH19"")"),0)</f>
        <v>0</v>
      </c>
      <c r="J654" s="328">
        <f>J657+J660</f>
        <v>0</v>
      </c>
      <c r="K654" s="470">
        <f ca="1">IF(I654&gt;0,J654*100/I654,0)</f>
        <v>0</v>
      </c>
      <c r="L654" s="465"/>
      <c r="M654" s="45"/>
      <c r="N654" s="416"/>
      <c r="O654" s="45"/>
      <c r="P654" s="45"/>
      <c r="Q654" s="45"/>
      <c r="R654" s="45"/>
      <c r="S654" s="416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466">
        <v>0</v>
      </c>
      <c r="K655" s="45"/>
      <c r="L655" s="465"/>
      <c r="M655" s="45"/>
      <c r="N655" s="416"/>
      <c r="O655" s="45"/>
      <c r="P655" s="45"/>
      <c r="Q655" s="45"/>
      <c r="R655" s="45"/>
      <c r="S655" s="416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466">
        <v>0</v>
      </c>
      <c r="K656" s="45"/>
      <c r="L656" s="465"/>
      <c r="M656" s="45"/>
      <c r="N656" s="416"/>
      <c r="O656" s="45"/>
      <c r="P656" s="45"/>
      <c r="Q656" s="45"/>
      <c r="R656" s="45"/>
      <c r="S656" s="416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02">
        <f ca="1">IFERROR(__xludf.DUMMYFUNCTION("IMPORTRANGE(""https://docs.google.com/spreadsheets/d/1eHaY18a8A9IcSdp1K8H6x8fbOy06t2VsZHhMHf-1x7Y/edit?usp=sharing"",""แผน!II19"")"),0)</f>
        <v>0</v>
      </c>
      <c r="J657" s="466">
        <v>0</v>
      </c>
      <c r="K657" s="45"/>
      <c r="L657" s="465"/>
      <c r="M657" s="45"/>
      <c r="N657" s="416"/>
      <c r="O657" s="45"/>
      <c r="P657" s="45"/>
      <c r="Q657" s="45"/>
      <c r="R657" s="45"/>
      <c r="S657" s="416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466">
        <v>0</v>
      </c>
      <c r="K658" s="45"/>
      <c r="L658" s="465"/>
      <c r="M658" s="45"/>
      <c r="N658" s="416"/>
      <c r="O658" s="45"/>
      <c r="P658" s="45"/>
      <c r="Q658" s="45"/>
      <c r="R658" s="45"/>
      <c r="S658" s="416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466">
        <v>0</v>
      </c>
      <c r="K659" s="45"/>
      <c r="L659" s="465"/>
      <c r="M659" s="45"/>
      <c r="N659" s="416"/>
      <c r="O659" s="45"/>
      <c r="P659" s="45"/>
      <c r="Q659" s="45"/>
      <c r="R659" s="45"/>
      <c r="S659" s="416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02">
        <f ca="1">IFERROR(__xludf.DUMMYFUNCTION("IMPORTRANGE(""https://docs.google.com/spreadsheets/d/1eHaY18a8A9IcSdp1K8H6x8fbOy06t2VsZHhMHf-1x7Y/edit?usp=sharing"",""แผน!IJ19"")"),0)</f>
        <v>0</v>
      </c>
      <c r="J660" s="466">
        <v>0</v>
      </c>
      <c r="K660" s="45"/>
      <c r="L660" s="465"/>
      <c r="M660" s="45"/>
      <c r="N660" s="416"/>
      <c r="O660" s="45"/>
      <c r="P660" s="45"/>
      <c r="Q660" s="45"/>
      <c r="R660" s="45"/>
      <c r="S660" s="416"/>
      <c r="T660" s="45"/>
      <c r="U660" s="45"/>
    </row>
    <row r="661" spans="1:21" ht="19.5" hidden="1" x14ac:dyDescent="0.3">
      <c r="A661" s="208"/>
      <c r="B661" s="158"/>
      <c r="C661" s="158"/>
      <c r="D661" s="332" t="s">
        <v>242</v>
      </c>
      <c r="E661" s="40"/>
      <c r="F661" s="40"/>
      <c r="G661" s="42"/>
      <c r="H661" s="411" t="s">
        <v>46</v>
      </c>
      <c r="I661" s="501">
        <f ca="1">IFERROR(__xludf.DUMMYFUNCTION("IMPORTRANGE(""https://docs.google.com/spreadsheets/d/1eHaY18a8A9IcSdp1K8H6x8fbOy06t2VsZHhMHf-1x7Y/edit?usp=sharing"",""แผน!IK19"")"),0)</f>
        <v>0</v>
      </c>
      <c r="J661" s="328">
        <f>J667+J670</f>
        <v>0</v>
      </c>
      <c r="K661" s="470">
        <f ca="1">IF(I661&gt;0,J661*100/I661,0)</f>
        <v>0</v>
      </c>
      <c r="L661" s="465"/>
      <c r="M661" s="45"/>
      <c r="N661" s="416"/>
      <c r="O661" s="45"/>
      <c r="P661" s="45"/>
      <c r="Q661" s="45"/>
      <c r="R661" s="45"/>
      <c r="S661" s="416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466">
        <v>0</v>
      </c>
      <c r="K662" s="45"/>
      <c r="L662" s="500"/>
      <c r="M662" s="45"/>
      <c r="N662" s="416"/>
      <c r="O662" s="45"/>
      <c r="P662" s="45"/>
      <c r="Q662" s="416"/>
      <c r="R662" s="45"/>
      <c r="S662" s="416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466">
        <v>0</v>
      </c>
      <c r="K663" s="45"/>
      <c r="L663" s="500"/>
      <c r="M663" s="45"/>
      <c r="N663" s="416"/>
      <c r="O663" s="45"/>
      <c r="P663" s="45"/>
      <c r="Q663" s="416"/>
      <c r="R663" s="45"/>
      <c r="S663" s="416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500"/>
      <c r="M664" s="45"/>
      <c r="N664" s="416"/>
      <c r="O664" s="45"/>
      <c r="P664" s="45"/>
      <c r="Q664" s="416"/>
      <c r="R664" s="45"/>
      <c r="S664" s="416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466">
        <v>0</v>
      </c>
      <c r="K665" s="45"/>
      <c r="L665" s="500"/>
      <c r="M665" s="45"/>
      <c r="N665" s="416"/>
      <c r="O665" s="45"/>
      <c r="P665" s="45"/>
      <c r="Q665" s="416"/>
      <c r="R665" s="45"/>
      <c r="S665" s="416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466">
        <v>0</v>
      </c>
      <c r="K666" s="45"/>
      <c r="L666" s="500"/>
      <c r="M666" s="45"/>
      <c r="N666" s="416"/>
      <c r="O666" s="45"/>
      <c r="P666" s="45"/>
      <c r="Q666" s="416"/>
      <c r="R666" s="45"/>
      <c r="S666" s="416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466">
        <v>0</v>
      </c>
      <c r="K667" s="45"/>
      <c r="L667" s="500"/>
      <c r="M667" s="45"/>
      <c r="N667" s="416"/>
      <c r="O667" s="45"/>
      <c r="P667" s="45"/>
      <c r="Q667" s="416"/>
      <c r="R667" s="45"/>
      <c r="S667" s="416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466">
        <v>0</v>
      </c>
      <c r="K668" s="45"/>
      <c r="L668" s="500"/>
      <c r="M668" s="45"/>
      <c r="N668" s="416"/>
      <c r="O668" s="45"/>
      <c r="P668" s="45"/>
      <c r="Q668" s="416"/>
      <c r="R668" s="45"/>
      <c r="S668" s="416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466">
        <v>0</v>
      </c>
      <c r="K669" s="45"/>
      <c r="L669" s="500"/>
      <c r="M669" s="45"/>
      <c r="N669" s="416"/>
      <c r="O669" s="45"/>
      <c r="P669" s="45"/>
      <c r="Q669" s="416"/>
      <c r="R669" s="45"/>
      <c r="S669" s="416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466">
        <v>0</v>
      </c>
      <c r="K670" s="45"/>
      <c r="L670" s="500"/>
      <c r="M670" s="45"/>
      <c r="N670" s="416"/>
      <c r="O670" s="45"/>
      <c r="P670" s="45"/>
      <c r="Q670" s="416"/>
      <c r="R670" s="45"/>
      <c r="S670" s="416"/>
      <c r="T670" s="45"/>
      <c r="U670" s="45"/>
    </row>
    <row r="671" spans="1:21" ht="18.75" hidden="1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IFERROR(__xludf.DUMMYFUNCTION("IMPORTRANGE(""https://docs.google.com/spreadsheets/d/1tdoBKaGub7dwA3U6UFTqxio9LNnvDCQjHKmttSEBsFQ/edit?usp=sharing"",""จัดที่ดิน!AY19"")"),0)</f>
        <v>0</v>
      </c>
      <c r="K671" s="45"/>
      <c r="L671" s="465"/>
      <c r="M671" s="45"/>
      <c r="N671" s="416"/>
      <c r="O671" s="45"/>
      <c r="P671" s="45"/>
      <c r="Q671" s="45"/>
      <c r="R671" s="45"/>
      <c r="S671" s="416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IFERROR(__xludf.DUMMYFUNCTION("IMPORTRANGE(""https://docs.google.com/spreadsheets/d/1tdoBKaGub7dwA3U6UFTqxio9LNnvDCQjHKmttSEBsFQ/edit?usp=sharing"",""จัดที่ดิน!AZ19"")"),0)</f>
        <v>0</v>
      </c>
      <c r="K672" s="45"/>
      <c r="L672" s="500"/>
      <c r="M672" s="45"/>
      <c r="N672" s="416"/>
      <c r="O672" s="45"/>
      <c r="P672" s="45"/>
      <c r="Q672" s="416"/>
      <c r="R672" s="45"/>
      <c r="S672" s="416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02">
        <f ca="1">IFERROR(__xludf.DUMMYFUNCTION("IMPORTRANGE(""https://docs.google.com/spreadsheets/d/1eHaY18a8A9IcSdp1K8H6x8fbOy06t2VsZHhMHf-1x7Y/edit?usp=sharing"",""แผน!IL19"")"),0)</f>
        <v>0</v>
      </c>
      <c r="J673" s="184">
        <f ca="1">IFERROR(__xludf.DUMMYFUNCTION("IMPORTRANGE(""https://docs.google.com/spreadsheets/d/1tdoBKaGub7dwA3U6UFTqxio9LNnvDCQjHKmttSEBsFQ/edit?usp=sharing"",""จัดที่ดิน!BA19"")"),0)</f>
        <v>0</v>
      </c>
      <c r="K673" s="224">
        <f ca="1">IF(I673&gt;0,J673*100/I673,0)</f>
        <v>0</v>
      </c>
      <c r="L673" s="500"/>
      <c r="M673" s="45"/>
      <c r="N673" s="416"/>
      <c r="O673" s="45"/>
      <c r="P673" s="45"/>
      <c r="Q673" s="416"/>
      <c r="R673" s="45"/>
      <c r="S673" s="416"/>
      <c r="T673" s="45"/>
      <c r="U673" s="45"/>
    </row>
    <row r="674" spans="1:21" ht="19.5" hidden="1" x14ac:dyDescent="0.3">
      <c r="A674" s="208"/>
      <c r="B674" s="158"/>
      <c r="C674" s="158"/>
      <c r="D674" s="47" t="s">
        <v>248</v>
      </c>
      <c r="E674" s="40"/>
      <c r="F674" s="40"/>
      <c r="G674" s="42"/>
      <c r="H674" s="411" t="s">
        <v>35</v>
      </c>
      <c r="I674" s="501">
        <f ca="1">IFERROR(__xludf.DUMMYFUNCTION("IMPORTRANGE(""https://docs.google.com/spreadsheets/d/1eHaY18a8A9IcSdp1K8H6x8fbOy06t2VsZHhMHf-1x7Y/edit?usp=sharing"",""แผน!IM19"")"),0)</f>
        <v>0</v>
      </c>
      <c r="J674" s="328">
        <f ca="1">J676+J679</f>
        <v>0</v>
      </c>
      <c r="K674" s="470">
        <f ca="1">IF(I674&gt;0,J674*100/I674,0)</f>
        <v>0</v>
      </c>
      <c r="L674" s="500"/>
      <c r="M674" s="45"/>
      <c r="N674" s="416"/>
      <c r="O674" s="45"/>
      <c r="P674" s="45"/>
      <c r="Q674" s="416"/>
      <c r="R674" s="45"/>
      <c r="S674" s="416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11" t="s">
        <v>46</v>
      </c>
      <c r="I675" s="501">
        <f ca="1">IFERROR(__xludf.DUMMYFUNCTION("IMPORTRANGE(""https://docs.google.com/spreadsheets/d/1eHaY18a8A9IcSdp1K8H6x8fbOy06t2VsZHhMHf-1x7Y/edit?usp=sharing"",""แผน!IN19"")"),0)</f>
        <v>0</v>
      </c>
      <c r="J675" s="328">
        <f ca="1">J678+J681</f>
        <v>0</v>
      </c>
      <c r="K675" s="470">
        <f ca="1">IF(I675&gt;0,J675*100/I675,0)</f>
        <v>0</v>
      </c>
      <c r="L675" s="465"/>
      <c r="M675" s="45"/>
      <c r="N675" s="416"/>
      <c r="O675" s="45"/>
      <c r="P675" s="45"/>
      <c r="Q675" s="45"/>
      <c r="R675" s="45"/>
      <c r="S675" s="416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502">
        <f ca="1">IFERROR(__xludf.DUMMYFUNCTION("IMPORTRANGE(""https://docs.google.com/spreadsheets/d/1eHaY18a8A9IcSdp1K8H6x8fbOy06t2VsZHhMHf-1x7Y/edit?usp=sharing"",""แผน!IO19"")"),0)</f>
        <v>0</v>
      </c>
      <c r="J676" s="184">
        <f ca="1">IFERROR(__xludf.DUMMYFUNCTION("IMPORTRANGE(""https://docs.google.com/spreadsheets/d/1tdoBKaGub7dwA3U6UFTqxio9LNnvDCQjHKmttSEBsFQ/edit?usp=sharing"",""จัดที่ดิน!BF19"")"),0)</f>
        <v>0</v>
      </c>
      <c r="K676" s="224">
        <f ca="1">IF(I676&gt;0,J676*100/I676,0)</f>
        <v>0</v>
      </c>
      <c r="L676" s="465"/>
      <c r="M676" s="45"/>
      <c r="N676" s="416"/>
      <c r="O676" s="45"/>
      <c r="P676" s="45"/>
      <c r="Q676" s="45"/>
      <c r="R676" s="45"/>
      <c r="S676" s="416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IFERROR(__xludf.DUMMYFUNCTION("IMPORTRANGE(""https://docs.google.com/spreadsheets/d/1tdoBKaGub7dwA3U6UFTqxio9LNnvDCQjHKmttSEBsFQ/edit?usp=sharing"",""จัดที่ดิน!BG19"")"),0)</f>
        <v>0</v>
      </c>
      <c r="K677" s="45"/>
      <c r="L677" s="500"/>
      <c r="M677" s="45"/>
      <c r="N677" s="416"/>
      <c r="O677" s="45"/>
      <c r="P677" s="45"/>
      <c r="Q677" s="416"/>
      <c r="R677" s="45"/>
      <c r="S677" s="416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02">
        <f ca="1">IFERROR(__xludf.DUMMYFUNCTION("IMPORTRANGE(""https://docs.google.com/spreadsheets/d/1eHaY18a8A9IcSdp1K8H6x8fbOy06t2VsZHhMHf-1x7Y/edit?usp=sharing"",""แผน!IP19"")"),0)</f>
        <v>0</v>
      </c>
      <c r="J678" s="184">
        <f ca="1">IFERROR(__xludf.DUMMYFUNCTION("IMPORTRANGE(""https://docs.google.com/spreadsheets/d/1tdoBKaGub7dwA3U6UFTqxio9LNnvDCQjHKmttSEBsFQ/edit?usp=sharing"",""จัดที่ดิน!BH19"")"),0)</f>
        <v>0</v>
      </c>
      <c r="K678" s="224">
        <f ca="1">IF(I678&gt;0,J678*100/I678,0)</f>
        <v>0</v>
      </c>
      <c r="L678" s="500"/>
      <c r="M678" s="45"/>
      <c r="N678" s="416"/>
      <c r="O678" s="45"/>
      <c r="P678" s="45"/>
      <c r="Q678" s="416"/>
      <c r="R678" s="45"/>
      <c r="S678" s="416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502">
        <f ca="1">IFERROR(__xludf.DUMMYFUNCTION("IMPORTRANGE(""https://docs.google.com/spreadsheets/d/1eHaY18a8A9IcSdp1K8H6x8fbOy06t2VsZHhMHf-1x7Y/edit?usp=sharing"",""แผน!IQ19"")"),0)</f>
        <v>0</v>
      </c>
      <c r="J679" s="184">
        <f ca="1">IFERROR(__xludf.DUMMYFUNCTION("IMPORTRANGE(""https://docs.google.com/spreadsheets/d/1tdoBKaGub7dwA3U6UFTqxio9LNnvDCQjHKmttSEBsFQ/edit?usp=sharing"",""จัดที่ดิน!BK19"")"),0)</f>
        <v>0</v>
      </c>
      <c r="K679" s="224">
        <f ca="1">IF(I679&gt;0,J679*100/I679,0)</f>
        <v>0</v>
      </c>
      <c r="L679" s="465"/>
      <c r="M679" s="45"/>
      <c r="N679" s="416"/>
      <c r="O679" s="45"/>
      <c r="P679" s="45"/>
      <c r="Q679" s="45"/>
      <c r="R679" s="45"/>
      <c r="S679" s="416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IFERROR(__xludf.DUMMYFUNCTION("IMPORTRANGE(""https://docs.google.com/spreadsheets/d/1tdoBKaGub7dwA3U6UFTqxio9LNnvDCQjHKmttSEBsFQ/edit?usp=sharing"",""จัดที่ดิน!BL19"")"),0)</f>
        <v>0</v>
      </c>
      <c r="K680" s="45"/>
      <c r="L680" s="500"/>
      <c r="M680" s="45"/>
      <c r="N680" s="416"/>
      <c r="O680" s="45"/>
      <c r="P680" s="45"/>
      <c r="Q680" s="416"/>
      <c r="R680" s="45"/>
      <c r="S680" s="416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02">
        <f ca="1">IFERROR(__xludf.DUMMYFUNCTION("IMPORTRANGE(""https://docs.google.com/spreadsheets/d/1eHaY18a8A9IcSdp1K8H6x8fbOy06t2VsZHhMHf-1x7Y/edit?usp=sharing"",""แผน!IR19"")"),0)</f>
        <v>0</v>
      </c>
      <c r="J681" s="184">
        <f ca="1">IFERROR(__xludf.DUMMYFUNCTION("IMPORTRANGE(""https://docs.google.com/spreadsheets/d/1tdoBKaGub7dwA3U6UFTqxio9LNnvDCQjHKmttSEBsFQ/edit?usp=sharing"",""จัดที่ดิน!BM19"")"),0)</f>
        <v>0</v>
      </c>
      <c r="K681" s="224">
        <f ca="1">IF(I681&gt;0,J681*100/I681,0)</f>
        <v>0</v>
      </c>
      <c r="L681" s="500"/>
      <c r="M681" s="45"/>
      <c r="N681" s="416"/>
      <c r="O681" s="45"/>
      <c r="P681" s="45"/>
      <c r="Q681" s="416"/>
      <c r="R681" s="45"/>
      <c r="S681" s="416"/>
      <c r="T681" s="45"/>
      <c r="U681" s="45"/>
    </row>
    <row r="682" spans="1:21" ht="19.5" hidden="1" x14ac:dyDescent="0.3">
      <c r="A682" s="208"/>
      <c r="B682" s="158"/>
      <c r="C682" s="158"/>
      <c r="D682" s="47" t="s">
        <v>251</v>
      </c>
      <c r="E682" s="40"/>
      <c r="F682" s="40"/>
      <c r="G682" s="42"/>
      <c r="H682" s="411" t="s">
        <v>46</v>
      </c>
      <c r="I682" s="501">
        <f ca="1">IFERROR(__xludf.DUMMYFUNCTION("IMPORTRANGE(""https://docs.google.com/spreadsheets/d/1eHaY18a8A9IcSdp1K8H6x8fbOy06t2VsZHhMHf-1x7Y/edit?usp=sharing"",""แผน!IS19"")"),0)</f>
        <v>0</v>
      </c>
      <c r="J682" s="328">
        <f>J685+J688</f>
        <v>0</v>
      </c>
      <c r="K682" s="470">
        <f ca="1">IF(I682&gt;0,J682*100/I682,0)</f>
        <v>0</v>
      </c>
      <c r="L682" s="465"/>
      <c r="M682" s="45"/>
      <c r="N682" s="416"/>
      <c r="O682" s="45"/>
      <c r="P682" s="45"/>
      <c r="Q682" s="45"/>
      <c r="R682" s="45"/>
      <c r="S682" s="416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466">
        <v>0</v>
      </c>
      <c r="K683" s="45"/>
      <c r="L683" s="500"/>
      <c r="M683" s="45"/>
      <c r="N683" s="416"/>
      <c r="O683" s="45"/>
      <c r="P683" s="45"/>
      <c r="Q683" s="416"/>
      <c r="R683" s="45"/>
      <c r="S683" s="416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466">
        <v>0</v>
      </c>
      <c r="K684" s="45"/>
      <c r="L684" s="500"/>
      <c r="M684" s="45"/>
      <c r="N684" s="416"/>
      <c r="O684" s="45"/>
      <c r="P684" s="45"/>
      <c r="Q684" s="416"/>
      <c r="R684" s="45"/>
      <c r="S684" s="416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466">
        <v>0</v>
      </c>
      <c r="K685" s="45"/>
      <c r="L685" s="500"/>
      <c r="M685" s="45"/>
      <c r="N685" s="416"/>
      <c r="O685" s="45"/>
      <c r="P685" s="45"/>
      <c r="Q685" s="416"/>
      <c r="R685" s="45"/>
      <c r="S685" s="416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466">
        <v>0</v>
      </c>
      <c r="K686" s="45"/>
      <c r="L686" s="500"/>
      <c r="M686" s="45"/>
      <c r="N686" s="416"/>
      <c r="O686" s="45"/>
      <c r="P686" s="45"/>
      <c r="Q686" s="416"/>
      <c r="R686" s="45"/>
      <c r="S686" s="416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466">
        <v>0</v>
      </c>
      <c r="K687" s="45"/>
      <c r="L687" s="500"/>
      <c r="M687" s="45"/>
      <c r="N687" s="416"/>
      <c r="O687" s="45"/>
      <c r="P687" s="45"/>
      <c r="Q687" s="416"/>
      <c r="R687" s="45"/>
      <c r="S687" s="416"/>
      <c r="T687" s="45"/>
      <c r="U687" s="45"/>
    </row>
    <row r="688" spans="1:21" ht="19.5" hidden="1" x14ac:dyDescent="0.3">
      <c r="A688" s="249"/>
      <c r="B688" s="419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464">
        <v>0</v>
      </c>
      <c r="K688" s="3"/>
      <c r="L688" s="499"/>
      <c r="M688" s="3"/>
      <c r="N688" s="420"/>
      <c r="O688" s="3"/>
      <c r="P688" s="3"/>
      <c r="Q688" s="420"/>
      <c r="R688" s="3"/>
      <c r="S688" s="420"/>
      <c r="T688" s="3"/>
      <c r="U688" s="3"/>
    </row>
    <row r="689" spans="1:21" ht="19.5" x14ac:dyDescent="0.3">
      <c r="A689" s="394"/>
      <c r="B689" s="395" t="s">
        <v>255</v>
      </c>
      <c r="C689" s="394"/>
      <c r="D689" s="396"/>
      <c r="E689" s="396"/>
      <c r="F689" s="396"/>
      <c r="G689" s="397"/>
      <c r="H689" s="421" t="s">
        <v>35</v>
      </c>
      <c r="I689" s="750">
        <f ca="1">I707</f>
        <v>70</v>
      </c>
      <c r="J689" s="750">
        <f ca="1">J707</f>
        <v>0</v>
      </c>
      <c r="K689" s="474">
        <f ca="1">IF(I689&gt;0,J689*100/I689,0)</f>
        <v>0</v>
      </c>
      <c r="L689" s="473"/>
      <c r="M689" s="400"/>
      <c r="N689" s="400"/>
      <c r="O689" s="400"/>
      <c r="P689" s="400"/>
      <c r="Q689" s="400"/>
      <c r="R689" s="400"/>
      <c r="S689" s="400"/>
      <c r="T689" s="400"/>
      <c r="U689" s="400"/>
    </row>
    <row r="690" spans="1:21" ht="19.5" x14ac:dyDescent="0.3">
      <c r="A690" s="128"/>
      <c r="B690" s="158"/>
      <c r="C690" s="177" t="s">
        <v>18</v>
      </c>
      <c r="D690" s="821" t="s">
        <v>19</v>
      </c>
      <c r="E690" s="793"/>
      <c r="F690" s="793"/>
      <c r="G690" s="794"/>
      <c r="H690" s="221" t="s">
        <v>14</v>
      </c>
      <c r="I690" s="44"/>
      <c r="J690" s="44"/>
      <c r="K690" s="45"/>
      <c r="L690" s="471">
        <f>L691+L692</f>
        <v>0</v>
      </c>
      <c r="M690" s="470">
        <f>M691+M692</f>
        <v>0</v>
      </c>
      <c r="N690" s="470">
        <f>N691+N692</f>
        <v>0</v>
      </c>
      <c r="O690" s="470">
        <f t="shared" ref="O690:O698" si="169">IF(L690&gt;0,N690*100/L690,0)</f>
        <v>0</v>
      </c>
      <c r="P690" s="470">
        <f t="shared" ref="P690:P698" si="170">IF(M690&gt;0,N690*100/M690,0)</f>
        <v>0</v>
      </c>
      <c r="Q690" s="470">
        <f ca="1">Q691+Q692</f>
        <v>205820</v>
      </c>
      <c r="R690" s="470">
        <f ca="1">R691+R692</f>
        <v>205820</v>
      </c>
      <c r="S690" s="470">
        <f ca="1">S691+S692</f>
        <v>24150</v>
      </c>
      <c r="T690" s="470">
        <f t="shared" ref="T690:T698" ca="1" si="171">IF(Q690&gt;0,S690*100/Q690,0)</f>
        <v>11.733553590515985</v>
      </c>
      <c r="U690" s="470">
        <f t="shared" ref="U690:U698" ca="1" si="172">IF(R690&gt;0,S690*100/R690,0)</f>
        <v>11.733553590515985</v>
      </c>
    </row>
    <row r="691" spans="1:21" ht="18.75" hidden="1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469">
        <f t="shared" ref="L691:N692" si="173">L694+L697</f>
        <v>0</v>
      </c>
      <c r="M691" s="83">
        <f t="shared" si="173"/>
        <v>0</v>
      </c>
      <c r="N691" s="83">
        <f t="shared" si="173"/>
        <v>0</v>
      </c>
      <c r="O691" s="83">
        <f t="shared" si="169"/>
        <v>0</v>
      </c>
      <c r="P691" s="83">
        <f t="shared" si="170"/>
        <v>0</v>
      </c>
      <c r="Q691" s="83">
        <f t="shared" ref="Q691:S692" si="174">Q694+Q697</f>
        <v>0</v>
      </c>
      <c r="R691" s="83">
        <f t="shared" si="174"/>
        <v>0</v>
      </c>
      <c r="S691" s="83">
        <f t="shared" si="174"/>
        <v>0</v>
      </c>
      <c r="T691" s="83">
        <f t="shared" si="171"/>
        <v>0</v>
      </c>
      <c r="U691" s="83">
        <f t="shared" si="172"/>
        <v>0</v>
      </c>
    </row>
    <row r="692" spans="1:21" ht="18.75" hidden="1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468">
        <f t="shared" si="173"/>
        <v>0</v>
      </c>
      <c r="M692" s="224">
        <f t="shared" si="173"/>
        <v>0</v>
      </c>
      <c r="N692" s="224">
        <f t="shared" si="173"/>
        <v>0</v>
      </c>
      <c r="O692" s="224">
        <f t="shared" si="169"/>
        <v>0</v>
      </c>
      <c r="P692" s="224">
        <f t="shared" si="170"/>
        <v>0</v>
      </c>
      <c r="Q692" s="224">
        <f t="shared" ca="1" si="174"/>
        <v>205820</v>
      </c>
      <c r="R692" s="224">
        <f t="shared" ca="1" si="174"/>
        <v>205820</v>
      </c>
      <c r="S692" s="224">
        <f t="shared" ca="1" si="174"/>
        <v>24150</v>
      </c>
      <c r="T692" s="224">
        <f t="shared" ca="1" si="171"/>
        <v>11.733553590515985</v>
      </c>
      <c r="U692" s="224">
        <f t="shared" ca="1" si="172"/>
        <v>11.733553590515985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468">
        <f>L694+L695</f>
        <v>0</v>
      </c>
      <c r="M693" s="224">
        <f>M694+M695</f>
        <v>0</v>
      </c>
      <c r="N693" s="224">
        <f>N694+N695</f>
        <v>0</v>
      </c>
      <c r="O693" s="224">
        <f t="shared" si="169"/>
        <v>0</v>
      </c>
      <c r="P693" s="224">
        <f t="shared" si="170"/>
        <v>0</v>
      </c>
      <c r="Q693" s="224">
        <f ca="1">Q694+Q695</f>
        <v>205820</v>
      </c>
      <c r="R693" s="224">
        <f ca="1">R694+R695</f>
        <v>205820</v>
      </c>
      <c r="S693" s="224">
        <f ca="1">S694+S695</f>
        <v>24150</v>
      </c>
      <c r="T693" s="224">
        <f t="shared" ca="1" si="171"/>
        <v>11.733553590515985</v>
      </c>
      <c r="U693" s="224">
        <f t="shared" ca="1" si="172"/>
        <v>11.733553590515985</v>
      </c>
    </row>
    <row r="694" spans="1:21" ht="18.75" hidden="1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469">
        <v>0</v>
      </c>
      <c r="M694" s="83">
        <v>0</v>
      </c>
      <c r="N694" s="83">
        <v>0</v>
      </c>
      <c r="O694" s="83">
        <f t="shared" si="169"/>
        <v>0</v>
      </c>
      <c r="P694" s="83">
        <f t="shared" si="170"/>
        <v>0</v>
      </c>
      <c r="Q694" s="83">
        <v>0</v>
      </c>
      <c r="R694" s="83">
        <v>0</v>
      </c>
      <c r="S694" s="83">
        <v>0</v>
      </c>
      <c r="T694" s="83">
        <f t="shared" si="171"/>
        <v>0</v>
      </c>
      <c r="U694" s="83">
        <f t="shared" si="172"/>
        <v>0</v>
      </c>
    </row>
    <row r="695" spans="1:21" ht="18.75" hidden="1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468">
        <v>0</v>
      </c>
      <c r="M695" s="224">
        <v>0</v>
      </c>
      <c r="N695" s="224">
        <v>0</v>
      </c>
      <c r="O695" s="224">
        <f t="shared" si="169"/>
        <v>0</v>
      </c>
      <c r="P695" s="224">
        <f t="shared" si="170"/>
        <v>0</v>
      </c>
      <c r="Q695" s="224">
        <f ca="1">IFERROR(__xludf.DUMMYFUNCTION("IMPORTRANGE(""https://docs.google.com/spreadsheets/d/1ItG2mGa2ceCfYo0BwxsXqNm01IGEUdYcSSLTEv9YCik/edit?usp=sharing"",""เบิกจ่ายกองทุน!L19"")"),205820)</f>
        <v>205820</v>
      </c>
      <c r="R695" s="224">
        <f ca="1">IFERROR(__xludf.DUMMYFUNCTION("IMPORTRANGE(""https://docs.google.com/spreadsheets/d/1ItG2mGa2ceCfYo0BwxsXqNm01IGEUdYcSSLTEv9YCik/edit?usp=sharing"",""เบิกจ่ายกองทุน!M19"")"),205820)</f>
        <v>205820</v>
      </c>
      <c r="S695" s="224">
        <f ca="1">IFERROR(__xludf.DUMMYFUNCTION("IMPORTRANGE(""https://docs.google.com/spreadsheets/d/1ItG2mGa2ceCfYo0BwxsXqNm01IGEUdYcSSLTEv9YCik/edit?usp=sharing"",""เบิกจ่ายกองทุน!N19"")"),24150)</f>
        <v>24150</v>
      </c>
      <c r="T695" s="224">
        <f t="shared" ca="1" si="171"/>
        <v>11.733553590515985</v>
      </c>
      <c r="U695" s="224">
        <f t="shared" ca="1" si="172"/>
        <v>11.733553590515985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468">
        <f>L697+L698</f>
        <v>0</v>
      </c>
      <c r="M696" s="224">
        <f>M697+M698</f>
        <v>0</v>
      </c>
      <c r="N696" s="224">
        <f>N697+N698</f>
        <v>0</v>
      </c>
      <c r="O696" s="224">
        <f t="shared" si="169"/>
        <v>0</v>
      </c>
      <c r="P696" s="224">
        <f t="shared" si="170"/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 t="shared" si="171"/>
        <v>0</v>
      </c>
      <c r="U696" s="224">
        <f t="shared" si="172"/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469">
        <v>0</v>
      </c>
      <c r="M697" s="83">
        <v>0</v>
      </c>
      <c r="N697" s="83">
        <v>0</v>
      </c>
      <c r="O697" s="83">
        <f t="shared" si="169"/>
        <v>0</v>
      </c>
      <c r="P697" s="83">
        <f t="shared" si="170"/>
        <v>0</v>
      </c>
      <c r="Q697" s="83">
        <v>0</v>
      </c>
      <c r="R697" s="83">
        <v>0</v>
      </c>
      <c r="S697" s="83">
        <v>0</v>
      </c>
      <c r="T697" s="83">
        <f t="shared" si="171"/>
        <v>0</v>
      </c>
      <c r="U697" s="83">
        <f t="shared" si="172"/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468">
        <v>0</v>
      </c>
      <c r="M698" s="224">
        <v>0</v>
      </c>
      <c r="N698" s="224">
        <v>0</v>
      </c>
      <c r="O698" s="224">
        <f t="shared" si="169"/>
        <v>0</v>
      </c>
      <c r="P698" s="224">
        <f t="shared" si="170"/>
        <v>0</v>
      </c>
      <c r="Q698" s="224">
        <v>0</v>
      </c>
      <c r="R698" s="224">
        <v>0</v>
      </c>
      <c r="S698" s="224">
        <v>0</v>
      </c>
      <c r="T698" s="224">
        <f t="shared" si="171"/>
        <v>0</v>
      </c>
      <c r="U698" s="224">
        <f t="shared" si="172"/>
        <v>0</v>
      </c>
    </row>
    <row r="699" spans="1:21" ht="19.5" x14ac:dyDescent="0.3">
      <c r="A699" s="138"/>
      <c r="B699" s="139"/>
      <c r="C699" s="177" t="s">
        <v>18</v>
      </c>
      <c r="D699" s="498" t="s">
        <v>38</v>
      </c>
      <c r="E699" s="141"/>
      <c r="F699" s="141"/>
      <c r="G699" s="141"/>
      <c r="H699" s="178"/>
      <c r="I699" s="135"/>
      <c r="J699" s="135"/>
      <c r="K699" s="136"/>
      <c r="L699" s="465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IFERROR(__xludf.DUMMYFUNCTION("IMPORTRANGE(""https://docs.google.com/spreadsheets/d/1eHaY18a8A9IcSdp1K8H6x8fbOy06t2VsZHhMHf-1x7Y/edit?usp=sharing"",""แผน!LC19"")"),1)</f>
        <v>1</v>
      </c>
      <c r="J700" s="466">
        <v>0</v>
      </c>
      <c r="K700" s="497">
        <f t="shared" ref="K700:K710" ca="1" si="175">IF(I700&gt;0,J700*100/I700,0)</f>
        <v>0</v>
      </c>
      <c r="L700" s="4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24" t="s">
        <v>258</v>
      </c>
      <c r="F701" s="145"/>
      <c r="G701" s="143"/>
      <c r="H701" s="131" t="s">
        <v>35</v>
      </c>
      <c r="I701" s="328">
        <f ca="1">I703+I705</f>
        <v>74</v>
      </c>
      <c r="J701" s="328">
        <f ca="1">J703+J705</f>
        <v>1</v>
      </c>
      <c r="K701" s="470">
        <f t="shared" ca="1" si="175"/>
        <v>1.3513513513513513</v>
      </c>
      <c r="L701" s="4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0.3</v>
      </c>
      <c r="K702" s="470">
        <f t="shared" si="175"/>
        <v>0</v>
      </c>
      <c r="L702" s="4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IFERROR(__xludf.DUMMYFUNCTION("IMPORTRANGE(""https://docs.google.com/spreadsheets/d/1eHaY18a8A9IcSdp1K8H6x8fbOy06t2VsZHhMHf-1x7Y/edit?usp=sharing"",""แผน!LJ19"")"),70)</f>
        <v>70</v>
      </c>
      <c r="J703" s="184">
        <f ca="1">IFERROR(__xludf.DUMMYFUNCTION("IMPORTRANGE(""https://docs.google.com/spreadsheets/d/1tdoBKaGub7dwA3U6UFTqxio9LNnvDCQjHKmttSEBsFQ/edit?usp=sharing"",""จัดที่ดิน!AP19"")"),1)</f>
        <v>1</v>
      </c>
      <c r="K703" s="224">
        <f t="shared" ca="1" si="175"/>
        <v>1.4285714285714286</v>
      </c>
      <c r="L703" s="4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IFERROR(__xludf.DUMMYFUNCTION("IMPORTRANGE(""https://docs.google.com/spreadsheets/d/1tdoBKaGub7dwA3U6UFTqxio9LNnvDCQjHKmttSEBsFQ/edit?usp=sharing"",""จัดที่ดิน!AQ19"")"),0.3)</f>
        <v>0.3</v>
      </c>
      <c r="K704" s="224">
        <f t="shared" si="175"/>
        <v>0</v>
      </c>
      <c r="L704" s="4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IFERROR(__xludf.DUMMYFUNCTION("IMPORTRANGE(""https://docs.google.com/spreadsheets/d/1eHaY18a8A9IcSdp1K8H6x8fbOy06t2VsZHhMHf-1x7Y/edit?usp=sharing"",""แผน!LK19"")"),4)</f>
        <v>4</v>
      </c>
      <c r="J705" s="184">
        <f ca="1">IFERROR(__xludf.DUMMYFUNCTION("IMPORTRANGE(""https://docs.google.com/spreadsheets/d/1tdoBKaGub7dwA3U6UFTqxio9LNnvDCQjHKmttSEBsFQ/edit?usp=sharing"",""จัดที่ดิน!AR19"")"),0)</f>
        <v>0</v>
      </c>
      <c r="K705" s="497">
        <f t="shared" ca="1" si="175"/>
        <v>0</v>
      </c>
      <c r="L705" s="4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IFERROR(__xludf.DUMMYFUNCTION("IMPORTRANGE(""https://docs.google.com/spreadsheets/d/1tdoBKaGub7dwA3U6UFTqxio9LNnvDCQjHKmttSEBsFQ/edit?usp=sharing"",""จัดที่ดิน!AS19"")"),0)</f>
        <v>0</v>
      </c>
      <c r="K706" s="224">
        <f t="shared" si="175"/>
        <v>0</v>
      </c>
      <c r="L706" s="4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IFERROR(__xludf.DUMMYFUNCTION("IMPORTRANGE(""https://docs.google.com/spreadsheets/d/1eHaY18a8A9IcSdp1K8H6x8fbOy06t2VsZHhMHf-1x7Y/edit?usp=sharing"",""แผน!LJ19"")"),70)</f>
        <v>70</v>
      </c>
      <c r="J707" s="184">
        <f ca="1">IFERROR(__xludf.DUMMYFUNCTION("IMPORTRANGE(""https://docs.google.com/spreadsheets/d/1tdoBKaGub7dwA3U6UFTqxio9LNnvDCQjHKmttSEBsFQ/edit?usp=sharing"",""จัดที่ดิน!BN19"")"),0)</f>
        <v>0</v>
      </c>
      <c r="K707" s="224">
        <f t="shared" ca="1" si="175"/>
        <v>0</v>
      </c>
      <c r="L707" s="4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25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IFERROR(__xludf.DUMMYFUNCTION("IMPORTRANGE(""https://docs.google.com/spreadsheets/d/1tdoBKaGub7dwA3U6UFTqxio9LNnvDCQjHKmttSEBsFQ/edit?usp=sharing"",""จัดที่ดิน!BO19"")"),0)</f>
        <v>0</v>
      </c>
      <c r="K708" s="224">
        <f t="shared" si="175"/>
        <v>0</v>
      </c>
      <c r="L708" s="4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IFERROR(__xludf.DUMMYFUNCTION("IMPORTRANGE(""https://docs.google.com/spreadsheets/d/1eHaY18a8A9IcSdp1K8H6x8fbOy06t2VsZHhMHf-1x7Y/edit?usp=sharing"",""แผน!LK19"")"),4)</f>
        <v>4</v>
      </c>
      <c r="J709" s="184">
        <f ca="1">IFERROR(__xludf.DUMMYFUNCTION("IMPORTRANGE(""https://docs.google.com/spreadsheets/d/1tdoBKaGub7dwA3U6UFTqxio9LNnvDCQjHKmttSEBsFQ/edit?usp=sharing"",""จัดที่ดิน!BP19"")"),10)</f>
        <v>10</v>
      </c>
      <c r="K709" s="224">
        <f t="shared" ca="1" si="175"/>
        <v>250</v>
      </c>
      <c r="L709" s="465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25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IFERROR(__xludf.DUMMYFUNCTION("IMPORTRANGE(""https://docs.google.com/spreadsheets/d/1tdoBKaGub7dwA3U6UFTqxio9LNnvDCQjHKmttSEBsFQ/edit?usp=sharing"",""จัดที่ดิน!BQ19"")"),0)</f>
        <v>0</v>
      </c>
      <c r="K710" s="224">
        <f t="shared" si="175"/>
        <v>0</v>
      </c>
      <c r="L710" s="465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496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hidden="1" x14ac:dyDescent="0.3">
      <c r="A712" s="394"/>
      <c r="B712" s="426" t="s">
        <v>265</v>
      </c>
      <c r="C712" s="394"/>
      <c r="D712" s="396"/>
      <c r="E712" s="396"/>
      <c r="F712" s="396"/>
      <c r="G712" s="397"/>
      <c r="H712" s="427" t="s">
        <v>46</v>
      </c>
      <c r="I712" s="399"/>
      <c r="J712" s="399">
        <f>J724</f>
        <v>0</v>
      </c>
      <c r="K712" s="495">
        <f>IF(I712&gt;0,J712*100/I712,0)</f>
        <v>0</v>
      </c>
      <c r="L712" s="473"/>
      <c r="M712" s="400"/>
      <c r="N712" s="400"/>
      <c r="O712" s="400"/>
      <c r="P712" s="400"/>
      <c r="Q712" s="400"/>
      <c r="R712" s="400"/>
      <c r="S712" s="400"/>
      <c r="T712" s="400"/>
      <c r="U712" s="400"/>
    </row>
    <row r="713" spans="1:21" ht="19.5" hidden="1" x14ac:dyDescent="0.3">
      <c r="A713" s="394"/>
      <c r="B713" s="426" t="s">
        <v>266</v>
      </c>
      <c r="C713" s="394"/>
      <c r="D713" s="396"/>
      <c r="E713" s="396"/>
      <c r="F713" s="396"/>
      <c r="G713" s="397"/>
      <c r="H713" s="398"/>
      <c r="I713" s="399"/>
      <c r="J713" s="399"/>
      <c r="K713" s="400"/>
      <c r="L713" s="47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128"/>
      <c r="B714" s="158"/>
      <c r="C714" s="314" t="s">
        <v>18</v>
      </c>
      <c r="D714" s="820" t="s">
        <v>19</v>
      </c>
      <c r="E714" s="793"/>
      <c r="F714" s="793"/>
      <c r="G714" s="794"/>
      <c r="H714" s="372" t="s">
        <v>14</v>
      </c>
      <c r="I714" s="44"/>
      <c r="J714" s="44"/>
      <c r="K714" s="45"/>
      <c r="L714" s="471">
        <f>L715+L716</f>
        <v>0</v>
      </c>
      <c r="M714" s="470">
        <f>M715+M716</f>
        <v>0</v>
      </c>
      <c r="N714" s="470">
        <f>N715+N716</f>
        <v>0</v>
      </c>
      <c r="O714" s="470">
        <f t="shared" ref="O714:O722" si="176">IF(L714&gt;0,N714*100/L714,0)</f>
        <v>0</v>
      </c>
      <c r="P714" s="470">
        <f t="shared" ref="P714:P722" si="177">IF(M714&gt;0,N714*100/M714,0)</f>
        <v>0</v>
      </c>
      <c r="Q714" s="470">
        <f>Q715+Q716</f>
        <v>0</v>
      </c>
      <c r="R714" s="470">
        <f>R715+R716</f>
        <v>0</v>
      </c>
      <c r="S714" s="470">
        <f>S715+S716</f>
        <v>0</v>
      </c>
      <c r="T714" s="470">
        <f t="shared" ref="T714:T722" si="178">IF(Q714&gt;0,S714*100/Q714,0)</f>
        <v>0</v>
      </c>
      <c r="U714" s="470">
        <f t="shared" ref="U714:U722" si="179"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469">
        <f t="shared" ref="L715:N716" si="180">L718+L721</f>
        <v>0</v>
      </c>
      <c r="M715" s="83">
        <f t="shared" si="180"/>
        <v>0</v>
      </c>
      <c r="N715" s="83">
        <f t="shared" si="180"/>
        <v>0</v>
      </c>
      <c r="O715" s="83">
        <f t="shared" si="176"/>
        <v>0</v>
      </c>
      <c r="P715" s="83">
        <f t="shared" si="177"/>
        <v>0</v>
      </c>
      <c r="Q715" s="83">
        <f t="shared" ref="Q715:S716" si="181">Q718+Q721</f>
        <v>0</v>
      </c>
      <c r="R715" s="83">
        <f t="shared" si="181"/>
        <v>0</v>
      </c>
      <c r="S715" s="83">
        <f t="shared" si="181"/>
        <v>0</v>
      </c>
      <c r="T715" s="83">
        <f t="shared" si="178"/>
        <v>0</v>
      </c>
      <c r="U715" s="83">
        <f t="shared" si="179"/>
        <v>0</v>
      </c>
    </row>
    <row r="716" spans="1:21" ht="18.75" hidden="1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468">
        <f t="shared" si="180"/>
        <v>0</v>
      </c>
      <c r="M716" s="224">
        <f t="shared" si="180"/>
        <v>0</v>
      </c>
      <c r="N716" s="224">
        <f t="shared" si="180"/>
        <v>0</v>
      </c>
      <c r="O716" s="224">
        <f t="shared" si="176"/>
        <v>0</v>
      </c>
      <c r="P716" s="224">
        <f t="shared" si="177"/>
        <v>0</v>
      </c>
      <c r="Q716" s="224">
        <f t="shared" si="181"/>
        <v>0</v>
      </c>
      <c r="R716" s="224">
        <f t="shared" si="181"/>
        <v>0</v>
      </c>
      <c r="S716" s="224">
        <f t="shared" si="181"/>
        <v>0</v>
      </c>
      <c r="T716" s="224">
        <f t="shared" si="178"/>
        <v>0</v>
      </c>
      <c r="U716" s="224">
        <f t="shared" si="179"/>
        <v>0</v>
      </c>
    </row>
    <row r="717" spans="1:21" ht="19.5" hidden="1" x14ac:dyDescent="0.3">
      <c r="A717" s="128"/>
      <c r="B717" s="158"/>
      <c r="C717" s="158"/>
      <c r="D717" s="494" t="s">
        <v>22</v>
      </c>
      <c r="E717" s="40"/>
      <c r="F717" s="40"/>
      <c r="G717" s="42"/>
      <c r="H717" s="372" t="s">
        <v>14</v>
      </c>
      <c r="I717" s="135"/>
      <c r="J717" s="135"/>
      <c r="K717" s="136"/>
      <c r="L717" s="468">
        <f>L718+L719</f>
        <v>0</v>
      </c>
      <c r="M717" s="224">
        <f>M718+M719</f>
        <v>0</v>
      </c>
      <c r="N717" s="224">
        <f>N718+N719</f>
        <v>0</v>
      </c>
      <c r="O717" s="224">
        <f t="shared" si="176"/>
        <v>0</v>
      </c>
      <c r="P717" s="224">
        <f t="shared" si="177"/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 t="shared" si="178"/>
        <v>0</v>
      </c>
      <c r="U717" s="224">
        <f t="shared" si="179"/>
        <v>0</v>
      </c>
    </row>
    <row r="718" spans="1:21" ht="18.75" hidden="1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469">
        <v>0</v>
      </c>
      <c r="M718" s="83">
        <v>0</v>
      </c>
      <c r="N718" s="83">
        <v>0</v>
      </c>
      <c r="O718" s="83">
        <f t="shared" si="176"/>
        <v>0</v>
      </c>
      <c r="P718" s="83">
        <f t="shared" si="177"/>
        <v>0</v>
      </c>
      <c r="Q718" s="83">
        <v>0</v>
      </c>
      <c r="R718" s="83">
        <v>0</v>
      </c>
      <c r="S718" s="83">
        <v>0</v>
      </c>
      <c r="T718" s="83">
        <f t="shared" si="178"/>
        <v>0</v>
      </c>
      <c r="U718" s="83">
        <f t="shared" si="179"/>
        <v>0</v>
      </c>
    </row>
    <row r="719" spans="1:21" ht="18.75" hidden="1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468">
        <v>0</v>
      </c>
      <c r="M719" s="224">
        <v>0</v>
      </c>
      <c r="N719" s="224">
        <v>0</v>
      </c>
      <c r="O719" s="224">
        <f t="shared" si="176"/>
        <v>0</v>
      </c>
      <c r="P719" s="224">
        <f t="shared" si="177"/>
        <v>0</v>
      </c>
      <c r="Q719" s="224">
        <v>0</v>
      </c>
      <c r="R719" s="224">
        <v>0</v>
      </c>
      <c r="S719" s="224">
        <v>0</v>
      </c>
      <c r="T719" s="224">
        <f t="shared" si="178"/>
        <v>0</v>
      </c>
      <c r="U719" s="224">
        <f t="shared" si="179"/>
        <v>0</v>
      </c>
    </row>
    <row r="720" spans="1:21" ht="19.5" hidden="1" x14ac:dyDescent="0.3">
      <c r="A720" s="128"/>
      <c r="B720" s="158"/>
      <c r="C720" s="158"/>
      <c r="D720" s="494" t="s">
        <v>23</v>
      </c>
      <c r="E720" s="40"/>
      <c r="F720" s="40"/>
      <c r="G720" s="42"/>
      <c r="H720" s="374" t="s">
        <v>14</v>
      </c>
      <c r="I720" s="135"/>
      <c r="J720" s="135"/>
      <c r="K720" s="136"/>
      <c r="L720" s="468">
        <f>L721+L722</f>
        <v>0</v>
      </c>
      <c r="M720" s="224">
        <f>M721+M722</f>
        <v>0</v>
      </c>
      <c r="N720" s="224">
        <f>N721+N722</f>
        <v>0</v>
      </c>
      <c r="O720" s="224">
        <f t="shared" si="176"/>
        <v>0</v>
      </c>
      <c r="P720" s="224">
        <f t="shared" si="177"/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 t="shared" si="178"/>
        <v>0</v>
      </c>
      <c r="U720" s="224">
        <f t="shared" si="179"/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469">
        <v>0</v>
      </c>
      <c r="M721" s="83">
        <v>0</v>
      </c>
      <c r="N721" s="83">
        <v>0</v>
      </c>
      <c r="O721" s="83">
        <f t="shared" si="176"/>
        <v>0</v>
      </c>
      <c r="P721" s="83">
        <f t="shared" si="177"/>
        <v>0</v>
      </c>
      <c r="Q721" s="83">
        <v>0</v>
      </c>
      <c r="R721" s="83">
        <v>0</v>
      </c>
      <c r="S721" s="83">
        <v>0</v>
      </c>
      <c r="T721" s="83">
        <f t="shared" si="178"/>
        <v>0</v>
      </c>
      <c r="U721" s="83">
        <f t="shared" si="179"/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375" t="s">
        <v>14</v>
      </c>
      <c r="I722" s="135"/>
      <c r="J722" s="135"/>
      <c r="K722" s="136"/>
      <c r="L722" s="468">
        <v>0</v>
      </c>
      <c r="M722" s="224">
        <v>0</v>
      </c>
      <c r="N722" s="224">
        <v>0</v>
      </c>
      <c r="O722" s="224">
        <f t="shared" si="176"/>
        <v>0</v>
      </c>
      <c r="P722" s="224">
        <f t="shared" si="177"/>
        <v>0</v>
      </c>
      <c r="Q722" s="224">
        <v>0</v>
      </c>
      <c r="R722" s="224">
        <v>0</v>
      </c>
      <c r="S722" s="224">
        <v>0</v>
      </c>
      <c r="T722" s="224">
        <f t="shared" si="178"/>
        <v>0</v>
      </c>
      <c r="U722" s="224">
        <f t="shared" si="179"/>
        <v>0</v>
      </c>
    </row>
    <row r="723" spans="1:21" ht="19.5" hidden="1" x14ac:dyDescent="0.3">
      <c r="A723" s="138"/>
      <c r="B723" s="139"/>
      <c r="C723" s="314" t="s">
        <v>18</v>
      </c>
      <c r="D723" s="493" t="s">
        <v>38</v>
      </c>
      <c r="E723" s="141"/>
      <c r="F723" s="141"/>
      <c r="G723" s="142"/>
      <c r="H723" s="178"/>
      <c r="I723" s="135"/>
      <c r="J723" s="135"/>
      <c r="K723" s="136"/>
      <c r="L723" s="4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30">
        <v>0</v>
      </c>
      <c r="J724" s="44"/>
      <c r="K724" s="45"/>
      <c r="L724" s="465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29"/>
      <c r="B725" s="2"/>
      <c r="C725" s="2"/>
      <c r="D725" s="1"/>
      <c r="E725" s="431" t="s">
        <v>268</v>
      </c>
      <c r="F725" s="1"/>
      <c r="G725" s="52"/>
      <c r="H725" s="432" t="s">
        <v>46</v>
      </c>
      <c r="I725" s="433">
        <v>0</v>
      </c>
      <c r="J725" s="54"/>
      <c r="K725" s="3"/>
      <c r="L725" s="46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94"/>
      <c r="B726" s="395" t="s">
        <v>269</v>
      </c>
      <c r="C726" s="394"/>
      <c r="D726" s="396"/>
      <c r="E726" s="396"/>
      <c r="F726" s="396"/>
      <c r="G726" s="397"/>
      <c r="H726" s="434" t="s">
        <v>35</v>
      </c>
      <c r="I726" s="475">
        <f ca="1">IFERROR(__xludf.DUMMYFUNCTION("IMPORTRANGE(""https://docs.google.com/spreadsheets/d/1eHaY18a8A9IcSdp1K8H6x8fbOy06t2VsZHhMHf-1x7Y/edit?usp=sharing"",""แผน!GA19"")"),128)</f>
        <v>128</v>
      </c>
      <c r="J726" s="475">
        <f>J742+J746+J749</f>
        <v>125</v>
      </c>
      <c r="K726" s="474">
        <f ca="1">IF(I726&gt;0,J726*100/I726,0)</f>
        <v>97.65625</v>
      </c>
      <c r="L726" s="473"/>
      <c r="M726" s="400"/>
      <c r="N726" s="400"/>
      <c r="O726" s="400"/>
      <c r="P726" s="400"/>
      <c r="Q726" s="400"/>
      <c r="R726" s="400"/>
      <c r="S726" s="400"/>
      <c r="T726" s="400"/>
      <c r="U726" s="400"/>
    </row>
    <row r="727" spans="1:21" ht="19.5" x14ac:dyDescent="0.3">
      <c r="A727" s="436"/>
      <c r="B727" s="394"/>
      <c r="C727" s="394"/>
      <c r="D727" s="396"/>
      <c r="E727" s="396"/>
      <c r="F727" s="396"/>
      <c r="G727" s="397"/>
      <c r="H727" s="434" t="s">
        <v>46</v>
      </c>
      <c r="I727" s="475">
        <f ca="1">IFERROR(__xludf.DUMMYFUNCTION("IMPORTRANGE(""https://docs.google.com/spreadsheets/d/1eHaY18a8A9IcSdp1K8H6x8fbOy06t2VsZHhMHf-1x7Y/edit?usp=sharing"",""แผน!FZ19"")"),1250)</f>
        <v>1250</v>
      </c>
      <c r="J727" s="475">
        <f>J752+J755</f>
        <v>0</v>
      </c>
      <c r="K727" s="474">
        <f ca="1">IF(I727&gt;0,J727*100/I727,0)</f>
        <v>0</v>
      </c>
      <c r="L727" s="47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128"/>
      <c r="B728" s="158"/>
      <c r="C728" s="177" t="s">
        <v>18</v>
      </c>
      <c r="D728" s="821" t="s">
        <v>19</v>
      </c>
      <c r="E728" s="793"/>
      <c r="F728" s="793"/>
      <c r="G728" s="794"/>
      <c r="H728" s="221" t="s">
        <v>14</v>
      </c>
      <c r="I728" s="44"/>
      <c r="J728" s="44"/>
      <c r="K728" s="45"/>
      <c r="L728" s="471">
        <f>L729+L730</f>
        <v>0</v>
      </c>
      <c r="M728" s="470">
        <f>M729+M730</f>
        <v>0</v>
      </c>
      <c r="N728" s="470">
        <f>N729+N730</f>
        <v>0</v>
      </c>
      <c r="O728" s="470">
        <f t="shared" ref="O728:O736" si="182">IF(L728&gt;0,N728*100/L728,0)</f>
        <v>0</v>
      </c>
      <c r="P728" s="470">
        <f t="shared" ref="P728:P736" si="183">IF(M728&gt;0,N728*100/M728,0)</f>
        <v>0</v>
      </c>
      <c r="Q728" s="470">
        <f ca="1">Q729+Q730</f>
        <v>1008470</v>
      </c>
      <c r="R728" s="470">
        <f ca="1">R729+R730</f>
        <v>1008470</v>
      </c>
      <c r="S728" s="470">
        <f ca="1">S729+S730</f>
        <v>149670</v>
      </c>
      <c r="T728" s="470">
        <f t="shared" ref="T728:T736" ca="1" si="184">IF(Q728&gt;0,S728*100/Q728,0)</f>
        <v>14.841294237805785</v>
      </c>
      <c r="U728" s="470">
        <f t="shared" ref="U728:U736" ca="1" si="185">IF(R728&gt;0,S728*100/R728,0)</f>
        <v>14.841294237805785</v>
      </c>
    </row>
    <row r="729" spans="1:21" ht="18.75" hidden="1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469">
        <f t="shared" ref="L729:N730" si="186">L732+L735</f>
        <v>0</v>
      </c>
      <c r="M729" s="83">
        <f t="shared" si="186"/>
        <v>0</v>
      </c>
      <c r="N729" s="83">
        <f t="shared" si="186"/>
        <v>0</v>
      </c>
      <c r="O729" s="83">
        <f t="shared" si="182"/>
        <v>0</v>
      </c>
      <c r="P729" s="83">
        <f t="shared" si="183"/>
        <v>0</v>
      </c>
      <c r="Q729" s="83">
        <f t="shared" ref="Q729:S730" si="187">Q732+Q735</f>
        <v>0</v>
      </c>
      <c r="R729" s="83">
        <f t="shared" si="187"/>
        <v>0</v>
      </c>
      <c r="S729" s="83">
        <f t="shared" si="187"/>
        <v>0</v>
      </c>
      <c r="T729" s="83">
        <f t="shared" si="184"/>
        <v>0</v>
      </c>
      <c r="U729" s="83">
        <f t="shared" si="185"/>
        <v>0</v>
      </c>
    </row>
    <row r="730" spans="1:21" ht="18.75" hidden="1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468">
        <f t="shared" si="186"/>
        <v>0</v>
      </c>
      <c r="M730" s="224">
        <f t="shared" si="186"/>
        <v>0</v>
      </c>
      <c r="N730" s="224">
        <f t="shared" si="186"/>
        <v>0</v>
      </c>
      <c r="O730" s="224">
        <f t="shared" si="182"/>
        <v>0</v>
      </c>
      <c r="P730" s="224">
        <f t="shared" si="183"/>
        <v>0</v>
      </c>
      <c r="Q730" s="224">
        <f t="shared" ca="1" si="187"/>
        <v>1008470</v>
      </c>
      <c r="R730" s="224">
        <f t="shared" ca="1" si="187"/>
        <v>1008470</v>
      </c>
      <c r="S730" s="224">
        <f t="shared" ca="1" si="187"/>
        <v>149670</v>
      </c>
      <c r="T730" s="224">
        <f t="shared" ca="1" si="184"/>
        <v>14.841294237805785</v>
      </c>
      <c r="U730" s="224">
        <f t="shared" ca="1" si="185"/>
        <v>14.841294237805785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468">
        <f>L732+L733</f>
        <v>0</v>
      </c>
      <c r="M731" s="224">
        <f>M732+M733</f>
        <v>0</v>
      </c>
      <c r="N731" s="224">
        <f>N732+N733</f>
        <v>0</v>
      </c>
      <c r="O731" s="224">
        <f t="shared" si="182"/>
        <v>0</v>
      </c>
      <c r="P731" s="224">
        <f t="shared" si="183"/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149670</v>
      </c>
      <c r="T731" s="224">
        <f t="shared" ca="1" si="184"/>
        <v>14.841294237805785</v>
      </c>
      <c r="U731" s="224">
        <f t="shared" ca="1" si="185"/>
        <v>14.841294237805785</v>
      </c>
    </row>
    <row r="732" spans="1:21" ht="18.75" hidden="1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469">
        <v>0</v>
      </c>
      <c r="M732" s="83">
        <v>0</v>
      </c>
      <c r="N732" s="83">
        <v>0</v>
      </c>
      <c r="O732" s="83">
        <f t="shared" si="182"/>
        <v>0</v>
      </c>
      <c r="P732" s="83">
        <f t="shared" si="183"/>
        <v>0</v>
      </c>
      <c r="Q732" s="83">
        <v>0</v>
      </c>
      <c r="R732" s="83">
        <v>0</v>
      </c>
      <c r="S732" s="83">
        <v>0</v>
      </c>
      <c r="T732" s="83">
        <f t="shared" si="184"/>
        <v>0</v>
      </c>
      <c r="U732" s="83">
        <f t="shared" si="185"/>
        <v>0</v>
      </c>
    </row>
    <row r="733" spans="1:21" ht="18.75" hidden="1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468">
        <v>0</v>
      </c>
      <c r="M733" s="224">
        <v>0</v>
      </c>
      <c r="N733" s="224">
        <v>0</v>
      </c>
      <c r="O733" s="224">
        <f t="shared" si="182"/>
        <v>0</v>
      </c>
      <c r="P733" s="224">
        <f t="shared" si="183"/>
        <v>0</v>
      </c>
      <c r="Q733" s="224">
        <f ca="1">IFERROR(__xludf.DUMMYFUNCTION("IMPORTRANGE(""https://docs.google.com/spreadsheets/d/1ItG2mGa2ceCfYo0BwxsXqNm01IGEUdYcSSLTEv9YCik/edit?usp=sharing"",""เบิกจ่ายกองทุน!O19"")"),1008470)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IFERROR(__xludf.DUMMYFUNCTION("IMPORTRANGE(""https://docs.google.com/spreadsheets/d/1ItG2mGa2ceCfYo0BwxsXqNm01IGEUdYcSSLTEv9YCik/edit?usp=sharing"",""เบิกจ่ายกองทุน!P19"")"),1008470)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IFERROR(__xludf.DUMMYFUNCTION("IMPORTRANGE(""https://docs.google.com/spreadsheets/d/1ItG2mGa2ceCfYo0BwxsXqNm01IGEUdYcSSLTEv9YCik/edit?usp=sharing"",""เบิกจ่ายกองทุน!Q19"")"),149670)</f>
        <v>149670</v>
      </c>
      <c r="T733" s="224">
        <f t="shared" ca="1" si="184"/>
        <v>14.841294237805785</v>
      </c>
      <c r="U733" s="224">
        <f t="shared" ca="1" si="185"/>
        <v>14.841294237805785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468">
        <f>L735+L736</f>
        <v>0</v>
      </c>
      <c r="M734" s="224">
        <f>M735+M736</f>
        <v>0</v>
      </c>
      <c r="N734" s="224">
        <f>N735+N736</f>
        <v>0</v>
      </c>
      <c r="O734" s="224">
        <f t="shared" si="182"/>
        <v>0</v>
      </c>
      <c r="P734" s="224">
        <f t="shared" si="183"/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 t="shared" si="184"/>
        <v>0</v>
      </c>
      <c r="U734" s="224">
        <f t="shared" si="185"/>
        <v>0</v>
      </c>
    </row>
    <row r="735" spans="1:21" ht="18.75" hidden="1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469">
        <v>0</v>
      </c>
      <c r="M735" s="83">
        <v>0</v>
      </c>
      <c r="N735" s="83">
        <v>0</v>
      </c>
      <c r="O735" s="83">
        <f t="shared" si="182"/>
        <v>0</v>
      </c>
      <c r="P735" s="83">
        <f t="shared" si="183"/>
        <v>0</v>
      </c>
      <c r="Q735" s="83">
        <v>0</v>
      </c>
      <c r="R735" s="83">
        <v>0</v>
      </c>
      <c r="S735" s="83">
        <v>0</v>
      </c>
      <c r="T735" s="83">
        <f t="shared" si="184"/>
        <v>0</v>
      </c>
      <c r="U735" s="83">
        <f t="shared" si="185"/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468">
        <v>0</v>
      </c>
      <c r="M736" s="224">
        <v>0</v>
      </c>
      <c r="N736" s="224">
        <v>0</v>
      </c>
      <c r="O736" s="224">
        <f t="shared" si="182"/>
        <v>0</v>
      </c>
      <c r="P736" s="224">
        <f t="shared" si="183"/>
        <v>0</v>
      </c>
      <c r="Q736" s="224">
        <v>0</v>
      </c>
      <c r="R736" s="224">
        <v>0</v>
      </c>
      <c r="S736" s="224">
        <v>0</v>
      </c>
      <c r="T736" s="224">
        <f t="shared" si="184"/>
        <v>0</v>
      </c>
      <c r="U736" s="224">
        <f t="shared" si="185"/>
        <v>0</v>
      </c>
    </row>
    <row r="737" spans="1:21" ht="19.5" x14ac:dyDescent="0.3">
      <c r="A737" s="138"/>
      <c r="B737" s="139"/>
      <c r="C737" s="177" t="s">
        <v>18</v>
      </c>
      <c r="D737" s="491" t="s">
        <v>38</v>
      </c>
      <c r="E737" s="203"/>
      <c r="F737" s="141"/>
      <c r="G737" s="142"/>
      <c r="H737" s="178"/>
      <c r="I737" s="44"/>
      <c r="J737" s="44"/>
      <c r="K737" s="45"/>
      <c r="L737" s="465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7" t="s">
        <v>121</v>
      </c>
      <c r="E738" s="139"/>
      <c r="F738" s="139"/>
      <c r="G738" s="143"/>
      <c r="H738" s="180"/>
      <c r="I738" s="44"/>
      <c r="J738" s="44"/>
      <c r="K738" s="45"/>
      <c r="L738" s="465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10" t="s">
        <v>270</v>
      </c>
      <c r="F739" s="139"/>
      <c r="G739" s="143"/>
      <c r="H739" s="180"/>
      <c r="I739" s="44"/>
      <c r="J739" s="44"/>
      <c r="K739" s="45"/>
      <c r="L739" s="465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10" t="s">
        <v>271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IFERROR(__xludf.DUMMYFUNCTION("IMPORTRANGE(""https://docs.google.com/spreadsheets/d/1eHaY18a8A9IcSdp1K8H6x8fbOy06t2VsZHhMHf-1x7Y/edit?usp=sharing"",""แผน!GB19"")"),1000)</f>
        <v>1000</v>
      </c>
      <c r="J740" s="466">
        <v>0</v>
      </c>
      <c r="K740" s="224">
        <f ca="1">IF(I740&gt;0,J740*100/I740,0)</f>
        <v>0</v>
      </c>
      <c r="L740" s="465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485"/>
      <c r="B741" s="484"/>
      <c r="C741" s="484"/>
      <c r="D741" s="484"/>
      <c r="E741" s="484"/>
      <c r="F741" s="489" t="s">
        <v>306</v>
      </c>
      <c r="G741" s="481"/>
      <c r="H741" s="480" t="s">
        <v>35</v>
      </c>
      <c r="I741" s="479"/>
      <c r="J741" s="478">
        <v>0</v>
      </c>
      <c r="K741" s="476"/>
      <c r="L741" s="477"/>
      <c r="M741" s="476"/>
      <c r="N741" s="476"/>
      <c r="O741" s="476"/>
      <c r="P741" s="476"/>
      <c r="Q741" s="476"/>
      <c r="R741" s="476"/>
      <c r="S741" s="476"/>
      <c r="T741" s="476"/>
      <c r="U741" s="476"/>
    </row>
    <row r="742" spans="1:21" ht="18.75" x14ac:dyDescent="0.25">
      <c r="A742" s="485"/>
      <c r="B742" s="484"/>
      <c r="C742" s="484"/>
      <c r="D742" s="484"/>
      <c r="E742" s="484"/>
      <c r="F742" s="489" t="s">
        <v>305</v>
      </c>
      <c r="G742" s="481"/>
      <c r="H742" s="480" t="s">
        <v>35</v>
      </c>
      <c r="I742" s="487">
        <f ca="1">IFERROR(__xludf.DUMMYFUNCTION("IMPORTRANGE(""https://docs.google.com/spreadsheets/d/1eHaY18a8A9IcSdp1K8H6x8fbOy06t2VsZHhMHf-1x7Y/edit?usp=sharing"",""แผน!GC19"")"),100)</f>
        <v>100</v>
      </c>
      <c r="J742" s="478">
        <v>100</v>
      </c>
      <c r="K742" s="486">
        <f ca="1">IF(I742&gt;0,J742*100/I742,0)</f>
        <v>100</v>
      </c>
      <c r="L742" s="477"/>
      <c r="M742" s="476"/>
      <c r="N742" s="476"/>
      <c r="O742" s="476"/>
      <c r="P742" s="476"/>
      <c r="Q742" s="476"/>
      <c r="R742" s="476"/>
      <c r="S742" s="476"/>
      <c r="T742" s="476"/>
      <c r="U742" s="476"/>
    </row>
    <row r="743" spans="1:21" ht="18.75" x14ac:dyDescent="0.25">
      <c r="A743" s="485"/>
      <c r="B743" s="484"/>
      <c r="C743" s="484"/>
      <c r="D743" s="484"/>
      <c r="E743" s="489" t="s">
        <v>274</v>
      </c>
      <c r="F743" s="484"/>
      <c r="G743" s="481"/>
      <c r="H743" s="488"/>
      <c r="I743" s="479"/>
      <c r="J743" s="479"/>
      <c r="K743" s="476"/>
      <c r="L743" s="477"/>
      <c r="M743" s="476"/>
      <c r="N743" s="476"/>
      <c r="O743" s="476"/>
      <c r="P743" s="476"/>
      <c r="Q743" s="476"/>
      <c r="R743" s="476"/>
      <c r="S743" s="476"/>
      <c r="T743" s="476"/>
      <c r="U743" s="476"/>
    </row>
    <row r="744" spans="1:21" ht="18.75" x14ac:dyDescent="0.25">
      <c r="A744" s="485"/>
      <c r="B744" s="484"/>
      <c r="C744" s="484"/>
      <c r="D744" s="484"/>
      <c r="E744" s="484"/>
      <c r="F744" s="489" t="s">
        <v>271</v>
      </c>
      <c r="G744" s="481"/>
      <c r="H744" s="480" t="s">
        <v>46</v>
      </c>
      <c r="I744" s="487">
        <f ca="1">IFERROR(__xludf.DUMMYFUNCTION("IMPORTRANGE(""https://docs.google.com/spreadsheets/d/1eHaY18a8A9IcSdp1K8H6x8fbOy06t2VsZHhMHf-1x7Y/edit?usp=sharing"",""แผน!GD19"")"),250)</f>
        <v>250</v>
      </c>
      <c r="J744" s="478">
        <v>0</v>
      </c>
      <c r="K744" s="486">
        <f ca="1">IF(I744&gt;0,J744*100/I744,0)</f>
        <v>0</v>
      </c>
      <c r="L744" s="477"/>
      <c r="M744" s="476"/>
      <c r="N744" s="476"/>
      <c r="O744" s="476"/>
      <c r="P744" s="476"/>
      <c r="Q744" s="476"/>
      <c r="R744" s="476"/>
      <c r="S744" s="476"/>
      <c r="T744" s="476"/>
      <c r="U744" s="476"/>
    </row>
    <row r="745" spans="1:21" ht="18.75" x14ac:dyDescent="0.25">
      <c r="A745" s="485"/>
      <c r="B745" s="484"/>
      <c r="C745" s="484"/>
      <c r="D745" s="484"/>
      <c r="E745" s="484"/>
      <c r="F745" s="489" t="s">
        <v>304</v>
      </c>
      <c r="G745" s="481"/>
      <c r="H745" s="480" t="s">
        <v>35</v>
      </c>
      <c r="I745" s="479"/>
      <c r="J745" s="478">
        <v>0</v>
      </c>
      <c r="K745" s="476"/>
      <c r="L745" s="477"/>
      <c r="M745" s="476"/>
      <c r="N745" s="476"/>
      <c r="O745" s="476"/>
      <c r="P745" s="476"/>
      <c r="Q745" s="476"/>
      <c r="R745" s="476"/>
      <c r="S745" s="476"/>
      <c r="T745" s="476"/>
      <c r="U745" s="476"/>
    </row>
    <row r="746" spans="1:21" ht="18.75" x14ac:dyDescent="0.25">
      <c r="A746" s="485"/>
      <c r="B746" s="484"/>
      <c r="C746" s="484"/>
      <c r="D746" s="484"/>
      <c r="E746" s="484"/>
      <c r="F746" s="489" t="s">
        <v>303</v>
      </c>
      <c r="G746" s="481"/>
      <c r="H746" s="480" t="s">
        <v>35</v>
      </c>
      <c r="I746" s="487">
        <f ca="1">IFERROR(__xludf.DUMMYFUNCTION("IMPORTRANGE(""https://docs.google.com/spreadsheets/d/1eHaY18a8A9IcSdp1K8H6x8fbOy06t2VsZHhMHf-1x7Y/edit?usp=sharing"",""แผน!GE19"")"),25)</f>
        <v>25</v>
      </c>
      <c r="J746" s="478">
        <v>25</v>
      </c>
      <c r="K746" s="486">
        <f ca="1">IF(I746&gt;0,J746*100/I746,0)</f>
        <v>100</v>
      </c>
      <c r="L746" s="477"/>
      <c r="M746" s="476"/>
      <c r="N746" s="476"/>
      <c r="O746" s="476"/>
      <c r="P746" s="476"/>
      <c r="Q746" s="476"/>
      <c r="R746" s="476"/>
      <c r="S746" s="476"/>
      <c r="T746" s="476"/>
      <c r="U746" s="476"/>
    </row>
    <row r="747" spans="1:21" ht="18.75" x14ac:dyDescent="0.25">
      <c r="A747" s="485"/>
      <c r="B747" s="484"/>
      <c r="C747" s="484"/>
      <c r="D747" s="484"/>
      <c r="E747" s="489" t="s">
        <v>277</v>
      </c>
      <c r="F747" s="483"/>
      <c r="G747" s="481"/>
      <c r="H747" s="488"/>
      <c r="I747" s="479"/>
      <c r="J747" s="479"/>
      <c r="K747" s="476"/>
      <c r="L747" s="477"/>
      <c r="M747" s="476"/>
      <c r="N747" s="476"/>
      <c r="O747" s="476"/>
      <c r="P747" s="476"/>
      <c r="Q747" s="476"/>
      <c r="R747" s="476"/>
      <c r="S747" s="476"/>
      <c r="T747" s="476"/>
      <c r="U747" s="476"/>
    </row>
    <row r="748" spans="1:21" ht="18.75" x14ac:dyDescent="0.25">
      <c r="A748" s="485"/>
      <c r="B748" s="484"/>
      <c r="C748" s="484"/>
      <c r="D748" s="484"/>
      <c r="E748" s="484"/>
      <c r="F748" s="489" t="s">
        <v>302</v>
      </c>
      <c r="G748" s="481"/>
      <c r="H748" s="480" t="s">
        <v>35</v>
      </c>
      <c r="I748" s="479"/>
      <c r="J748" s="478">
        <v>0</v>
      </c>
      <c r="K748" s="476"/>
      <c r="L748" s="477"/>
      <c r="M748" s="476"/>
      <c r="N748" s="476"/>
      <c r="O748" s="476"/>
      <c r="P748" s="476"/>
      <c r="Q748" s="476"/>
      <c r="R748" s="476"/>
      <c r="S748" s="476"/>
      <c r="T748" s="476"/>
      <c r="U748" s="476"/>
    </row>
    <row r="749" spans="1:21" ht="18.75" x14ac:dyDescent="0.25">
      <c r="A749" s="485"/>
      <c r="B749" s="484"/>
      <c r="C749" s="484"/>
      <c r="D749" s="484"/>
      <c r="E749" s="484"/>
      <c r="F749" s="489" t="s">
        <v>301</v>
      </c>
      <c r="G749" s="481"/>
      <c r="H749" s="480" t="s">
        <v>35</v>
      </c>
      <c r="I749" s="487">
        <f ca="1">IFERROR(__xludf.DUMMYFUNCTION("IMPORTRANGE(""https://docs.google.com/spreadsheets/d/1eHaY18a8A9IcSdp1K8H6x8fbOy06t2VsZHhMHf-1x7Y/edit?usp=sharing"",""แผน!GF19"")"),3)</f>
        <v>3</v>
      </c>
      <c r="J749" s="478">
        <v>0</v>
      </c>
      <c r="K749" s="486">
        <f ca="1">IF(I749&gt;0,J749*100/I749,0)</f>
        <v>0</v>
      </c>
      <c r="L749" s="477"/>
      <c r="M749" s="476"/>
      <c r="N749" s="476"/>
      <c r="O749" s="476"/>
      <c r="P749" s="476"/>
      <c r="Q749" s="476"/>
      <c r="R749" s="476"/>
      <c r="S749" s="476"/>
      <c r="T749" s="476"/>
      <c r="U749" s="476"/>
    </row>
    <row r="750" spans="1:21" ht="19.5" x14ac:dyDescent="0.3">
      <c r="A750" s="485"/>
      <c r="B750" s="484"/>
      <c r="C750" s="484"/>
      <c r="D750" s="490" t="s">
        <v>50</v>
      </c>
      <c r="E750" s="484"/>
      <c r="F750" s="483"/>
      <c r="G750" s="481"/>
      <c r="H750" s="488"/>
      <c r="I750" s="479"/>
      <c r="J750" s="479"/>
      <c r="K750" s="476"/>
      <c r="L750" s="477"/>
      <c r="M750" s="476"/>
      <c r="N750" s="476"/>
      <c r="O750" s="476"/>
      <c r="P750" s="476"/>
      <c r="Q750" s="476"/>
      <c r="R750" s="476"/>
      <c r="S750" s="476"/>
      <c r="T750" s="476"/>
      <c r="U750" s="476"/>
    </row>
    <row r="751" spans="1:21" ht="18.75" x14ac:dyDescent="0.25">
      <c r="A751" s="485"/>
      <c r="B751" s="484"/>
      <c r="C751" s="484"/>
      <c r="D751" s="484"/>
      <c r="E751" s="489" t="s">
        <v>270</v>
      </c>
      <c r="F751" s="483"/>
      <c r="G751" s="481"/>
      <c r="H751" s="488"/>
      <c r="I751" s="479"/>
      <c r="J751" s="479"/>
      <c r="K751" s="476"/>
      <c r="L751" s="477"/>
      <c r="M751" s="476"/>
      <c r="N751" s="476"/>
      <c r="O751" s="476"/>
      <c r="P751" s="476"/>
      <c r="Q751" s="476"/>
      <c r="R751" s="476"/>
      <c r="S751" s="476"/>
      <c r="T751" s="476"/>
      <c r="U751" s="476"/>
    </row>
    <row r="752" spans="1:21" ht="18.75" x14ac:dyDescent="0.25">
      <c r="A752" s="485"/>
      <c r="B752" s="484"/>
      <c r="C752" s="484"/>
      <c r="D752" s="484"/>
      <c r="E752" s="484"/>
      <c r="F752" s="482" t="s">
        <v>300</v>
      </c>
      <c r="G752" s="481"/>
      <c r="H752" s="480" t="s">
        <v>46</v>
      </c>
      <c r="I752" s="487">
        <f ca="1">IFERROR(__xludf.DUMMYFUNCTION("IMPORTRANGE(""https://docs.google.com/spreadsheets/d/1eHaY18a8A9IcSdp1K8H6x8fbOy06t2VsZHhMHf-1x7Y/edit?usp=sharing"",""แผน!GB19"")"),1000)</f>
        <v>1000</v>
      </c>
      <c r="J752" s="478">
        <v>0</v>
      </c>
      <c r="K752" s="486">
        <f ca="1">IF(I752&gt;0,J752*100/I752,0)</f>
        <v>0</v>
      </c>
      <c r="L752" s="477"/>
      <c r="M752" s="476"/>
      <c r="N752" s="476"/>
      <c r="O752" s="476"/>
      <c r="P752" s="476"/>
      <c r="Q752" s="476"/>
      <c r="R752" s="476"/>
      <c r="S752" s="476"/>
      <c r="T752" s="476"/>
      <c r="U752" s="476"/>
    </row>
    <row r="753" spans="1:21" ht="18.75" x14ac:dyDescent="0.25">
      <c r="A753" s="485"/>
      <c r="B753" s="484"/>
      <c r="C753" s="484"/>
      <c r="D753" s="484"/>
      <c r="E753" s="484"/>
      <c r="F753" s="482" t="s">
        <v>299</v>
      </c>
      <c r="G753" s="481"/>
      <c r="H753" s="480" t="s">
        <v>46</v>
      </c>
      <c r="I753" s="479"/>
      <c r="J753" s="478">
        <v>0</v>
      </c>
      <c r="K753" s="476"/>
      <c r="L753" s="477"/>
      <c r="M753" s="476"/>
      <c r="N753" s="476"/>
      <c r="O753" s="476"/>
      <c r="P753" s="476"/>
      <c r="Q753" s="476"/>
      <c r="R753" s="476"/>
      <c r="S753" s="476"/>
      <c r="T753" s="476"/>
      <c r="U753" s="476"/>
    </row>
    <row r="754" spans="1:21" ht="18.75" x14ac:dyDescent="0.25">
      <c r="A754" s="485"/>
      <c r="B754" s="484"/>
      <c r="C754" s="484"/>
      <c r="D754" s="484"/>
      <c r="E754" s="489" t="s">
        <v>274</v>
      </c>
      <c r="F754" s="483"/>
      <c r="G754" s="481"/>
      <c r="H754" s="488"/>
      <c r="I754" s="479"/>
      <c r="J754" s="479"/>
      <c r="K754" s="476"/>
      <c r="L754" s="477"/>
      <c r="M754" s="476"/>
      <c r="N754" s="476"/>
      <c r="O754" s="476"/>
      <c r="P754" s="476"/>
      <c r="Q754" s="476"/>
      <c r="R754" s="476"/>
      <c r="S754" s="476"/>
      <c r="T754" s="476"/>
      <c r="U754" s="476"/>
    </row>
    <row r="755" spans="1:21" ht="18.75" x14ac:dyDescent="0.25">
      <c r="A755" s="485"/>
      <c r="B755" s="484"/>
      <c r="C755" s="484"/>
      <c r="D755" s="484"/>
      <c r="E755" s="483"/>
      <c r="F755" s="482" t="s">
        <v>298</v>
      </c>
      <c r="G755" s="481"/>
      <c r="H755" s="480" t="s">
        <v>46</v>
      </c>
      <c r="I755" s="487">
        <f ca="1">IFERROR(__xludf.DUMMYFUNCTION("IMPORTRANGE(""https://docs.google.com/spreadsheets/d/1eHaY18a8A9IcSdp1K8H6x8fbOy06t2VsZHhMHf-1x7Y/edit?usp=sharing"",""แผน!GD19"")"),250)</f>
        <v>250</v>
      </c>
      <c r="J755" s="478">
        <v>0</v>
      </c>
      <c r="K755" s="486">
        <f ca="1">IF(I755&gt;0,J755*100/I755,0)</f>
        <v>0</v>
      </c>
      <c r="L755" s="477"/>
      <c r="M755" s="476"/>
      <c r="N755" s="476"/>
      <c r="O755" s="476"/>
      <c r="P755" s="476"/>
      <c r="Q755" s="476"/>
      <c r="R755" s="476"/>
      <c r="S755" s="476"/>
      <c r="T755" s="476"/>
      <c r="U755" s="476"/>
    </row>
    <row r="756" spans="1:21" ht="18.75" x14ac:dyDescent="0.25">
      <c r="A756" s="485"/>
      <c r="B756" s="484"/>
      <c r="C756" s="484"/>
      <c r="D756" s="484"/>
      <c r="E756" s="483"/>
      <c r="F756" s="482" t="s">
        <v>297</v>
      </c>
      <c r="G756" s="481"/>
      <c r="H756" s="480" t="s">
        <v>46</v>
      </c>
      <c r="I756" s="479"/>
      <c r="J756" s="478">
        <v>0</v>
      </c>
      <c r="K756" s="476"/>
      <c r="L756" s="477"/>
      <c r="M756" s="476"/>
      <c r="N756" s="476"/>
      <c r="O756" s="476"/>
      <c r="P756" s="476"/>
      <c r="Q756" s="476"/>
      <c r="R756" s="476"/>
      <c r="S756" s="476"/>
      <c r="T756" s="476"/>
      <c r="U756" s="476"/>
    </row>
    <row r="757" spans="1:21" ht="18.75" x14ac:dyDescent="0.25">
      <c r="A757" s="438"/>
      <c r="B757" s="438"/>
      <c r="C757" s="438"/>
      <c r="D757" s="438"/>
      <c r="E757" s="439" t="s">
        <v>284</v>
      </c>
      <c r="F757" s="440"/>
      <c r="G757" s="441"/>
      <c r="H757" s="442" t="s">
        <v>35</v>
      </c>
      <c r="I757" s="443"/>
      <c r="J757" s="444">
        <v>0</v>
      </c>
      <c r="K757" s="445"/>
      <c r="L757" s="445"/>
      <c r="M757" s="445"/>
      <c r="N757" s="445"/>
      <c r="O757" s="445"/>
      <c r="P757" s="445"/>
      <c r="Q757" s="445"/>
      <c r="R757" s="445"/>
      <c r="S757" s="445"/>
      <c r="T757" s="445"/>
      <c r="U757" s="445"/>
    </row>
    <row r="758" spans="1:21" ht="19.5" x14ac:dyDescent="0.3">
      <c r="A758" s="394"/>
      <c r="B758" s="395" t="s">
        <v>285</v>
      </c>
      <c r="C758" s="394"/>
      <c r="D758" s="396"/>
      <c r="E758" s="396"/>
      <c r="F758" s="396"/>
      <c r="G758" s="397"/>
      <c r="H758" s="434" t="s">
        <v>35</v>
      </c>
      <c r="I758" s="475">
        <f ca="1">I772</f>
        <v>65</v>
      </c>
      <c r="J758" s="475">
        <f>J772</f>
        <v>0</v>
      </c>
      <c r="K758" s="474">
        <f ca="1">IF(I758&gt;0,J758*100/I758,0)</f>
        <v>0</v>
      </c>
      <c r="L758" s="47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6"/>
      <c r="B759" s="394"/>
      <c r="C759" s="394"/>
      <c r="D759" s="396"/>
      <c r="E759" s="396"/>
      <c r="F759" s="396"/>
      <c r="G759" s="397"/>
      <c r="H759" s="434" t="s">
        <v>46</v>
      </c>
      <c r="I759" s="475">
        <f ca="1">I774</f>
        <v>170</v>
      </c>
      <c r="J759" s="475">
        <f>J774</f>
        <v>0</v>
      </c>
      <c r="K759" s="474">
        <f ca="1">IF(I759&gt;0,J759*100/I759,0)</f>
        <v>0</v>
      </c>
      <c r="L759" s="47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8"/>
      <c r="C760" s="177" t="s">
        <v>18</v>
      </c>
      <c r="D760" s="821" t="s">
        <v>19</v>
      </c>
      <c r="E760" s="793"/>
      <c r="F760" s="793"/>
      <c r="G760" s="794"/>
      <c r="H760" s="221" t="s">
        <v>14</v>
      </c>
      <c r="I760" s="44"/>
      <c r="J760" s="44"/>
      <c r="K760" s="45"/>
      <c r="L760" s="471">
        <f>L761+L762</f>
        <v>0</v>
      </c>
      <c r="M760" s="470">
        <f>M761+M762</f>
        <v>0</v>
      </c>
      <c r="N760" s="470">
        <f>N761+N762</f>
        <v>0</v>
      </c>
      <c r="O760" s="470">
        <f t="shared" ref="O760:O768" si="188">IF(L760&gt;0,N760*100/L760,0)</f>
        <v>0</v>
      </c>
      <c r="P760" s="470">
        <f t="shared" ref="P760:P768" si="189">IF(M760&gt;0,N760*100/M760,0)</f>
        <v>0</v>
      </c>
      <c r="Q760" s="470">
        <f ca="1">Q761+Q762</f>
        <v>491250</v>
      </c>
      <c r="R760" s="470">
        <f ca="1">R761+R762</f>
        <v>491250</v>
      </c>
      <c r="S760" s="470">
        <f ca="1">S761+S762</f>
        <v>41960</v>
      </c>
      <c r="T760" s="470">
        <f t="shared" ref="T760:T768" ca="1" si="190">IF(Q760&gt;0,S760*100/Q760,0)</f>
        <v>8.541475826972011</v>
      </c>
      <c r="U760" s="470">
        <f t="shared" ref="U760:U768" ca="1" si="191">IF(R760&gt;0,S760*100/R760,0)</f>
        <v>8.541475826972011</v>
      </c>
    </row>
    <row r="761" spans="1:21" ht="18.75" hidden="1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469">
        <f t="shared" ref="L761:N762" si="192">L764+L767</f>
        <v>0</v>
      </c>
      <c r="M761" s="83">
        <f t="shared" si="192"/>
        <v>0</v>
      </c>
      <c r="N761" s="83">
        <f t="shared" si="192"/>
        <v>0</v>
      </c>
      <c r="O761" s="83">
        <f t="shared" si="188"/>
        <v>0</v>
      </c>
      <c r="P761" s="83">
        <f t="shared" si="189"/>
        <v>0</v>
      </c>
      <c r="Q761" s="83">
        <f t="shared" ref="Q761:S762" si="193">Q764+Q767</f>
        <v>0</v>
      </c>
      <c r="R761" s="83">
        <f t="shared" si="193"/>
        <v>0</v>
      </c>
      <c r="S761" s="83">
        <f t="shared" si="193"/>
        <v>0</v>
      </c>
      <c r="T761" s="83">
        <f t="shared" si="190"/>
        <v>0</v>
      </c>
      <c r="U761" s="83">
        <f t="shared" si="191"/>
        <v>0</v>
      </c>
    </row>
    <row r="762" spans="1:21" ht="18.75" hidden="1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468">
        <f t="shared" si="192"/>
        <v>0</v>
      </c>
      <c r="M762" s="224">
        <f t="shared" si="192"/>
        <v>0</v>
      </c>
      <c r="N762" s="224">
        <f t="shared" si="192"/>
        <v>0</v>
      </c>
      <c r="O762" s="224">
        <f t="shared" si="188"/>
        <v>0</v>
      </c>
      <c r="P762" s="224">
        <f t="shared" si="189"/>
        <v>0</v>
      </c>
      <c r="Q762" s="224">
        <f t="shared" ca="1" si="193"/>
        <v>491250</v>
      </c>
      <c r="R762" s="224">
        <f t="shared" ca="1" si="193"/>
        <v>491250</v>
      </c>
      <c r="S762" s="224">
        <f t="shared" ca="1" si="193"/>
        <v>41960</v>
      </c>
      <c r="T762" s="224">
        <f t="shared" ca="1" si="190"/>
        <v>8.541475826972011</v>
      </c>
      <c r="U762" s="224">
        <f t="shared" ca="1" si="191"/>
        <v>8.541475826972011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468">
        <f>L764+L765</f>
        <v>0</v>
      </c>
      <c r="M763" s="224">
        <f>M764+M765</f>
        <v>0</v>
      </c>
      <c r="N763" s="224">
        <f>N764+N765</f>
        <v>0</v>
      </c>
      <c r="O763" s="224">
        <f t="shared" si="188"/>
        <v>0</v>
      </c>
      <c r="P763" s="224">
        <f t="shared" si="189"/>
        <v>0</v>
      </c>
      <c r="Q763" s="224">
        <f ca="1">Q764+Q765</f>
        <v>491250</v>
      </c>
      <c r="R763" s="224">
        <f ca="1">R764+R765</f>
        <v>491250</v>
      </c>
      <c r="S763" s="224">
        <f ca="1">S764+S765</f>
        <v>41960</v>
      </c>
      <c r="T763" s="224">
        <f t="shared" ca="1" si="190"/>
        <v>8.541475826972011</v>
      </c>
      <c r="U763" s="224">
        <f t="shared" ca="1" si="191"/>
        <v>8.541475826972011</v>
      </c>
    </row>
    <row r="764" spans="1:21" ht="18.75" hidden="1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469">
        <v>0</v>
      </c>
      <c r="M764" s="83">
        <v>0</v>
      </c>
      <c r="N764" s="83">
        <v>0</v>
      </c>
      <c r="O764" s="83">
        <f t="shared" si="188"/>
        <v>0</v>
      </c>
      <c r="P764" s="83">
        <f t="shared" si="189"/>
        <v>0</v>
      </c>
      <c r="Q764" s="83">
        <v>0</v>
      </c>
      <c r="R764" s="83">
        <v>0</v>
      </c>
      <c r="S764" s="83">
        <v>0</v>
      </c>
      <c r="T764" s="83">
        <f t="shared" si="190"/>
        <v>0</v>
      </c>
      <c r="U764" s="83">
        <f t="shared" si="191"/>
        <v>0</v>
      </c>
    </row>
    <row r="765" spans="1:21" ht="18.75" hidden="1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468">
        <v>0</v>
      </c>
      <c r="M765" s="224">
        <v>0</v>
      </c>
      <c r="N765" s="224">
        <v>0</v>
      </c>
      <c r="O765" s="224">
        <f t="shared" si="188"/>
        <v>0</v>
      </c>
      <c r="P765" s="224">
        <f t="shared" si="189"/>
        <v>0</v>
      </c>
      <c r="Q765" s="224">
        <f ca="1">IFERROR(__xludf.DUMMYFUNCTION("IMPORTRANGE(""https://docs.google.com/spreadsheets/d/1ItG2mGa2ceCfYo0BwxsXqNm01IGEUdYcSSLTEv9YCik/edit?usp=sharing"",""เบิกจ่ายกองทุน!U19"")"),491250)</f>
        <v>491250</v>
      </c>
      <c r="R765" s="224">
        <f ca="1">IFERROR(__xludf.DUMMYFUNCTION("IMPORTRANGE(""https://docs.google.com/spreadsheets/d/1ItG2mGa2ceCfYo0BwxsXqNm01IGEUdYcSSLTEv9YCik/edit?usp=sharing"",""เบิกจ่ายกองทุน!V19"")"),491250)</f>
        <v>491250</v>
      </c>
      <c r="S765" s="224">
        <f ca="1">IFERROR(__xludf.DUMMYFUNCTION("IMPORTRANGE(""https://docs.google.com/spreadsheets/d/1ItG2mGa2ceCfYo0BwxsXqNm01IGEUdYcSSLTEv9YCik/edit?usp=sharing"",""เบิกจ่ายกองทุน!W19"")"),41960)</f>
        <v>41960</v>
      </c>
      <c r="T765" s="224">
        <f t="shared" ca="1" si="190"/>
        <v>8.541475826972011</v>
      </c>
      <c r="U765" s="224">
        <f t="shared" ca="1" si="191"/>
        <v>8.541475826972011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468">
        <f>L767+L768</f>
        <v>0</v>
      </c>
      <c r="M766" s="224">
        <f>M767+M768</f>
        <v>0</v>
      </c>
      <c r="N766" s="224">
        <f>N767+N768</f>
        <v>0</v>
      </c>
      <c r="O766" s="224">
        <f t="shared" si="188"/>
        <v>0</v>
      </c>
      <c r="P766" s="224">
        <f t="shared" si="189"/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 t="shared" si="190"/>
        <v>0</v>
      </c>
      <c r="U766" s="224">
        <f t="shared" si="191"/>
        <v>0</v>
      </c>
    </row>
    <row r="767" spans="1:21" ht="18.75" hidden="1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469">
        <v>0</v>
      </c>
      <c r="M767" s="83">
        <v>0</v>
      </c>
      <c r="N767" s="83">
        <v>0</v>
      </c>
      <c r="O767" s="83">
        <f t="shared" si="188"/>
        <v>0</v>
      </c>
      <c r="P767" s="83">
        <f t="shared" si="189"/>
        <v>0</v>
      </c>
      <c r="Q767" s="83">
        <v>0</v>
      </c>
      <c r="R767" s="83">
        <v>0</v>
      </c>
      <c r="S767" s="83">
        <v>0</v>
      </c>
      <c r="T767" s="83">
        <f t="shared" si="190"/>
        <v>0</v>
      </c>
      <c r="U767" s="83">
        <f t="shared" si="191"/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468">
        <v>0</v>
      </c>
      <c r="M768" s="224">
        <v>0</v>
      </c>
      <c r="N768" s="224">
        <v>0</v>
      </c>
      <c r="O768" s="224">
        <f t="shared" si="188"/>
        <v>0</v>
      </c>
      <c r="P768" s="224">
        <f t="shared" si="189"/>
        <v>0</v>
      </c>
      <c r="Q768" s="224">
        <v>0</v>
      </c>
      <c r="R768" s="224">
        <v>0</v>
      </c>
      <c r="S768" s="224">
        <v>0</v>
      </c>
      <c r="T768" s="224">
        <f t="shared" si="190"/>
        <v>0</v>
      </c>
      <c r="U768" s="224">
        <f t="shared" si="191"/>
        <v>0</v>
      </c>
    </row>
    <row r="769" spans="1:21" ht="19.5" x14ac:dyDescent="0.3">
      <c r="A769" s="138"/>
      <c r="B769" s="139"/>
      <c r="C769" s="446" t="s">
        <v>18</v>
      </c>
      <c r="D769" s="467" t="s">
        <v>38</v>
      </c>
      <c r="E769" s="203"/>
      <c r="F769" s="141"/>
      <c r="G769" s="142"/>
      <c r="H769" s="178"/>
      <c r="I769" s="44"/>
      <c r="J769" s="44"/>
      <c r="K769" s="45"/>
      <c r="L769" s="465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377" t="s">
        <v>286</v>
      </c>
      <c r="E770" s="139"/>
      <c r="F770" s="145"/>
      <c r="G770" s="143"/>
      <c r="H770" s="375" t="s">
        <v>35</v>
      </c>
      <c r="I770" s="430">
        <f ca="1">IFERROR(__xludf.DUMMYFUNCTION("IMPORTRANGE(""https://docs.google.com/spreadsheets/d/1eHaY18a8A9IcSdp1K8H6x8fbOy06t2VsZHhMHf-1x7Y/edit?usp=sharing"",""แผน!FI19"")"),0)</f>
        <v>0</v>
      </c>
      <c r="J770" s="430">
        <v>0</v>
      </c>
      <c r="K770" s="83">
        <f ca="1">IF(I770&gt;0,J770*100/I770,0)</f>
        <v>0</v>
      </c>
      <c r="L770" s="465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377" t="s">
        <v>287</v>
      </c>
      <c r="E771" s="139"/>
      <c r="F771" s="145"/>
      <c r="G771" s="143"/>
      <c r="H771" s="178"/>
      <c r="I771" s="44"/>
      <c r="J771" s="44"/>
      <c r="K771" s="45"/>
      <c r="L771" s="465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10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IFERROR(__xludf.DUMMYFUNCTION("IMPORTRANGE(""https://docs.google.com/spreadsheets/d/1eHaY18a8A9IcSdp1K8H6x8fbOy06t2VsZHhMHf-1x7Y/edit?usp=sharing"",""แผน!FQ19"")"),65)</f>
        <v>65</v>
      </c>
      <c r="J772" s="466">
        <v>0</v>
      </c>
      <c r="K772" s="224">
        <f ca="1">IF(I772&gt;0,J772*100/I772,0)</f>
        <v>0</v>
      </c>
      <c r="L772" s="465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10" t="s">
        <v>289</v>
      </c>
      <c r="E773" s="139"/>
      <c r="F773" s="145"/>
      <c r="G773" s="143"/>
      <c r="H773" s="178"/>
      <c r="I773" s="44"/>
      <c r="J773" s="44"/>
      <c r="K773" s="45"/>
      <c r="L773" s="465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10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IFERROR(__xludf.DUMMYFUNCTION("IMPORTRANGE(""https://docs.google.com/spreadsheets/d/1eHaY18a8A9IcSdp1K8H6x8fbOy06t2VsZHhMHf-1x7Y/edit?usp=sharing"",""แผน!FR19"")"),170)</f>
        <v>170</v>
      </c>
      <c r="J774" s="466">
        <v>0</v>
      </c>
      <c r="K774" s="224">
        <f ca="1">IF(I774&gt;0,J774*100/I774,0)</f>
        <v>0</v>
      </c>
      <c r="L774" s="465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10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IFERROR(__xludf.DUMMYFUNCTION("IMPORTRANGE(""https://docs.google.com/spreadsheets/d/1eHaY18a8A9IcSdp1K8H6x8fbOy06t2VsZHhMHf-1x7Y/edit?usp=sharing"",""แผน!FS19"")"),170)</f>
        <v>170</v>
      </c>
      <c r="J775" s="466">
        <v>0</v>
      </c>
      <c r="K775" s="45"/>
      <c r="L775" s="465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IFERROR(__xludf.DUMMYFUNCTION("IMPORTRANGE(""https://docs.google.com/spreadsheets/d/1eHaY18a8A9IcSdp1K8H6x8fbOy06t2VsZHhMHf-1x7Y/edit?usp=sharing"",""แผน!FT19"")"),65)</f>
        <v>65</v>
      </c>
      <c r="J776" s="464">
        <v>0</v>
      </c>
      <c r="K776" s="3"/>
      <c r="L776" s="46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462" t="s">
        <v>291</v>
      </c>
      <c r="B777" s="449"/>
      <c r="C777" s="449"/>
      <c r="D777" s="448"/>
      <c r="E777" s="449"/>
      <c r="F777" s="449"/>
      <c r="G777" s="450"/>
      <c r="H777" s="461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2"/>
      <c r="J777" s="453"/>
      <c r="K777" s="454"/>
      <c r="L777" s="454"/>
      <c r="M777" s="454"/>
      <c r="N777" s="454"/>
      <c r="O777" s="454"/>
      <c r="P777" s="454"/>
      <c r="Q777" s="454"/>
      <c r="R777" s="454"/>
      <c r="S777" s="454"/>
      <c r="T777" s="454"/>
      <c r="U777" s="454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IFERROR(__xludf.DUMMYFUNCTION("IMPORTRANGE(""https://docs.google.com/spreadsheets/d/10OvvATaaLtwErnr3qtWFcTmtbfpFEt5Bsqel9sXx0uE/edit?usp=sharing"",""งานกองทุน!D19"")"),5316747.01)</f>
        <v>5316747.01</v>
      </c>
      <c r="J778" s="184">
        <f ca="1">IFERROR(__xludf.DUMMYFUNCTION("IMPORTRANGE(""https://docs.google.com/spreadsheets/d/10OvvATaaLtwErnr3qtWFcTmtbfpFEt5Bsqel9sXx0uE/edit?usp=sharing"",""งานกองทุน!F19"")"),1296825.5)</f>
        <v>1296825.5</v>
      </c>
      <c r="K778" s="224">
        <f t="shared" ref="K778:K785" ca="1" si="194">IF(I778&gt;0,J778*100/I778,0)</f>
        <v>24.391333602311089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IFERROR(__xludf.DUMMYFUNCTION("IMPORTRANGE(""https://docs.google.com/spreadsheets/d/10OvvATaaLtwErnr3qtWFcTmtbfpFEt5Bsqel9sXx0uE/edit?usp=sharing"",""งานกองทุน!C19"")"),314)</f>
        <v>314</v>
      </c>
      <c r="J779" s="184">
        <f ca="1">IFERROR(__xludf.DUMMYFUNCTION("IMPORTRANGE(""https://docs.google.com/spreadsheets/d/10OvvATaaLtwErnr3qtWFcTmtbfpFEt5Bsqel9sXx0uE/edit?usp=sharing"",""งานกองทุน!E19"")"),90)</f>
        <v>90</v>
      </c>
      <c r="K779" s="224">
        <f t="shared" ca="1" si="194"/>
        <v>28.662420382165607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IFERROR(__xludf.DUMMYFUNCTION("IMPORTRANGE(""https://docs.google.com/spreadsheets/d/10OvvATaaLtwErnr3qtWFcTmtbfpFEt5Bsqel9sXx0uE/edit?usp=sharing"",""งานกองทุน!I19"")"),1426271.02)</f>
        <v>1426271.02</v>
      </c>
      <c r="J780" s="184">
        <f ca="1">IFERROR(__xludf.DUMMYFUNCTION("IMPORTRANGE(""https://docs.google.com/spreadsheets/d/10OvvATaaLtwErnr3qtWFcTmtbfpFEt5Bsqel9sXx0uE/edit?usp=sharing"",""งานกองทุน!K19"")"),483861.48)</f>
        <v>483861.48</v>
      </c>
      <c r="K780" s="224">
        <f t="shared" ca="1" si="194"/>
        <v>33.924932443765144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IFERROR(__xludf.DUMMYFUNCTION("IMPORTRANGE(""https://docs.google.com/spreadsheets/d/10OvvATaaLtwErnr3qtWFcTmtbfpFEt5Bsqel9sXx0uE/edit?usp=sharing"",""งานกองทุน!H19"")"),75)</f>
        <v>75</v>
      </c>
      <c r="J781" s="184">
        <f ca="1">IFERROR(__xludf.DUMMYFUNCTION("IMPORTRANGE(""https://docs.google.com/spreadsheets/d/10OvvATaaLtwErnr3qtWFcTmtbfpFEt5Bsqel9sXx0uE/edit?usp=sharing"",""งานกองทุน!J19"")"),51)</f>
        <v>51</v>
      </c>
      <c r="K781" s="224">
        <f t="shared" ca="1" si="194"/>
        <v>68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IFERROR(__xludf.DUMMYFUNCTION("IMPORTRANGE(""https://docs.google.com/spreadsheets/d/10OvvATaaLtwErnr3qtWFcTmtbfpFEt5Bsqel9sXx0uE/edit?usp=sharing"",""งานกองทุน!N19"")"),0)</f>
        <v>0</v>
      </c>
      <c r="J782" s="184">
        <f ca="1">IFERROR(__xludf.DUMMYFUNCTION("IMPORTRANGE(""https://docs.google.com/spreadsheets/d/10OvvATaaLtwErnr3qtWFcTmtbfpFEt5Bsqel9sXx0uE/edit?usp=sharing"",""งานกองทุน!P19"")"),0)</f>
        <v>0</v>
      </c>
      <c r="K782" s="224">
        <f t="shared" ca="1" si="194"/>
        <v>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IFERROR(__xludf.DUMMYFUNCTION("IMPORTRANGE(""https://docs.google.com/spreadsheets/d/10OvvATaaLtwErnr3qtWFcTmtbfpFEt5Bsqel9sXx0uE/edit?usp=sharing"",""งานกองทุน!M19"")"),0)</f>
        <v>0</v>
      </c>
      <c r="J783" s="184">
        <f ca="1">IFERROR(__xludf.DUMMYFUNCTION("IMPORTRANGE(""https://docs.google.com/spreadsheets/d/10OvvATaaLtwErnr3qtWFcTmtbfpFEt5Bsqel9sXx0uE/edit?usp=sharing"",""งานกองทุน!O19"")"),0)</f>
        <v>0</v>
      </c>
      <c r="K783" s="224">
        <f t="shared" ca="1" si="194"/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IFERROR(__xludf.DUMMYFUNCTION("IMPORTRANGE(""https://docs.google.com/spreadsheets/d/10OvvATaaLtwErnr3qtWFcTmtbfpFEt5Bsqel9sXx0uE/edit?usp=sharing"",""งานกองทุน!S19"")"),7140000)</f>
        <v>7140000</v>
      </c>
      <c r="J784" s="184">
        <f ca="1">IFERROR(__xludf.DUMMYFUNCTION("IMPORTRANGE(""https://docs.google.com/spreadsheets/d/10OvvATaaLtwErnr3qtWFcTmtbfpFEt5Bsqel9sXx0uE/edit?usp=sharing"",""งานกองทุน!U19"")"),3870000)</f>
        <v>3870000</v>
      </c>
      <c r="K784" s="224">
        <f t="shared" ca="1" si="194"/>
        <v>54.201680672268907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IFERROR(__xludf.DUMMYFUNCTION("IMPORTRANGE(""https://docs.google.com/spreadsheets/d/10OvvATaaLtwErnr3qtWFcTmtbfpFEt5Bsqel9sXx0uE/edit?usp=sharing"",""งานกองทุน!R19"")"),255)</f>
        <v>255</v>
      </c>
      <c r="J785" s="188">
        <f ca="1">IFERROR(__xludf.DUMMYFUNCTION("IMPORTRANGE(""https://docs.google.com/spreadsheets/d/10OvvATaaLtwErnr3qtWFcTmtbfpFEt5Bsqel9sXx0uE/edit?usp=sharing"",""งานกองทุน!T19"")"),88)</f>
        <v>88</v>
      </c>
      <c r="K785" s="455">
        <f t="shared" ca="1" si="194"/>
        <v>34.509803921568626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460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4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4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horizontalDpi="4294967293" verticalDpi="4294967293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6D1E7-E60B-47D4-A863-C8D5FBE83AB7}">
  <sheetPr>
    <outlinePr summaryBelow="0" summaryRight="0"/>
  </sheetPr>
  <dimension ref="A1:U789"/>
  <sheetViews>
    <sheetView view="pageBreakPreview" zoomScale="60" zoomScaleNormal="70" workbookViewId="0">
      <pane xSplit="8" ySplit="6" topLeftCell="I7" activePane="bottomRight" state="frozen"/>
      <selection activeCell="N28" sqref="N28"/>
      <selection pane="topRight" activeCell="N28" sqref="N28"/>
      <selection pane="bottomLeft" activeCell="N28" sqref="N28"/>
      <selection pane="bottomRight" activeCell="N28" sqref="N2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7109375" bestFit="1" customWidth="1"/>
    <col min="11" max="11" width="12.42578125" bestFit="1" customWidth="1"/>
    <col min="12" max="14" width="21" bestFit="1" customWidth="1"/>
    <col min="15" max="15" width="20.140625" bestFit="1" customWidth="1"/>
    <col min="16" max="16" width="22" bestFit="1" customWidth="1"/>
    <col min="17" max="18" width="21" bestFit="1" customWidth="1"/>
    <col min="19" max="19" width="18.57031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815" t="s">
        <v>0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5"/>
      <c r="T1" s="815"/>
      <c r="U1" s="815"/>
    </row>
    <row r="2" spans="1:21" ht="19.5" x14ac:dyDescent="0.3">
      <c r="A2" s="815" t="s">
        <v>323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</row>
    <row r="3" spans="1:21" ht="19.5" x14ac:dyDescent="0.3">
      <c r="A3" s="815" t="s">
        <v>335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709"/>
      <c r="L4" s="816" t="s">
        <v>2</v>
      </c>
      <c r="M4" s="800"/>
      <c r="N4" s="800"/>
      <c r="O4" s="800"/>
      <c r="P4" s="801"/>
      <c r="Q4" s="817" t="s">
        <v>3</v>
      </c>
      <c r="R4" s="800"/>
      <c r="S4" s="800"/>
      <c r="T4" s="800"/>
      <c r="U4" s="801"/>
    </row>
    <row r="5" spans="1:21" ht="19.5" x14ac:dyDescent="0.3">
      <c r="A5" s="822" t="s">
        <v>4</v>
      </c>
      <c r="B5" s="797"/>
      <c r="C5" s="797"/>
      <c r="D5" s="797"/>
      <c r="E5" s="797"/>
      <c r="F5" s="797"/>
      <c r="G5" s="798"/>
      <c r="H5" s="789" t="s">
        <v>5</v>
      </c>
      <c r="I5" s="814" t="s">
        <v>6</v>
      </c>
      <c r="J5" s="800"/>
      <c r="K5" s="801"/>
      <c r="L5" s="818" t="s">
        <v>7</v>
      </c>
      <c r="M5" s="801"/>
      <c r="N5" s="807" t="s">
        <v>8</v>
      </c>
      <c r="O5" s="800"/>
      <c r="P5" s="801"/>
      <c r="Q5" s="808" t="s">
        <v>7</v>
      </c>
      <c r="R5" s="801"/>
      <c r="S5" s="807" t="s">
        <v>8</v>
      </c>
      <c r="T5" s="800"/>
      <c r="U5" s="801"/>
    </row>
    <row r="6" spans="1:21" ht="19.5" x14ac:dyDescent="0.3">
      <c r="A6" s="799"/>
      <c r="B6" s="800"/>
      <c r="C6" s="800"/>
      <c r="D6" s="800"/>
      <c r="E6" s="800"/>
      <c r="F6" s="800"/>
      <c r="G6" s="801"/>
      <c r="H6" s="788"/>
      <c r="I6" s="6" t="s">
        <v>9</v>
      </c>
      <c r="J6" s="7" t="s">
        <v>10</v>
      </c>
      <c r="K6" s="6" t="s">
        <v>11</v>
      </c>
      <c r="L6" s="706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823"/>
      <c r="B7" s="800"/>
      <c r="C7" s="800"/>
      <c r="D7" s="800"/>
      <c r="E7" s="800"/>
      <c r="F7" s="800"/>
      <c r="G7" s="801"/>
      <c r="H7" s="14"/>
      <c r="I7" s="15"/>
      <c r="J7" s="15"/>
      <c r="K7" s="16"/>
      <c r="L7" s="580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571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71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71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71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71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71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71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71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580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803" t="s">
        <v>309</v>
      </c>
      <c r="B17" s="800"/>
      <c r="C17" s="800"/>
      <c r="D17" s="800"/>
      <c r="E17" s="800"/>
      <c r="F17" s="800"/>
      <c r="G17" s="801"/>
      <c r="H17" s="23"/>
      <c r="I17" s="24"/>
      <c r="J17" s="24"/>
      <c r="K17" s="25"/>
      <c r="L17" s="705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704">
        <f ca="1">L19+L20</f>
        <v>2180740</v>
      </c>
      <c r="M18" s="664">
        <f ca="1">M19+M20</f>
        <v>2369588</v>
      </c>
      <c r="N18" s="664">
        <f ca="1">N19+N20</f>
        <v>1692364.9999999998</v>
      </c>
      <c r="O18" s="664">
        <f t="shared" ref="O18:O26" ca="1" si="0">IF(L18&gt;0,N18*100/L18,0)</f>
        <v>77.605079009877372</v>
      </c>
      <c r="P18" s="664">
        <f t="shared" ref="P18:P26" ca="1" si="1">IF(M18&gt;0,N18*100/M18,0)</f>
        <v>71.420221574383376</v>
      </c>
      <c r="Q18" s="664">
        <f ca="1">Q19+Q20</f>
        <v>2598210.2400000002</v>
      </c>
      <c r="R18" s="664">
        <f ca="1">R19+R20</f>
        <v>2598210</v>
      </c>
      <c r="S18" s="664">
        <f ca="1">S19+S20</f>
        <v>587330</v>
      </c>
      <c r="T18" s="664">
        <f t="shared" ref="T18:T26" ca="1" si="2">IF(Q18&gt;0,S18*100/Q18,0)</f>
        <v>22.605176092293437</v>
      </c>
      <c r="U18" s="664">
        <f t="shared" ref="U18:U26" ca="1" si="3">IF(R18&gt;0,S18*100/R18,0)</f>
        <v>22.605178180362635</v>
      </c>
    </row>
    <row r="19" spans="1:21" ht="18.75" hidden="1" x14ac:dyDescent="0.25">
      <c r="A19" s="26"/>
      <c r="B19" s="27"/>
      <c r="C19" s="27"/>
      <c r="D19" s="27"/>
      <c r="E19" s="703" t="s">
        <v>20</v>
      </c>
      <c r="F19" s="27"/>
      <c r="G19" s="30"/>
      <c r="H19" s="702" t="s">
        <v>14</v>
      </c>
      <c r="I19" s="32"/>
      <c r="J19" s="32"/>
      <c r="K19" s="33"/>
      <c r="L19" s="701">
        <f t="shared" ref="L19:N20" si="4">L22+L25</f>
        <v>0</v>
      </c>
      <c r="M19" s="700">
        <f t="shared" si="4"/>
        <v>0</v>
      </c>
      <c r="N19" s="700">
        <f t="shared" si="4"/>
        <v>0</v>
      </c>
      <c r="O19" s="700">
        <f t="shared" si="0"/>
        <v>0</v>
      </c>
      <c r="P19" s="700">
        <f t="shared" si="1"/>
        <v>0</v>
      </c>
      <c r="Q19" s="700">
        <f t="shared" ref="Q19:S20" si="5">Q22+Q25</f>
        <v>0</v>
      </c>
      <c r="R19" s="700">
        <f t="shared" si="5"/>
        <v>0</v>
      </c>
      <c r="S19" s="700">
        <f t="shared" si="5"/>
        <v>0</v>
      </c>
      <c r="T19" s="700">
        <f t="shared" si="2"/>
        <v>0</v>
      </c>
      <c r="U19" s="700">
        <f t="shared" si="3"/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699">
        <f t="shared" ca="1" si="4"/>
        <v>2180740</v>
      </c>
      <c r="M20" s="698">
        <f t="shared" ca="1" si="4"/>
        <v>2369588</v>
      </c>
      <c r="N20" s="698">
        <f t="shared" ca="1" si="4"/>
        <v>1692364.9999999998</v>
      </c>
      <c r="O20" s="698">
        <f t="shared" ca="1" si="0"/>
        <v>77.605079009877372</v>
      </c>
      <c r="P20" s="698">
        <f t="shared" ca="1" si="1"/>
        <v>71.420221574383376</v>
      </c>
      <c r="Q20" s="698">
        <f t="shared" ca="1" si="5"/>
        <v>2598210.2400000002</v>
      </c>
      <c r="R20" s="698">
        <f t="shared" ca="1" si="5"/>
        <v>2598210</v>
      </c>
      <c r="S20" s="698">
        <f t="shared" ca="1" si="5"/>
        <v>587330</v>
      </c>
      <c r="T20" s="698">
        <f t="shared" ca="1" si="2"/>
        <v>22.605176092293437</v>
      </c>
      <c r="U20" s="698">
        <f t="shared" ca="1" si="3"/>
        <v>22.605178180362635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468">
        <f ca="1">L22+L23</f>
        <v>2180740</v>
      </c>
      <c r="M21" s="224">
        <f ca="1">M22+M23</f>
        <v>2369588</v>
      </c>
      <c r="N21" s="224">
        <f ca="1">N22+N23</f>
        <v>1692364.9999999998</v>
      </c>
      <c r="O21" s="224">
        <f t="shared" ca="1" si="0"/>
        <v>77.605079009877372</v>
      </c>
      <c r="P21" s="224">
        <f t="shared" ca="1" si="1"/>
        <v>71.420221574383376</v>
      </c>
      <c r="Q21" s="224">
        <f ca="1">Q22+Q23</f>
        <v>2598210.2400000002</v>
      </c>
      <c r="R21" s="224">
        <f ca="1">R22+R23</f>
        <v>2598210</v>
      </c>
      <c r="S21" s="224">
        <f ca="1">S22+S23</f>
        <v>587330</v>
      </c>
      <c r="T21" s="224">
        <f t="shared" ca="1" si="2"/>
        <v>22.605176092293437</v>
      </c>
      <c r="U21" s="224">
        <f t="shared" ca="1" si="3"/>
        <v>22.605178180362635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674" t="s">
        <v>14</v>
      </c>
      <c r="I22" s="44"/>
      <c r="J22" s="44"/>
      <c r="K22" s="45"/>
      <c r="L22" s="469">
        <f t="shared" ref="L22:N23" si="6">L48+L63+L76+L98+L129+L143+L161+L190+L177+L270+L286+L307+L324+L337+L360+L517</f>
        <v>0</v>
      </c>
      <c r="M22" s="83">
        <f t="shared" si="6"/>
        <v>0</v>
      </c>
      <c r="N22" s="83">
        <f t="shared" si="6"/>
        <v>0</v>
      </c>
      <c r="O22" s="83">
        <f t="shared" si="0"/>
        <v>0</v>
      </c>
      <c r="P22" s="83">
        <f t="shared" si="1"/>
        <v>0</v>
      </c>
      <c r="Q22" s="83">
        <f t="shared" ref="Q22:S23" si="7">Q76+Q98+Q121+Q143+Q161+Q177+Q190+Q270+Q286+Q307+Q337+Q379+Q396+Q417+Q497+Q603+Q620+Q646+Q694+Q718+Q732+Q764</f>
        <v>0</v>
      </c>
      <c r="R22" s="83">
        <f t="shared" si="7"/>
        <v>0</v>
      </c>
      <c r="S22" s="83">
        <f t="shared" si="7"/>
        <v>0</v>
      </c>
      <c r="T22" s="83">
        <f t="shared" si="2"/>
        <v>0</v>
      </c>
      <c r="U22" s="83">
        <f t="shared" si="3"/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468">
        <f t="shared" ca="1" si="6"/>
        <v>2180740</v>
      </c>
      <c r="M23" s="224">
        <f t="shared" ca="1" si="6"/>
        <v>2369588</v>
      </c>
      <c r="N23" s="224">
        <f t="shared" ca="1" si="6"/>
        <v>1692364.9999999998</v>
      </c>
      <c r="O23" s="224">
        <f t="shared" ca="1" si="0"/>
        <v>77.605079009877372</v>
      </c>
      <c r="P23" s="224">
        <f t="shared" ca="1" si="1"/>
        <v>71.420221574383376</v>
      </c>
      <c r="Q23" s="224">
        <f t="shared" ca="1" si="7"/>
        <v>2598210.2400000002</v>
      </c>
      <c r="R23" s="224">
        <f t="shared" ca="1" si="7"/>
        <v>2598210</v>
      </c>
      <c r="S23" s="224">
        <f t="shared" ca="1" si="7"/>
        <v>587330</v>
      </c>
      <c r="T23" s="224">
        <f t="shared" ca="1" si="2"/>
        <v>22.605176092293437</v>
      </c>
      <c r="U23" s="224">
        <f t="shared" ca="1" si="3"/>
        <v>22.605178180362635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468">
        <f ca="1">L25+L26</f>
        <v>0</v>
      </c>
      <c r="M24" s="224">
        <f ca="1">M25+M26</f>
        <v>0</v>
      </c>
      <c r="N24" s="224">
        <f ca="1">N25+N26</f>
        <v>0</v>
      </c>
      <c r="O24" s="224">
        <f t="shared" ca="1" si="0"/>
        <v>0</v>
      </c>
      <c r="P24" s="224">
        <f t="shared" ca="1" si="1"/>
        <v>0</v>
      </c>
      <c r="Q24" s="224">
        <f>Q25+Q26</f>
        <v>0</v>
      </c>
      <c r="R24" s="224">
        <f>R25+R26</f>
        <v>0</v>
      </c>
      <c r="S24" s="224">
        <f>S25+S26</f>
        <v>0</v>
      </c>
      <c r="T24" s="224">
        <f t="shared" si="2"/>
        <v>0</v>
      </c>
      <c r="U24" s="224">
        <f t="shared" si="3"/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674" t="s">
        <v>14</v>
      </c>
      <c r="I25" s="44"/>
      <c r="J25" s="44"/>
      <c r="K25" s="45"/>
      <c r="L25" s="469">
        <f t="shared" ref="L25:N26" si="8">L51+L66+L79+L101+L132+L146+L164+L193+L180+L273+L289+L310+L327+L340+L363+L520</f>
        <v>0</v>
      </c>
      <c r="M25" s="83">
        <f t="shared" si="8"/>
        <v>0</v>
      </c>
      <c r="N25" s="83">
        <f t="shared" si="8"/>
        <v>0</v>
      </c>
      <c r="O25" s="83">
        <f t="shared" si="0"/>
        <v>0</v>
      </c>
      <c r="P25" s="83">
        <f t="shared" si="1"/>
        <v>0</v>
      </c>
      <c r="Q25" s="83">
        <f t="shared" ref="Q25:S26" si="9">Q79+Q101+Q124+Q146+Q164+Q180+Q193+Q273+Q289+Q310+Q340+Q382+Q399+Q420+Q500+Q606+Q623+Q649+Q697+Q721+Q735+Q767</f>
        <v>0</v>
      </c>
      <c r="R25" s="83">
        <f t="shared" si="9"/>
        <v>0</v>
      </c>
      <c r="S25" s="83">
        <f t="shared" si="9"/>
        <v>0</v>
      </c>
      <c r="T25" s="83">
        <f t="shared" si="2"/>
        <v>0</v>
      </c>
      <c r="U25" s="83">
        <f t="shared" si="3"/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468">
        <f t="shared" ca="1" si="8"/>
        <v>0</v>
      </c>
      <c r="M26" s="224">
        <f t="shared" ca="1" si="8"/>
        <v>0</v>
      </c>
      <c r="N26" s="224">
        <f t="shared" ca="1" si="8"/>
        <v>0</v>
      </c>
      <c r="O26" s="224">
        <f t="shared" ca="1" si="0"/>
        <v>0</v>
      </c>
      <c r="P26" s="224">
        <f t="shared" ca="1" si="1"/>
        <v>0</v>
      </c>
      <c r="Q26" s="83">
        <f t="shared" si="9"/>
        <v>0</v>
      </c>
      <c r="R26" s="83">
        <f t="shared" si="9"/>
        <v>0</v>
      </c>
      <c r="S26" s="83">
        <f t="shared" si="9"/>
        <v>0</v>
      </c>
      <c r="T26" s="224">
        <f t="shared" si="2"/>
        <v>0</v>
      </c>
      <c r="U26" s="224">
        <f t="shared" si="3"/>
        <v>0</v>
      </c>
    </row>
    <row r="27" spans="1:21" ht="18.75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465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674" t="s">
        <v>14</v>
      </c>
      <c r="I28" s="44"/>
      <c r="J28" s="44"/>
      <c r="K28" s="45"/>
      <c r="L28" s="465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463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823"/>
      <c r="B30" s="800"/>
      <c r="C30" s="800"/>
      <c r="D30" s="800"/>
      <c r="E30" s="800"/>
      <c r="F30" s="800"/>
      <c r="G30" s="801"/>
      <c r="H30" s="14"/>
      <c r="I30" s="15"/>
      <c r="J30" s="15"/>
      <c r="K30" s="16"/>
      <c r="L30" s="580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571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7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71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7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7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7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7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71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580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697">
        <f ca="1">L44+L59+L72+L94+L125+L139+L157+L173+L186+L266+L282+L303+L320+L333+L356</f>
        <v>2180740</v>
      </c>
      <c r="M40" s="696">
        <f ca="1">M44+M59+M72+M94+M125+M139+M157+M173+M186+M266+M282+M303+M320+M333+M356</f>
        <v>2369588</v>
      </c>
      <c r="N40" s="696">
        <f ca="1">N44+N59+N72+N94+N125+N139+N157+N173+N186+N266+N282+N303+N320+N333+N356</f>
        <v>1692364.9999999998</v>
      </c>
      <c r="O40" s="696">
        <f ca="1">IF(L40&gt;0,N40*100/L40,0)</f>
        <v>77.605079009877372</v>
      </c>
      <c r="P40" s="696">
        <f ca="1">IF(M40&gt;0,N40*100/M40,0)</f>
        <v>71.420221574383376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695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571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694" t="s">
        <v>19</v>
      </c>
      <c r="E44" s="71"/>
      <c r="F44" s="71"/>
      <c r="G44" s="74"/>
      <c r="H44" s="75" t="s">
        <v>14</v>
      </c>
      <c r="I44" s="76"/>
      <c r="J44" s="76"/>
      <c r="K44" s="77"/>
      <c r="L44" s="693">
        <f ca="1">L45+L46</f>
        <v>261550</v>
      </c>
      <c r="M44" s="692">
        <f ca="1">M45+M46</f>
        <v>484876</v>
      </c>
      <c r="N44" s="692">
        <f ca="1">N45+N46</f>
        <v>400826</v>
      </c>
      <c r="O44" s="692">
        <f t="shared" ref="O44:O52" ca="1" si="10">IF(L44&gt;0,N44*100/L44,0)</f>
        <v>153.25023896004589</v>
      </c>
      <c r="P44" s="692">
        <f t="shared" ref="P44:P52" ca="1" si="11">IF(M44&gt;0,N44*100/M44,0)</f>
        <v>82.665671223158085</v>
      </c>
      <c r="Q44" s="692">
        <f>Q45+Q46</f>
        <v>0</v>
      </c>
      <c r="R44" s="692">
        <f>R45+R46</f>
        <v>0</v>
      </c>
      <c r="S44" s="692">
        <f>S45+S46</f>
        <v>0</v>
      </c>
      <c r="T44" s="692">
        <f t="shared" ref="T44:T52" si="12">IF(Q44&gt;0,S44*100/Q44,0)</f>
        <v>0</v>
      </c>
      <c r="U44" s="692">
        <f t="shared" ref="U44:U52" si="13">IF(R44&gt;0,S44*100/R44,0)</f>
        <v>0</v>
      </c>
    </row>
    <row r="45" spans="1:21" ht="18.75" hidden="1" x14ac:dyDescent="0.25">
      <c r="A45" s="70"/>
      <c r="B45" s="71"/>
      <c r="C45" s="71"/>
      <c r="D45" s="71"/>
      <c r="E45" s="691" t="s">
        <v>20</v>
      </c>
      <c r="F45" s="71"/>
      <c r="G45" s="74"/>
      <c r="H45" s="690" t="s">
        <v>14</v>
      </c>
      <c r="I45" s="76"/>
      <c r="J45" s="76"/>
      <c r="K45" s="77"/>
      <c r="L45" s="689">
        <f t="shared" ref="L45:N46" si="14">L48+L51</f>
        <v>0</v>
      </c>
      <c r="M45" s="688">
        <f t="shared" si="14"/>
        <v>0</v>
      </c>
      <c r="N45" s="688">
        <f t="shared" si="14"/>
        <v>0</v>
      </c>
      <c r="O45" s="688">
        <f t="shared" si="10"/>
        <v>0</v>
      </c>
      <c r="P45" s="688">
        <f t="shared" si="11"/>
        <v>0</v>
      </c>
      <c r="Q45" s="688">
        <f t="shared" ref="Q45:S46" si="15">Q48+Q51</f>
        <v>0</v>
      </c>
      <c r="R45" s="688">
        <f t="shared" si="15"/>
        <v>0</v>
      </c>
      <c r="S45" s="688">
        <f t="shared" si="15"/>
        <v>0</v>
      </c>
      <c r="T45" s="688">
        <f t="shared" si="12"/>
        <v>0</v>
      </c>
      <c r="U45" s="688">
        <f t="shared" si="13"/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687">
        <f t="shared" ca="1" si="14"/>
        <v>261550</v>
      </c>
      <c r="M46" s="686">
        <f t="shared" ca="1" si="14"/>
        <v>484876</v>
      </c>
      <c r="N46" s="686">
        <f t="shared" ca="1" si="14"/>
        <v>400826</v>
      </c>
      <c r="O46" s="686">
        <f t="shared" ca="1" si="10"/>
        <v>153.25023896004589</v>
      </c>
      <c r="P46" s="686">
        <f t="shared" ca="1" si="11"/>
        <v>82.665671223158085</v>
      </c>
      <c r="Q46" s="686">
        <f t="shared" si="15"/>
        <v>0</v>
      </c>
      <c r="R46" s="686">
        <f t="shared" si="15"/>
        <v>0</v>
      </c>
      <c r="S46" s="686">
        <f t="shared" si="15"/>
        <v>0</v>
      </c>
      <c r="T46" s="686">
        <f t="shared" si="12"/>
        <v>0</v>
      </c>
      <c r="U46" s="686">
        <f t="shared" si="13"/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468">
        <f ca="1">L48+L49</f>
        <v>261550</v>
      </c>
      <c r="M47" s="224">
        <f ca="1">M48+M49</f>
        <v>484876</v>
      </c>
      <c r="N47" s="224">
        <f ca="1">N48+N49</f>
        <v>400826</v>
      </c>
      <c r="O47" s="224">
        <f t="shared" ca="1" si="10"/>
        <v>153.25023896004589</v>
      </c>
      <c r="P47" s="224">
        <f t="shared" ca="1" si="11"/>
        <v>82.665671223158085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 t="shared" si="12"/>
        <v>0</v>
      </c>
      <c r="U47" s="224">
        <f t="shared" si="13"/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674" t="s">
        <v>14</v>
      </c>
      <c r="I48" s="44"/>
      <c r="J48" s="44"/>
      <c r="K48" s="45"/>
      <c r="L48" s="469">
        <v>0</v>
      </c>
      <c r="M48" s="83">
        <v>0</v>
      </c>
      <c r="N48" s="83">
        <v>0</v>
      </c>
      <c r="O48" s="83">
        <f t="shared" si="10"/>
        <v>0</v>
      </c>
      <c r="P48" s="83">
        <f t="shared" si="11"/>
        <v>0</v>
      </c>
      <c r="Q48" s="83">
        <v>0</v>
      </c>
      <c r="R48" s="83">
        <v>0</v>
      </c>
      <c r="S48" s="83">
        <v>0</v>
      </c>
      <c r="T48" s="83">
        <f t="shared" si="12"/>
        <v>0</v>
      </c>
      <c r="U48" s="83">
        <f t="shared" si="13"/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468">
        <f ca="1">IFERROR(__xludf.DUMMYFUNCTION("IMPORTRANGE(""https://docs.google.com/spreadsheets/d/1-uDff_7J0KD5mKrp0Vvzr7lt3OU09vwQwhkpOPPYv2Y/edit?usp=sharing"",""งบพรบ!P20"")"),261550)</f>
        <v>261550</v>
      </c>
      <c r="M49" s="224">
        <f ca="1">IFERROR(__xludf.DUMMYFUNCTION("IMPORTRANGE(""https://docs.google.com/spreadsheets/d/1-uDff_7J0KD5mKrp0Vvzr7lt3OU09vwQwhkpOPPYv2Y/edit?usp=sharing"",""งบพรบ!V20"")"),484876)</f>
        <v>484876</v>
      </c>
      <c r="N49" s="224">
        <f ca="1">IFERROR(__xludf.DUMMYFUNCTION("IMPORTRANGE(""https://docs.google.com/spreadsheets/d/1-uDff_7J0KD5mKrp0Vvzr7lt3OU09vwQwhkpOPPYv2Y/edit?usp=sharing"",""งบพรบ!Y20"")"),400826)</f>
        <v>400826</v>
      </c>
      <c r="O49" s="224">
        <f t="shared" ca="1" si="10"/>
        <v>153.25023896004589</v>
      </c>
      <c r="P49" s="224">
        <f t="shared" ca="1" si="11"/>
        <v>82.665671223158085</v>
      </c>
      <c r="Q49" s="224">
        <v>0</v>
      </c>
      <c r="R49" s="224">
        <v>0</v>
      </c>
      <c r="S49" s="224">
        <v>0</v>
      </c>
      <c r="T49" s="224">
        <f t="shared" si="12"/>
        <v>0</v>
      </c>
      <c r="U49" s="224">
        <f t="shared" si="13"/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468">
        <f ca="1">L51+L52</f>
        <v>0</v>
      </c>
      <c r="M50" s="224">
        <f ca="1">M51+M52</f>
        <v>0</v>
      </c>
      <c r="N50" s="224">
        <f ca="1">N51+N52</f>
        <v>0</v>
      </c>
      <c r="O50" s="224">
        <f t="shared" ca="1" si="10"/>
        <v>0</v>
      </c>
      <c r="P50" s="224">
        <f t="shared" ca="1" si="11"/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 t="shared" si="12"/>
        <v>0</v>
      </c>
      <c r="U50" s="224">
        <f t="shared" si="13"/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674" t="s">
        <v>14</v>
      </c>
      <c r="I51" s="44"/>
      <c r="J51" s="44"/>
      <c r="K51" s="45"/>
      <c r="L51" s="469">
        <v>0</v>
      </c>
      <c r="M51" s="83">
        <v>0</v>
      </c>
      <c r="N51" s="83">
        <v>0</v>
      </c>
      <c r="O51" s="83">
        <f t="shared" si="10"/>
        <v>0</v>
      </c>
      <c r="P51" s="83">
        <f t="shared" si="11"/>
        <v>0</v>
      </c>
      <c r="Q51" s="83">
        <v>0</v>
      </c>
      <c r="R51" s="83">
        <v>0</v>
      </c>
      <c r="S51" s="83">
        <v>0</v>
      </c>
      <c r="T51" s="83">
        <f t="shared" si="12"/>
        <v>0</v>
      </c>
      <c r="U51" s="83">
        <f t="shared" si="13"/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468">
        <f ca="1">IFERROR(__xludf.DUMMYFUNCTION("IMPORTRANGE(""https://docs.google.com/spreadsheets/d/1-uDff_7J0KD5mKrp0Vvzr7lt3OU09vwQwhkpOPPYv2Y/edit?usp=sharing"",""งบพรบ!S20"")"),0)</f>
        <v>0</v>
      </c>
      <c r="M52" s="224">
        <f ca="1">IFERROR(__xludf.DUMMYFUNCTION("IMPORTRANGE(""https://docs.google.com/spreadsheets/d/1-uDff_7J0KD5mKrp0Vvzr7lt3OU09vwQwhkpOPPYv2Y/edit?usp=sharing"",""งบพรบ!W20"")"),0)</f>
        <v>0</v>
      </c>
      <c r="N52" s="224">
        <f ca="1">IFERROR(__xludf.DUMMYFUNCTION("IMPORTRANGE(""https://docs.google.com/spreadsheets/d/1-uDff_7J0KD5mKrp0Vvzr7lt3OU09vwQwhkpOPPYv2Y/edit?usp=sharing"",""งบพรบ!Z20"")"),0)</f>
        <v>0</v>
      </c>
      <c r="O52" s="224">
        <f t="shared" ca="1" si="10"/>
        <v>0</v>
      </c>
      <c r="P52" s="224">
        <f t="shared" ca="1" si="11"/>
        <v>0</v>
      </c>
      <c r="Q52" s="224">
        <v>0</v>
      </c>
      <c r="R52" s="224">
        <v>0</v>
      </c>
      <c r="S52" s="224">
        <v>0</v>
      </c>
      <c r="T52" s="224">
        <f t="shared" si="12"/>
        <v>0</v>
      </c>
      <c r="U52" s="224">
        <f t="shared" si="13"/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465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674" t="s">
        <v>14</v>
      </c>
      <c r="I54" s="44"/>
      <c r="J54" s="44"/>
      <c r="K54" s="45"/>
      <c r="L54" s="465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463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804" t="s">
        <v>28</v>
      </c>
      <c r="B56" s="800"/>
      <c r="C56" s="800"/>
      <c r="D56" s="800"/>
      <c r="E56" s="800"/>
      <c r="F56" s="800"/>
      <c r="G56" s="80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805" t="s">
        <v>29</v>
      </c>
      <c r="C57" s="793"/>
      <c r="D57" s="793"/>
      <c r="E57" s="793"/>
      <c r="F57" s="793"/>
      <c r="G57" s="794"/>
      <c r="H57" s="89"/>
      <c r="I57" s="90"/>
      <c r="J57" s="90"/>
      <c r="K57" s="91"/>
      <c r="L57" s="68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8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8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82">
        <f ca="1">L60+L61</f>
        <v>424100</v>
      </c>
      <c r="M59" s="681">
        <f ca="1">M60+M61</f>
        <v>426600</v>
      </c>
      <c r="N59" s="681">
        <f ca="1">N60+N61</f>
        <v>288520.59999999998</v>
      </c>
      <c r="O59" s="681">
        <f t="shared" ref="O59:O67" ca="1" si="16">IF(L59&gt;0,N59*100/L59,0)</f>
        <v>68.03126621079933</v>
      </c>
      <c r="P59" s="681">
        <f t="shared" ref="P59:P67" ca="1" si="17">IF(M59&gt;0,N59*100/M59,0)</f>
        <v>67.632583216127514</v>
      </c>
      <c r="Q59" s="681">
        <f>Q60+Q61</f>
        <v>0</v>
      </c>
      <c r="R59" s="681">
        <f>R60+R61</f>
        <v>0</v>
      </c>
      <c r="S59" s="681">
        <f>S60+S61</f>
        <v>0</v>
      </c>
      <c r="T59" s="681">
        <f t="shared" ref="T59:T67" si="18">IF(Q59&gt;0,S59*100/Q59,0)</f>
        <v>0</v>
      </c>
      <c r="U59" s="681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80" t="s">
        <v>20</v>
      </c>
      <c r="F60" s="99"/>
      <c r="G60" s="102"/>
      <c r="H60" s="679" t="s">
        <v>14</v>
      </c>
      <c r="I60" s="104"/>
      <c r="J60" s="104"/>
      <c r="K60" s="105"/>
      <c r="L60" s="678">
        <f t="shared" ref="L60:N61" si="20">L63+L66</f>
        <v>0</v>
      </c>
      <c r="M60" s="677">
        <f t="shared" si="20"/>
        <v>0</v>
      </c>
      <c r="N60" s="677">
        <f t="shared" si="20"/>
        <v>0</v>
      </c>
      <c r="O60" s="677">
        <f t="shared" si="16"/>
        <v>0</v>
      </c>
      <c r="P60" s="677">
        <f t="shared" si="17"/>
        <v>0</v>
      </c>
      <c r="Q60" s="677">
        <f t="shared" ref="Q60:S61" si="21">Q63+Q66</f>
        <v>0</v>
      </c>
      <c r="R60" s="677">
        <f t="shared" si="21"/>
        <v>0</v>
      </c>
      <c r="S60" s="677">
        <f t="shared" si="21"/>
        <v>0</v>
      </c>
      <c r="T60" s="677">
        <f t="shared" si="18"/>
        <v>0</v>
      </c>
      <c r="U60" s="677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76">
        <f t="shared" ca="1" si="20"/>
        <v>424100</v>
      </c>
      <c r="M61" s="675">
        <f t="shared" ca="1" si="20"/>
        <v>426600</v>
      </c>
      <c r="N61" s="675">
        <f t="shared" ca="1" si="20"/>
        <v>288520.59999999998</v>
      </c>
      <c r="O61" s="675">
        <f t="shared" ca="1" si="16"/>
        <v>68.03126621079933</v>
      </c>
      <c r="P61" s="675">
        <f t="shared" ca="1" si="17"/>
        <v>67.632583216127514</v>
      </c>
      <c r="Q61" s="675">
        <f t="shared" si="21"/>
        <v>0</v>
      </c>
      <c r="R61" s="675">
        <f t="shared" si="21"/>
        <v>0</v>
      </c>
      <c r="S61" s="675">
        <f t="shared" si="21"/>
        <v>0</v>
      </c>
      <c r="T61" s="675">
        <f t="shared" si="18"/>
        <v>0</v>
      </c>
      <c r="U61" s="675">
        <f t="shared" si="19"/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468">
        <f ca="1">L63+L64</f>
        <v>424100</v>
      </c>
      <c r="M62" s="224">
        <f ca="1">M63+M64</f>
        <v>426600</v>
      </c>
      <c r="N62" s="224">
        <f ca="1">N63+N64</f>
        <v>288520.59999999998</v>
      </c>
      <c r="O62" s="224">
        <f t="shared" ca="1" si="16"/>
        <v>68.03126621079933</v>
      </c>
      <c r="P62" s="224">
        <f t="shared" ca="1" si="17"/>
        <v>67.632583216127514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 t="shared" si="18"/>
        <v>0</v>
      </c>
      <c r="U62" s="224">
        <f t="shared" si="19"/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674" t="s">
        <v>14</v>
      </c>
      <c r="I63" s="44"/>
      <c r="J63" s="44"/>
      <c r="K63" s="45"/>
      <c r="L63" s="469">
        <v>0</v>
      </c>
      <c r="M63" s="83">
        <v>0</v>
      </c>
      <c r="N63" s="83">
        <v>0</v>
      </c>
      <c r="O63" s="83">
        <f t="shared" si="16"/>
        <v>0</v>
      </c>
      <c r="P63" s="83">
        <f t="shared" si="17"/>
        <v>0</v>
      </c>
      <c r="Q63" s="83">
        <v>0</v>
      </c>
      <c r="R63" s="83">
        <v>0</v>
      </c>
      <c r="S63" s="83">
        <v>0</v>
      </c>
      <c r="T63" s="83">
        <f t="shared" si="18"/>
        <v>0</v>
      </c>
      <c r="U63" s="83">
        <f t="shared" si="19"/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468">
        <f ca="1">IFERROR(__xludf.DUMMYFUNCTION("IMPORTRANGE(""https://docs.google.com/spreadsheets/d/1-uDff_7J0KD5mKrp0Vvzr7lt3OU09vwQwhkpOPPYv2Y/edit?usp=sharing"",""งบพรบ!AC20"")"),424100)</f>
        <v>424100</v>
      </c>
      <c r="M64" s="224">
        <f ca="1">IFERROR(__xludf.DUMMYFUNCTION("IMPORTRANGE(""https://docs.google.com/spreadsheets/d/1-uDff_7J0KD5mKrp0Vvzr7lt3OU09vwQwhkpOPPYv2Y/edit?usp=sharing"",""งบพรบ!AH20"")"),426600)</f>
        <v>426600</v>
      </c>
      <c r="N64" s="224">
        <f ca="1">IFERROR(__xludf.DUMMYFUNCTION("IMPORTRANGE(""https://docs.google.com/spreadsheets/d/1-uDff_7J0KD5mKrp0Vvzr7lt3OU09vwQwhkpOPPYv2Y/edit?usp=sharing"",""งบพรบ!AJ20"")"),288520.6)</f>
        <v>288520.59999999998</v>
      </c>
      <c r="O64" s="224">
        <f t="shared" ca="1" si="16"/>
        <v>68.03126621079933</v>
      </c>
      <c r="P64" s="224">
        <f t="shared" ca="1" si="17"/>
        <v>67.632583216127514</v>
      </c>
      <c r="Q64" s="224">
        <v>0</v>
      </c>
      <c r="R64" s="224">
        <v>0</v>
      </c>
      <c r="S64" s="224">
        <v>0</v>
      </c>
      <c r="T64" s="224">
        <f t="shared" si="18"/>
        <v>0</v>
      </c>
      <c r="U64" s="224">
        <f t="shared" si="19"/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468">
        <f ca="1">L66+L67</f>
        <v>0</v>
      </c>
      <c r="M65" s="224">
        <f ca="1">M66+M67</f>
        <v>0</v>
      </c>
      <c r="N65" s="224">
        <f ca="1">N66+N67</f>
        <v>0</v>
      </c>
      <c r="O65" s="224">
        <f t="shared" ca="1" si="16"/>
        <v>0</v>
      </c>
      <c r="P65" s="224">
        <f t="shared" ca="1" si="17"/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 t="shared" si="18"/>
        <v>0</v>
      </c>
      <c r="U65" s="224">
        <f t="shared" si="19"/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674" t="s">
        <v>14</v>
      </c>
      <c r="I66" s="44"/>
      <c r="J66" s="44"/>
      <c r="K66" s="45"/>
      <c r="L66" s="469">
        <v>0</v>
      </c>
      <c r="M66" s="83">
        <v>0</v>
      </c>
      <c r="N66" s="83">
        <v>0</v>
      </c>
      <c r="O66" s="83">
        <f t="shared" si="16"/>
        <v>0</v>
      </c>
      <c r="P66" s="83">
        <f t="shared" si="17"/>
        <v>0</v>
      </c>
      <c r="Q66" s="83">
        <v>0</v>
      </c>
      <c r="R66" s="83">
        <v>0</v>
      </c>
      <c r="S66" s="83">
        <v>0</v>
      </c>
      <c r="T66" s="83">
        <f t="shared" si="18"/>
        <v>0</v>
      </c>
      <c r="U66" s="83">
        <f t="shared" si="19"/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673">
        <f ca="1">IFERROR(__xludf.DUMMYFUNCTION("IMPORTRANGE(""https://docs.google.com/spreadsheets/d/1-uDff_7J0KD5mKrp0Vvzr7lt3OU09vwQwhkpOPPYv2Y/edit?usp=sharing"",""งบพรบ!AF20"")"),0)</f>
        <v>0</v>
      </c>
      <c r="M67" s="455">
        <f ca="1">IFERROR(__xludf.DUMMYFUNCTION("IMPORTRANGE(""https://docs.google.com/spreadsheets/d/1-uDff_7J0KD5mKrp0Vvzr7lt3OU09vwQwhkpOPPYv2Y/edit?usp=sharing"",""งบพรบ!AI20"")"),0)</f>
        <v>0</v>
      </c>
      <c r="N67" s="455">
        <f ca="1">IFERROR(__xludf.DUMMYFUNCTION("IMPORTRANGE(""https://docs.google.com/spreadsheets/d/1-uDff_7J0KD5mKrp0Vvzr7lt3OU09vwQwhkpOPPYv2Y/edit?usp=sharing"",""งบพรบ!AK20"")"),0)</f>
        <v>0</v>
      </c>
      <c r="O67" s="455">
        <f t="shared" ca="1" si="16"/>
        <v>0</v>
      </c>
      <c r="P67" s="455">
        <f t="shared" ca="1" si="17"/>
        <v>0</v>
      </c>
      <c r="Q67" s="455">
        <v>0</v>
      </c>
      <c r="R67" s="455">
        <v>0</v>
      </c>
      <c r="S67" s="455">
        <v>0</v>
      </c>
      <c r="T67" s="455">
        <f t="shared" si="18"/>
        <v>0</v>
      </c>
      <c r="U67" s="455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7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665">
        <f ca="1">I82</f>
        <v>2</v>
      </c>
      <c r="J70" s="665">
        <f>J82</f>
        <v>1</v>
      </c>
      <c r="K70" s="664">
        <f ca="1">IF(I70&gt;0,J70*100/I70,0)</f>
        <v>50</v>
      </c>
      <c r="L70" s="510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665">
        <f ca="1">I83</f>
        <v>60</v>
      </c>
      <c r="J71" s="665">
        <f>J83</f>
        <v>30</v>
      </c>
      <c r="K71" s="664">
        <f ca="1">IF(I71&gt;0,J71*100/I71,0)</f>
        <v>50</v>
      </c>
      <c r="L71" s="510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129" t="s">
        <v>18</v>
      </c>
      <c r="D72" s="472" t="s">
        <v>19</v>
      </c>
      <c r="E72" s="40"/>
      <c r="F72" s="40"/>
      <c r="G72" s="42"/>
      <c r="H72" s="131" t="s">
        <v>14</v>
      </c>
      <c r="I72" s="44"/>
      <c r="J72" s="44"/>
      <c r="K72" s="45"/>
      <c r="L72" s="471">
        <f ca="1">L73+L74</f>
        <v>560200</v>
      </c>
      <c r="M72" s="470">
        <f ca="1">M73+M74</f>
        <v>559332</v>
      </c>
      <c r="N72" s="470">
        <f ca="1">N73+N74</f>
        <v>409581.79</v>
      </c>
      <c r="O72" s="470">
        <f t="shared" ref="O72:O80" ca="1" si="22">IF(L72&gt;0,N72*100/L72,0)</f>
        <v>73.113493395215997</v>
      </c>
      <c r="P72" s="470">
        <f t="shared" ref="P72:P80" ca="1" si="23">IF(M72&gt;0,N72*100/M72,0)</f>
        <v>73.226954653050427</v>
      </c>
      <c r="Q72" s="470">
        <f ca="1">Q73+Q74</f>
        <v>724430</v>
      </c>
      <c r="R72" s="470">
        <f ca="1">R73+R74</f>
        <v>724430</v>
      </c>
      <c r="S72" s="470">
        <f ca="1">S73+S74</f>
        <v>57255</v>
      </c>
      <c r="T72" s="470">
        <f t="shared" ref="T72:T80" ca="1" si="24">IF(Q72&gt;0,S72*100/Q72,0)</f>
        <v>7.9034551302403271</v>
      </c>
      <c r="U72" s="470">
        <f t="shared" ref="U72:U80" ca="1" si="25">IF(R72&gt;0,S72*100/R72,0)</f>
        <v>7.9034551302403271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469">
        <f t="shared" ref="L73:N74" si="26">L76+L79</f>
        <v>0</v>
      </c>
      <c r="M73" s="83">
        <f t="shared" si="26"/>
        <v>0</v>
      </c>
      <c r="N73" s="83">
        <f t="shared" si="26"/>
        <v>0</v>
      </c>
      <c r="O73" s="83">
        <f t="shared" si="22"/>
        <v>0</v>
      </c>
      <c r="P73" s="83">
        <f t="shared" si="23"/>
        <v>0</v>
      </c>
      <c r="Q73" s="83">
        <f t="shared" ref="Q73:S74" si="27">Q76+Q79</f>
        <v>0</v>
      </c>
      <c r="R73" s="83">
        <f t="shared" si="27"/>
        <v>0</v>
      </c>
      <c r="S73" s="83">
        <f t="shared" si="27"/>
        <v>0</v>
      </c>
      <c r="T73" s="83">
        <f t="shared" si="24"/>
        <v>0</v>
      </c>
      <c r="U73" s="83">
        <f t="shared" si="25"/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468">
        <f t="shared" ca="1" si="26"/>
        <v>560200</v>
      </c>
      <c r="M74" s="224">
        <f t="shared" ca="1" si="26"/>
        <v>559332</v>
      </c>
      <c r="N74" s="224">
        <f t="shared" ca="1" si="26"/>
        <v>409581.79</v>
      </c>
      <c r="O74" s="224">
        <f t="shared" ca="1" si="22"/>
        <v>73.113493395215997</v>
      </c>
      <c r="P74" s="224">
        <f t="shared" ca="1" si="23"/>
        <v>73.226954653050427</v>
      </c>
      <c r="Q74" s="224">
        <f t="shared" ca="1" si="27"/>
        <v>724430</v>
      </c>
      <c r="R74" s="224">
        <f t="shared" ca="1" si="27"/>
        <v>724430</v>
      </c>
      <c r="S74" s="224">
        <f t="shared" ca="1" si="27"/>
        <v>57255</v>
      </c>
      <c r="T74" s="224">
        <f t="shared" ca="1" si="24"/>
        <v>7.9034551302403271</v>
      </c>
      <c r="U74" s="224">
        <f t="shared" ca="1" si="25"/>
        <v>7.9034551302403271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468">
        <f ca="1">L76+L77</f>
        <v>560200</v>
      </c>
      <c r="M75" s="224">
        <f ca="1">M76+M77</f>
        <v>559332</v>
      </c>
      <c r="N75" s="224">
        <f ca="1">N76+N77</f>
        <v>409581.79</v>
      </c>
      <c r="O75" s="224">
        <f t="shared" ca="1" si="22"/>
        <v>73.113493395215997</v>
      </c>
      <c r="P75" s="224">
        <f t="shared" ca="1" si="23"/>
        <v>73.226954653050427</v>
      </c>
      <c r="Q75" s="224">
        <f ca="1">Q76+Q77</f>
        <v>724430</v>
      </c>
      <c r="R75" s="224">
        <f ca="1">R76+R77</f>
        <v>724430</v>
      </c>
      <c r="S75" s="224">
        <f ca="1">S76+S77</f>
        <v>57255</v>
      </c>
      <c r="T75" s="224">
        <f t="shared" ca="1" si="24"/>
        <v>7.9034551302403271</v>
      </c>
      <c r="U75" s="224">
        <f t="shared" ca="1" si="25"/>
        <v>7.9034551302403271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469">
        <v>0</v>
      </c>
      <c r="M76" s="83">
        <v>0</v>
      </c>
      <c r="N76" s="83">
        <v>0</v>
      </c>
      <c r="O76" s="83">
        <f t="shared" si="22"/>
        <v>0</v>
      </c>
      <c r="P76" s="83">
        <f t="shared" si="23"/>
        <v>0</v>
      </c>
      <c r="Q76" s="83">
        <v>0</v>
      </c>
      <c r="R76" s="83">
        <v>0</v>
      </c>
      <c r="S76" s="83">
        <v>0</v>
      </c>
      <c r="T76" s="83">
        <f t="shared" si="24"/>
        <v>0</v>
      </c>
      <c r="U76" s="83">
        <f t="shared" si="25"/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468">
        <f ca="1">IFERROR(__xludf.DUMMYFUNCTION("IMPORTRANGE(""https://docs.google.com/spreadsheets/d/1-uDff_7J0KD5mKrp0Vvzr7lt3OU09vwQwhkpOPPYv2Y/edit?usp=sharing"",""งบพรบ!AM20"")"),560200)</f>
        <v>560200</v>
      </c>
      <c r="M77" s="224">
        <f ca="1">IFERROR(__xludf.DUMMYFUNCTION("IMPORTRANGE(""https://docs.google.com/spreadsheets/d/1-uDff_7J0KD5mKrp0Vvzr7lt3OU09vwQwhkpOPPYv2Y/edit?usp=sharing"",""งบพรบ!AR20"")"),559332)</f>
        <v>559332</v>
      </c>
      <c r="N77" s="224">
        <f ca="1">IFERROR(__xludf.DUMMYFUNCTION("IMPORTRANGE(""https://docs.google.com/spreadsheets/d/1-uDff_7J0KD5mKrp0Vvzr7lt3OU09vwQwhkpOPPYv2Y/edit?usp=sharing"",""งบพรบ!AT20"")"),409581.79)</f>
        <v>409581.79</v>
      </c>
      <c r="O77" s="224">
        <f t="shared" ca="1" si="22"/>
        <v>73.113493395215997</v>
      </c>
      <c r="P77" s="224">
        <f t="shared" ca="1" si="23"/>
        <v>73.226954653050427</v>
      </c>
      <c r="Q77" s="224">
        <f ca="1">IFERROR(__xludf.DUMMYFUNCTION("IMPORTRANGE(""https://docs.google.com/spreadsheets/d/1ItG2mGa2ceCfYo0BwxsXqNm01IGEUdYcSSLTEv9YCik/edit?usp=sharing"",""เบิกจ่ายกองทุน!AS20"")"),724430)</f>
        <v>724430</v>
      </c>
      <c r="R77" s="224">
        <f ca="1">IFERROR(__xludf.DUMMYFUNCTION("IMPORTRANGE(""https://docs.google.com/spreadsheets/d/1ItG2mGa2ceCfYo0BwxsXqNm01IGEUdYcSSLTEv9YCik/edit?usp=sharing"",""เบิกจ่ายกองทุน!AT20"")"),724430)</f>
        <v>724430</v>
      </c>
      <c r="S77" s="224">
        <f ca="1">IFERROR(__xludf.DUMMYFUNCTION("IMPORTRANGE(""https://docs.google.com/spreadsheets/d/1ItG2mGa2ceCfYo0BwxsXqNm01IGEUdYcSSLTEv9YCik/edit?usp=sharing"",""เบิกจ่ายกองทุน!AU20"")"),57255)</f>
        <v>57255</v>
      </c>
      <c r="T77" s="224">
        <f t="shared" ca="1" si="24"/>
        <v>7.9034551302403271</v>
      </c>
      <c r="U77" s="224">
        <f t="shared" ca="1" si="25"/>
        <v>7.9034551302403271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468">
        <f ca="1">L79+L80</f>
        <v>0</v>
      </c>
      <c r="M78" s="224">
        <f ca="1">M79+M80</f>
        <v>0</v>
      </c>
      <c r="N78" s="224">
        <f ca="1">N79+N80</f>
        <v>0</v>
      </c>
      <c r="O78" s="224">
        <f t="shared" ca="1" si="22"/>
        <v>0</v>
      </c>
      <c r="P78" s="224">
        <f t="shared" ca="1" si="23"/>
        <v>0</v>
      </c>
      <c r="Q78" s="224">
        <f>Q79+Q80</f>
        <v>0</v>
      </c>
      <c r="R78" s="224">
        <f>R79+R80</f>
        <v>0</v>
      </c>
      <c r="S78" s="224">
        <f>S79+S80</f>
        <v>0</v>
      </c>
      <c r="T78" s="224">
        <f t="shared" si="24"/>
        <v>0</v>
      </c>
      <c r="U78" s="224">
        <f t="shared" si="25"/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469">
        <v>0</v>
      </c>
      <c r="M79" s="224">
        <v>0</v>
      </c>
      <c r="N79" s="224">
        <v>0</v>
      </c>
      <c r="O79" s="83">
        <f t="shared" si="22"/>
        <v>0</v>
      </c>
      <c r="P79" s="83">
        <f t="shared" si="23"/>
        <v>0</v>
      </c>
      <c r="Q79" s="83">
        <v>0</v>
      </c>
      <c r="R79" s="224">
        <v>0</v>
      </c>
      <c r="S79" s="224">
        <v>0</v>
      </c>
      <c r="T79" s="83">
        <f t="shared" si="24"/>
        <v>0</v>
      </c>
      <c r="U79" s="83">
        <f t="shared" si="25"/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468">
        <f ca="1">IFERROR(__xludf.DUMMYFUNCTION("IMPORTRANGE(""https://docs.google.com/spreadsheets/d/1-uDff_7J0KD5mKrp0Vvzr7lt3OU09vwQwhkpOPPYv2Y/edit?usp=sharing"",""งบพรบ!AP20"")"),0)</f>
        <v>0</v>
      </c>
      <c r="M80" s="224">
        <f ca="1">IFERROR(__xludf.DUMMYFUNCTION("IMPORTRANGE(""https://docs.google.com/spreadsheets/d/1-uDff_7J0KD5mKrp0Vvzr7lt3OU09vwQwhkpOPPYv2Y/edit?usp=sharing"",""งบพรบ!AS20"")"),0)</f>
        <v>0</v>
      </c>
      <c r="N80" s="224">
        <f ca="1">IFERROR(__xludf.DUMMYFUNCTION("IMPORTRANGE(""https://docs.google.com/spreadsheets/d/1-uDff_7J0KD5mKrp0Vvzr7lt3OU09vwQwhkpOPPYv2Y/edit?usp=sharing"",""งบพรบ!AU20"")"),0)</f>
        <v>0</v>
      </c>
      <c r="O80" s="224">
        <f t="shared" ca="1" si="22"/>
        <v>0</v>
      </c>
      <c r="P80" s="224">
        <f t="shared" ca="1" si="23"/>
        <v>0</v>
      </c>
      <c r="Q80" s="224">
        <v>0</v>
      </c>
      <c r="R80" s="224">
        <v>0</v>
      </c>
      <c r="S80" s="224">
        <v>0</v>
      </c>
      <c r="T80" s="224">
        <f t="shared" si="24"/>
        <v>0</v>
      </c>
      <c r="U80" s="224">
        <f t="shared" si="25"/>
        <v>0</v>
      </c>
    </row>
    <row r="81" spans="1:21" ht="19.5" x14ac:dyDescent="0.3">
      <c r="A81" s="138"/>
      <c r="B81" s="139"/>
      <c r="C81" s="129" t="s">
        <v>18</v>
      </c>
      <c r="D81" s="498" t="s">
        <v>38</v>
      </c>
      <c r="E81" s="141"/>
      <c r="F81" s="141"/>
      <c r="G81" s="142"/>
      <c r="H81" s="143"/>
      <c r="I81" s="135"/>
      <c r="J81" s="135"/>
      <c r="K81" s="136"/>
      <c r="L81" s="4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ca="1">I84+I86+I88</f>
        <v>2</v>
      </c>
      <c r="J82" s="328">
        <f>J84+J86+J88</f>
        <v>1</v>
      </c>
      <c r="K82" s="582">
        <f t="shared" ref="K82:K90" ca="1" si="28">IF(I82&gt;0,J82*100/I82,0)</f>
        <v>50</v>
      </c>
      <c r="L82" s="4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ca="1">I85+I87+I89</f>
        <v>60</v>
      </c>
      <c r="J83" s="328">
        <f>J85+J87+J89</f>
        <v>30</v>
      </c>
      <c r="K83" s="582">
        <f t="shared" ca="1" si="28"/>
        <v>50</v>
      </c>
      <c r="L83" s="4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581">
        <f ca="1">IFERROR(__xludf.DUMMYFUNCTION("IMPORTRANGE(""https://docs.google.com/spreadsheets/d/1eHaY18a8A9IcSdp1K8H6x8fbOy06t2VsZHhMHf-1x7Y/edit?usp=sharing"",""แผน!H20"")"),1)</f>
        <v>1</v>
      </c>
      <c r="J84" s="466">
        <v>0</v>
      </c>
      <c r="K84" s="497">
        <f t="shared" ca="1" si="28"/>
        <v>0</v>
      </c>
      <c r="L84" s="4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581">
        <f ca="1">IFERROR(__xludf.DUMMYFUNCTION("IMPORTRANGE(""https://docs.google.com/spreadsheets/d/1eHaY18a8A9IcSdp1K8H6x8fbOy06t2VsZHhMHf-1x7Y/edit?usp=sharing"",""แผน!I20"")"),30)</f>
        <v>30</v>
      </c>
      <c r="J85" s="466">
        <v>0</v>
      </c>
      <c r="K85" s="497">
        <f t="shared" ca="1" si="28"/>
        <v>0</v>
      </c>
      <c r="L85" s="4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581">
        <f ca="1">IFERROR(__xludf.DUMMYFUNCTION("IMPORTRANGE(""https://docs.google.com/spreadsheets/d/1eHaY18a8A9IcSdp1K8H6x8fbOy06t2VsZHhMHf-1x7Y/edit?usp=sharing"",""แผน!F20"")"),0)</f>
        <v>0</v>
      </c>
      <c r="J86" s="466">
        <v>0</v>
      </c>
      <c r="K86" s="497">
        <f t="shared" ca="1" si="28"/>
        <v>0</v>
      </c>
      <c r="L86" s="4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581">
        <f ca="1">IFERROR(__xludf.DUMMYFUNCTION("IMPORTRANGE(""https://docs.google.com/spreadsheets/d/1eHaY18a8A9IcSdp1K8H6x8fbOy06t2VsZHhMHf-1x7Y/edit?usp=sharing"",""แผน!G20"")"),0)</f>
        <v>0</v>
      </c>
      <c r="J87" s="466">
        <v>0</v>
      </c>
      <c r="K87" s="497">
        <f t="shared" ca="1" si="28"/>
        <v>0</v>
      </c>
      <c r="L87" s="4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581">
        <f ca="1">IFERROR(__xludf.DUMMYFUNCTION("IMPORTRANGE(""https://docs.google.com/spreadsheets/d/1eHaY18a8A9IcSdp1K8H6x8fbOy06t2VsZHhMHf-1x7Y/edit?usp=sharing"",""แผน!D20"")"),1)</f>
        <v>1</v>
      </c>
      <c r="J88" s="466">
        <v>1</v>
      </c>
      <c r="K88" s="497">
        <f t="shared" ca="1" si="28"/>
        <v>100</v>
      </c>
      <c r="L88" s="4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581">
        <f ca="1">IFERROR(__xludf.DUMMYFUNCTION("IMPORTRANGE(""https://docs.google.com/spreadsheets/d/1eHaY18a8A9IcSdp1K8H6x8fbOy06t2VsZHhMHf-1x7Y/edit?usp=sharing"",""แผน!E20"")"),30)</f>
        <v>30</v>
      </c>
      <c r="J89" s="466">
        <v>30</v>
      </c>
      <c r="K89" s="497">
        <f t="shared" ca="1" si="28"/>
        <v>100</v>
      </c>
      <c r="L89" s="4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581">
        <f ca="1">IFERROR(__xludf.DUMMYFUNCTION("IMPORTRANGE(""https://docs.google.com/spreadsheets/d/1eHaY18a8A9IcSdp1K8H6x8fbOy06t2VsZHhMHf-1x7Y/edit?usp=sharing"",""แผน!J20"")"),2)</f>
        <v>2</v>
      </c>
      <c r="J90" s="466">
        <v>1</v>
      </c>
      <c r="K90" s="497">
        <f t="shared" ca="1" si="28"/>
        <v>50</v>
      </c>
      <c r="L90" s="4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7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665">
        <f ca="1">I108</f>
        <v>0</v>
      </c>
      <c r="J92" s="665">
        <f>J108</f>
        <v>0</v>
      </c>
      <c r="K92" s="664">
        <f ca="1">IF(I92&gt;0,J92*100/I92,0)</f>
        <v>0</v>
      </c>
      <c r="L92" s="510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665">
        <f ca="1">I109</f>
        <v>0</v>
      </c>
      <c r="J93" s="665">
        <f>J109</f>
        <v>0</v>
      </c>
      <c r="K93" s="664">
        <f ca="1">IF(I93&gt;0,J93*100/I93,0)</f>
        <v>0</v>
      </c>
      <c r="L93" s="510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472" t="s">
        <v>19</v>
      </c>
      <c r="E94" s="40"/>
      <c r="F94" s="40"/>
      <c r="G94" s="42"/>
      <c r="H94" s="131" t="s">
        <v>14</v>
      </c>
      <c r="I94" s="44"/>
      <c r="J94" s="44"/>
      <c r="K94" s="45"/>
      <c r="L94" s="471">
        <f ca="1">L95+L96</f>
        <v>0</v>
      </c>
      <c r="M94" s="470">
        <f ca="1">M95+M96</f>
        <v>0</v>
      </c>
      <c r="N94" s="470">
        <f ca="1">N95+N96</f>
        <v>0</v>
      </c>
      <c r="O94" s="470">
        <f t="shared" ref="O94:O102" ca="1" si="29">IF(L94&gt;0,N94*100/L94,0)</f>
        <v>0</v>
      </c>
      <c r="P94" s="470">
        <f t="shared" ref="P94:P102" ca="1" si="30">IF(M94&gt;0,N94*100/M94,0)</f>
        <v>0</v>
      </c>
      <c r="Q94" s="470">
        <f ca="1">Q95+Q96</f>
        <v>0</v>
      </c>
      <c r="R94" s="470">
        <f ca="1">R95+R96</f>
        <v>0</v>
      </c>
      <c r="S94" s="470">
        <f ca="1">S95+S96</f>
        <v>0</v>
      </c>
      <c r="T94" s="470">
        <f t="shared" ref="T94:T102" ca="1" si="31">IF(Q94&gt;0,S94*100/Q94,0)</f>
        <v>0</v>
      </c>
      <c r="U94" s="470">
        <f t="shared" ref="U94:U102" ca="1" si="32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469">
        <f t="shared" ref="L95:N96" si="33">L98+L101</f>
        <v>0</v>
      </c>
      <c r="M95" s="83">
        <f t="shared" si="33"/>
        <v>0</v>
      </c>
      <c r="N95" s="83">
        <f t="shared" si="33"/>
        <v>0</v>
      </c>
      <c r="O95" s="83">
        <f t="shared" si="29"/>
        <v>0</v>
      </c>
      <c r="P95" s="83">
        <f t="shared" si="30"/>
        <v>0</v>
      </c>
      <c r="Q95" s="83">
        <f t="shared" ref="Q95:S96" si="34">Q98+Q101</f>
        <v>0</v>
      </c>
      <c r="R95" s="83">
        <f t="shared" si="34"/>
        <v>0</v>
      </c>
      <c r="S95" s="83">
        <f t="shared" si="34"/>
        <v>0</v>
      </c>
      <c r="T95" s="83">
        <f t="shared" si="31"/>
        <v>0</v>
      </c>
      <c r="U95" s="83">
        <f t="shared" si="32"/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468">
        <f t="shared" ca="1" si="33"/>
        <v>0</v>
      </c>
      <c r="M96" s="224">
        <f t="shared" ca="1" si="33"/>
        <v>0</v>
      </c>
      <c r="N96" s="224">
        <f t="shared" ca="1" si="33"/>
        <v>0</v>
      </c>
      <c r="O96" s="224">
        <f t="shared" ca="1" si="29"/>
        <v>0</v>
      </c>
      <c r="P96" s="224">
        <f t="shared" ca="1" si="30"/>
        <v>0</v>
      </c>
      <c r="Q96" s="224">
        <f t="shared" ca="1" si="34"/>
        <v>0</v>
      </c>
      <c r="R96" s="224">
        <f t="shared" ca="1" si="34"/>
        <v>0</v>
      </c>
      <c r="S96" s="224">
        <f t="shared" ca="1" si="34"/>
        <v>0</v>
      </c>
      <c r="T96" s="224">
        <f t="shared" ca="1" si="31"/>
        <v>0</v>
      </c>
      <c r="U96" s="224">
        <f t="shared" ca="1" si="32"/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468">
        <f ca="1">L98+L99</f>
        <v>0</v>
      </c>
      <c r="M97" s="224">
        <f ca="1">M98+M99</f>
        <v>0</v>
      </c>
      <c r="N97" s="224">
        <f ca="1">N98+N99</f>
        <v>0</v>
      </c>
      <c r="O97" s="224">
        <f t="shared" ca="1" si="29"/>
        <v>0</v>
      </c>
      <c r="P97" s="224">
        <f t="shared" ca="1" si="30"/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t="shared" ca="1" si="31"/>
        <v>0</v>
      </c>
      <c r="U97" s="224">
        <f t="shared" ca="1" si="32"/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469">
        <v>0</v>
      </c>
      <c r="M98" s="83">
        <v>0</v>
      </c>
      <c r="N98" s="83">
        <v>0</v>
      </c>
      <c r="O98" s="83">
        <f t="shared" si="29"/>
        <v>0</v>
      </c>
      <c r="P98" s="83">
        <f t="shared" si="30"/>
        <v>0</v>
      </c>
      <c r="Q98" s="83">
        <v>0</v>
      </c>
      <c r="R98" s="83">
        <v>0</v>
      </c>
      <c r="S98" s="83">
        <v>0</v>
      </c>
      <c r="T98" s="83">
        <f t="shared" si="31"/>
        <v>0</v>
      </c>
      <c r="U98" s="83">
        <f t="shared" si="32"/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468">
        <f ca="1">IFERROR(__xludf.DUMMYFUNCTION("IMPORTRANGE(""https://docs.google.com/spreadsheets/d/1-uDff_7J0KD5mKrp0Vvzr7lt3OU09vwQwhkpOPPYv2Y/edit?usp=sharing"",""งบพรบ!AW20"")"),0)</f>
        <v>0</v>
      </c>
      <c r="M99" s="224">
        <f ca="1">IFERROR(__xludf.DUMMYFUNCTION("IMPORTRANGE(""https://docs.google.com/spreadsheets/d/1-uDff_7J0KD5mKrp0Vvzr7lt3OU09vwQwhkpOPPYv2Y/edit?usp=sharing"",""งบพรบ!BB20"")"),0)</f>
        <v>0</v>
      </c>
      <c r="N99" s="224">
        <f ca="1">IFERROR(__xludf.DUMMYFUNCTION("IMPORTRANGE(""https://docs.google.com/spreadsheets/d/1-uDff_7J0KD5mKrp0Vvzr7lt3OU09vwQwhkpOPPYv2Y/edit?usp=sharing"",""งบพรบ!BD20"")"),0)</f>
        <v>0</v>
      </c>
      <c r="O99" s="224">
        <f t="shared" ca="1" si="29"/>
        <v>0</v>
      </c>
      <c r="P99" s="224">
        <f t="shared" ca="1" si="30"/>
        <v>0</v>
      </c>
      <c r="Q99" s="224">
        <f ca="1">IFERROR(__xludf.DUMMYFUNCTION("IMPORTRANGE(""https://docs.google.com/spreadsheets/d/1ItG2mGa2ceCfYo0BwxsXqNm01IGEUdYcSSLTEv9YCik/edit?usp=sharing"",""เบิกจ่ายกองทุน!AD20"")"),0)</f>
        <v>0</v>
      </c>
      <c r="R99" s="224">
        <f ca="1">IFERROR(__xludf.DUMMYFUNCTION("IMPORTRANGE(""https://docs.google.com/spreadsheets/d/1ItG2mGa2ceCfYo0BwxsXqNm01IGEUdYcSSLTEv9YCik/edit?usp=sharing"",""เบิกจ่ายกองทุน!AE20"")"),0)</f>
        <v>0</v>
      </c>
      <c r="S99" s="224">
        <f ca="1">IFERROR(__xludf.DUMMYFUNCTION("IMPORTRANGE(""https://docs.google.com/spreadsheets/d/1ItG2mGa2ceCfYo0BwxsXqNm01IGEUdYcSSLTEv9YCik/edit?usp=sharing"",""เบิกจ่ายกองทุน!AF20"")"),0)</f>
        <v>0</v>
      </c>
      <c r="T99" s="224">
        <f t="shared" ca="1" si="31"/>
        <v>0</v>
      </c>
      <c r="U99" s="224">
        <f t="shared" ca="1" si="32"/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468">
        <f ca="1">L101+L102</f>
        <v>0</v>
      </c>
      <c r="M100" s="224">
        <f ca="1">M101+M102</f>
        <v>0</v>
      </c>
      <c r="N100" s="224">
        <f ca="1">N101+N102</f>
        <v>0</v>
      </c>
      <c r="O100" s="224">
        <f t="shared" ca="1" si="29"/>
        <v>0</v>
      </c>
      <c r="P100" s="224">
        <f t="shared" ca="1" si="30"/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 t="shared" si="31"/>
        <v>0</v>
      </c>
      <c r="U100" s="224">
        <f t="shared" si="32"/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469">
        <v>0</v>
      </c>
      <c r="M101" s="83">
        <v>0</v>
      </c>
      <c r="N101" s="83">
        <v>0</v>
      </c>
      <c r="O101" s="83">
        <f t="shared" si="29"/>
        <v>0</v>
      </c>
      <c r="P101" s="83">
        <f t="shared" si="30"/>
        <v>0</v>
      </c>
      <c r="Q101" s="83">
        <v>0</v>
      </c>
      <c r="R101" s="83">
        <v>0</v>
      </c>
      <c r="S101" s="83">
        <v>0</v>
      </c>
      <c r="T101" s="83">
        <f t="shared" si="31"/>
        <v>0</v>
      </c>
      <c r="U101" s="83">
        <f t="shared" si="32"/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468">
        <f ca="1">IFERROR(__xludf.DUMMYFUNCTION("IMPORTRANGE(""https://docs.google.com/spreadsheets/d/1-uDff_7J0KD5mKrp0Vvzr7lt3OU09vwQwhkpOPPYv2Y/edit?usp=sharing"",""งบพรบ!AZ20"")"),0)</f>
        <v>0</v>
      </c>
      <c r="M102" s="224">
        <f ca="1">IFERROR(__xludf.DUMMYFUNCTION("IMPORTRANGE(""https://docs.google.com/spreadsheets/d/1-uDff_7J0KD5mKrp0Vvzr7lt3OU09vwQwhkpOPPYv2Y/edit?usp=sharing"",""งบพรบ!BC20"")"),0)</f>
        <v>0</v>
      </c>
      <c r="N102" s="224">
        <f ca="1">IFERROR(__xludf.DUMMYFUNCTION("IMPORTRANGE(""https://docs.google.com/spreadsheets/d/1-uDff_7J0KD5mKrp0Vvzr7lt3OU09vwQwhkpOPPYv2Y/edit?usp=sharing"",""งบพรบ!BE20"")"),0)</f>
        <v>0</v>
      </c>
      <c r="O102" s="224">
        <f t="shared" ca="1" si="29"/>
        <v>0</v>
      </c>
      <c r="P102" s="224">
        <f t="shared" ca="1" si="30"/>
        <v>0</v>
      </c>
      <c r="Q102" s="224">
        <v>0</v>
      </c>
      <c r="R102" s="224">
        <v>0</v>
      </c>
      <c r="S102" s="224">
        <v>0</v>
      </c>
      <c r="T102" s="224">
        <f t="shared" si="31"/>
        <v>0</v>
      </c>
      <c r="U102" s="224">
        <f t="shared" si="32"/>
        <v>0</v>
      </c>
    </row>
    <row r="103" spans="1:21" ht="19.5" hidden="1" x14ac:dyDescent="0.3">
      <c r="A103" s="138"/>
      <c r="B103" s="139"/>
      <c r="C103" s="129" t="s">
        <v>18</v>
      </c>
      <c r="D103" s="498" t="s">
        <v>38</v>
      </c>
      <c r="E103" s="141"/>
      <c r="F103" s="141"/>
      <c r="G103" s="142"/>
      <c r="H103" s="143"/>
      <c r="I103" s="135"/>
      <c r="J103" s="44"/>
      <c r="K103" s="45"/>
      <c r="L103" s="465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571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571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571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465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IFERROR(__xludf.DUMMYFUNCTION("IMPORTRANGE(""https://docs.google.com/spreadsheets/d/1eHaY18a8A9IcSdp1K8H6x8fbOy06t2VsZHhMHf-1x7Y/edit?usp=sharing"",""แผน!N20"")"),0)</f>
        <v>0</v>
      </c>
      <c r="J108" s="466">
        <v>0</v>
      </c>
      <c r="K108" s="224">
        <f ca="1">IF(I108&gt;0,J108*100/I108,0)</f>
        <v>0</v>
      </c>
      <c r="L108" s="465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IFERROR(__xludf.DUMMYFUNCTION("IMPORTRANGE(""https://docs.google.com/spreadsheets/d/1eHaY18a8A9IcSdp1K8H6x8fbOy06t2VsZHhMHf-1x7Y/edit?usp=sharing"",""แผน!O20"")"),0)</f>
        <v>0</v>
      </c>
      <c r="J109" s="466">
        <v>0</v>
      </c>
      <c r="K109" s="224">
        <f ca="1">IF(I109&gt;0,J109*100/I109,0)</f>
        <v>0</v>
      </c>
      <c r="L109" s="465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571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571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571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571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581">
        <f ca="1">IFERROR(__xludf.DUMMYFUNCTION("IMPORTRANGE(""https://docs.google.com/spreadsheets/d/1eHaY18a8A9IcSdp1K8H6x8fbOy06t2VsZHhMHf-1x7Y/edit?usp=sharing"",""แผน!R20"")"),0)</f>
        <v>0</v>
      </c>
      <c r="J114" s="466">
        <v>0</v>
      </c>
      <c r="K114" s="224">
        <f ca="1">IF(I114&gt;0,J114*100/I114,0)</f>
        <v>0</v>
      </c>
      <c r="L114" s="46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671" t="s">
        <v>51</v>
      </c>
      <c r="B115" s="668"/>
      <c r="C115" s="670"/>
      <c r="D115" s="669"/>
      <c r="E115" s="669"/>
      <c r="F115" s="669"/>
      <c r="G115" s="669"/>
      <c r="H115" s="668"/>
      <c r="I115" s="667"/>
      <c r="J115" s="667"/>
      <c r="K115" s="66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665">
        <f ca="1">I127</f>
        <v>60</v>
      </c>
      <c r="J116" s="665">
        <f>J127</f>
        <v>60</v>
      </c>
      <c r="K116" s="664">
        <f ca="1">IF(I116&gt;0,J116*100/I116,0)</f>
        <v>100</v>
      </c>
      <c r="L116" s="510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472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471">
        <f ca="1">L118+L119</f>
        <v>0</v>
      </c>
      <c r="M117" s="470">
        <f ca="1">M118+M119</f>
        <v>0</v>
      </c>
      <c r="N117" s="470">
        <f ca="1">N118+N119</f>
        <v>0</v>
      </c>
      <c r="O117" s="470">
        <f t="shared" ref="O117:O125" ca="1" si="35">IF(L117&gt;0,N117*100/L117,0)</f>
        <v>0</v>
      </c>
      <c r="P117" s="470">
        <f t="shared" ref="P117:P125" ca="1" si="36">IF(M117&gt;0,N117*100/M117,0)</f>
        <v>0</v>
      </c>
      <c r="Q117" s="470">
        <f ca="1">Q118+Q119</f>
        <v>322280</v>
      </c>
      <c r="R117" s="470">
        <f ca="1">R118+R119</f>
        <v>322280</v>
      </c>
      <c r="S117" s="470">
        <f ca="1">S118+S119</f>
        <v>136360</v>
      </c>
      <c r="T117" s="470">
        <f t="shared" ref="T117:T125" ca="1" si="37">IF(Q117&gt;0,S117*100/Q117,0)</f>
        <v>42.311033883579498</v>
      </c>
      <c r="U117" s="470">
        <f t="shared" ref="U117:U125" ca="1" si="38">IF(R117&gt;0,S117*100/R117,0)</f>
        <v>42.311033883579498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469">
        <f t="shared" ref="L118:N119" si="39">L121+L124</f>
        <v>0</v>
      </c>
      <c r="M118" s="83">
        <f t="shared" si="39"/>
        <v>0</v>
      </c>
      <c r="N118" s="83">
        <f t="shared" si="39"/>
        <v>0</v>
      </c>
      <c r="O118" s="83">
        <f t="shared" si="35"/>
        <v>0</v>
      </c>
      <c r="P118" s="83">
        <f t="shared" si="36"/>
        <v>0</v>
      </c>
      <c r="Q118" s="83">
        <f t="shared" ref="Q118:S119" si="40">Q121+Q124</f>
        <v>0</v>
      </c>
      <c r="R118" s="83">
        <f t="shared" si="40"/>
        <v>0</v>
      </c>
      <c r="S118" s="83">
        <f t="shared" si="40"/>
        <v>0</v>
      </c>
      <c r="T118" s="83">
        <f t="shared" si="37"/>
        <v>0</v>
      </c>
      <c r="U118" s="83">
        <f t="shared" si="38"/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468">
        <f t="shared" ca="1" si="39"/>
        <v>0</v>
      </c>
      <c r="M119" s="224">
        <f t="shared" ca="1" si="39"/>
        <v>0</v>
      </c>
      <c r="N119" s="224">
        <f t="shared" ca="1" si="39"/>
        <v>0</v>
      </c>
      <c r="O119" s="224">
        <f t="shared" ca="1" si="35"/>
        <v>0</v>
      </c>
      <c r="P119" s="224">
        <f t="shared" ca="1" si="36"/>
        <v>0</v>
      </c>
      <c r="Q119" s="224">
        <f t="shared" ca="1" si="40"/>
        <v>322280</v>
      </c>
      <c r="R119" s="224">
        <f t="shared" ca="1" si="40"/>
        <v>322280</v>
      </c>
      <c r="S119" s="224">
        <f t="shared" ca="1" si="40"/>
        <v>136360</v>
      </c>
      <c r="T119" s="224">
        <f t="shared" ca="1" si="37"/>
        <v>42.311033883579498</v>
      </c>
      <c r="U119" s="224">
        <f t="shared" ca="1" si="38"/>
        <v>42.311033883579498</v>
      </c>
    </row>
    <row r="120" spans="1:21" ht="18.75" x14ac:dyDescent="0.25">
      <c r="A120" s="128"/>
      <c r="B120" s="158"/>
      <c r="C120" s="174"/>
      <c r="D120" s="53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468">
        <f ca="1">L121+L122</f>
        <v>0</v>
      </c>
      <c r="M120" s="224">
        <f ca="1">M121+M122</f>
        <v>0</v>
      </c>
      <c r="N120" s="224">
        <f ca="1">N121+N122</f>
        <v>0</v>
      </c>
      <c r="O120" s="224">
        <f t="shared" ca="1" si="35"/>
        <v>0</v>
      </c>
      <c r="P120" s="224">
        <f t="shared" ca="1" si="36"/>
        <v>0</v>
      </c>
      <c r="Q120" s="224">
        <f ca="1">Q121+Q122</f>
        <v>322280</v>
      </c>
      <c r="R120" s="224">
        <f ca="1">R121+R122</f>
        <v>322280</v>
      </c>
      <c r="S120" s="224">
        <f ca="1">S121+S122</f>
        <v>136360</v>
      </c>
      <c r="T120" s="224">
        <f t="shared" ca="1" si="37"/>
        <v>42.311033883579498</v>
      </c>
      <c r="U120" s="224">
        <f t="shared" ca="1" si="38"/>
        <v>42.311033883579498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469">
        <v>0</v>
      </c>
      <c r="M121" s="83">
        <v>0</v>
      </c>
      <c r="N121" s="83">
        <v>0</v>
      </c>
      <c r="O121" s="83">
        <f t="shared" si="35"/>
        <v>0</v>
      </c>
      <c r="P121" s="83">
        <f t="shared" si="36"/>
        <v>0</v>
      </c>
      <c r="Q121" s="83">
        <v>0</v>
      </c>
      <c r="R121" s="83">
        <v>0</v>
      </c>
      <c r="S121" s="83">
        <v>0</v>
      </c>
      <c r="T121" s="83">
        <f t="shared" si="37"/>
        <v>0</v>
      </c>
      <c r="U121" s="83">
        <f t="shared" si="38"/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468">
        <f ca="1">IFERROR(__xludf.DUMMYFUNCTION("IMPORTRANGE(""https://docs.google.com/spreadsheets/d/1-uDff_7J0KD5mKrp0Vvzr7lt3OU09vwQwhkpOPPYv2Y/edit?usp=sharing"",""งบพรบ!BG20"")"),0)</f>
        <v>0</v>
      </c>
      <c r="M122" s="224">
        <f ca="1">IFERROR(__xludf.DUMMYFUNCTION("IMPORTRANGE(""https://docs.google.com/spreadsheets/d/1-uDff_7J0KD5mKrp0Vvzr7lt3OU09vwQwhkpOPPYv2Y/edit?usp=sharing"",""งบพรบ!BL20"")"),0)</f>
        <v>0</v>
      </c>
      <c r="N122" s="224">
        <f ca="1">IFERROR(__xludf.DUMMYFUNCTION("IMPORTRANGE(""https://docs.google.com/spreadsheets/d/1-uDff_7J0KD5mKrp0Vvzr7lt3OU09vwQwhkpOPPYv2Y/edit?usp=sharing"",""งบพรบ!BN20"")"),0)</f>
        <v>0</v>
      </c>
      <c r="O122" s="224">
        <f t="shared" ca="1" si="35"/>
        <v>0</v>
      </c>
      <c r="P122" s="224">
        <f t="shared" ca="1" si="36"/>
        <v>0</v>
      </c>
      <c r="Q122" s="224">
        <f ca="1">IFERROR(__xludf.DUMMYFUNCTION("IMPORTRANGE(""https://docs.google.com/spreadsheets/d/1ItG2mGa2ceCfYo0BwxsXqNm01IGEUdYcSSLTEv9YCik/edit?usp=sharing"",""เบิกจ่ายกองทุน!R20"")"),322280)</f>
        <v>322280</v>
      </c>
      <c r="R122" s="224">
        <f ca="1">IFERROR(__xludf.DUMMYFUNCTION("IMPORTRANGE(""https://docs.google.com/spreadsheets/d/1ItG2mGa2ceCfYo0BwxsXqNm01IGEUdYcSSLTEv9YCik/edit?usp=sharing"",""เบิกจ่ายกองทุน!S20"")"),322280)</f>
        <v>322280</v>
      </c>
      <c r="S122" s="224">
        <f ca="1">IFERROR(__xludf.DUMMYFUNCTION("IMPORTRANGE(""https://docs.google.com/spreadsheets/d/1ItG2mGa2ceCfYo0BwxsXqNm01IGEUdYcSSLTEv9YCik/edit?usp=sharing"",""เบิกจ่ายกองทุน!T20"")"),136360)</f>
        <v>136360</v>
      </c>
      <c r="T122" s="224">
        <f t="shared" ca="1" si="37"/>
        <v>42.311033883579498</v>
      </c>
      <c r="U122" s="224">
        <f t="shared" ca="1" si="38"/>
        <v>42.311033883579498</v>
      </c>
    </row>
    <row r="123" spans="1:21" ht="18.75" x14ac:dyDescent="0.25">
      <c r="A123" s="128"/>
      <c r="B123" s="40"/>
      <c r="C123" s="174"/>
      <c r="D123" s="53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468">
        <f ca="1">L124+L125</f>
        <v>0</v>
      </c>
      <c r="M123" s="224">
        <f ca="1">M124+M125</f>
        <v>0</v>
      </c>
      <c r="N123" s="224">
        <f ca="1">N124+N125</f>
        <v>0</v>
      </c>
      <c r="O123" s="224">
        <f t="shared" ca="1" si="35"/>
        <v>0</v>
      </c>
      <c r="P123" s="224">
        <f t="shared" ca="1" si="36"/>
        <v>0</v>
      </c>
      <c r="Q123" s="224">
        <f>Q124+Q125</f>
        <v>0</v>
      </c>
      <c r="R123" s="224">
        <f>R124+R125</f>
        <v>0</v>
      </c>
      <c r="S123" s="224">
        <f>S124+S125</f>
        <v>0</v>
      </c>
      <c r="T123" s="224">
        <f t="shared" si="37"/>
        <v>0</v>
      </c>
      <c r="U123" s="224">
        <f t="shared" si="38"/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469">
        <v>0</v>
      </c>
      <c r="M124" s="83">
        <v>0</v>
      </c>
      <c r="N124" s="83">
        <v>0</v>
      </c>
      <c r="O124" s="83">
        <f t="shared" si="35"/>
        <v>0</v>
      </c>
      <c r="P124" s="83">
        <f t="shared" si="36"/>
        <v>0</v>
      </c>
      <c r="Q124" s="83">
        <v>0</v>
      </c>
      <c r="R124" s="83">
        <v>0</v>
      </c>
      <c r="S124" s="83">
        <v>0</v>
      </c>
      <c r="T124" s="83">
        <f t="shared" si="37"/>
        <v>0</v>
      </c>
      <c r="U124" s="83">
        <f t="shared" si="38"/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468">
        <f ca="1">IFERROR(__xludf.DUMMYFUNCTION("IMPORTRANGE(""https://docs.google.com/spreadsheets/d/1-uDff_7J0KD5mKrp0Vvzr7lt3OU09vwQwhkpOPPYv2Y/edit?usp=sharing"",""งบพรบ!BJ20"")"),0)</f>
        <v>0</v>
      </c>
      <c r="M125" s="224">
        <f ca="1">IFERROR(__xludf.DUMMYFUNCTION("IMPORTRANGE(""https://docs.google.com/spreadsheets/d/1-uDff_7J0KD5mKrp0Vvzr7lt3OU09vwQwhkpOPPYv2Y/edit?usp=sharing"",""งบพรบ!BM20"")"),0)</f>
        <v>0</v>
      </c>
      <c r="N125" s="224">
        <f ca="1">IFERROR(__xludf.DUMMYFUNCTION("IMPORTRANGE(""https://docs.google.com/spreadsheets/d/1-uDff_7J0KD5mKrp0Vvzr7lt3OU09vwQwhkpOPPYv2Y/edit?usp=sharing"",""งบพรบ!BO20"")"),0)</f>
        <v>0</v>
      </c>
      <c r="O125" s="224">
        <f t="shared" ca="1" si="35"/>
        <v>0</v>
      </c>
      <c r="P125" s="224">
        <f t="shared" ca="1" si="36"/>
        <v>0</v>
      </c>
      <c r="Q125" s="224">
        <v>0</v>
      </c>
      <c r="R125" s="224">
        <v>0</v>
      </c>
      <c r="S125" s="224">
        <v>0</v>
      </c>
      <c r="T125" s="224">
        <f t="shared" si="37"/>
        <v>0</v>
      </c>
      <c r="U125" s="224">
        <f t="shared" si="38"/>
        <v>0</v>
      </c>
    </row>
    <row r="126" spans="1:21" ht="19.5" x14ac:dyDescent="0.3">
      <c r="A126" s="138"/>
      <c r="B126" s="139"/>
      <c r="C126" s="177" t="s">
        <v>18</v>
      </c>
      <c r="D126" s="498" t="s">
        <v>38</v>
      </c>
      <c r="E126" s="141"/>
      <c r="F126" s="141"/>
      <c r="G126" s="142"/>
      <c r="H126" s="178"/>
      <c r="I126" s="44"/>
      <c r="J126" s="44"/>
      <c r="K126" s="45"/>
      <c r="L126" s="465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IFERROR(__xludf.DUMMYFUNCTION("IMPORTRANGE(""https://docs.google.com/spreadsheets/d/1eHaY18a8A9IcSdp1K8H6x8fbOy06t2VsZHhMHf-1x7Y/edit?usp=sharing"",""แผน!FF20"")"),60)</f>
        <v>60</v>
      </c>
      <c r="J127" s="466">
        <v>60</v>
      </c>
      <c r="K127" s="224">
        <f ca="1">IF(I127&gt;0,J127*100/I127,0)</f>
        <v>100</v>
      </c>
      <c r="L127" s="465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IFERROR(__xludf.DUMMYFUNCTION("IMPORTRANGE(""https://docs.google.com/spreadsheets/d/1eHaY18a8A9IcSdp1K8H6x8fbOy06t2VsZHhMHf-1x7Y/edit?usp=sharing"",""แผน!FG20"")"),0)</f>
        <v>0</v>
      </c>
      <c r="J128" s="466">
        <v>2</v>
      </c>
      <c r="K128" s="224">
        <f ca="1">IF(I128&gt;0,J128*100/I128,0)</f>
        <v>0</v>
      </c>
      <c r="L128" s="465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IFERROR(__xludf.DUMMYFUNCTION("IMPORTRANGE(""https://docs.google.com/spreadsheets/d/1eHaY18a8A9IcSdp1K8H6x8fbOy06t2VsZHhMHf-1x7Y/edit?usp=sharing"",""แผน!FH20"")"),30)</f>
        <v>30</v>
      </c>
      <c r="J129" s="466">
        <v>30</v>
      </c>
      <c r="K129" s="224">
        <f ca="1">IF(I129&gt;0,J129*100/I129,0)</f>
        <v>100</v>
      </c>
      <c r="L129" s="465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IFERROR(__xludf.DUMMYFUNCTION("IMPORTRANGE(""https://docs.google.com/spreadsheets/d/1eHaY18a8A9IcSdp1K8H6x8fbOy06t2VsZHhMHf-1x7Y/edit?usp=sharing"",""แผน!FI20"")"),0)</f>
        <v>0</v>
      </c>
      <c r="J130" s="466">
        <v>2</v>
      </c>
      <c r="K130" s="224">
        <f ca="1">IF(I130&gt;0,J130*100/I130,0)</f>
        <v>0</v>
      </c>
      <c r="L130" s="465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465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465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57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10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665">
        <f ca="1">I154</f>
        <v>2</v>
      </c>
      <c r="J136" s="665">
        <f>J154</f>
        <v>0</v>
      </c>
      <c r="K136" s="664">
        <f ca="1">IF(I136&gt;0,J136*100/I136,0)</f>
        <v>0</v>
      </c>
      <c r="L136" s="510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665">
        <f ca="1">I152</f>
        <v>40</v>
      </c>
      <c r="J137" s="665">
        <f>J152</f>
        <v>24</v>
      </c>
      <c r="K137" s="664">
        <f ca="1">IF(I137&gt;0,J137*100/I137,0)</f>
        <v>60</v>
      </c>
      <c r="L137" s="510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665">
        <f ca="1">I153</f>
        <v>4</v>
      </c>
      <c r="J138" s="665">
        <f>J153</f>
        <v>2</v>
      </c>
      <c r="K138" s="664">
        <f ca="1">IF(I138&gt;0,J138*100/I138,0)</f>
        <v>50</v>
      </c>
      <c r="L138" s="510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129" t="s">
        <v>18</v>
      </c>
      <c r="D139" s="472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471">
        <f ca="1">L140+L141</f>
        <v>74800</v>
      </c>
      <c r="M139" s="470">
        <f ca="1">M140+M141</f>
        <v>69800</v>
      </c>
      <c r="N139" s="470">
        <f ca="1">N140+N141</f>
        <v>44560</v>
      </c>
      <c r="O139" s="470">
        <f t="shared" ref="O139:O147" ca="1" si="41">IF(L139&gt;0,N139*100/L139,0)</f>
        <v>59.572192513368982</v>
      </c>
      <c r="P139" s="470">
        <f t="shared" ref="P139:P147" ca="1" si="42">IF(M139&gt;0,N139*100/M139,0)</f>
        <v>63.839541547277939</v>
      </c>
      <c r="Q139" s="470">
        <f ca="1">Q140+Q141</f>
        <v>0</v>
      </c>
      <c r="R139" s="470">
        <f ca="1">R140+R141</f>
        <v>0</v>
      </c>
      <c r="S139" s="470">
        <f ca="1">S140+S141</f>
        <v>0</v>
      </c>
      <c r="T139" s="470">
        <f t="shared" ref="T139:T147" ca="1" si="43">IF(Q139&gt;0,S139*100/Q139,0)</f>
        <v>0</v>
      </c>
      <c r="U139" s="470">
        <f t="shared" ref="U139:U147" ca="1" si="44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469">
        <f t="shared" ref="L140:N141" si="45">L143+L146</f>
        <v>0</v>
      </c>
      <c r="M140" s="83">
        <f t="shared" si="45"/>
        <v>0</v>
      </c>
      <c r="N140" s="83">
        <f t="shared" si="45"/>
        <v>0</v>
      </c>
      <c r="O140" s="83">
        <f t="shared" si="41"/>
        <v>0</v>
      </c>
      <c r="P140" s="83">
        <f t="shared" si="42"/>
        <v>0</v>
      </c>
      <c r="Q140" s="83">
        <f t="shared" ref="Q140:S141" si="46">Q143+Q146</f>
        <v>0</v>
      </c>
      <c r="R140" s="83">
        <f t="shared" si="46"/>
        <v>0</v>
      </c>
      <c r="S140" s="83">
        <f t="shared" si="46"/>
        <v>0</v>
      </c>
      <c r="T140" s="83">
        <f t="shared" si="43"/>
        <v>0</v>
      </c>
      <c r="U140" s="83">
        <f t="shared" si="44"/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468">
        <f t="shared" ca="1" si="45"/>
        <v>74800</v>
      </c>
      <c r="M141" s="224">
        <f t="shared" ca="1" si="45"/>
        <v>69800</v>
      </c>
      <c r="N141" s="224">
        <f t="shared" ca="1" si="45"/>
        <v>44560</v>
      </c>
      <c r="O141" s="224">
        <f t="shared" ca="1" si="41"/>
        <v>59.572192513368982</v>
      </c>
      <c r="P141" s="224">
        <f t="shared" ca="1" si="42"/>
        <v>63.839541547277939</v>
      </c>
      <c r="Q141" s="224">
        <f t="shared" ca="1" si="46"/>
        <v>0</v>
      </c>
      <c r="R141" s="224">
        <f t="shared" ca="1" si="46"/>
        <v>0</v>
      </c>
      <c r="S141" s="224">
        <f t="shared" ca="1" si="46"/>
        <v>0</v>
      </c>
      <c r="T141" s="224">
        <f t="shared" ca="1" si="43"/>
        <v>0</v>
      </c>
      <c r="U141" s="224">
        <f t="shared" ca="1" si="44"/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468">
        <f ca="1">L143+L144</f>
        <v>74800</v>
      </c>
      <c r="M142" s="224">
        <f ca="1">M143+M144</f>
        <v>69800</v>
      </c>
      <c r="N142" s="224">
        <f ca="1">N143+N144</f>
        <v>44560</v>
      </c>
      <c r="O142" s="224">
        <f t="shared" ca="1" si="41"/>
        <v>59.572192513368982</v>
      </c>
      <c r="P142" s="224">
        <f t="shared" ca="1" si="42"/>
        <v>63.839541547277939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t="shared" ca="1" si="43"/>
        <v>0</v>
      </c>
      <c r="U142" s="224">
        <f t="shared" ca="1" si="44"/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469">
        <v>0</v>
      </c>
      <c r="M143" s="83">
        <v>0</v>
      </c>
      <c r="N143" s="83">
        <v>0</v>
      </c>
      <c r="O143" s="83">
        <f t="shared" si="41"/>
        <v>0</v>
      </c>
      <c r="P143" s="83">
        <f t="shared" si="42"/>
        <v>0</v>
      </c>
      <c r="Q143" s="83">
        <v>0</v>
      </c>
      <c r="R143" s="83">
        <v>0</v>
      </c>
      <c r="S143" s="83">
        <v>0</v>
      </c>
      <c r="T143" s="83">
        <f t="shared" si="43"/>
        <v>0</v>
      </c>
      <c r="U143" s="83">
        <f t="shared" si="44"/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468">
        <f ca="1">IFERROR(__xludf.DUMMYFUNCTION("IMPORTRANGE(""https://docs.google.com/spreadsheets/d/1-uDff_7J0KD5mKrp0Vvzr7lt3OU09vwQwhkpOPPYv2Y/edit?usp=sharing"",""งบพรบ!BQ20"")"),74800)</f>
        <v>74800</v>
      </c>
      <c r="M144" s="224">
        <f ca="1">IFERROR(__xludf.DUMMYFUNCTION("IMPORTRANGE(""https://docs.google.com/spreadsheets/d/1-uDff_7J0KD5mKrp0Vvzr7lt3OU09vwQwhkpOPPYv2Y/edit?usp=sharing"",""งบพรบ!BV20"")"),69800)</f>
        <v>69800</v>
      </c>
      <c r="N144" s="224">
        <f ca="1">IFERROR(__xludf.DUMMYFUNCTION("IMPORTRANGE(""https://docs.google.com/spreadsheets/d/1-uDff_7J0KD5mKrp0Vvzr7lt3OU09vwQwhkpOPPYv2Y/edit?usp=sharing"",""งบพรบ!BX20"")"),44560)</f>
        <v>44560</v>
      </c>
      <c r="O144" s="224">
        <f t="shared" ca="1" si="41"/>
        <v>59.572192513368982</v>
      </c>
      <c r="P144" s="224">
        <f t="shared" ca="1" si="42"/>
        <v>63.839541547277939</v>
      </c>
      <c r="Q144" s="224">
        <f ca="1">IFERROR(__xludf.DUMMYFUNCTION("IMPORTRANGE(""https://docs.google.com/spreadsheets/d/1ItG2mGa2ceCfYo0BwxsXqNm01IGEUdYcSSLTEv9YCik/edit?usp=sharing"",""เบิกจ่ายกองทุน!BB20"")"),0)</f>
        <v>0</v>
      </c>
      <c r="R144" s="224">
        <f ca="1">IFERROR(__xludf.DUMMYFUNCTION("IMPORTRANGE(""https://docs.google.com/spreadsheets/d/1ItG2mGa2ceCfYo0BwxsXqNm01IGEUdYcSSLTEv9YCik/edit?usp=sharing"",""เบิกจ่ายกองทุน!BC20"")"),0)</f>
        <v>0</v>
      </c>
      <c r="S144" s="224">
        <f ca="1">IFERROR(__xludf.DUMMYFUNCTION("IMPORTRANGE(""https://docs.google.com/spreadsheets/d/1ItG2mGa2ceCfYo0BwxsXqNm01IGEUdYcSSLTEv9YCik/edit?usp=sharing"",""เบิกจ่ายกองทุน!BD20"")"),0)</f>
        <v>0</v>
      </c>
      <c r="T144" s="224">
        <f t="shared" ca="1" si="43"/>
        <v>0</v>
      </c>
      <c r="U144" s="224">
        <f t="shared" ca="1" si="44"/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468">
        <f ca="1">L146+L147</f>
        <v>0</v>
      </c>
      <c r="M145" s="224">
        <f ca="1">M146+M147</f>
        <v>0</v>
      </c>
      <c r="N145" s="224">
        <f ca="1">N146+N147</f>
        <v>0</v>
      </c>
      <c r="O145" s="224">
        <f t="shared" ca="1" si="41"/>
        <v>0</v>
      </c>
      <c r="P145" s="224">
        <f t="shared" ca="1" si="42"/>
        <v>0</v>
      </c>
      <c r="Q145" s="224">
        <f>Q146+Q147</f>
        <v>0</v>
      </c>
      <c r="R145" s="224">
        <f>R146+R147</f>
        <v>0</v>
      </c>
      <c r="S145" s="224">
        <f>S146+S147</f>
        <v>0</v>
      </c>
      <c r="T145" s="224">
        <f t="shared" si="43"/>
        <v>0</v>
      </c>
      <c r="U145" s="224">
        <f t="shared" si="44"/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469">
        <v>0</v>
      </c>
      <c r="M146" s="83">
        <v>0</v>
      </c>
      <c r="N146" s="83">
        <v>0</v>
      </c>
      <c r="O146" s="83">
        <f t="shared" si="41"/>
        <v>0</v>
      </c>
      <c r="P146" s="83">
        <f t="shared" si="42"/>
        <v>0</v>
      </c>
      <c r="Q146" s="83">
        <v>0</v>
      </c>
      <c r="R146" s="83">
        <v>0</v>
      </c>
      <c r="S146" s="83">
        <v>0</v>
      </c>
      <c r="T146" s="83">
        <f t="shared" si="43"/>
        <v>0</v>
      </c>
      <c r="U146" s="83">
        <f t="shared" si="44"/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468">
        <f ca="1">IFERROR(__xludf.DUMMYFUNCTION("IMPORTRANGE(""https://docs.google.com/spreadsheets/d/1-uDff_7J0KD5mKrp0Vvzr7lt3OU09vwQwhkpOPPYv2Y/edit?usp=sharing"",""งบพรบ!BT20"")"),0)</f>
        <v>0</v>
      </c>
      <c r="M147" s="224">
        <f ca="1">IFERROR(__xludf.DUMMYFUNCTION("IMPORTRANGE(""https://docs.google.com/spreadsheets/d/1-uDff_7J0KD5mKrp0Vvzr7lt3OU09vwQwhkpOPPYv2Y/edit?usp=sharing"",""งบพรบ!BW20"")"),0)</f>
        <v>0</v>
      </c>
      <c r="N147" s="224">
        <f ca="1">IFERROR(__xludf.DUMMYFUNCTION("IMPORTRANGE(""https://docs.google.com/spreadsheets/d/1-uDff_7J0KD5mKrp0Vvzr7lt3OU09vwQwhkpOPPYv2Y/edit?usp=sharing"",""งบพรบ!BY20"")"),0)</f>
        <v>0</v>
      </c>
      <c r="O147" s="224">
        <f t="shared" ca="1" si="41"/>
        <v>0</v>
      </c>
      <c r="P147" s="224">
        <f t="shared" ca="1" si="42"/>
        <v>0</v>
      </c>
      <c r="Q147" s="224">
        <v>0</v>
      </c>
      <c r="R147" s="224">
        <v>0</v>
      </c>
      <c r="S147" s="224">
        <v>0</v>
      </c>
      <c r="T147" s="224">
        <f t="shared" si="43"/>
        <v>0</v>
      </c>
      <c r="U147" s="224">
        <f t="shared" si="44"/>
        <v>0</v>
      </c>
    </row>
    <row r="148" spans="1:21" ht="19.5" x14ac:dyDescent="0.3">
      <c r="A148" s="138"/>
      <c r="B148" s="139"/>
      <c r="C148" s="129" t="s">
        <v>18</v>
      </c>
      <c r="D148" s="498" t="s">
        <v>38</v>
      </c>
      <c r="E148" s="141"/>
      <c r="F148" s="141"/>
      <c r="G148" s="142"/>
      <c r="H148" s="178"/>
      <c r="I148" s="44"/>
      <c r="J148" s="44"/>
      <c r="K148" s="45"/>
      <c r="L148" s="465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466">
        <v>0</v>
      </c>
      <c r="K149" s="45"/>
      <c r="L149" s="465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IFERROR(__xludf.DUMMYFUNCTION("IMPORTRANGE(""https://docs.google.com/spreadsheets/d/1eHaY18a8A9IcSdp1K8H6x8fbOy06t2VsZHhMHf-1x7Y/edit?usp=sharing"",""แผน!U20"")"),20)</f>
        <v>20</v>
      </c>
      <c r="J150" s="466">
        <v>24</v>
      </c>
      <c r="K150" s="224">
        <f ca="1">IF(I150&gt;0,J150*100/I150,0)</f>
        <v>120</v>
      </c>
      <c r="L150" s="465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IFERROR(__xludf.DUMMYFUNCTION("IMPORTRANGE(""https://docs.google.com/spreadsheets/d/1eHaY18a8A9IcSdp1K8H6x8fbOy06t2VsZHhMHf-1x7Y/edit?usp=sharing"",""แผน!V20"")"),2)</f>
        <v>2</v>
      </c>
      <c r="J151" s="466">
        <v>2</v>
      </c>
      <c r="K151" s="224">
        <f ca="1">IF(I151&gt;0,J151*100/I151,0)</f>
        <v>100</v>
      </c>
      <c r="L151" s="465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IFERROR(__xludf.DUMMYFUNCTION("IMPORTRANGE(""https://docs.google.com/spreadsheets/d/1eHaY18a8A9IcSdp1K8H6x8fbOy06t2VsZHhMHf-1x7Y/edit?usp=sharing"",""แผน!W20"")"),40)</f>
        <v>40</v>
      </c>
      <c r="J152" s="466">
        <v>24</v>
      </c>
      <c r="K152" s="224">
        <f ca="1">IF(I152&gt;0,J152*100/I152,0)</f>
        <v>60</v>
      </c>
      <c r="L152" s="465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IFERROR(__xludf.DUMMYFUNCTION("IMPORTRANGE(""https://docs.google.com/spreadsheets/d/1eHaY18a8A9IcSdp1K8H6x8fbOy06t2VsZHhMHf-1x7Y/edit?usp=sharing"",""แผน!X20"")"),4)</f>
        <v>4</v>
      </c>
      <c r="J153" s="466">
        <v>2</v>
      </c>
      <c r="K153" s="224">
        <f ca="1">IF(I153&gt;0,J153*100/I153,0)</f>
        <v>50</v>
      </c>
      <c r="L153" s="465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IFERROR(__xludf.DUMMYFUNCTION("IMPORTRANGE(""https://docs.google.com/spreadsheets/d/1eHaY18a8A9IcSdp1K8H6x8fbOy06t2VsZHhMHf-1x7Y/edit?usp=sharing"",""แผน!Y20"")"),2)</f>
        <v>2</v>
      </c>
      <c r="J154" s="466">
        <v>0</v>
      </c>
      <c r="K154" s="224">
        <f ca="1">IF(I154&gt;0,J154*100/I154,0)</f>
        <v>0</v>
      </c>
      <c r="L154" s="465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665">
        <f ca="1">I167</f>
        <v>15</v>
      </c>
      <c r="J156" s="665">
        <f>J167</f>
        <v>15</v>
      </c>
      <c r="K156" s="664">
        <f ca="1">IF(I156&gt;0,J156*100/I156,0)</f>
        <v>100</v>
      </c>
      <c r="L156" s="510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129" t="s">
        <v>18</v>
      </c>
      <c r="D157" s="472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471">
        <f ca="1">L158+L159</f>
        <v>3000</v>
      </c>
      <c r="M157" s="470">
        <f ca="1">M158+M159</f>
        <v>4410</v>
      </c>
      <c r="N157" s="470">
        <f ca="1">N158+N159</f>
        <v>340</v>
      </c>
      <c r="O157" s="470">
        <f t="shared" ref="O157:O165" ca="1" si="47">IF(L157&gt;0,N157*100/L157,0)</f>
        <v>11.333333333333334</v>
      </c>
      <c r="P157" s="470">
        <f t="shared" ref="P157:P165" ca="1" si="48">IF(M157&gt;0,N157*100/M157,0)</f>
        <v>7.7097505668934243</v>
      </c>
      <c r="Q157" s="470">
        <f ca="1">Q158+Q159</f>
        <v>0</v>
      </c>
      <c r="R157" s="470">
        <f ca="1">R158+R159</f>
        <v>0</v>
      </c>
      <c r="S157" s="470">
        <f ca="1">S158+S159</f>
        <v>0</v>
      </c>
      <c r="T157" s="470">
        <f t="shared" ref="T157:T165" ca="1" si="49">IF(Q157&gt;0,S157*100/Q157,0)</f>
        <v>0</v>
      </c>
      <c r="U157" s="470">
        <f t="shared" ref="U157:U165" ca="1" si="50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469">
        <f t="shared" ref="L158:N159" si="51">L161+L164</f>
        <v>0</v>
      </c>
      <c r="M158" s="83">
        <f t="shared" si="51"/>
        <v>0</v>
      </c>
      <c r="N158" s="83">
        <f t="shared" si="51"/>
        <v>0</v>
      </c>
      <c r="O158" s="83">
        <f t="shared" si="47"/>
        <v>0</v>
      </c>
      <c r="P158" s="83">
        <f t="shared" si="48"/>
        <v>0</v>
      </c>
      <c r="Q158" s="83">
        <f t="shared" ref="Q158:S159" si="52">Q161+Q164</f>
        <v>0</v>
      </c>
      <c r="R158" s="83">
        <f t="shared" si="52"/>
        <v>0</v>
      </c>
      <c r="S158" s="83">
        <f t="shared" si="52"/>
        <v>0</v>
      </c>
      <c r="T158" s="83">
        <f t="shared" si="49"/>
        <v>0</v>
      </c>
      <c r="U158" s="83">
        <f t="shared" si="50"/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468">
        <f t="shared" ca="1" si="51"/>
        <v>3000</v>
      </c>
      <c r="M159" s="224">
        <f t="shared" ca="1" si="51"/>
        <v>4410</v>
      </c>
      <c r="N159" s="224">
        <f t="shared" ca="1" si="51"/>
        <v>340</v>
      </c>
      <c r="O159" s="224">
        <f t="shared" ca="1" si="47"/>
        <v>11.333333333333334</v>
      </c>
      <c r="P159" s="224">
        <f t="shared" ca="1" si="48"/>
        <v>7.7097505668934243</v>
      </c>
      <c r="Q159" s="224">
        <f t="shared" ca="1" si="52"/>
        <v>0</v>
      </c>
      <c r="R159" s="224">
        <f t="shared" ca="1" si="52"/>
        <v>0</v>
      </c>
      <c r="S159" s="224">
        <f t="shared" ca="1" si="52"/>
        <v>0</v>
      </c>
      <c r="T159" s="224">
        <f t="shared" ca="1" si="49"/>
        <v>0</v>
      </c>
      <c r="U159" s="224">
        <f t="shared" ca="1" si="50"/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468">
        <f ca="1">L161+L162</f>
        <v>3000</v>
      </c>
      <c r="M160" s="224">
        <f ca="1">M161+M162</f>
        <v>4410</v>
      </c>
      <c r="N160" s="224">
        <f ca="1">N161+N162</f>
        <v>340</v>
      </c>
      <c r="O160" s="224">
        <f t="shared" ca="1" si="47"/>
        <v>11.333333333333334</v>
      </c>
      <c r="P160" s="224">
        <f t="shared" ca="1" si="48"/>
        <v>7.7097505668934243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t="shared" ca="1" si="49"/>
        <v>0</v>
      </c>
      <c r="U160" s="224">
        <f t="shared" ca="1" si="50"/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469">
        <v>0</v>
      </c>
      <c r="M161" s="83">
        <v>0</v>
      </c>
      <c r="N161" s="83">
        <v>0</v>
      </c>
      <c r="O161" s="83">
        <f t="shared" si="47"/>
        <v>0</v>
      </c>
      <c r="P161" s="83">
        <f t="shared" si="48"/>
        <v>0</v>
      </c>
      <c r="Q161" s="83">
        <v>0</v>
      </c>
      <c r="R161" s="83">
        <v>0</v>
      </c>
      <c r="S161" s="83">
        <v>0</v>
      </c>
      <c r="T161" s="83">
        <f t="shared" si="49"/>
        <v>0</v>
      </c>
      <c r="U161" s="83">
        <f t="shared" si="50"/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468">
        <f ca="1">IFERROR(__xludf.DUMMYFUNCTION("IMPORTRANGE(""https://docs.google.com/spreadsheets/d/1-uDff_7J0KD5mKrp0Vvzr7lt3OU09vwQwhkpOPPYv2Y/edit?usp=sharing"",""งบพรบ!CA20"")"),3000)</f>
        <v>3000</v>
      </c>
      <c r="M162" s="224">
        <f ca="1">IFERROR(__xludf.DUMMYFUNCTION("IMPORTRANGE(""https://docs.google.com/spreadsheets/d/1-uDff_7J0KD5mKrp0Vvzr7lt3OU09vwQwhkpOPPYv2Y/edit?usp=sharing"",""งบพรบ!CF20"")"),4410)</f>
        <v>4410</v>
      </c>
      <c r="N162" s="224">
        <f ca="1">IFERROR(__xludf.DUMMYFUNCTION("IMPORTRANGE(""https://docs.google.com/spreadsheets/d/1-uDff_7J0KD5mKrp0Vvzr7lt3OU09vwQwhkpOPPYv2Y/edit?usp=sharing"",""งบพรบ!CH20"")"),340)</f>
        <v>340</v>
      </c>
      <c r="O162" s="224">
        <f t="shared" ca="1" si="47"/>
        <v>11.333333333333334</v>
      </c>
      <c r="P162" s="224">
        <f t="shared" ca="1" si="48"/>
        <v>7.7097505668934243</v>
      </c>
      <c r="Q162" s="224">
        <f ca="1">IFERROR(__xludf.DUMMYFUNCTION("IMPORTRANGE(""https://docs.google.com/spreadsheets/d/1ItG2mGa2ceCfYo0BwxsXqNm01IGEUdYcSSLTEv9YCik/edit?usp=sharing"",""เบิกจ่ายกองทุน!AG20"")"),0)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IFERROR(__xludf.DUMMYFUNCTION("IMPORTRANGE(""https://docs.google.com/spreadsheets/d/1ItG2mGa2ceCfYo0BwxsXqNm01IGEUdYcSSLTEv9YCik/edit?usp=sharing"",""เบิกจ่ายกองทุน!AH20"")"),0)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IFERROR(__xludf.DUMMYFUNCTION("IMPORTRANGE(""https://docs.google.com/spreadsheets/d/1ItG2mGa2ceCfYo0BwxsXqNm01IGEUdYcSSLTEv9YCik/edit?usp=sharing"",""เบิกจ่ายกองทุน!AI20"")"),0)</f>
        <v>0</v>
      </c>
      <c r="T162" s="224">
        <f t="shared" ca="1" si="49"/>
        <v>0</v>
      </c>
      <c r="U162" s="224">
        <f t="shared" ca="1" si="50"/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468">
        <f ca="1">L164+L165</f>
        <v>0</v>
      </c>
      <c r="M163" s="224">
        <f ca="1">M164+M165</f>
        <v>0</v>
      </c>
      <c r="N163" s="224">
        <f ca="1">N164+N165</f>
        <v>0</v>
      </c>
      <c r="O163" s="224">
        <f t="shared" ca="1" si="47"/>
        <v>0</v>
      </c>
      <c r="P163" s="224">
        <f t="shared" ca="1" si="48"/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 t="shared" si="49"/>
        <v>0</v>
      </c>
      <c r="U163" s="224">
        <f t="shared" si="50"/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469">
        <v>0</v>
      </c>
      <c r="M164" s="83">
        <v>0</v>
      </c>
      <c r="N164" s="83">
        <v>0</v>
      </c>
      <c r="O164" s="83">
        <f t="shared" si="47"/>
        <v>0</v>
      </c>
      <c r="P164" s="83">
        <f t="shared" si="48"/>
        <v>0</v>
      </c>
      <c r="Q164" s="83">
        <v>0</v>
      </c>
      <c r="R164" s="83">
        <v>0</v>
      </c>
      <c r="S164" s="83">
        <v>0</v>
      </c>
      <c r="T164" s="83">
        <f t="shared" si="49"/>
        <v>0</v>
      </c>
      <c r="U164" s="83">
        <f t="shared" si="50"/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468">
        <f ca="1">IFERROR(__xludf.DUMMYFUNCTION("IMPORTRANGE(""https://docs.google.com/spreadsheets/d/1-uDff_7J0KD5mKrp0Vvzr7lt3OU09vwQwhkpOPPYv2Y/edit?usp=sharing"",""งบพรบ!CD20"")"),0)</f>
        <v>0</v>
      </c>
      <c r="M165" s="224">
        <f ca="1">IFERROR(__xludf.DUMMYFUNCTION("IMPORTRANGE(""https://docs.google.com/spreadsheets/d/1-uDff_7J0KD5mKrp0Vvzr7lt3OU09vwQwhkpOPPYv2Y/edit?usp=sharing"",""งบพรบ!CG20"")"),0)</f>
        <v>0</v>
      </c>
      <c r="N165" s="224">
        <f ca="1">IFERROR(__xludf.DUMMYFUNCTION("IMPORTRANGE(""https://docs.google.com/spreadsheets/d/1-uDff_7J0KD5mKrp0Vvzr7lt3OU09vwQwhkpOPPYv2Y/edit?usp=sharing"",""งบพรบ!CI20"")"),0)</f>
        <v>0</v>
      </c>
      <c r="O165" s="224">
        <f t="shared" ca="1" si="47"/>
        <v>0</v>
      </c>
      <c r="P165" s="224">
        <f t="shared" ca="1" si="48"/>
        <v>0</v>
      </c>
      <c r="Q165" s="224">
        <v>0</v>
      </c>
      <c r="R165" s="224">
        <v>0</v>
      </c>
      <c r="S165" s="224">
        <v>0</v>
      </c>
      <c r="T165" s="224">
        <f t="shared" si="49"/>
        <v>0</v>
      </c>
      <c r="U165" s="224">
        <f t="shared" si="50"/>
        <v>0</v>
      </c>
    </row>
    <row r="166" spans="1:21" ht="19.5" x14ac:dyDescent="0.3">
      <c r="A166" s="138"/>
      <c r="B166" s="139"/>
      <c r="C166" s="129" t="s">
        <v>18</v>
      </c>
      <c r="D166" s="498" t="s">
        <v>38</v>
      </c>
      <c r="E166" s="141"/>
      <c r="F166" s="141"/>
      <c r="G166" s="142"/>
      <c r="H166" s="178"/>
      <c r="I166" s="44"/>
      <c r="J166" s="44"/>
      <c r="K166" s="45"/>
      <c r="L166" s="465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IFERROR(__xludf.DUMMYFUNCTION("IMPORTRANGE(""https://docs.google.com/spreadsheets/d/1eHaY18a8A9IcSdp1K8H6x8fbOy06t2VsZHhMHf-1x7Y/edit?usp=sharing"",""แผน!Z20"")"),15)</f>
        <v>15</v>
      </c>
      <c r="J167" s="466">
        <v>15</v>
      </c>
      <c r="K167" s="224">
        <f ca="1">IF(I167&gt;0,J167*100/I167,0)</f>
        <v>100</v>
      </c>
      <c r="L167" s="465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375" t="s">
        <v>35</v>
      </c>
      <c r="I168" s="430">
        <f ca="1">I167</f>
        <v>15</v>
      </c>
      <c r="J168" s="525">
        <v>0</v>
      </c>
      <c r="K168" s="83">
        <f ca="1">IF(I168&gt;0,J168*100/I168,0)</f>
        <v>0</v>
      </c>
      <c r="L168" s="465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31" t="s">
        <v>71</v>
      </c>
      <c r="E169" s="1"/>
      <c r="F169" s="1"/>
      <c r="G169" s="52"/>
      <c r="H169" s="663" t="s">
        <v>35</v>
      </c>
      <c r="I169" s="433">
        <f ca="1">I167</f>
        <v>15</v>
      </c>
      <c r="J169" s="522">
        <v>0</v>
      </c>
      <c r="K169" s="521">
        <f ca="1">IF(I169&gt;0,J169*100/I169,0)</f>
        <v>0</v>
      </c>
      <c r="L169" s="46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662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661">
        <f ca="1">I183+I184</f>
        <v>7</v>
      </c>
      <c r="J172" s="661">
        <f>J183+J184</f>
        <v>7</v>
      </c>
      <c r="K172" s="660">
        <f ca="1">IF(I172&gt;0,J172*100/I172,0)</f>
        <v>100</v>
      </c>
      <c r="L172" s="659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472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471">
        <f ca="1">L174+L175</f>
        <v>19590</v>
      </c>
      <c r="M173" s="470">
        <f ca="1">M174+M175</f>
        <v>86150</v>
      </c>
      <c r="N173" s="470">
        <f ca="1">N174+N175</f>
        <v>65541</v>
      </c>
      <c r="O173" s="470">
        <f t="shared" ref="O173:O181" ca="1" si="53">IF(L173&gt;0,N173*100/L173,0)</f>
        <v>334.56355283307812</v>
      </c>
      <c r="P173" s="470">
        <f t="shared" ref="P173:P181" ca="1" si="54">IF(M173&gt;0,N173*100/M173,0)</f>
        <v>76.077771329077194</v>
      </c>
      <c r="Q173" s="470">
        <f ca="1">Q174+Q175</f>
        <v>0</v>
      </c>
      <c r="R173" s="470">
        <f ca="1">R174+R175</f>
        <v>0</v>
      </c>
      <c r="S173" s="470">
        <f ca="1">S174+S175</f>
        <v>0</v>
      </c>
      <c r="T173" s="470">
        <f t="shared" ref="T173:T181" ca="1" si="55">IF(Q173&gt;0,S173*100/Q173,0)</f>
        <v>0</v>
      </c>
      <c r="U173" s="470">
        <f t="shared" ref="U173:U181" ca="1" si="56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469">
        <f t="shared" ref="L174:N175" si="57">L177+L180</f>
        <v>0</v>
      </c>
      <c r="M174" s="83">
        <f t="shared" si="57"/>
        <v>0</v>
      </c>
      <c r="N174" s="83">
        <f t="shared" si="57"/>
        <v>0</v>
      </c>
      <c r="O174" s="83">
        <f t="shared" si="53"/>
        <v>0</v>
      </c>
      <c r="P174" s="83">
        <f t="shared" si="54"/>
        <v>0</v>
      </c>
      <c r="Q174" s="83">
        <f t="shared" ref="Q174:S175" si="58">Q177+Q180</f>
        <v>0</v>
      </c>
      <c r="R174" s="83">
        <f t="shared" si="58"/>
        <v>0</v>
      </c>
      <c r="S174" s="83">
        <f t="shared" si="58"/>
        <v>0</v>
      </c>
      <c r="T174" s="83">
        <f t="shared" si="55"/>
        <v>0</v>
      </c>
      <c r="U174" s="83">
        <f t="shared" si="56"/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468">
        <f t="shared" ca="1" si="57"/>
        <v>19590</v>
      </c>
      <c r="M175" s="224">
        <f t="shared" ca="1" si="57"/>
        <v>86150</v>
      </c>
      <c r="N175" s="224">
        <f t="shared" ca="1" si="57"/>
        <v>65541</v>
      </c>
      <c r="O175" s="224">
        <f t="shared" ca="1" si="53"/>
        <v>334.56355283307812</v>
      </c>
      <c r="P175" s="224">
        <f t="shared" ca="1" si="54"/>
        <v>76.077771329077194</v>
      </c>
      <c r="Q175" s="224">
        <f t="shared" ca="1" si="58"/>
        <v>0</v>
      </c>
      <c r="R175" s="224">
        <f t="shared" ca="1" si="58"/>
        <v>0</v>
      </c>
      <c r="S175" s="224">
        <f t="shared" ca="1" si="58"/>
        <v>0</v>
      </c>
      <c r="T175" s="224">
        <f t="shared" ca="1" si="55"/>
        <v>0</v>
      </c>
      <c r="U175" s="224">
        <f t="shared" ca="1" si="56"/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468">
        <f ca="1">L177+L178</f>
        <v>19590</v>
      </c>
      <c r="M176" s="224">
        <f ca="1">M177+M178</f>
        <v>86150</v>
      </c>
      <c r="N176" s="224">
        <f ca="1">N177+N178</f>
        <v>65541</v>
      </c>
      <c r="O176" s="224">
        <f t="shared" ca="1" si="53"/>
        <v>334.56355283307812</v>
      </c>
      <c r="P176" s="224">
        <f t="shared" ca="1" si="54"/>
        <v>76.077771329077194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t="shared" ca="1" si="55"/>
        <v>0</v>
      </c>
      <c r="U176" s="224">
        <f t="shared" ca="1" si="56"/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469">
        <v>0</v>
      </c>
      <c r="M177" s="83">
        <v>0</v>
      </c>
      <c r="N177" s="83">
        <v>0</v>
      </c>
      <c r="O177" s="83">
        <f t="shared" si="53"/>
        <v>0</v>
      </c>
      <c r="P177" s="83">
        <f t="shared" si="54"/>
        <v>0</v>
      </c>
      <c r="Q177" s="83">
        <v>0</v>
      </c>
      <c r="R177" s="83">
        <v>0</v>
      </c>
      <c r="S177" s="83">
        <v>0</v>
      </c>
      <c r="T177" s="83">
        <f t="shared" si="55"/>
        <v>0</v>
      </c>
      <c r="U177" s="83">
        <f t="shared" si="56"/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468">
        <f ca="1">IFERROR(__xludf.DUMMYFUNCTION("IMPORTRANGE(""https://docs.google.com/spreadsheets/d/1-uDff_7J0KD5mKrp0Vvzr7lt3OU09vwQwhkpOPPYv2Y/edit?usp=sharing"",""งบพรบ!CK20"")"),19590)</f>
        <v>19590</v>
      </c>
      <c r="M178" s="224">
        <f ca="1">IFERROR(__xludf.DUMMYFUNCTION("IMPORTRANGE(""https://docs.google.com/spreadsheets/d/1-uDff_7J0KD5mKrp0Vvzr7lt3OU09vwQwhkpOPPYv2Y/edit?usp=sharing"",""งบพรบ!CP20"")"),86150)</f>
        <v>86150</v>
      </c>
      <c r="N178" s="224">
        <f ca="1">IFERROR(__xludf.DUMMYFUNCTION("IMPORTRANGE(""https://docs.google.com/spreadsheets/d/1-uDff_7J0KD5mKrp0Vvzr7lt3OU09vwQwhkpOPPYv2Y/edit?usp=sharing"",""งบพรบ!CR20"")"),65541)</f>
        <v>65541</v>
      </c>
      <c r="O178" s="224">
        <f t="shared" ca="1" si="53"/>
        <v>334.56355283307812</v>
      </c>
      <c r="P178" s="224">
        <f t="shared" ca="1" si="54"/>
        <v>76.077771329077194</v>
      </c>
      <c r="Q178" s="224">
        <f ca="1">IFERROR(__xludf.DUMMYFUNCTION("IMPORTRANGE(""https://docs.google.com/spreadsheets/d/1ItG2mGa2ceCfYo0BwxsXqNm01IGEUdYcSSLTEv9YCik/edit?usp=sharing"",""เบิกจ่ายกองทุน!BE20"")"),0)</f>
        <v>0</v>
      </c>
      <c r="R178" s="224">
        <f ca="1">IFERROR(__xludf.DUMMYFUNCTION("IMPORTRANGE(""https://docs.google.com/spreadsheets/d/1ItG2mGa2ceCfYo0BwxsXqNm01IGEUdYcSSLTEv9YCik/edit?usp=sharing"",""เบิกจ่ายกองทุน!BF20"")"),0)</f>
        <v>0</v>
      </c>
      <c r="S178" s="224">
        <f ca="1">IFERROR(__xludf.DUMMYFUNCTION("IMPORTRANGE(""https://docs.google.com/spreadsheets/d/1ItG2mGa2ceCfYo0BwxsXqNm01IGEUdYcSSLTEv9YCik/edit?usp=sharing"",""เบิกจ่ายกองทุน!BG20"")"),0)</f>
        <v>0</v>
      </c>
      <c r="T178" s="224">
        <f t="shared" ca="1" si="55"/>
        <v>0</v>
      </c>
      <c r="U178" s="224">
        <f t="shared" ca="1" si="56"/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468">
        <f ca="1">L180+L181</f>
        <v>0</v>
      </c>
      <c r="M179" s="224">
        <f ca="1">M180+M181</f>
        <v>0</v>
      </c>
      <c r="N179" s="224">
        <f ca="1">N180+N181</f>
        <v>0</v>
      </c>
      <c r="O179" s="224">
        <f t="shared" ca="1" si="53"/>
        <v>0</v>
      </c>
      <c r="P179" s="224">
        <f t="shared" ca="1" si="54"/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 t="shared" si="55"/>
        <v>0</v>
      </c>
      <c r="U179" s="224">
        <f t="shared" si="56"/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469">
        <v>0</v>
      </c>
      <c r="M180" s="83">
        <v>0</v>
      </c>
      <c r="N180" s="83">
        <v>0</v>
      </c>
      <c r="O180" s="83">
        <f t="shared" si="53"/>
        <v>0</v>
      </c>
      <c r="P180" s="83">
        <f t="shared" si="54"/>
        <v>0</v>
      </c>
      <c r="Q180" s="83">
        <v>0</v>
      </c>
      <c r="R180" s="83">
        <v>0</v>
      </c>
      <c r="S180" s="83">
        <v>0</v>
      </c>
      <c r="T180" s="83">
        <f t="shared" si="55"/>
        <v>0</v>
      </c>
      <c r="U180" s="83">
        <f t="shared" si="56"/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468">
        <f ca="1">IFERROR(__xludf.DUMMYFUNCTION("IMPORTRANGE(""https://docs.google.com/spreadsheets/d/1-uDff_7J0KD5mKrp0Vvzr7lt3OU09vwQwhkpOPPYv2Y/edit?usp=sharing"",""งบพรบ!CN20"")"),0)</f>
        <v>0</v>
      </c>
      <c r="M181" s="224">
        <f ca="1">IFERROR(__xludf.DUMMYFUNCTION("IMPORTRANGE(""https://docs.google.com/spreadsheets/d/1-uDff_7J0KD5mKrp0Vvzr7lt3OU09vwQwhkpOPPYv2Y/edit?usp=sharing"",""งบพรบ!CQ20"")"),0)</f>
        <v>0</v>
      </c>
      <c r="N181" s="224">
        <f ca="1">IFERROR(__xludf.DUMMYFUNCTION("IMPORTRANGE(""https://docs.google.com/spreadsheets/d/1-uDff_7J0KD5mKrp0Vvzr7lt3OU09vwQwhkpOPPYv2Y/edit?usp=sharing"",""งบพรบ!CS20"")"),0)</f>
        <v>0</v>
      </c>
      <c r="O181" s="224">
        <f t="shared" ca="1" si="53"/>
        <v>0</v>
      </c>
      <c r="P181" s="224">
        <f t="shared" ca="1" si="54"/>
        <v>0</v>
      </c>
      <c r="Q181" s="224">
        <v>0</v>
      </c>
      <c r="R181" s="224">
        <v>0</v>
      </c>
      <c r="S181" s="224">
        <v>0</v>
      </c>
      <c r="T181" s="224">
        <f t="shared" si="55"/>
        <v>0</v>
      </c>
      <c r="U181" s="224">
        <f t="shared" si="56"/>
        <v>0</v>
      </c>
    </row>
    <row r="182" spans="1:21" ht="19.5" x14ac:dyDescent="0.3">
      <c r="A182" s="138"/>
      <c r="B182" s="139"/>
      <c r="C182" s="129" t="s">
        <v>18</v>
      </c>
      <c r="D182" s="498" t="s">
        <v>38</v>
      </c>
      <c r="E182" s="141"/>
      <c r="F182" s="141"/>
      <c r="G182" s="142"/>
      <c r="H182" s="178"/>
      <c r="I182" s="44"/>
      <c r="J182" s="44"/>
      <c r="K182" s="45"/>
      <c r="L182" s="465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IFERROR(__xludf.DUMMYFUNCTION("IMPORTRANGE(""https://docs.google.com/spreadsheets/d/1eHaY18a8A9IcSdp1K8H6x8fbOy06t2VsZHhMHf-1x7Y/edit?usp=sharing"",""แผน!AA20"")"),7)</f>
        <v>7</v>
      </c>
      <c r="J183" s="466">
        <v>7</v>
      </c>
      <c r="K183" s="224">
        <f ca="1">IF(I183&gt;0,J183*100/I183,0)</f>
        <v>100</v>
      </c>
      <c r="L183" s="465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14" t="s">
        <v>76</v>
      </c>
      <c r="E184" s="40"/>
      <c r="F184" s="40"/>
      <c r="G184" s="42"/>
      <c r="H184" s="526" t="s">
        <v>35</v>
      </c>
      <c r="I184" s="430">
        <v>0</v>
      </c>
      <c r="J184" s="430">
        <v>0</v>
      </c>
      <c r="K184" s="83">
        <f>IF(I184&gt;0,J184*100/I184,0)</f>
        <v>0</v>
      </c>
      <c r="L184" s="465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661">
        <f ca="1">I230+I231</f>
        <v>40</v>
      </c>
      <c r="J185" s="661">
        <f>J230+J231</f>
        <v>40</v>
      </c>
      <c r="K185" s="660">
        <f ca="1">IF(I185&gt;0,J185*100/I185,0)</f>
        <v>100</v>
      </c>
      <c r="L185" s="659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472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471">
        <f ca="1">L187+L188</f>
        <v>305900</v>
      </c>
      <c r="M186" s="470">
        <f ca="1">M187+M188</f>
        <v>186900</v>
      </c>
      <c r="N186" s="470">
        <f ca="1">N187+N188</f>
        <v>105534.39999999999</v>
      </c>
      <c r="O186" s="470">
        <f t="shared" ref="O186:O194" ca="1" si="59">IF(L186&gt;0,N186*100/L186,0)</f>
        <v>34.499640405361227</v>
      </c>
      <c r="P186" s="470">
        <f t="shared" ref="P186:P194" ca="1" si="60">IF(M186&gt;0,N186*100/M186,0)</f>
        <v>56.465703584804707</v>
      </c>
      <c r="Q186" s="470">
        <f ca="1">Q187+Q188</f>
        <v>250800</v>
      </c>
      <c r="R186" s="470">
        <f ca="1">R187+R188</f>
        <v>250800</v>
      </c>
      <c r="S186" s="470">
        <f ca="1">S187+S188</f>
        <v>175670</v>
      </c>
      <c r="T186" s="470">
        <f t="shared" ref="T186:T194" ca="1" si="61">IF(Q186&gt;0,S186*100/Q186,0)</f>
        <v>70.043859649122808</v>
      </c>
      <c r="U186" s="470">
        <f t="shared" ref="U186:U194" ca="1" si="62">IF(R186&gt;0,S186*100/R186,0)</f>
        <v>70.043859649122808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469">
        <f t="shared" ref="L187:N188" si="63">L190+L193</f>
        <v>0</v>
      </c>
      <c r="M187" s="83">
        <f t="shared" si="63"/>
        <v>0</v>
      </c>
      <c r="N187" s="83">
        <f t="shared" si="63"/>
        <v>0</v>
      </c>
      <c r="O187" s="83">
        <f t="shared" si="59"/>
        <v>0</v>
      </c>
      <c r="P187" s="83">
        <f t="shared" si="60"/>
        <v>0</v>
      </c>
      <c r="Q187" s="83">
        <f t="shared" ref="Q187:S188" si="64">Q190+Q193</f>
        <v>0</v>
      </c>
      <c r="R187" s="83">
        <f t="shared" si="64"/>
        <v>0</v>
      </c>
      <c r="S187" s="83">
        <f t="shared" si="64"/>
        <v>0</v>
      </c>
      <c r="T187" s="83">
        <f t="shared" si="61"/>
        <v>0</v>
      </c>
      <c r="U187" s="83">
        <f t="shared" si="62"/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468">
        <f t="shared" ca="1" si="63"/>
        <v>305900</v>
      </c>
      <c r="M188" s="224">
        <f t="shared" ca="1" si="63"/>
        <v>186900</v>
      </c>
      <c r="N188" s="224">
        <f t="shared" ca="1" si="63"/>
        <v>105534.39999999999</v>
      </c>
      <c r="O188" s="224">
        <f t="shared" ca="1" si="59"/>
        <v>34.499640405361227</v>
      </c>
      <c r="P188" s="224">
        <f t="shared" ca="1" si="60"/>
        <v>56.465703584804707</v>
      </c>
      <c r="Q188" s="224">
        <f t="shared" ca="1" si="64"/>
        <v>250800</v>
      </c>
      <c r="R188" s="224">
        <f t="shared" ca="1" si="64"/>
        <v>250800</v>
      </c>
      <c r="S188" s="224">
        <f t="shared" ca="1" si="64"/>
        <v>175670</v>
      </c>
      <c r="T188" s="224">
        <f t="shared" ca="1" si="61"/>
        <v>70.043859649122808</v>
      </c>
      <c r="U188" s="224">
        <f t="shared" ca="1" si="62"/>
        <v>70.043859649122808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468">
        <f ca="1">L190+L191</f>
        <v>305900</v>
      </c>
      <c r="M189" s="224">
        <f ca="1">M190+M191</f>
        <v>186900</v>
      </c>
      <c r="N189" s="224">
        <f ca="1">N190+N191</f>
        <v>105534.39999999999</v>
      </c>
      <c r="O189" s="224">
        <f t="shared" ca="1" si="59"/>
        <v>34.499640405361227</v>
      </c>
      <c r="P189" s="224">
        <f t="shared" ca="1" si="60"/>
        <v>56.465703584804707</v>
      </c>
      <c r="Q189" s="224">
        <f ca="1">Q190+Q191</f>
        <v>250800</v>
      </c>
      <c r="R189" s="224">
        <f ca="1">R190+R191</f>
        <v>250800</v>
      </c>
      <c r="S189" s="224">
        <f ca="1">S190+S191</f>
        <v>175670</v>
      </c>
      <c r="T189" s="224">
        <f t="shared" ca="1" si="61"/>
        <v>70.043859649122808</v>
      </c>
      <c r="U189" s="224">
        <f t="shared" ca="1" si="62"/>
        <v>70.043859649122808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469">
        <v>0</v>
      </c>
      <c r="M190" s="83">
        <v>0</v>
      </c>
      <c r="N190" s="83">
        <v>0</v>
      </c>
      <c r="O190" s="83">
        <f t="shared" si="59"/>
        <v>0</v>
      </c>
      <c r="P190" s="83">
        <f t="shared" si="60"/>
        <v>0</v>
      </c>
      <c r="Q190" s="83">
        <v>0</v>
      </c>
      <c r="R190" s="83">
        <v>0</v>
      </c>
      <c r="S190" s="83">
        <v>0</v>
      </c>
      <c r="T190" s="83">
        <f t="shared" si="61"/>
        <v>0</v>
      </c>
      <c r="U190" s="83">
        <f t="shared" si="62"/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468">
        <f ca="1">IFERROR(__xludf.DUMMYFUNCTION("IMPORTRANGE(""https://docs.google.com/spreadsheets/d/1-uDff_7J0KD5mKrp0Vvzr7lt3OU09vwQwhkpOPPYv2Y/edit?usp=sharing"",""งบพรบ!CU20"")"),305900)</f>
        <v>305900</v>
      </c>
      <c r="M191" s="224">
        <f ca="1">IFERROR(__xludf.DUMMYFUNCTION("IMPORTRANGE(""https://docs.google.com/spreadsheets/d/1-uDff_7J0KD5mKrp0Vvzr7lt3OU09vwQwhkpOPPYv2Y/edit?usp=sharing"",""งบพรบ!CZ20"")"),186900)</f>
        <v>186900</v>
      </c>
      <c r="N191" s="224">
        <f ca="1">IFERROR(__xludf.DUMMYFUNCTION("IMPORTRANGE(""https://docs.google.com/spreadsheets/d/1-uDff_7J0KD5mKrp0Vvzr7lt3OU09vwQwhkpOPPYv2Y/edit?usp=sharing"",""งบพรบ!DB20"")"),105534.4)</f>
        <v>105534.39999999999</v>
      </c>
      <c r="O191" s="224">
        <f t="shared" ca="1" si="59"/>
        <v>34.499640405361227</v>
      </c>
      <c r="P191" s="224">
        <f t="shared" ca="1" si="60"/>
        <v>56.465703584804707</v>
      </c>
      <c r="Q191" s="224">
        <f ca="1">IFERROR(__xludf.DUMMYFUNCTION("IMPORTRANGE(""https://docs.google.com/spreadsheets/d/1ItG2mGa2ceCfYo0BwxsXqNm01IGEUdYcSSLTEv9YCik/edit?usp=sharing"",""เบิกจ่ายกองทุน!AV20"")"),250800)</f>
        <v>250800</v>
      </c>
      <c r="R191" s="224">
        <f ca="1">IFERROR(__xludf.DUMMYFUNCTION("IMPORTRANGE(""https://docs.google.com/spreadsheets/d/1ItG2mGa2ceCfYo0BwxsXqNm01IGEUdYcSSLTEv9YCik/edit?usp=sharing"",""เบิกจ่ายกองทุน!AW20"")"),250800)</f>
        <v>250800</v>
      </c>
      <c r="S191" s="224">
        <f ca="1">IFERROR(__xludf.DUMMYFUNCTION("IMPORTRANGE(""https://docs.google.com/spreadsheets/d/1ItG2mGa2ceCfYo0BwxsXqNm01IGEUdYcSSLTEv9YCik/edit?usp=sharing"",""เบิกจ่ายกองทุน!AX20"")"),175670)</f>
        <v>175670</v>
      </c>
      <c r="T191" s="224">
        <f t="shared" ca="1" si="61"/>
        <v>70.043859649122808</v>
      </c>
      <c r="U191" s="224">
        <f t="shared" ca="1" si="62"/>
        <v>70.043859649122808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468">
        <f ca="1">L193+L194</f>
        <v>0</v>
      </c>
      <c r="M192" s="224">
        <f ca="1">M193+M194</f>
        <v>0</v>
      </c>
      <c r="N192" s="224">
        <f ca="1">N193+N194</f>
        <v>0</v>
      </c>
      <c r="O192" s="224">
        <f t="shared" ca="1" si="59"/>
        <v>0</v>
      </c>
      <c r="P192" s="224">
        <f t="shared" ca="1" si="60"/>
        <v>0</v>
      </c>
      <c r="Q192" s="224">
        <f>Q193+Q194</f>
        <v>0</v>
      </c>
      <c r="R192" s="224">
        <f>R193+R194</f>
        <v>0</v>
      </c>
      <c r="S192" s="224">
        <f>S193+S194</f>
        <v>0</v>
      </c>
      <c r="T192" s="224">
        <f t="shared" si="61"/>
        <v>0</v>
      </c>
      <c r="U192" s="224">
        <f t="shared" si="62"/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469">
        <v>0</v>
      </c>
      <c r="M193" s="83">
        <v>0</v>
      </c>
      <c r="N193" s="83">
        <v>0</v>
      </c>
      <c r="O193" s="83">
        <f t="shared" si="59"/>
        <v>0</v>
      </c>
      <c r="P193" s="83">
        <f t="shared" si="60"/>
        <v>0</v>
      </c>
      <c r="Q193" s="83">
        <v>0</v>
      </c>
      <c r="R193" s="83">
        <v>0</v>
      </c>
      <c r="S193" s="83">
        <v>0</v>
      </c>
      <c r="T193" s="83">
        <f t="shared" si="61"/>
        <v>0</v>
      </c>
      <c r="U193" s="83">
        <f t="shared" si="62"/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468">
        <f ca="1">IFERROR(__xludf.DUMMYFUNCTION("IMPORTRANGE(""https://docs.google.com/spreadsheets/d/1-uDff_7J0KD5mKrp0Vvzr7lt3OU09vwQwhkpOPPYv2Y/edit?usp=sharing"",""งบพรบ!CX20"")"),0)</f>
        <v>0</v>
      </c>
      <c r="M194" s="224">
        <f ca="1">IFERROR(__xludf.DUMMYFUNCTION("IMPORTRANGE(""https://docs.google.com/spreadsheets/d/1-uDff_7J0KD5mKrp0Vvzr7lt3OU09vwQwhkpOPPYv2Y/edit?usp=sharing"",""งบพรบ!DA20"")"),0)</f>
        <v>0</v>
      </c>
      <c r="N194" s="224">
        <f ca="1">IFERROR(__xludf.DUMMYFUNCTION("IMPORTRANGE(""https://docs.google.com/spreadsheets/d/1-uDff_7J0KD5mKrp0Vvzr7lt3OU09vwQwhkpOPPYv2Y/edit?usp=sharing"",""งบพรบ!DC20"")"),0)</f>
        <v>0</v>
      </c>
      <c r="O194" s="224">
        <f t="shared" ca="1" si="59"/>
        <v>0</v>
      </c>
      <c r="P194" s="224">
        <f t="shared" ca="1" si="60"/>
        <v>0</v>
      </c>
      <c r="Q194" s="224">
        <v>0</v>
      </c>
      <c r="R194" s="224">
        <v>0</v>
      </c>
      <c r="S194" s="224">
        <v>0</v>
      </c>
      <c r="T194" s="224">
        <f t="shared" si="61"/>
        <v>0</v>
      </c>
      <c r="U194" s="224">
        <f t="shared" si="62"/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ca="1">I198</f>
        <v>4</v>
      </c>
      <c r="J195" s="303">
        <f>J198</f>
        <v>2</v>
      </c>
      <c r="K195" s="304">
        <f ca="1">IF(I195&gt;0,J195*100/I195,0)</f>
        <v>50</v>
      </c>
      <c r="L195" s="557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654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471">
        <f ca="1">IFERROR(__xludf.DUMMYFUNCTION("IMPORTRANGE(""https://docs.google.com/spreadsheets/d/1eHaY18a8A9IcSdp1K8H6x8fbOy06t2VsZHhMHf-1x7Y/edit?usp=sharing"",""แผน!AB20"")"),6000)</f>
        <v>6000</v>
      </c>
      <c r="M196" s="45"/>
      <c r="N196" s="658">
        <v>0</v>
      </c>
      <c r="O196" s="470">
        <f ca="1">IF(L196&gt;0,N196*100/L196,0)</f>
        <v>0</v>
      </c>
      <c r="P196" s="47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498" t="s">
        <v>38</v>
      </c>
      <c r="E197" s="141"/>
      <c r="F197" s="141"/>
      <c r="G197" s="142"/>
      <c r="H197" s="143"/>
      <c r="I197" s="44"/>
      <c r="J197" s="44"/>
      <c r="K197" s="45"/>
      <c r="L197" s="465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IFERROR(__xludf.DUMMYFUNCTION("IMPORTRANGE(""https://docs.google.com/spreadsheets/d/1eHaY18a8A9IcSdp1K8H6x8fbOy06t2VsZHhMHf-1x7Y/edit?usp=sharing"",""แผน!AE20"")"),4)</f>
        <v>4</v>
      </c>
      <c r="J198" s="466">
        <v>2</v>
      </c>
      <c r="K198" s="224">
        <f ca="1">IF(I198&gt;0,J198*100/I198,0)</f>
        <v>50</v>
      </c>
      <c r="L198" s="465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50</v>
      </c>
      <c r="K199" s="45"/>
      <c r="L199" s="465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466">
        <v>50</v>
      </c>
      <c r="K200" s="45"/>
      <c r="L200" s="465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466">
        <v>0</v>
      </c>
      <c r="K201" s="45"/>
      <c r="L201" s="465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ca="1">I209</f>
        <v>2</v>
      </c>
      <c r="J202" s="303">
        <f>J209</f>
        <v>2</v>
      </c>
      <c r="K202" s="304">
        <f ca="1">IF(I202&gt;0,J202*100/I202,0)</f>
        <v>100</v>
      </c>
      <c r="L202" s="557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654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471">
        <f ca="1">L204+L205+L206+L207</f>
        <v>10000</v>
      </c>
      <c r="M203" s="45"/>
      <c r="N203" s="470">
        <f>N204+N205+N206+N207</f>
        <v>0</v>
      </c>
      <c r="O203" s="470">
        <f ca="1">IF(L203&gt;0,N203*100/L203,0)</f>
        <v>0</v>
      </c>
      <c r="P203" s="470">
        <f>IF(M203&gt;0,N203*100/M203,0)</f>
        <v>0</v>
      </c>
      <c r="Q203" s="657">
        <f ca="1">Q204+Q205+Q206+Q207</f>
        <v>28000</v>
      </c>
      <c r="R203" s="656"/>
      <c r="S203" s="655">
        <f>S204+S205+S206+S207</f>
        <v>19240</v>
      </c>
      <c r="T203" s="655">
        <f ca="1">IF(Q203&gt;0,S203*100/Q203,0)</f>
        <v>68.714285714285708</v>
      </c>
      <c r="U203" s="655">
        <f>IF(R203&gt;0,S203*100/R203,0)</f>
        <v>0</v>
      </c>
    </row>
    <row r="204" spans="1:21" ht="18.75" x14ac:dyDescent="0.25">
      <c r="A204" s="128"/>
      <c r="B204" s="158"/>
      <c r="C204" s="40"/>
      <c r="D204" s="653" t="s">
        <v>311</v>
      </c>
      <c r="E204" s="40"/>
      <c r="F204" s="40"/>
      <c r="G204" s="42"/>
      <c r="H204" s="134" t="s">
        <v>14</v>
      </c>
      <c r="I204" s="135"/>
      <c r="J204" s="135"/>
      <c r="K204" s="136"/>
      <c r="L204" s="468">
        <f ca="1">IFERROR(__xludf.DUMMYFUNCTION("IMPORTRANGE(""https://docs.google.com/spreadsheets/d/1eHaY18a8A9IcSdp1K8H6x8fbOy06t2VsZHhMHf-1x7Y/edit?usp=sharing"",""แผน!AG20"")"),2000)</f>
        <v>2000</v>
      </c>
      <c r="M204" s="45"/>
      <c r="N204" s="644">
        <v>0</v>
      </c>
      <c r="O204" s="136"/>
      <c r="P204" s="45"/>
      <c r="Q204" s="468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307</v>
      </c>
      <c r="E205" s="40"/>
      <c r="F205" s="40"/>
      <c r="G205" s="42"/>
      <c r="H205" s="43" t="s">
        <v>14</v>
      </c>
      <c r="I205" s="44"/>
      <c r="J205" s="44"/>
      <c r="K205" s="45"/>
      <c r="L205" s="468">
        <f ca="1">IFERROR(__xludf.DUMMYFUNCTION("IMPORTRANGE(""https://docs.google.com/spreadsheets/d/1eHaY18a8A9IcSdp1K8H6x8fbOy06t2VsZHhMHf-1x7Y/edit?usp=sharing"",""แผน!AH20"")"),0)</f>
        <v>0</v>
      </c>
      <c r="M205" s="45"/>
      <c r="N205" s="644">
        <v>0</v>
      </c>
      <c r="O205" s="136"/>
      <c r="P205" s="45"/>
      <c r="Q205" s="468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468">
        <f ca="1">IFERROR(__xludf.DUMMYFUNCTION("IMPORTRANGE(""https://docs.google.com/spreadsheets/d/1eHaY18a8A9IcSdp1K8H6x8fbOy06t2VsZHhMHf-1x7Y/edit?usp=sharing"",""แผน!AI20"")"),0)</f>
        <v>0</v>
      </c>
      <c r="M206" s="45"/>
      <c r="N206" s="644">
        <v>0</v>
      </c>
      <c r="O206" s="136"/>
      <c r="P206" s="45"/>
      <c r="Q206" s="468">
        <f ca="1">IFERROR(__xludf.DUMMYFUNCTION("IMPORTRANGE(""https://docs.google.com/spreadsheets/d/1eHaY18a8A9IcSdp1K8H6x8fbOy06t2VsZHhMHf-1x7Y/edit?usp=sharing"",""แผน!LV20"")"),28000)</f>
        <v>28000</v>
      </c>
      <c r="R206" s="45"/>
      <c r="S206" s="644">
        <v>19240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468">
        <f ca="1">IFERROR(__xludf.DUMMYFUNCTION("IMPORTRANGE(""https://docs.google.com/spreadsheets/d/1eHaY18a8A9IcSdp1K8H6x8fbOy06t2VsZHhMHf-1x7Y/edit?usp=sharing"",""แผน!AJ20"")"),8000)</f>
        <v>8000</v>
      </c>
      <c r="M207" s="45"/>
      <c r="N207" s="644">
        <v>0</v>
      </c>
      <c r="O207" s="136"/>
      <c r="P207" s="45"/>
      <c r="Q207" s="468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498" t="s">
        <v>38</v>
      </c>
      <c r="E208" s="141"/>
      <c r="F208" s="141"/>
      <c r="G208" s="142"/>
      <c r="H208" s="143"/>
      <c r="I208" s="135"/>
      <c r="J208" s="135"/>
      <c r="K208" s="136"/>
      <c r="L208" s="492"/>
      <c r="M208" s="136"/>
      <c r="N208" s="136"/>
      <c r="O208" s="136"/>
      <c r="P208" s="136"/>
      <c r="Q208" s="4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IFERROR(__xludf.DUMMYFUNCTION("IMPORTRANGE(""https://docs.google.com/spreadsheets/d/1eHaY18a8A9IcSdp1K8H6x8fbOy06t2VsZHhMHf-1x7Y/edit?usp=sharing"",""แผน!AK20"")"),2)</f>
        <v>2</v>
      </c>
      <c r="J209" s="466">
        <v>2</v>
      </c>
      <c r="K209" s="497">
        <f ca="1">IF(I209&gt;0,J209*100/I209,0)</f>
        <v>100</v>
      </c>
      <c r="L209" s="465"/>
      <c r="M209" s="45"/>
      <c r="N209" s="45"/>
      <c r="O209" s="45"/>
      <c r="P209" s="45"/>
      <c r="Q209" s="465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465"/>
      <c r="M210" s="45"/>
      <c r="N210" s="45"/>
      <c r="O210" s="45"/>
      <c r="P210" s="45"/>
      <c r="Q210" s="46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IFERROR(__xludf.DUMMYFUNCTION("IMPORTRANGE(""https://docs.google.com/spreadsheets/d/1eHaY18a8A9IcSdp1K8H6x8fbOy06t2VsZHhMHf-1x7Y/edit?usp=sharing"",""แผน!JX20"")"),2)</f>
        <v>2</v>
      </c>
      <c r="J211" s="466">
        <v>2</v>
      </c>
      <c r="K211" s="497">
        <f ca="1">IF(I211&gt;0,J211*100/I211,0)</f>
        <v>100</v>
      </c>
      <c r="L211" s="465"/>
      <c r="M211" s="45"/>
      <c r="N211" s="45"/>
      <c r="O211" s="45"/>
      <c r="P211" s="45"/>
      <c r="Q211" s="46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IFERROR(__xludf.DUMMYFUNCTION("IMPORTRANGE(""https://docs.google.com/spreadsheets/d/1eHaY18a8A9IcSdp1K8H6x8fbOy06t2VsZHhMHf-1x7Y/edit?usp=sharing"",""แผน!JY20"")"),0)</f>
        <v>0</v>
      </c>
      <c r="J212" s="466">
        <v>0</v>
      </c>
      <c r="K212" s="497">
        <f ca="1">IF(I212&gt;0,J212*100/I212,0)</f>
        <v>0</v>
      </c>
      <c r="L212" s="465"/>
      <c r="M212" s="45"/>
      <c r="N212" s="45"/>
      <c r="O212" s="45"/>
      <c r="P212" s="45"/>
      <c r="Q212" s="465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ca="1">I220</f>
        <v>0</v>
      </c>
      <c r="J213" s="303">
        <f>J220</f>
        <v>0</v>
      </c>
      <c r="K213" s="304">
        <f ca="1">IF(I213&gt;0,J213*100/I213,0)</f>
        <v>0</v>
      </c>
      <c r="L213" s="557"/>
      <c r="M213" s="219"/>
      <c r="N213" s="219"/>
      <c r="O213" s="219"/>
      <c r="P213" s="219"/>
      <c r="Q213" s="557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654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471">
        <f ca="1">L215+L216+L217</f>
        <v>0</v>
      </c>
      <c r="M214" s="45"/>
      <c r="N214" s="470">
        <f>N215+N216+N217</f>
        <v>0</v>
      </c>
      <c r="O214" s="470">
        <f ca="1">IF(L214&gt;0,N214*100/L214,0)</f>
        <v>0</v>
      </c>
      <c r="P214" s="470">
        <f>IF(M214&gt;0,N214*100/M214,0)</f>
        <v>0</v>
      </c>
      <c r="Q214" s="471">
        <f ca="1">Q215+Q216+Q217</f>
        <v>0</v>
      </c>
      <c r="R214" s="45"/>
      <c r="S214" s="470">
        <f>S215+S216+S217</f>
        <v>0</v>
      </c>
      <c r="T214" s="470">
        <f ca="1">IF(Q214&gt;0,S214*100/Q214,0)</f>
        <v>0</v>
      </c>
      <c r="U214" s="470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468">
        <f ca="1">IFERROR(__xludf.DUMMYFUNCTION("IMPORTRANGE(""https://docs.google.com/spreadsheets/d/1eHaY18a8A9IcSdp1K8H6x8fbOy06t2VsZHhMHf-1x7Y/edit?usp=sharing"",""แผน!AM20"")"),0)</f>
        <v>0</v>
      </c>
      <c r="M215" s="45"/>
      <c r="N215" s="644">
        <v>0</v>
      </c>
      <c r="O215" s="136"/>
      <c r="P215" s="45"/>
      <c r="Q215" s="468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468">
        <f ca="1">IFERROR(__xludf.DUMMYFUNCTION("IMPORTRANGE(""https://docs.google.com/spreadsheets/d/1eHaY18a8A9IcSdp1K8H6x8fbOy06t2VsZHhMHf-1x7Y/edit?usp=sharing"",""แผน!AN20"")"),0)</f>
        <v>0</v>
      </c>
      <c r="M216" s="45"/>
      <c r="N216" s="644">
        <v>0</v>
      </c>
      <c r="O216" s="136"/>
      <c r="P216" s="45"/>
      <c r="Q216" s="468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468">
        <f ca="1">IFERROR(__xludf.DUMMYFUNCTION("IMPORTRANGE(""https://docs.google.com/spreadsheets/d/1eHaY18a8A9IcSdp1K8H6x8fbOy06t2VsZHhMHf-1x7Y/edit?usp=sharing"",""แผน!AO20"")"),0)</f>
        <v>0</v>
      </c>
      <c r="M217" s="45"/>
      <c r="N217" s="644">
        <v>0</v>
      </c>
      <c r="O217" s="136"/>
      <c r="P217" s="45"/>
      <c r="Q217" s="468">
        <f ca="1">IFERROR(__xludf.DUMMYFUNCTION("IMPORTRANGE(""https://docs.google.com/spreadsheets/d/1eHaY18a8A9IcSdp1K8H6x8fbOy06t2VsZHhMHf-1x7Y/edit?usp=sharing"",""แผน!LY20"")"),0)</f>
        <v>0</v>
      </c>
      <c r="R217" s="45"/>
      <c r="S217" s="644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498" t="s">
        <v>38</v>
      </c>
      <c r="E218" s="141"/>
      <c r="F218" s="141"/>
      <c r="G218" s="142"/>
      <c r="H218" s="143"/>
      <c r="I218" s="135"/>
      <c r="J218" s="44"/>
      <c r="K218" s="45"/>
      <c r="L218" s="465"/>
      <c r="M218" s="45"/>
      <c r="N218" s="45"/>
      <c r="O218" s="136"/>
      <c r="P218" s="136"/>
      <c r="Q218" s="465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IFERROR(__xludf.DUMMYFUNCTION("IMPORTRANGE(""https://docs.google.com/spreadsheets/d/1eHaY18a8A9IcSdp1K8H6x8fbOy06t2VsZHhMHf-1x7Y/edit?usp=sharing"",""แผน!AP20"")"),0)</f>
        <v>0</v>
      </c>
      <c r="J219" s="466">
        <v>0</v>
      </c>
      <c r="K219" s="224">
        <f ca="1">IF(I219&gt;0,J219*100/I219,0)</f>
        <v>0</v>
      </c>
      <c r="L219" s="465"/>
      <c r="M219" s="45"/>
      <c r="N219" s="45"/>
      <c r="O219" s="45"/>
      <c r="P219" s="45"/>
      <c r="Q219" s="465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IFERROR(__xludf.DUMMYFUNCTION("IMPORTRANGE(""https://docs.google.com/spreadsheets/d/1eHaY18a8A9IcSdp1K8H6x8fbOy06t2VsZHhMHf-1x7Y/edit?usp=sharing"",""แผน!AP20"")"),0)</f>
        <v>0</v>
      </c>
      <c r="J220" s="466">
        <v>0</v>
      </c>
      <c r="K220" s="224">
        <f ca="1">IF(I220&gt;0,J220*100/I220,0)</f>
        <v>0</v>
      </c>
      <c r="L220" s="465"/>
      <c r="M220" s="45"/>
      <c r="N220" s="45"/>
      <c r="O220" s="45"/>
      <c r="P220" s="45"/>
      <c r="Q220" s="465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ca="1">I229</f>
        <v>20000</v>
      </c>
      <c r="J221" s="303">
        <f>J229</f>
        <v>0</v>
      </c>
      <c r="K221" s="304">
        <f ca="1">IF(I221&gt;0,J221*100/I221,0)</f>
        <v>0</v>
      </c>
      <c r="L221" s="557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654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471">
        <f ca="1">L223+L224+L225</f>
        <v>4500</v>
      </c>
      <c r="M222" s="45"/>
      <c r="N222" s="470">
        <f>N223+N224+N225</f>
        <v>0</v>
      </c>
      <c r="O222" s="470">
        <f ca="1">IF(L222&gt;0,N222*100/L222,0)</f>
        <v>0</v>
      </c>
      <c r="P222" s="47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653" t="s">
        <v>308</v>
      </c>
      <c r="E223" s="40"/>
      <c r="F223" s="40"/>
      <c r="G223" s="42"/>
      <c r="H223" s="134" t="s">
        <v>14</v>
      </c>
      <c r="I223" s="135"/>
      <c r="J223" s="135"/>
      <c r="K223" s="136"/>
      <c r="L223" s="468">
        <f ca="1">IFERROR(__xludf.DUMMYFUNCTION("IMPORTRANGE(""https://docs.google.com/spreadsheets/d/1eHaY18a8A9IcSdp1K8H6x8fbOy06t2VsZHhMHf-1x7Y/edit?usp=sharing"",""แผน!AR20"")"),2500)</f>
        <v>2500</v>
      </c>
      <c r="M223" s="45"/>
      <c r="N223" s="644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307</v>
      </c>
      <c r="E224" s="40"/>
      <c r="F224" s="40"/>
      <c r="G224" s="42"/>
      <c r="H224" s="134" t="s">
        <v>14</v>
      </c>
      <c r="I224" s="44"/>
      <c r="J224" s="44"/>
      <c r="K224" s="45"/>
      <c r="L224" s="468">
        <f ca="1">IFERROR(__xludf.DUMMYFUNCTION("IMPORTRANGE(""https://docs.google.com/spreadsheets/d/1eHaY18a8A9IcSdp1K8H6x8fbOy06t2VsZHhMHf-1x7Y/edit?usp=sharing"",""แผน!AS20"")"),2000)</f>
        <v>2000</v>
      </c>
      <c r="M224" s="45"/>
      <c r="N224" s="644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468">
        <f ca="1">IFERROR(__xludf.DUMMYFUNCTION("IMPORTRANGE(""https://docs.google.com/spreadsheets/d/1eHaY18a8A9IcSdp1K8H6x8fbOy06t2VsZHhMHf-1x7Y/edit?usp=sharing"",""แผน!AT20"")"),0)</f>
        <v>0</v>
      </c>
      <c r="M225" s="45"/>
      <c r="N225" s="644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498" t="s">
        <v>38</v>
      </c>
      <c r="E226" s="141"/>
      <c r="F226" s="141"/>
      <c r="G226" s="142"/>
      <c r="H226" s="143"/>
      <c r="I226" s="135"/>
      <c r="J226" s="135"/>
      <c r="K226" s="136"/>
      <c r="L226" s="4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4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IFERROR(__xludf.DUMMYFUNCTION("IMPORTRANGE(""https://docs.google.com/spreadsheets/d/1eHaY18a8A9IcSdp1K8H6x8fbOy06t2VsZHhMHf-1x7Y/edit?usp=sharing"",""แผน!AV20"")"),20000)</f>
        <v>20000</v>
      </c>
      <c r="J228" s="466">
        <v>0</v>
      </c>
      <c r="K228" s="497">
        <f ca="1">IF(I228&gt;0,J228*100/I228,0)</f>
        <v>0</v>
      </c>
      <c r="L228" s="4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IFERROR(__xludf.DUMMYFUNCTION("IMPORTRANGE(""https://docs.google.com/spreadsheets/d/1eHaY18a8A9IcSdp1K8H6x8fbOy06t2VsZHhMHf-1x7Y/edit?usp=sharing"",""แผน!AV20"")"),20000)</f>
        <v>20000</v>
      </c>
      <c r="J229" s="466">
        <v>0</v>
      </c>
      <c r="K229" s="497">
        <f ca="1">IF(I229&gt;0,J229*100/I229,0)</f>
        <v>0</v>
      </c>
      <c r="L229" s="465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IFERROR(__xludf.DUMMYFUNCTION("IMPORTRANGE(""https://docs.google.com/spreadsheets/d/1eHaY18a8A9IcSdp1K8H6x8fbOy06t2VsZHhMHf-1x7Y/edit?usp=sharing"",""แผน!AU20"")"),0)</f>
        <v>0</v>
      </c>
      <c r="J230" s="466">
        <v>0</v>
      </c>
      <c r="K230" s="497">
        <f ca="1">IF(I230&gt;0,J230*100/I230,0)</f>
        <v>0</v>
      </c>
      <c r="L230" s="465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745"/>
      <c r="B231" s="744"/>
      <c r="C231" s="649" t="s">
        <v>105</v>
      </c>
      <c r="D231" s="743"/>
      <c r="E231" s="743"/>
      <c r="F231" s="743"/>
      <c r="G231" s="742"/>
      <c r="H231" s="648" t="s">
        <v>35</v>
      </c>
      <c r="I231" s="647">
        <f ca="1">I242+I253</f>
        <v>40</v>
      </c>
      <c r="J231" s="647">
        <f>J242+J253</f>
        <v>40</v>
      </c>
      <c r="K231" s="646">
        <f ca="1">IF(I231&gt;0,J231*100/I231,0)</f>
        <v>100</v>
      </c>
      <c r="L231" s="557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615"/>
      <c r="B232" s="614"/>
      <c r="C232" s="527" t="s">
        <v>18</v>
      </c>
      <c r="D232" s="494" t="s">
        <v>19</v>
      </c>
      <c r="E232" s="614"/>
      <c r="F232" s="614"/>
      <c r="G232" s="613"/>
      <c r="H232" s="372" t="s">
        <v>14</v>
      </c>
      <c r="I232" s="612"/>
      <c r="J232" s="612"/>
      <c r="K232" s="611"/>
      <c r="L232" s="652">
        <f ca="1">L243+L254</f>
        <v>155000</v>
      </c>
      <c r="M232" s="45"/>
      <c r="N232" s="651">
        <f>N243+N254</f>
        <v>94824.4</v>
      </c>
      <c r="O232" s="45"/>
      <c r="P232" s="45"/>
      <c r="Q232" s="652">
        <f ca="1">Q243+Q254</f>
        <v>222800</v>
      </c>
      <c r="R232" s="45"/>
      <c r="S232" s="651">
        <f>S243+S254</f>
        <v>197110</v>
      </c>
      <c r="T232" s="45"/>
      <c r="U232" s="45"/>
    </row>
    <row r="233" spans="1:21" ht="18.75" hidden="1" x14ac:dyDescent="0.25">
      <c r="A233" s="615"/>
      <c r="B233" s="740"/>
      <c r="C233" s="614"/>
      <c r="D233" s="653" t="s">
        <v>311</v>
      </c>
      <c r="E233" s="614"/>
      <c r="F233" s="614"/>
      <c r="G233" s="613"/>
      <c r="H233" s="159" t="s">
        <v>14</v>
      </c>
      <c r="I233" s="612"/>
      <c r="J233" s="612"/>
      <c r="K233" s="611"/>
      <c r="L233" s="469">
        <f ca="1">L244+L255</f>
        <v>11000</v>
      </c>
      <c r="M233" s="45"/>
      <c r="N233" s="83">
        <f>N244+N255</f>
        <v>3180</v>
      </c>
      <c r="O233" s="45"/>
      <c r="P233" s="45"/>
      <c r="Q233" s="469">
        <f>Q244+Q255</f>
        <v>0</v>
      </c>
      <c r="R233" s="45"/>
      <c r="S233" s="83">
        <f>S244+S255</f>
        <v>0</v>
      </c>
      <c r="T233" s="45"/>
      <c r="U233" s="45"/>
    </row>
    <row r="234" spans="1:21" ht="18.75" hidden="1" x14ac:dyDescent="0.25">
      <c r="A234" s="741"/>
      <c r="B234" s="740"/>
      <c r="C234" s="740"/>
      <c r="D234" s="47" t="s">
        <v>87</v>
      </c>
      <c r="E234" s="614"/>
      <c r="F234" s="614"/>
      <c r="G234" s="613"/>
      <c r="H234" s="159" t="s">
        <v>14</v>
      </c>
      <c r="I234" s="619"/>
      <c r="J234" s="619"/>
      <c r="K234" s="618"/>
      <c r="L234" s="469">
        <f ca="1">L245+L256</f>
        <v>91000</v>
      </c>
      <c r="M234" s="45"/>
      <c r="N234" s="83">
        <f>N245+N256</f>
        <v>62830</v>
      </c>
      <c r="O234" s="45"/>
      <c r="P234" s="45"/>
      <c r="Q234" s="469">
        <f>Q245+Q256</f>
        <v>0</v>
      </c>
      <c r="R234" s="45"/>
      <c r="S234" s="83">
        <f>S245+S256</f>
        <v>0</v>
      </c>
      <c r="T234" s="45"/>
      <c r="U234" s="45"/>
    </row>
    <row r="235" spans="1:21" ht="18.75" hidden="1" x14ac:dyDescent="0.25">
      <c r="A235" s="741"/>
      <c r="B235" s="740"/>
      <c r="C235" s="740"/>
      <c r="D235" s="47" t="s">
        <v>88</v>
      </c>
      <c r="E235" s="614"/>
      <c r="F235" s="614"/>
      <c r="G235" s="613"/>
      <c r="H235" s="159" t="s">
        <v>14</v>
      </c>
      <c r="I235" s="619"/>
      <c r="J235" s="619"/>
      <c r="K235" s="618"/>
      <c r="L235" s="469">
        <f ca="1">L246+L257</f>
        <v>0</v>
      </c>
      <c r="M235" s="45"/>
      <c r="N235" s="83">
        <f>N246+N257</f>
        <v>0</v>
      </c>
      <c r="O235" s="45"/>
      <c r="P235" s="45"/>
      <c r="Q235" s="469">
        <f ca="1">Q246+Q257</f>
        <v>222800</v>
      </c>
      <c r="R235" s="45"/>
      <c r="S235" s="83">
        <f>S246+S257</f>
        <v>197110</v>
      </c>
      <c r="T235" s="45"/>
      <c r="U235" s="45"/>
    </row>
    <row r="236" spans="1:21" ht="18.75" hidden="1" x14ac:dyDescent="0.25">
      <c r="A236" s="741"/>
      <c r="B236" s="740"/>
      <c r="C236" s="740"/>
      <c r="D236" s="47" t="s">
        <v>89</v>
      </c>
      <c r="E236" s="614"/>
      <c r="F236" s="614"/>
      <c r="G236" s="613"/>
      <c r="H236" s="159" t="s">
        <v>14</v>
      </c>
      <c r="I236" s="619"/>
      <c r="J236" s="619"/>
      <c r="K236" s="618"/>
      <c r="L236" s="469">
        <f ca="1">L247+L258</f>
        <v>53000</v>
      </c>
      <c r="M236" s="45"/>
      <c r="N236" s="83">
        <f>N247+N258</f>
        <v>28814.400000000001</v>
      </c>
      <c r="O236" s="45"/>
      <c r="P236" s="45"/>
      <c r="Q236" s="469">
        <f>Q247+Q258</f>
        <v>0</v>
      </c>
      <c r="R236" s="45"/>
      <c r="S236" s="83">
        <f>S247+S258</f>
        <v>0</v>
      </c>
      <c r="T236" s="45"/>
      <c r="U236" s="45"/>
    </row>
    <row r="237" spans="1:21" ht="19.5" hidden="1" x14ac:dyDescent="0.3">
      <c r="A237" s="737"/>
      <c r="B237" s="736"/>
      <c r="C237" s="643" t="s">
        <v>18</v>
      </c>
      <c r="D237" s="509" t="s">
        <v>38</v>
      </c>
      <c r="E237" s="739"/>
      <c r="F237" s="739"/>
      <c r="G237" s="738"/>
      <c r="H237" s="734"/>
      <c r="I237" s="612"/>
      <c r="J237" s="619"/>
      <c r="K237" s="618"/>
      <c r="L237" s="465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737"/>
      <c r="B238" s="736"/>
      <c r="C238" s="736"/>
      <c r="D238" s="179" t="s">
        <v>108</v>
      </c>
      <c r="E238" s="735"/>
      <c r="F238" s="735"/>
      <c r="G238" s="734"/>
      <c r="H238" s="640" t="s">
        <v>35</v>
      </c>
      <c r="I238" s="430">
        <f ca="1">I249+I260</f>
        <v>40</v>
      </c>
      <c r="J238" s="430">
        <f>J249+J260</f>
        <v>40</v>
      </c>
      <c r="K238" s="83">
        <f ca="1">IF(I238&gt;0,J238*100/I238,0)</f>
        <v>100</v>
      </c>
      <c r="L238" s="465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737"/>
      <c r="B239" s="736"/>
      <c r="C239" s="736"/>
      <c r="D239" s="642" t="s">
        <v>43</v>
      </c>
      <c r="E239" s="735"/>
      <c r="F239" s="735"/>
      <c r="G239" s="734"/>
      <c r="H239" s="734"/>
      <c r="I239" s="619"/>
      <c r="J239" s="619"/>
      <c r="K239" s="618"/>
      <c r="L239" s="465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737"/>
      <c r="B240" s="736"/>
      <c r="C240" s="736"/>
      <c r="D240" s="736"/>
      <c r="E240" s="641" t="s">
        <v>109</v>
      </c>
      <c r="F240" s="735"/>
      <c r="G240" s="734"/>
      <c r="H240" s="640" t="s">
        <v>35</v>
      </c>
      <c r="I240" s="430">
        <f ca="1">I251+I262</f>
        <v>40</v>
      </c>
      <c r="J240" s="430">
        <f>J251+J262</f>
        <v>40</v>
      </c>
      <c r="K240" s="83">
        <f ca="1">IF(I240&gt;0,J240*100/I240,0)</f>
        <v>100</v>
      </c>
      <c r="L240" s="465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737"/>
      <c r="B241" s="736"/>
      <c r="C241" s="736"/>
      <c r="D241" s="736"/>
      <c r="E241" s="641" t="s">
        <v>110</v>
      </c>
      <c r="F241" s="735"/>
      <c r="G241" s="734"/>
      <c r="H241" s="640" t="s">
        <v>61</v>
      </c>
      <c r="I241" s="430">
        <f ca="1">I252+I263</f>
        <v>1</v>
      </c>
      <c r="J241" s="430">
        <f>J252+J263</f>
        <v>1</v>
      </c>
      <c r="K241" s="83">
        <f ca="1">IF(I241&gt;0,J241*100/I241,0)</f>
        <v>100</v>
      </c>
      <c r="L241" s="465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x14ac:dyDescent="0.3">
      <c r="A242" s="733"/>
      <c r="B242" s="732"/>
      <c r="C242" s="731" t="s">
        <v>322</v>
      </c>
      <c r="D242" s="730"/>
      <c r="E242" s="730"/>
      <c r="F242" s="730"/>
      <c r="G242" s="729"/>
      <c r="H242" s="728" t="s">
        <v>35</v>
      </c>
      <c r="I242" s="727">
        <f ca="1">I249</f>
        <v>40</v>
      </c>
      <c r="J242" s="727">
        <f>J249</f>
        <v>40</v>
      </c>
      <c r="K242" s="726">
        <f ca="1">IF(I242&gt;0,J242*100/I242,0)</f>
        <v>100</v>
      </c>
      <c r="L242" s="557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x14ac:dyDescent="0.3">
      <c r="A243" s="610"/>
      <c r="B243" s="609"/>
      <c r="C243" s="624" t="s">
        <v>18</v>
      </c>
      <c r="D243" s="623" t="s">
        <v>19</v>
      </c>
      <c r="E243" s="609"/>
      <c r="F243" s="609"/>
      <c r="G243" s="608"/>
      <c r="H243" s="725" t="s">
        <v>14</v>
      </c>
      <c r="I243" s="601"/>
      <c r="J243" s="601"/>
      <c r="K243" s="599"/>
      <c r="L243" s="471">
        <f ca="1">L244+L245+L246+L247</f>
        <v>155000</v>
      </c>
      <c r="M243" s="45"/>
      <c r="N243" s="470">
        <f>N244+N245+N246+N247</f>
        <v>94824.4</v>
      </c>
      <c r="O243" s="470">
        <f ca="1">IF(L243&gt;0,N243*100/L243,0)</f>
        <v>61.177032258064514</v>
      </c>
      <c r="P243" s="470">
        <f>IF(M243&gt;0,N243*100/M243,0)</f>
        <v>0</v>
      </c>
      <c r="Q243" s="657">
        <f ca="1">Q244+Q245+Q246+Q247</f>
        <v>222800</v>
      </c>
      <c r="R243" s="656"/>
      <c r="S243" s="655">
        <f>S244+S245+S246+S247</f>
        <v>197110</v>
      </c>
      <c r="T243" s="655">
        <f ca="1">IF(Q243&gt;0,S243*100/Q243,0)</f>
        <v>88.469479353680427</v>
      </c>
      <c r="U243" s="655">
        <f>IF(R243&gt;0,S243*100/R243,0)</f>
        <v>0</v>
      </c>
    </row>
    <row r="244" spans="1:21" ht="18.75" x14ac:dyDescent="0.25">
      <c r="A244" s="610"/>
      <c r="B244" s="545"/>
      <c r="C244" s="609"/>
      <c r="D244" s="653" t="s">
        <v>311</v>
      </c>
      <c r="E244" s="609"/>
      <c r="F244" s="609"/>
      <c r="G244" s="608"/>
      <c r="H244" s="617" t="s">
        <v>14</v>
      </c>
      <c r="I244" s="601"/>
      <c r="J244" s="601"/>
      <c r="K244" s="599"/>
      <c r="L244" s="468">
        <f ca="1">IFERROR(__xludf.DUMMYFUNCTION("IMPORTRANGE(""https://docs.google.com/spreadsheets/d/1eHaY18a8A9IcSdp1K8H6x8fbOy06t2VsZHhMHf-1x7Y/edit?usp=sharing"",""แผน!AX20"")"),11000)</f>
        <v>11000</v>
      </c>
      <c r="M244" s="45"/>
      <c r="N244" s="644">
        <v>3180</v>
      </c>
      <c r="O244" s="45"/>
      <c r="P244" s="45"/>
      <c r="Q244" s="468">
        <v>0</v>
      </c>
      <c r="R244" s="45"/>
      <c r="S244" s="224">
        <v>0</v>
      </c>
      <c r="T244" s="136"/>
      <c r="U244" s="45"/>
    </row>
    <row r="245" spans="1:21" ht="18.75" x14ac:dyDescent="0.25">
      <c r="A245" s="724"/>
      <c r="B245" s="545"/>
      <c r="C245" s="545"/>
      <c r="D245" s="47" t="s">
        <v>307</v>
      </c>
      <c r="E245" s="609"/>
      <c r="F245" s="609"/>
      <c r="G245" s="608"/>
      <c r="H245" s="617" t="s">
        <v>14</v>
      </c>
      <c r="I245" s="479"/>
      <c r="J245" s="479"/>
      <c r="K245" s="476"/>
      <c r="L245" s="468">
        <f ca="1">IFERROR(__xludf.DUMMYFUNCTION("IMPORTRANGE(""https://docs.google.com/spreadsheets/d/1eHaY18a8A9IcSdp1K8H6x8fbOy06t2VsZHhMHf-1x7Y/edit?usp=sharing"",""แผน!AY20"")"),91000)</f>
        <v>91000</v>
      </c>
      <c r="M245" s="45"/>
      <c r="N245" s="644">
        <v>62830</v>
      </c>
      <c r="O245" s="45"/>
      <c r="P245" s="45"/>
      <c r="Q245" s="468">
        <v>0</v>
      </c>
      <c r="R245" s="45"/>
      <c r="S245" s="224">
        <v>0</v>
      </c>
      <c r="T245" s="136"/>
      <c r="U245" s="45"/>
    </row>
    <row r="246" spans="1:21" ht="18.75" x14ac:dyDescent="0.25">
      <c r="A246" s="724"/>
      <c r="B246" s="545"/>
      <c r="C246" s="545"/>
      <c r="D246" s="47" t="s">
        <v>88</v>
      </c>
      <c r="E246" s="609"/>
      <c r="F246" s="609"/>
      <c r="G246" s="608"/>
      <c r="H246" s="617" t="s">
        <v>14</v>
      </c>
      <c r="I246" s="479"/>
      <c r="J246" s="479"/>
      <c r="K246" s="476"/>
      <c r="L246" s="468">
        <f ca="1">IFERROR(__xludf.DUMMYFUNCTION("IMPORTRANGE(""https://docs.google.com/spreadsheets/d/1eHaY18a8A9IcSdp1K8H6x8fbOy06t2VsZHhMHf-1x7Y/edit?usp=sharing"",""แผน!AZ20"")"),0)</f>
        <v>0</v>
      </c>
      <c r="M246" s="45"/>
      <c r="N246" s="644">
        <v>0</v>
      </c>
      <c r="O246" s="45"/>
      <c r="P246" s="45"/>
      <c r="Q246" s="468">
        <f ca="1">IFERROR(__xludf.DUMMYFUNCTION("IMPORTRANGE(""https://docs.google.com/spreadsheets/d/1eHaY18a8A9IcSdp1K8H6x8fbOy06t2VsZHhMHf-1x7Y/edit?usp=sharing"",""แผน!MF20"")"),222800)</f>
        <v>222800</v>
      </c>
      <c r="R246" s="45"/>
      <c r="S246" s="644">
        <v>197110</v>
      </c>
      <c r="T246" s="136"/>
      <c r="U246" s="45"/>
    </row>
    <row r="247" spans="1:21" ht="18.75" x14ac:dyDescent="0.25">
      <c r="A247" s="724"/>
      <c r="B247" s="545"/>
      <c r="C247" s="545"/>
      <c r="D247" s="47" t="s">
        <v>89</v>
      </c>
      <c r="E247" s="609"/>
      <c r="F247" s="609"/>
      <c r="G247" s="608"/>
      <c r="H247" s="617" t="s">
        <v>14</v>
      </c>
      <c r="I247" s="479"/>
      <c r="J247" s="479"/>
      <c r="K247" s="476"/>
      <c r="L247" s="468">
        <f ca="1">IFERROR(__xludf.DUMMYFUNCTION("IMPORTRANGE(""https://docs.google.com/spreadsheets/d/1eHaY18a8A9IcSdp1K8H6x8fbOy06t2VsZHhMHf-1x7Y/edit?usp=sharing"",""แผน!BA20"")"),53000)</f>
        <v>53000</v>
      </c>
      <c r="M247" s="45"/>
      <c r="N247" s="644">
        <v>28814.400000000001</v>
      </c>
      <c r="O247" s="45"/>
      <c r="P247" s="45"/>
      <c r="Q247" s="468">
        <v>0</v>
      </c>
      <c r="R247" s="45"/>
      <c r="S247" s="224">
        <v>0</v>
      </c>
      <c r="T247" s="136"/>
      <c r="U247" s="45"/>
    </row>
    <row r="248" spans="1:21" ht="19.5" x14ac:dyDescent="0.3">
      <c r="A248" s="485"/>
      <c r="B248" s="484"/>
      <c r="C248" s="723" t="s">
        <v>18</v>
      </c>
      <c r="D248" s="604" t="s">
        <v>38</v>
      </c>
      <c r="E248" s="603"/>
      <c r="F248" s="603"/>
      <c r="G248" s="602"/>
      <c r="H248" s="481"/>
      <c r="I248" s="601"/>
      <c r="J248" s="479"/>
      <c r="K248" s="476"/>
      <c r="L248" s="465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x14ac:dyDescent="0.25">
      <c r="A249" s="485"/>
      <c r="B249" s="484"/>
      <c r="C249" s="484"/>
      <c r="D249" s="482" t="s">
        <v>108</v>
      </c>
      <c r="E249" s="483"/>
      <c r="F249" s="483"/>
      <c r="G249" s="481"/>
      <c r="H249" s="721" t="s">
        <v>35</v>
      </c>
      <c r="I249" s="487">
        <f ca="1">IFERROR(__xludf.DUMMYFUNCTION("IMPORTRANGE(""https://docs.google.com/spreadsheets/d/1eHaY18a8A9IcSdp1K8H6x8fbOy06t2VsZHhMHf-1x7Y/edit?usp=sharing"",""แผน!BG20"")"),40)</f>
        <v>40</v>
      </c>
      <c r="J249" s="478">
        <v>40</v>
      </c>
      <c r="K249" s="486">
        <f ca="1">IF(I249&gt;0,J249*100/I249,0)</f>
        <v>100</v>
      </c>
      <c r="L249" s="465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x14ac:dyDescent="0.25">
      <c r="A250" s="485"/>
      <c r="B250" s="484"/>
      <c r="C250" s="484"/>
      <c r="D250" s="722" t="s">
        <v>43</v>
      </c>
      <c r="E250" s="483"/>
      <c r="F250" s="483"/>
      <c r="G250" s="481"/>
      <c r="H250" s="481"/>
      <c r="I250" s="479"/>
      <c r="J250" s="479"/>
      <c r="K250" s="476"/>
      <c r="L250" s="465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x14ac:dyDescent="0.25">
      <c r="A251" s="485"/>
      <c r="B251" s="484"/>
      <c r="C251" s="484"/>
      <c r="D251" s="484"/>
      <c r="E251" s="308" t="s">
        <v>109</v>
      </c>
      <c r="F251" s="483"/>
      <c r="G251" s="481"/>
      <c r="H251" s="721" t="s">
        <v>35</v>
      </c>
      <c r="I251" s="487">
        <f ca="1">IFERROR(__xludf.DUMMYFUNCTION("IMPORTRANGE(""https://docs.google.com/spreadsheets/d/1eHaY18a8A9IcSdp1K8H6x8fbOy06t2VsZHhMHf-1x7Y/edit?usp=sharing"",""แผน!KP20"")"),40)</f>
        <v>40</v>
      </c>
      <c r="J251" s="478">
        <v>40</v>
      </c>
      <c r="K251" s="486">
        <f ca="1">IF(I251&gt;0,J251*100/I251,0)</f>
        <v>100</v>
      </c>
      <c r="L251" s="465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x14ac:dyDescent="0.25">
      <c r="A252" s="485"/>
      <c r="B252" s="484"/>
      <c r="C252" s="484"/>
      <c r="D252" s="484"/>
      <c r="E252" s="308" t="s">
        <v>110</v>
      </c>
      <c r="F252" s="483"/>
      <c r="G252" s="481"/>
      <c r="H252" s="721" t="s">
        <v>321</v>
      </c>
      <c r="I252" s="487">
        <f ca="1">IFERROR(__xludf.DUMMYFUNCTION("IMPORTRANGE(""https://docs.google.com/spreadsheets/d/1eHaY18a8A9IcSdp1K8H6x8fbOy06t2VsZHhMHf-1x7Y/edit?usp=sharing"",""แผน!KQ20"")"),1)</f>
        <v>1</v>
      </c>
      <c r="J252" s="478">
        <v>1</v>
      </c>
      <c r="K252" s="486">
        <f ca="1">IF(I252&gt;0,J252*100/I252,0)</f>
        <v>100</v>
      </c>
      <c r="L252" s="465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649" t="s">
        <v>112</v>
      </c>
      <c r="D253" s="214"/>
      <c r="E253" s="214"/>
      <c r="F253" s="214"/>
      <c r="G253" s="215"/>
      <c r="H253" s="648" t="s">
        <v>35</v>
      </c>
      <c r="I253" s="647">
        <f ca="1">I260</f>
        <v>0</v>
      </c>
      <c r="J253" s="647">
        <f>J260</f>
        <v>0</v>
      </c>
      <c r="K253" s="646">
        <f ca="1">IF(I253&gt;0,J253*100/I253,0)</f>
        <v>0</v>
      </c>
      <c r="L253" s="557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527" t="s">
        <v>18</v>
      </c>
      <c r="D254" s="645" t="s">
        <v>19</v>
      </c>
      <c r="E254" s="40"/>
      <c r="F254" s="40"/>
      <c r="G254" s="42"/>
      <c r="H254" s="372" t="s">
        <v>14</v>
      </c>
      <c r="I254" s="135"/>
      <c r="J254" s="135"/>
      <c r="K254" s="136"/>
      <c r="L254" s="471">
        <f ca="1">L255+L256+L257+L258</f>
        <v>0</v>
      </c>
      <c r="M254" s="45"/>
      <c r="N254" s="470">
        <f>N255+N256+N257+N258</f>
        <v>0</v>
      </c>
      <c r="O254" s="470">
        <f ca="1">IF(L254&gt;0,N254*100/L254,0)</f>
        <v>0</v>
      </c>
      <c r="P254" s="470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653" t="s">
        <v>311</v>
      </c>
      <c r="E255" s="40"/>
      <c r="F255" s="40"/>
      <c r="G255" s="42"/>
      <c r="H255" s="159" t="s">
        <v>14</v>
      </c>
      <c r="I255" s="135"/>
      <c r="J255" s="135"/>
      <c r="K255" s="136"/>
      <c r="L255" s="468">
        <f ca="1">IFERROR(__xludf.DUMMYFUNCTION("IMPORTRANGE(""https://docs.google.com/spreadsheets/d/1eHaY18a8A9IcSdp1K8H6x8fbOy06t2VsZHhMHf-1x7Y/edit?usp=sharing"",""แผน!BB20"")"),0)</f>
        <v>0</v>
      </c>
      <c r="M255" s="45"/>
      <c r="N255" s="644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47" t="s">
        <v>87</v>
      </c>
      <c r="E256" s="40"/>
      <c r="F256" s="40"/>
      <c r="G256" s="42"/>
      <c r="H256" s="159" t="s">
        <v>14</v>
      </c>
      <c r="I256" s="44"/>
      <c r="J256" s="44"/>
      <c r="K256" s="45"/>
      <c r="L256" s="468">
        <f ca="1">IFERROR(__xludf.DUMMYFUNCTION("IMPORTRANGE(""https://docs.google.com/spreadsheets/d/1eHaY18a8A9IcSdp1K8H6x8fbOy06t2VsZHhMHf-1x7Y/edit?usp=sharing"",""แผน!BC20"")"),0)</f>
        <v>0</v>
      </c>
      <c r="M256" s="45"/>
      <c r="N256" s="644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47" t="s">
        <v>88</v>
      </c>
      <c r="E257" s="40"/>
      <c r="F257" s="40"/>
      <c r="G257" s="42"/>
      <c r="H257" s="159" t="s">
        <v>14</v>
      </c>
      <c r="I257" s="44"/>
      <c r="J257" s="44"/>
      <c r="K257" s="45"/>
      <c r="L257" s="468">
        <f ca="1">IFERROR(__xludf.DUMMYFUNCTION("IMPORTRANGE(""https://docs.google.com/spreadsheets/d/1eHaY18a8A9IcSdp1K8H6x8fbOy06t2VsZHhMHf-1x7Y/edit?usp=sharing"",""แผน!BD20"")"),0)</f>
        <v>0</v>
      </c>
      <c r="M257" s="45"/>
      <c r="N257" s="644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47" t="s">
        <v>89</v>
      </c>
      <c r="E258" s="40"/>
      <c r="F258" s="40"/>
      <c r="G258" s="42"/>
      <c r="H258" s="159" t="s">
        <v>14</v>
      </c>
      <c r="I258" s="44"/>
      <c r="J258" s="44"/>
      <c r="K258" s="45"/>
      <c r="L258" s="468">
        <f ca="1">IFERROR(__xludf.DUMMYFUNCTION("IMPORTRANGE(""https://docs.google.com/spreadsheets/d/1eHaY18a8A9IcSdp1K8H6x8fbOy06t2VsZHhMHf-1x7Y/edit?usp=sharing"",""แผน!BE20"")"),0)</f>
        <v>0</v>
      </c>
      <c r="M258" s="45"/>
      <c r="N258" s="644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643" t="s">
        <v>18</v>
      </c>
      <c r="D259" s="509" t="s">
        <v>38</v>
      </c>
      <c r="E259" s="141"/>
      <c r="F259" s="141"/>
      <c r="G259" s="142"/>
      <c r="H259" s="143"/>
      <c r="I259" s="135"/>
      <c r="J259" s="44"/>
      <c r="K259" s="45"/>
      <c r="L259" s="465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640" t="s">
        <v>35</v>
      </c>
      <c r="I260" s="430">
        <f ca="1">IFERROR(__xludf.DUMMYFUNCTION("IMPORTRANGE(""https://docs.google.com/spreadsheets/d/1eHaY18a8A9IcSdp1K8H6x8fbOy06t2VsZHhMHf-1x7Y/edit?usp=sharing"",""แผน!BH20"")"),0)</f>
        <v>0</v>
      </c>
      <c r="J260" s="525">
        <v>0</v>
      </c>
      <c r="K260" s="83">
        <f ca="1">IF(I260&gt;0,J260*100/I260,0)</f>
        <v>0</v>
      </c>
      <c r="L260" s="465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642" t="s">
        <v>43</v>
      </c>
      <c r="E261" s="145"/>
      <c r="F261" s="145"/>
      <c r="G261" s="143"/>
      <c r="H261" s="143"/>
      <c r="I261" s="44"/>
      <c r="J261" s="44"/>
      <c r="K261" s="45"/>
      <c r="L261" s="465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1" t="s">
        <v>109</v>
      </c>
      <c r="F262" s="145"/>
      <c r="G262" s="143"/>
      <c r="H262" s="640" t="s">
        <v>35</v>
      </c>
      <c r="I262" s="44"/>
      <c r="J262" s="525">
        <v>0</v>
      </c>
      <c r="K262" s="83">
        <f>IF(I262&gt;0,J262*100/I262,0)</f>
        <v>0</v>
      </c>
      <c r="L262" s="465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641" t="s">
        <v>110</v>
      </c>
      <c r="F263" s="145"/>
      <c r="G263" s="143"/>
      <c r="H263" s="640" t="s">
        <v>61</v>
      </c>
      <c r="I263" s="44"/>
      <c r="J263" s="525">
        <v>0</v>
      </c>
      <c r="K263" s="83">
        <f>IF(I263&gt;0,J263*100/I263,0)</f>
        <v>0</v>
      </c>
      <c r="L263" s="465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639" t="s">
        <v>113</v>
      </c>
      <c r="B264" s="638"/>
      <c r="C264" s="638"/>
      <c r="D264" s="637"/>
      <c r="E264" s="637"/>
      <c r="F264" s="637"/>
      <c r="G264" s="636"/>
      <c r="H264" s="636"/>
      <c r="I264" s="635"/>
      <c r="J264" s="635"/>
      <c r="K264" s="633"/>
      <c r="L264" s="634"/>
      <c r="M264" s="633"/>
      <c r="N264" s="633"/>
      <c r="O264" s="633"/>
      <c r="P264" s="633"/>
      <c r="Q264" s="633"/>
      <c r="R264" s="633"/>
      <c r="S264" s="633"/>
      <c r="T264" s="633"/>
      <c r="U264" s="633"/>
    </row>
    <row r="265" spans="1:21" ht="19.5" x14ac:dyDescent="0.3">
      <c r="A265" s="632"/>
      <c r="B265" s="631" t="s">
        <v>114</v>
      </c>
      <c r="C265" s="630"/>
      <c r="D265" s="603"/>
      <c r="E265" s="603"/>
      <c r="F265" s="603"/>
      <c r="G265" s="602"/>
      <c r="H265" s="629" t="s">
        <v>35</v>
      </c>
      <c r="I265" s="628">
        <f ca="1">I276</f>
        <v>24</v>
      </c>
      <c r="J265" s="628">
        <f>J276</f>
        <v>0</v>
      </c>
      <c r="K265" s="627">
        <f ca="1">IF(I265&gt;0,J265*100/I265,0)</f>
        <v>0</v>
      </c>
      <c r="L265" s="626"/>
      <c r="M265" s="625"/>
      <c r="N265" s="625"/>
      <c r="O265" s="625"/>
      <c r="P265" s="625"/>
      <c r="Q265" s="625"/>
      <c r="R265" s="625"/>
      <c r="S265" s="625"/>
      <c r="T265" s="625"/>
      <c r="U265" s="625"/>
    </row>
    <row r="266" spans="1:21" ht="19.5" x14ac:dyDescent="0.3">
      <c r="A266" s="610"/>
      <c r="B266" s="609"/>
      <c r="C266" s="624" t="s">
        <v>18</v>
      </c>
      <c r="D266" s="623" t="s">
        <v>19</v>
      </c>
      <c r="E266" s="609"/>
      <c r="F266" s="609"/>
      <c r="G266" s="608"/>
      <c r="H266" s="622" t="s">
        <v>14</v>
      </c>
      <c r="I266" s="479"/>
      <c r="J266" s="479"/>
      <c r="K266" s="476"/>
      <c r="L266" s="621">
        <f ca="1">L267+L268</f>
        <v>0</v>
      </c>
      <c r="M266" s="620">
        <f ca="1">M267+M268</f>
        <v>5000</v>
      </c>
      <c r="N266" s="620">
        <f ca="1">N267+N268</f>
        <v>5000</v>
      </c>
      <c r="O266" s="620">
        <f t="shared" ref="O266:O274" ca="1" si="65">IF(L266&gt;0,N266*100/L266,0)</f>
        <v>0</v>
      </c>
      <c r="P266" s="620">
        <f t="shared" ref="P266:P274" ca="1" si="66">IF(M266&gt;0,N266*100/M266,0)</f>
        <v>100</v>
      </c>
      <c r="Q266" s="620">
        <f ca="1">Q267+Q268</f>
        <v>53440</v>
      </c>
      <c r="R266" s="620">
        <f ca="1">R267+R268</f>
        <v>53440</v>
      </c>
      <c r="S266" s="620">
        <f ca="1">S267+S268</f>
        <v>2360</v>
      </c>
      <c r="T266" s="620">
        <f t="shared" ref="T266:T274" ca="1" si="67">IF(Q266&gt;0,S266*100/Q266,0)</f>
        <v>4.4161676646706587</v>
      </c>
      <c r="U266" s="620">
        <f t="shared" ref="U266:U274" ca="1" si="68">IF(R266&gt;0,S266*100/R266,0)</f>
        <v>4.4161676646706587</v>
      </c>
    </row>
    <row r="267" spans="1:21" ht="18.75" hidden="1" x14ac:dyDescent="0.25">
      <c r="A267" s="615"/>
      <c r="B267" s="614"/>
      <c r="C267" s="614"/>
      <c r="D267" s="614"/>
      <c r="E267" s="156" t="s">
        <v>20</v>
      </c>
      <c r="F267" s="614"/>
      <c r="G267" s="613"/>
      <c r="H267" s="157" t="s">
        <v>14</v>
      </c>
      <c r="I267" s="619"/>
      <c r="J267" s="619"/>
      <c r="K267" s="618"/>
      <c r="L267" s="469">
        <f t="shared" ref="L267:N268" si="69">L270+L273</f>
        <v>0</v>
      </c>
      <c r="M267" s="83">
        <f t="shared" si="69"/>
        <v>0</v>
      </c>
      <c r="N267" s="83">
        <f t="shared" si="69"/>
        <v>0</v>
      </c>
      <c r="O267" s="83">
        <f t="shared" si="65"/>
        <v>0</v>
      </c>
      <c r="P267" s="83">
        <f t="shared" si="66"/>
        <v>0</v>
      </c>
      <c r="Q267" s="83">
        <f t="shared" ref="Q267:S268" si="70">Q270+Q273</f>
        <v>0</v>
      </c>
      <c r="R267" s="83">
        <f t="shared" si="70"/>
        <v>0</v>
      </c>
      <c r="S267" s="83">
        <f t="shared" si="70"/>
        <v>0</v>
      </c>
      <c r="T267" s="83">
        <f t="shared" si="67"/>
        <v>0</v>
      </c>
      <c r="U267" s="83">
        <f t="shared" si="68"/>
        <v>0</v>
      </c>
    </row>
    <row r="268" spans="1:21" ht="18.75" hidden="1" x14ac:dyDescent="0.25">
      <c r="A268" s="610"/>
      <c r="B268" s="609"/>
      <c r="C268" s="609"/>
      <c r="D268" s="609"/>
      <c r="E268" s="605" t="s">
        <v>21</v>
      </c>
      <c r="F268" s="609"/>
      <c r="G268" s="608"/>
      <c r="H268" s="480" t="s">
        <v>14</v>
      </c>
      <c r="I268" s="479"/>
      <c r="J268" s="479"/>
      <c r="K268" s="476"/>
      <c r="L268" s="606">
        <f t="shared" ca="1" si="69"/>
        <v>0</v>
      </c>
      <c r="M268" s="486">
        <f t="shared" ca="1" si="69"/>
        <v>5000</v>
      </c>
      <c r="N268" s="486">
        <f t="shared" ca="1" si="69"/>
        <v>5000</v>
      </c>
      <c r="O268" s="486">
        <f t="shared" ca="1" si="65"/>
        <v>0</v>
      </c>
      <c r="P268" s="486">
        <f t="shared" ca="1" si="66"/>
        <v>100</v>
      </c>
      <c r="Q268" s="486">
        <f t="shared" ca="1" si="70"/>
        <v>53440</v>
      </c>
      <c r="R268" s="486">
        <f t="shared" ca="1" si="70"/>
        <v>53440</v>
      </c>
      <c r="S268" s="486">
        <f t="shared" ca="1" si="70"/>
        <v>2360</v>
      </c>
      <c r="T268" s="486">
        <f t="shared" ca="1" si="67"/>
        <v>4.4161676646706587</v>
      </c>
      <c r="U268" s="486">
        <f t="shared" ca="1" si="68"/>
        <v>4.4161676646706587</v>
      </c>
    </row>
    <row r="269" spans="1:21" ht="18.75" x14ac:dyDescent="0.25">
      <c r="A269" s="610"/>
      <c r="B269" s="609"/>
      <c r="C269" s="609"/>
      <c r="D269" s="616" t="s">
        <v>22</v>
      </c>
      <c r="E269" s="609"/>
      <c r="F269" s="609"/>
      <c r="G269" s="608"/>
      <c r="H269" s="617" t="s">
        <v>14</v>
      </c>
      <c r="I269" s="601"/>
      <c r="J269" s="601"/>
      <c r="K269" s="599"/>
      <c r="L269" s="606">
        <f ca="1">L270+L271</f>
        <v>0</v>
      </c>
      <c r="M269" s="486">
        <f ca="1">M270+M271</f>
        <v>5000</v>
      </c>
      <c r="N269" s="486">
        <f ca="1">N270+N271</f>
        <v>5000</v>
      </c>
      <c r="O269" s="486">
        <f t="shared" ca="1" si="65"/>
        <v>0</v>
      </c>
      <c r="P269" s="486">
        <f t="shared" ca="1" si="66"/>
        <v>100</v>
      </c>
      <c r="Q269" s="486">
        <f ca="1">Q270+Q271</f>
        <v>53440</v>
      </c>
      <c r="R269" s="486">
        <f ca="1">R270+R271</f>
        <v>53440</v>
      </c>
      <c r="S269" s="486">
        <f ca="1">S270+S271</f>
        <v>2360</v>
      </c>
      <c r="T269" s="486">
        <f t="shared" ca="1" si="67"/>
        <v>4.4161676646706587</v>
      </c>
      <c r="U269" s="486">
        <f t="shared" ca="1" si="68"/>
        <v>4.4161676646706587</v>
      </c>
    </row>
    <row r="270" spans="1:21" ht="18.75" hidden="1" x14ac:dyDescent="0.25">
      <c r="A270" s="615"/>
      <c r="B270" s="614"/>
      <c r="C270" s="614"/>
      <c r="D270" s="614"/>
      <c r="E270" s="156" t="s">
        <v>36</v>
      </c>
      <c r="F270" s="614"/>
      <c r="G270" s="613"/>
      <c r="H270" s="159" t="s">
        <v>14</v>
      </c>
      <c r="I270" s="612"/>
      <c r="J270" s="612"/>
      <c r="K270" s="611"/>
      <c r="L270" s="469">
        <v>0</v>
      </c>
      <c r="M270" s="83">
        <v>0</v>
      </c>
      <c r="N270" s="83">
        <v>0</v>
      </c>
      <c r="O270" s="83">
        <f t="shared" si="65"/>
        <v>0</v>
      </c>
      <c r="P270" s="83">
        <f t="shared" si="66"/>
        <v>0</v>
      </c>
      <c r="Q270" s="83">
        <v>0</v>
      </c>
      <c r="R270" s="83">
        <v>0</v>
      </c>
      <c r="S270" s="83">
        <v>0</v>
      </c>
      <c r="T270" s="83">
        <f t="shared" si="67"/>
        <v>0</v>
      </c>
      <c r="U270" s="83">
        <f t="shared" si="68"/>
        <v>0</v>
      </c>
    </row>
    <row r="271" spans="1:21" ht="18.75" hidden="1" x14ac:dyDescent="0.25">
      <c r="A271" s="610"/>
      <c r="B271" s="609"/>
      <c r="C271" s="609"/>
      <c r="D271" s="609"/>
      <c r="E271" s="605" t="s">
        <v>37</v>
      </c>
      <c r="F271" s="609"/>
      <c r="G271" s="608"/>
      <c r="H271" s="617" t="s">
        <v>14</v>
      </c>
      <c r="I271" s="601"/>
      <c r="J271" s="601"/>
      <c r="K271" s="599"/>
      <c r="L271" s="606">
        <f ca="1">IFERROR(__xludf.DUMMYFUNCTION("IMPORTRANGE(""https://docs.google.com/spreadsheets/d/1-uDff_7J0KD5mKrp0Vvzr7lt3OU09vwQwhkpOPPYv2Y/edit?usp=sharing"",""งบพรบ!DE20"")"),0)</f>
        <v>0</v>
      </c>
      <c r="M271" s="486">
        <f ca="1">IFERROR(__xludf.DUMMYFUNCTION("IMPORTRANGE(""https://docs.google.com/spreadsheets/d/1-uDff_7J0KD5mKrp0Vvzr7lt3OU09vwQwhkpOPPYv2Y/edit?usp=sharing"",""งบพรบ!DJ20"")"),5000)</f>
        <v>5000</v>
      </c>
      <c r="N271" s="486">
        <f ca="1">IFERROR(__xludf.DUMMYFUNCTION("IMPORTRANGE(""https://docs.google.com/spreadsheets/d/1-uDff_7J0KD5mKrp0Vvzr7lt3OU09vwQwhkpOPPYv2Y/edit?usp=sharing"",""งบพรบ!DL20"")"),5000)</f>
        <v>5000</v>
      </c>
      <c r="O271" s="486">
        <f t="shared" ca="1" si="65"/>
        <v>0</v>
      </c>
      <c r="P271" s="486">
        <f t="shared" ca="1" si="66"/>
        <v>100</v>
      </c>
      <c r="Q271" s="486">
        <f ca="1">IFERROR(__xludf.DUMMYFUNCTION("IMPORTRANGE(""https://docs.google.com/spreadsheets/d/1ItG2mGa2ceCfYo0BwxsXqNm01IGEUdYcSSLTEv9YCik/edit?usp=sharing"",""เบิกจ่ายกองทุน!AJ20"")"),53440)</f>
        <v>53440</v>
      </c>
      <c r="R271" s="486">
        <f ca="1">IFERROR(__xludf.DUMMYFUNCTION("IMPORTRANGE(""https://docs.google.com/spreadsheets/d/1ItG2mGa2ceCfYo0BwxsXqNm01IGEUdYcSSLTEv9YCik/edit?usp=sharing"",""เบิกจ่ายกองทุน!AK20"")"),53440)</f>
        <v>53440</v>
      </c>
      <c r="S271" s="486">
        <f ca="1">IFERROR(__xludf.DUMMYFUNCTION("IMPORTRANGE(""https://docs.google.com/spreadsheets/d/1ItG2mGa2ceCfYo0BwxsXqNm01IGEUdYcSSLTEv9YCik/edit?usp=sharing"",""เบิกจ่ายกองทุน!AL20"")"),2360)</f>
        <v>2360</v>
      </c>
      <c r="T271" s="486">
        <f t="shared" ca="1" si="67"/>
        <v>4.4161676646706587</v>
      </c>
      <c r="U271" s="486">
        <f t="shared" ca="1" si="68"/>
        <v>4.4161676646706587</v>
      </c>
    </row>
    <row r="272" spans="1:21" ht="18.75" x14ac:dyDescent="0.25">
      <c r="A272" s="610"/>
      <c r="B272" s="609"/>
      <c r="C272" s="609"/>
      <c r="D272" s="616" t="s">
        <v>23</v>
      </c>
      <c r="E272" s="609"/>
      <c r="F272" s="609"/>
      <c r="G272" s="608"/>
      <c r="H272" s="607" t="s">
        <v>14</v>
      </c>
      <c r="I272" s="601"/>
      <c r="J272" s="601"/>
      <c r="K272" s="599"/>
      <c r="L272" s="606">
        <f ca="1">L273+L274</f>
        <v>0</v>
      </c>
      <c r="M272" s="486">
        <f ca="1">M273+M274</f>
        <v>0</v>
      </c>
      <c r="N272" s="486">
        <f ca="1">N273+N274</f>
        <v>0</v>
      </c>
      <c r="O272" s="486">
        <f t="shared" ca="1" si="65"/>
        <v>0</v>
      </c>
      <c r="P272" s="486">
        <f t="shared" ca="1" si="66"/>
        <v>0</v>
      </c>
      <c r="Q272" s="486">
        <f>Q273+Q274</f>
        <v>0</v>
      </c>
      <c r="R272" s="486">
        <f>R273+R274</f>
        <v>0</v>
      </c>
      <c r="S272" s="486">
        <f>S273+S274</f>
        <v>0</v>
      </c>
      <c r="T272" s="486">
        <f t="shared" si="67"/>
        <v>0</v>
      </c>
      <c r="U272" s="486">
        <f t="shared" si="68"/>
        <v>0</v>
      </c>
    </row>
    <row r="273" spans="1:21" ht="18.75" hidden="1" x14ac:dyDescent="0.25">
      <c r="A273" s="615"/>
      <c r="B273" s="614"/>
      <c r="C273" s="614"/>
      <c r="D273" s="614"/>
      <c r="E273" s="156" t="s">
        <v>20</v>
      </c>
      <c r="F273" s="614"/>
      <c r="G273" s="613"/>
      <c r="H273" s="159" t="s">
        <v>14</v>
      </c>
      <c r="I273" s="612"/>
      <c r="J273" s="612"/>
      <c r="K273" s="611"/>
      <c r="L273" s="469">
        <v>0</v>
      </c>
      <c r="M273" s="83">
        <v>0</v>
      </c>
      <c r="N273" s="83">
        <v>0</v>
      </c>
      <c r="O273" s="83">
        <f t="shared" si="65"/>
        <v>0</v>
      </c>
      <c r="P273" s="83">
        <f t="shared" si="66"/>
        <v>0</v>
      </c>
      <c r="Q273" s="83">
        <v>0</v>
      </c>
      <c r="R273" s="83">
        <v>0</v>
      </c>
      <c r="S273" s="83">
        <v>0</v>
      </c>
      <c r="T273" s="83">
        <f t="shared" si="67"/>
        <v>0</v>
      </c>
      <c r="U273" s="83">
        <f t="shared" si="68"/>
        <v>0</v>
      </c>
    </row>
    <row r="274" spans="1:21" ht="18.75" hidden="1" x14ac:dyDescent="0.25">
      <c r="A274" s="610"/>
      <c r="B274" s="609"/>
      <c r="C274" s="609"/>
      <c r="D274" s="609"/>
      <c r="E274" s="605" t="s">
        <v>21</v>
      </c>
      <c r="F274" s="609"/>
      <c r="G274" s="608"/>
      <c r="H274" s="607" t="s">
        <v>14</v>
      </c>
      <c r="I274" s="601"/>
      <c r="J274" s="601"/>
      <c r="K274" s="599"/>
      <c r="L274" s="606">
        <f ca="1">IFERROR(__xludf.DUMMYFUNCTION("IMPORTRANGE(""https://docs.google.com/spreadsheets/d/1-uDff_7J0KD5mKrp0Vvzr7lt3OU09vwQwhkpOPPYv2Y/edit?usp=sharing"",""งบพรบ!DH20"")"),0)</f>
        <v>0</v>
      </c>
      <c r="M274" s="486">
        <f ca="1">IFERROR(__xludf.DUMMYFUNCTION("IMPORTRANGE(""https://docs.google.com/spreadsheets/d/1-uDff_7J0KD5mKrp0Vvzr7lt3OU09vwQwhkpOPPYv2Y/edit?usp=sharing"",""งบพรบ!DK20"")"),0)</f>
        <v>0</v>
      </c>
      <c r="N274" s="486">
        <f ca="1">IFERROR(__xludf.DUMMYFUNCTION("IMPORTRANGE(""https://docs.google.com/spreadsheets/d/1-uDff_7J0KD5mKrp0Vvzr7lt3OU09vwQwhkpOPPYv2Y/edit?usp=sharing"",""งบพรบ!DM20"")"),0)</f>
        <v>0</v>
      </c>
      <c r="O274" s="486">
        <f t="shared" ca="1" si="65"/>
        <v>0</v>
      </c>
      <c r="P274" s="486">
        <f t="shared" ca="1" si="66"/>
        <v>0</v>
      </c>
      <c r="Q274" s="486">
        <v>0</v>
      </c>
      <c r="R274" s="486">
        <v>0</v>
      </c>
      <c r="S274" s="486">
        <v>0</v>
      </c>
      <c r="T274" s="486">
        <f t="shared" si="67"/>
        <v>0</v>
      </c>
      <c r="U274" s="486">
        <f t="shared" si="68"/>
        <v>0</v>
      </c>
    </row>
    <row r="275" spans="1:21" ht="19.5" x14ac:dyDescent="0.3">
      <c r="A275" s="485"/>
      <c r="B275" s="484"/>
      <c r="C275" s="605" t="s">
        <v>18</v>
      </c>
      <c r="D275" s="604" t="s">
        <v>38</v>
      </c>
      <c r="E275" s="603"/>
      <c r="F275" s="603"/>
      <c r="G275" s="602"/>
      <c r="H275" s="481"/>
      <c r="I275" s="601"/>
      <c r="J275" s="601"/>
      <c r="K275" s="599"/>
      <c r="L275" s="600"/>
      <c r="M275" s="599"/>
      <c r="N275" s="599"/>
      <c r="O275" s="599"/>
      <c r="P275" s="599"/>
      <c r="Q275" s="599"/>
      <c r="R275" s="599"/>
      <c r="S275" s="599"/>
      <c r="T275" s="599"/>
      <c r="U275" s="599"/>
    </row>
    <row r="276" spans="1:21" ht="18.75" x14ac:dyDescent="0.25">
      <c r="A276" s="787"/>
      <c r="B276" s="786"/>
      <c r="C276" s="786"/>
      <c r="D276" s="785" t="s">
        <v>115</v>
      </c>
      <c r="E276" s="784"/>
      <c r="F276" s="784"/>
      <c r="G276" s="783"/>
      <c r="H276" s="782" t="s">
        <v>35</v>
      </c>
      <c r="I276" s="781">
        <f ca="1">IFERROR(__xludf.DUMMYFUNCTION("IMPORTRANGE(""https://docs.google.com/spreadsheets/d/1eHaY18a8A9IcSdp1K8H6x8fbOy06t2VsZHhMHf-1x7Y/edit?usp=sharing"",""แผน!EC20"")"),24)</f>
        <v>24</v>
      </c>
      <c r="J276" s="780">
        <v>0</v>
      </c>
      <c r="K276" s="779">
        <f ca="1">IF(I276&gt;0,J276*100/I276,0)</f>
        <v>0</v>
      </c>
      <c r="L276" s="477"/>
      <c r="M276" s="476"/>
      <c r="N276" s="476"/>
      <c r="O276" s="476"/>
      <c r="P276" s="476"/>
      <c r="Q276" s="476"/>
      <c r="R276" s="476"/>
      <c r="S276" s="476"/>
      <c r="T276" s="476"/>
      <c r="U276" s="476"/>
    </row>
    <row r="277" spans="1:21" ht="18.75" hidden="1" x14ac:dyDescent="0.25">
      <c r="A277" s="778"/>
      <c r="B277" s="777"/>
      <c r="C277" s="777"/>
      <c r="D277" s="590" t="s">
        <v>116</v>
      </c>
      <c r="E277" s="776"/>
      <c r="F277" s="776"/>
      <c r="G277" s="775"/>
      <c r="H277" s="589" t="s">
        <v>35</v>
      </c>
      <c r="I277" s="433">
        <v>0</v>
      </c>
      <c r="J277" s="433">
        <v>0</v>
      </c>
      <c r="K277" s="588">
        <v>0</v>
      </c>
      <c r="L277" s="774"/>
      <c r="M277" s="773"/>
      <c r="N277" s="773"/>
      <c r="O277" s="773"/>
      <c r="P277" s="773"/>
      <c r="Q277" s="773"/>
      <c r="R277" s="773"/>
      <c r="S277" s="773"/>
      <c r="T277" s="773"/>
      <c r="U277" s="773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58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585">
        <f ca="1">I293</f>
        <v>10</v>
      </c>
      <c r="J280" s="585">
        <f>J293</f>
        <v>10</v>
      </c>
      <c r="K280" s="584">
        <f ca="1">IF(I280&gt;0,J280*100/I280,0)</f>
        <v>100</v>
      </c>
      <c r="L280" s="583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585">
        <f ca="1">I292</f>
        <v>100</v>
      </c>
      <c r="J281" s="585">
        <f>J292</f>
        <v>100</v>
      </c>
      <c r="K281" s="584">
        <f ca="1">IF(I281&gt;0,J281*100/I281,0)</f>
        <v>100</v>
      </c>
      <c r="L281" s="583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472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471">
        <f ca="1">L283+L284</f>
        <v>56120</v>
      </c>
      <c r="M282" s="470">
        <f ca="1">M283+M284</f>
        <v>56120</v>
      </c>
      <c r="N282" s="470">
        <f ca="1">N283+N284</f>
        <v>37572</v>
      </c>
      <c r="O282" s="470">
        <f t="shared" ref="O282:O290" ca="1" si="71">IF(L282&gt;0,N282*100/L282,0)</f>
        <v>66.949394155381327</v>
      </c>
      <c r="P282" s="470">
        <f t="shared" ref="P282:P290" ca="1" si="72">IF(M282&gt;0,N282*100/M282,0)</f>
        <v>66.949394155381327</v>
      </c>
      <c r="Q282" s="470">
        <f>Q283+Q284</f>
        <v>0</v>
      </c>
      <c r="R282" s="470">
        <f>R283+R284</f>
        <v>0</v>
      </c>
      <c r="S282" s="470">
        <f>S283+S284</f>
        <v>0</v>
      </c>
      <c r="T282" s="470">
        <f t="shared" ref="T282:T290" si="73">IF(Q282&gt;0,S282*100/Q282,0)</f>
        <v>0</v>
      </c>
      <c r="U282" s="470">
        <f t="shared" ref="U282:U290" si="74"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469">
        <f t="shared" ref="L283:N284" si="75">L286+L289</f>
        <v>0</v>
      </c>
      <c r="M283" s="83">
        <f t="shared" si="75"/>
        <v>0</v>
      </c>
      <c r="N283" s="83">
        <f t="shared" si="75"/>
        <v>0</v>
      </c>
      <c r="O283" s="83">
        <f t="shared" si="71"/>
        <v>0</v>
      </c>
      <c r="P283" s="83">
        <f t="shared" si="72"/>
        <v>0</v>
      </c>
      <c r="Q283" s="83">
        <f t="shared" ref="Q283:S284" si="76">Q286+Q289</f>
        <v>0</v>
      </c>
      <c r="R283" s="83">
        <f t="shared" si="76"/>
        <v>0</v>
      </c>
      <c r="S283" s="83">
        <f t="shared" si="76"/>
        <v>0</v>
      </c>
      <c r="T283" s="83">
        <f t="shared" si="73"/>
        <v>0</v>
      </c>
      <c r="U283" s="83">
        <f t="shared" si="74"/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468">
        <f t="shared" ca="1" si="75"/>
        <v>56120</v>
      </c>
      <c r="M284" s="224">
        <f t="shared" ca="1" si="75"/>
        <v>56120</v>
      </c>
      <c r="N284" s="224">
        <f t="shared" ca="1" si="75"/>
        <v>37572</v>
      </c>
      <c r="O284" s="224">
        <f t="shared" ca="1" si="71"/>
        <v>66.949394155381327</v>
      </c>
      <c r="P284" s="224">
        <f t="shared" ca="1" si="72"/>
        <v>66.949394155381327</v>
      </c>
      <c r="Q284" s="224">
        <f t="shared" si="76"/>
        <v>0</v>
      </c>
      <c r="R284" s="224">
        <f t="shared" si="76"/>
        <v>0</v>
      </c>
      <c r="S284" s="224">
        <f t="shared" si="76"/>
        <v>0</v>
      </c>
      <c r="T284" s="224">
        <f t="shared" si="73"/>
        <v>0</v>
      </c>
      <c r="U284" s="224">
        <f t="shared" si="74"/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468">
        <f ca="1">L286+L287</f>
        <v>56120</v>
      </c>
      <c r="M285" s="224">
        <f ca="1">M286+M287</f>
        <v>56120</v>
      </c>
      <c r="N285" s="224">
        <f ca="1">N286+N287</f>
        <v>37572</v>
      </c>
      <c r="O285" s="224">
        <f t="shared" ca="1" si="71"/>
        <v>66.949394155381327</v>
      </c>
      <c r="P285" s="224">
        <f t="shared" ca="1" si="72"/>
        <v>66.949394155381327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 t="shared" si="73"/>
        <v>0</v>
      </c>
      <c r="U285" s="224">
        <f t="shared" si="74"/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469">
        <v>0</v>
      </c>
      <c r="M286" s="83">
        <v>0</v>
      </c>
      <c r="N286" s="83">
        <v>0</v>
      </c>
      <c r="O286" s="83">
        <f t="shared" si="71"/>
        <v>0</v>
      </c>
      <c r="P286" s="83">
        <f t="shared" si="72"/>
        <v>0</v>
      </c>
      <c r="Q286" s="83">
        <v>0</v>
      </c>
      <c r="R286" s="83">
        <v>0</v>
      </c>
      <c r="S286" s="83">
        <v>0</v>
      </c>
      <c r="T286" s="83">
        <f t="shared" si="73"/>
        <v>0</v>
      </c>
      <c r="U286" s="83">
        <f t="shared" si="74"/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468">
        <f ca="1">IFERROR(__xludf.DUMMYFUNCTION("IMPORTRANGE(""https://docs.google.com/spreadsheets/d/1-uDff_7J0KD5mKrp0Vvzr7lt3OU09vwQwhkpOPPYv2Y/edit?usp=sharing"",""งบพรบ!DO20"")"),56120)</f>
        <v>56120</v>
      </c>
      <c r="M287" s="224">
        <f ca="1">IFERROR(__xludf.DUMMYFUNCTION("IMPORTRANGE(""https://docs.google.com/spreadsheets/d/1-uDff_7J0KD5mKrp0Vvzr7lt3OU09vwQwhkpOPPYv2Y/edit?usp=sharing"",""งบพรบ!DT20"")"),56120)</f>
        <v>56120</v>
      </c>
      <c r="N287" s="224">
        <f ca="1">IFERROR(__xludf.DUMMYFUNCTION("IMPORTRANGE(""https://docs.google.com/spreadsheets/d/1-uDff_7J0KD5mKrp0Vvzr7lt3OU09vwQwhkpOPPYv2Y/edit?usp=sharing"",""งบพรบ!DV20"")"),37572)</f>
        <v>37572</v>
      </c>
      <c r="O287" s="224">
        <f t="shared" ca="1" si="71"/>
        <v>66.949394155381327</v>
      </c>
      <c r="P287" s="224">
        <f t="shared" ca="1" si="72"/>
        <v>66.949394155381327</v>
      </c>
      <c r="Q287" s="224">
        <v>0</v>
      </c>
      <c r="R287" s="224">
        <v>0</v>
      </c>
      <c r="S287" s="224">
        <v>0</v>
      </c>
      <c r="T287" s="83">
        <f t="shared" si="73"/>
        <v>0</v>
      </c>
      <c r="U287" s="83">
        <f t="shared" si="74"/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468">
        <f ca="1">L289+L290</f>
        <v>0</v>
      </c>
      <c r="M288" s="224">
        <f ca="1">M289+M290</f>
        <v>0</v>
      </c>
      <c r="N288" s="224">
        <f ca="1">N289+N290</f>
        <v>0</v>
      </c>
      <c r="O288" s="224">
        <f t="shared" ca="1" si="71"/>
        <v>0</v>
      </c>
      <c r="P288" s="224">
        <f t="shared" ca="1" si="72"/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 t="shared" si="73"/>
        <v>0</v>
      </c>
      <c r="U288" s="224">
        <f t="shared" si="74"/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469">
        <v>0</v>
      </c>
      <c r="M289" s="83">
        <v>0</v>
      </c>
      <c r="N289" s="83">
        <v>0</v>
      </c>
      <c r="O289" s="83">
        <f t="shared" si="71"/>
        <v>0</v>
      </c>
      <c r="P289" s="83">
        <f t="shared" si="72"/>
        <v>0</v>
      </c>
      <c r="Q289" s="83">
        <v>0</v>
      </c>
      <c r="R289" s="83">
        <v>0</v>
      </c>
      <c r="S289" s="83">
        <v>0</v>
      </c>
      <c r="T289" s="83">
        <f t="shared" si="73"/>
        <v>0</v>
      </c>
      <c r="U289" s="83">
        <f t="shared" si="74"/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468">
        <f ca="1">IFERROR(__xludf.DUMMYFUNCTION("IMPORTRANGE(""https://docs.google.com/spreadsheets/d/1-uDff_7J0KD5mKrp0Vvzr7lt3OU09vwQwhkpOPPYv2Y/edit?usp=sharing"",""งบพรบ!DR20"")"),0)</f>
        <v>0</v>
      </c>
      <c r="M290" s="224">
        <f ca="1">IFERROR(__xludf.DUMMYFUNCTION("IMPORTRANGE(""https://docs.google.com/spreadsheets/d/1-uDff_7J0KD5mKrp0Vvzr7lt3OU09vwQwhkpOPPYv2Y/edit?usp=sharing"",""งบพรบ!DU20"")"),0)</f>
        <v>0</v>
      </c>
      <c r="N290" s="224">
        <f ca="1">IFERROR(__xludf.DUMMYFUNCTION("IMPORTRANGE(""https://docs.google.com/spreadsheets/d/1-uDff_7J0KD5mKrp0Vvzr7lt3OU09vwQwhkpOPPYv2Y/edit?usp=sharing"",""งบพรบ!DW20"")"),0)</f>
        <v>0</v>
      </c>
      <c r="O290" s="224">
        <f t="shared" ca="1" si="71"/>
        <v>0</v>
      </c>
      <c r="P290" s="224">
        <f t="shared" ca="1" si="72"/>
        <v>0</v>
      </c>
      <c r="Q290" s="224">
        <v>0</v>
      </c>
      <c r="R290" s="224">
        <v>0</v>
      </c>
      <c r="S290" s="224">
        <v>0</v>
      </c>
      <c r="T290" s="224">
        <f t="shared" si="73"/>
        <v>0</v>
      </c>
      <c r="U290" s="224">
        <f t="shared" si="74"/>
        <v>0</v>
      </c>
    </row>
    <row r="291" spans="1:21" ht="19.5" x14ac:dyDescent="0.3">
      <c r="A291" s="138"/>
      <c r="B291" s="139"/>
      <c r="C291" s="129" t="s">
        <v>18</v>
      </c>
      <c r="D291" s="498" t="s">
        <v>38</v>
      </c>
      <c r="E291" s="141"/>
      <c r="F291" s="141"/>
      <c r="G291" s="142"/>
      <c r="H291" s="143"/>
      <c r="I291" s="135"/>
      <c r="J291" s="135"/>
      <c r="K291" s="136"/>
      <c r="L291" s="4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IFERROR(__xludf.DUMMYFUNCTION("IMPORTRANGE(""https://docs.google.com/spreadsheets/d/1eHaY18a8A9IcSdp1K8H6x8fbOy06t2VsZHhMHf-1x7Y/edit?usp=sharing"",""แผน!EE20"")"),100)</f>
        <v>100</v>
      </c>
      <c r="J292" s="466">
        <v>100</v>
      </c>
      <c r="K292" s="497">
        <f ca="1">IF(I292&gt;0,J292*100/I292,0)</f>
        <v>100</v>
      </c>
      <c r="L292" s="4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IFERROR(__xludf.DUMMYFUNCTION("IMPORTRANGE(""https://docs.google.com/spreadsheets/d/1eHaY18a8A9IcSdp1K8H6x8fbOy06t2VsZHhMHf-1x7Y/edit?usp=sharing"",""แผน!ED20"")"),10)</f>
        <v>10</v>
      </c>
      <c r="J293" s="328">
        <f>J296</f>
        <v>10</v>
      </c>
      <c r="K293" s="582">
        <f ca="1">IF(I293&gt;0,J293*100/I293,0)</f>
        <v>100</v>
      </c>
      <c r="L293" s="4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4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581">
        <f ca="1">IFERROR(__xludf.DUMMYFUNCTION("IMPORTRANGE(""https://docs.google.com/spreadsheets/d/1eHaY18a8A9IcSdp1K8H6x8fbOy06t2VsZHhMHf-1x7Y/edit?usp=sharing"",""แผน!ED20"")"),10)</f>
        <v>10</v>
      </c>
      <c r="J295" s="466">
        <v>10</v>
      </c>
      <c r="K295" s="497">
        <f ca="1">IF(I295&gt;0,J295*100/I295,0)</f>
        <v>100</v>
      </c>
      <c r="L295" s="4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581">
        <f ca="1">IFERROR(__xludf.DUMMYFUNCTION("IMPORTRANGE(""https://docs.google.com/spreadsheets/d/1eHaY18a8A9IcSdp1K8H6x8fbOy06t2VsZHhMHf-1x7Y/edit?usp=sharing"",""แผน!ED20"")"),10)</f>
        <v>10</v>
      </c>
      <c r="J296" s="466">
        <v>10</v>
      </c>
      <c r="K296" s="497">
        <f ca="1">IF(I296&gt;0,J296*100/I296,0)</f>
        <v>100</v>
      </c>
      <c r="L296" s="4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571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hidden="1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571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580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57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541">
        <f ca="1">I314</f>
        <v>20</v>
      </c>
      <c r="J302" s="541">
        <f>J314</f>
        <v>20</v>
      </c>
      <c r="K302" s="540">
        <f ca="1">IF(I302&gt;0,J302*100/I302,0)</f>
        <v>100</v>
      </c>
      <c r="L302" s="539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472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471">
        <f ca="1">L304+L305</f>
        <v>133500</v>
      </c>
      <c r="M303" s="470">
        <f ca="1">M304+M305</f>
        <v>133500</v>
      </c>
      <c r="N303" s="470">
        <f ca="1">N304+N305</f>
        <v>117640</v>
      </c>
      <c r="O303" s="470">
        <f t="shared" ref="O303:O311" ca="1" si="77">IF(L303&gt;0,N303*100/L303,0)</f>
        <v>88.119850187265911</v>
      </c>
      <c r="P303" s="470">
        <f t="shared" ref="P303:P311" ca="1" si="78">IF(M303&gt;0,N303*100/M303,0)</f>
        <v>88.119850187265911</v>
      </c>
      <c r="Q303" s="470">
        <f ca="1">Q304+Q305</f>
        <v>144609.24</v>
      </c>
      <c r="R303" s="470">
        <f ca="1">R304+R305</f>
        <v>144609</v>
      </c>
      <c r="S303" s="470">
        <f ca="1">S304+S305</f>
        <v>0</v>
      </c>
      <c r="T303" s="470">
        <f t="shared" ref="T303:T311" ca="1" si="79">IF(Q303&gt;0,S303*100/Q303,0)</f>
        <v>0</v>
      </c>
      <c r="U303" s="470">
        <f t="shared" ref="U303:U311" ca="1" si="80">IF(R303&gt;0,S303*100/R303,0)</f>
        <v>0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469">
        <f t="shared" ref="L304:N305" si="81">L307+L310</f>
        <v>0</v>
      </c>
      <c r="M304" s="83">
        <f t="shared" si="81"/>
        <v>0</v>
      </c>
      <c r="N304" s="83">
        <f t="shared" si="81"/>
        <v>0</v>
      </c>
      <c r="O304" s="83">
        <f t="shared" si="77"/>
        <v>0</v>
      </c>
      <c r="P304" s="83">
        <f t="shared" si="78"/>
        <v>0</v>
      </c>
      <c r="Q304" s="83">
        <f t="shared" ref="Q304:S305" si="82">Q307+Q310</f>
        <v>0</v>
      </c>
      <c r="R304" s="83">
        <f t="shared" si="82"/>
        <v>0</v>
      </c>
      <c r="S304" s="83">
        <f t="shared" si="82"/>
        <v>0</v>
      </c>
      <c r="T304" s="83">
        <f t="shared" si="79"/>
        <v>0</v>
      </c>
      <c r="U304" s="83">
        <f t="shared" si="80"/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468">
        <f t="shared" ca="1" si="81"/>
        <v>133500</v>
      </c>
      <c r="M305" s="224">
        <f t="shared" ca="1" si="81"/>
        <v>133500</v>
      </c>
      <c r="N305" s="224">
        <f t="shared" ca="1" si="81"/>
        <v>117640</v>
      </c>
      <c r="O305" s="224">
        <f t="shared" ca="1" si="77"/>
        <v>88.119850187265911</v>
      </c>
      <c r="P305" s="224">
        <f t="shared" ca="1" si="78"/>
        <v>88.119850187265911</v>
      </c>
      <c r="Q305" s="224">
        <f t="shared" ca="1" si="82"/>
        <v>144609.24</v>
      </c>
      <c r="R305" s="224">
        <f t="shared" ca="1" si="82"/>
        <v>144609</v>
      </c>
      <c r="S305" s="224">
        <f t="shared" ca="1" si="82"/>
        <v>0</v>
      </c>
      <c r="T305" s="224">
        <f t="shared" ca="1" si="79"/>
        <v>0</v>
      </c>
      <c r="U305" s="224">
        <f t="shared" ca="1" si="80"/>
        <v>0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468">
        <f ca="1">L307+L308</f>
        <v>133500</v>
      </c>
      <c r="M306" s="224">
        <f ca="1">M307+M308</f>
        <v>133500</v>
      </c>
      <c r="N306" s="224">
        <f ca="1">N307+N308</f>
        <v>117640</v>
      </c>
      <c r="O306" s="224">
        <f t="shared" ca="1" si="77"/>
        <v>88.119850187265911</v>
      </c>
      <c r="P306" s="224">
        <f t="shared" ca="1" si="78"/>
        <v>88.119850187265911</v>
      </c>
      <c r="Q306" s="224">
        <f ca="1">Q307+Q308</f>
        <v>144609.24</v>
      </c>
      <c r="R306" s="224">
        <f ca="1">R307+R308</f>
        <v>144609</v>
      </c>
      <c r="S306" s="224">
        <f ca="1">S307+S308</f>
        <v>0</v>
      </c>
      <c r="T306" s="224">
        <f t="shared" ca="1" si="79"/>
        <v>0</v>
      </c>
      <c r="U306" s="224">
        <f t="shared" ca="1" si="80"/>
        <v>0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469">
        <v>0</v>
      </c>
      <c r="M307" s="83">
        <v>0</v>
      </c>
      <c r="N307" s="83">
        <v>0</v>
      </c>
      <c r="O307" s="83">
        <f t="shared" si="77"/>
        <v>0</v>
      </c>
      <c r="P307" s="83">
        <f t="shared" si="78"/>
        <v>0</v>
      </c>
      <c r="Q307" s="83">
        <v>0</v>
      </c>
      <c r="R307" s="83">
        <v>0</v>
      </c>
      <c r="S307" s="83">
        <v>0</v>
      </c>
      <c r="T307" s="83">
        <f t="shared" si="79"/>
        <v>0</v>
      </c>
      <c r="U307" s="83">
        <f t="shared" si="80"/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468">
        <f ca="1">IFERROR(__xludf.DUMMYFUNCTION("IMPORTRANGE(""https://docs.google.com/spreadsheets/d/1-uDff_7J0KD5mKrp0Vvzr7lt3OU09vwQwhkpOPPYv2Y/edit?usp=sharing"",""งบพรบ!DY20"")"),133500)</f>
        <v>133500</v>
      </c>
      <c r="M308" s="224">
        <f ca="1">IFERROR(__xludf.DUMMYFUNCTION("IMPORTRANGE(""https://docs.google.com/spreadsheets/d/1-uDff_7J0KD5mKrp0Vvzr7lt3OU09vwQwhkpOPPYv2Y/edit?usp=sharing"",""งบพรบ!ED20"")"),133500)</f>
        <v>133500</v>
      </c>
      <c r="N308" s="224">
        <f ca="1">IFERROR(__xludf.DUMMYFUNCTION("IMPORTRANGE(""https://docs.google.com/spreadsheets/d/1-uDff_7J0KD5mKrp0Vvzr7lt3OU09vwQwhkpOPPYv2Y/edit?usp=sharing"",""งบพรบ!EF20"")"),117640)</f>
        <v>117640</v>
      </c>
      <c r="O308" s="224">
        <f t="shared" ca="1" si="77"/>
        <v>88.119850187265911</v>
      </c>
      <c r="P308" s="224">
        <f t="shared" ca="1" si="78"/>
        <v>88.119850187265911</v>
      </c>
      <c r="Q308" s="224">
        <f ca="1">IFERROR(__xludf.DUMMYFUNCTION("IMPORTRANGE(""https://docs.google.com/spreadsheets/d/1ItG2mGa2ceCfYo0BwxsXqNm01IGEUdYcSSLTEv9YCik/edit?usp=sharing"",""เบิกจ่ายกองทุน!AP20"")"),144609.24)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IFERROR(__xludf.DUMMYFUNCTION("IMPORTRANGE(""https://docs.google.com/spreadsheets/d/1ItG2mGa2ceCfYo0BwxsXqNm01IGEUdYcSSLTEv9YCik/edit?usp=sharing"",""เบิกจ่ายกองทุน!AQ20"")"),144609)</f>
        <v>144609</v>
      </c>
      <c r="S308" s="224">
        <f ca="1">IFERROR(__xludf.DUMMYFUNCTION("IMPORTRANGE(""https://docs.google.com/spreadsheets/d/1ItG2mGa2ceCfYo0BwxsXqNm01IGEUdYcSSLTEv9YCik/edit?usp=sharing"",""เบิกจ่ายกองทุน!AR20"")"),0)</f>
        <v>0</v>
      </c>
      <c r="T308" s="224">
        <f t="shared" ca="1" si="79"/>
        <v>0</v>
      </c>
      <c r="U308" s="224">
        <f t="shared" ca="1" si="80"/>
        <v>0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468">
        <f ca="1">L310+L311</f>
        <v>0</v>
      </c>
      <c r="M309" s="224">
        <f ca="1">M310+M311</f>
        <v>0</v>
      </c>
      <c r="N309" s="224">
        <f ca="1">N310+N311</f>
        <v>0</v>
      </c>
      <c r="O309" s="224">
        <f t="shared" ca="1" si="77"/>
        <v>0</v>
      </c>
      <c r="P309" s="224">
        <f t="shared" ca="1" si="78"/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 t="shared" si="79"/>
        <v>0</v>
      </c>
      <c r="U309" s="224">
        <f t="shared" si="80"/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469">
        <v>0</v>
      </c>
      <c r="M310" s="83">
        <v>0</v>
      </c>
      <c r="N310" s="83">
        <v>0</v>
      </c>
      <c r="O310" s="83">
        <f t="shared" si="77"/>
        <v>0</v>
      </c>
      <c r="P310" s="83">
        <f t="shared" si="78"/>
        <v>0</v>
      </c>
      <c r="Q310" s="83">
        <v>0</v>
      </c>
      <c r="R310" s="83">
        <v>0</v>
      </c>
      <c r="S310" s="83">
        <v>0</v>
      </c>
      <c r="T310" s="83">
        <f t="shared" si="79"/>
        <v>0</v>
      </c>
      <c r="U310" s="83">
        <f t="shared" si="80"/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468">
        <f ca="1">IFERROR(__xludf.DUMMYFUNCTION("IMPORTRANGE(""https://docs.google.com/spreadsheets/d/1-uDff_7J0KD5mKrp0Vvzr7lt3OU09vwQwhkpOPPYv2Y/edit?usp=sharing"",""งบพรบ!EB20"")"),0)</f>
        <v>0</v>
      </c>
      <c r="M311" s="224">
        <f ca="1">IFERROR(__xludf.DUMMYFUNCTION("IMPORTRANGE(""https://docs.google.com/spreadsheets/d/1-uDff_7J0KD5mKrp0Vvzr7lt3OU09vwQwhkpOPPYv2Y/edit?usp=sharing"",""งบพรบ!EE20"")"),0)</f>
        <v>0</v>
      </c>
      <c r="N311" s="224">
        <f ca="1">IFERROR(__xludf.DUMMYFUNCTION("IMPORTRANGE(""https://docs.google.com/spreadsheets/d/1-uDff_7J0KD5mKrp0Vvzr7lt3OU09vwQwhkpOPPYv2Y/edit?usp=sharing"",""งบพรบ!EG20"")"),0)</f>
        <v>0</v>
      </c>
      <c r="O311" s="224">
        <f t="shared" ca="1" si="77"/>
        <v>0</v>
      </c>
      <c r="P311" s="224">
        <f t="shared" ca="1" si="78"/>
        <v>0</v>
      </c>
      <c r="Q311" s="224">
        <v>0</v>
      </c>
      <c r="R311" s="224">
        <v>0</v>
      </c>
      <c r="S311" s="224">
        <v>0</v>
      </c>
      <c r="T311" s="224">
        <f t="shared" si="79"/>
        <v>0</v>
      </c>
      <c r="U311" s="224">
        <f t="shared" si="80"/>
        <v>0</v>
      </c>
    </row>
    <row r="312" spans="1:21" ht="19.5" x14ac:dyDescent="0.3">
      <c r="A312" s="138"/>
      <c r="B312" s="139"/>
      <c r="C312" s="129" t="s">
        <v>18</v>
      </c>
      <c r="D312" s="498" t="s">
        <v>38</v>
      </c>
      <c r="E312" s="141"/>
      <c r="F312" s="141"/>
      <c r="G312" s="142"/>
      <c r="H312" s="143"/>
      <c r="I312" s="44"/>
      <c r="J312" s="44"/>
      <c r="K312" s="45"/>
      <c r="L312" s="465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579"/>
      <c r="E313" s="18"/>
      <c r="F313" s="18"/>
      <c r="G313" s="19"/>
      <c r="H313" s="19"/>
      <c r="I313" s="20"/>
      <c r="J313" s="577"/>
      <c r="K313" s="21"/>
      <c r="L313" s="571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IFERROR(__xludf.DUMMYFUNCTION("IMPORTRANGE(""https://docs.google.com/spreadsheets/d/1eHaY18a8A9IcSdp1K8H6x8fbOy06t2VsZHhMHf-1x7Y/edit?usp=sharing"",""แผน!EF20"")"),20)</f>
        <v>20</v>
      </c>
      <c r="J314" s="466">
        <v>20</v>
      </c>
      <c r="K314" s="224">
        <f ca="1">IF(I314&gt;0,J314*100/I314,0)</f>
        <v>100</v>
      </c>
      <c r="L314" s="465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579"/>
      <c r="E315" s="18"/>
      <c r="F315" s="18"/>
      <c r="G315" s="19"/>
      <c r="H315" s="578"/>
      <c r="I315" s="577"/>
      <c r="J315" s="577"/>
      <c r="K315" s="576"/>
      <c r="L315" s="571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579"/>
      <c r="E316" s="18"/>
      <c r="F316" s="18"/>
      <c r="G316" s="19"/>
      <c r="H316" s="578"/>
      <c r="I316" s="577"/>
      <c r="J316" s="577"/>
      <c r="K316" s="576"/>
      <c r="L316" s="571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575"/>
      <c r="E317" s="18"/>
      <c r="F317" s="18"/>
      <c r="G317" s="19"/>
      <c r="H317" s="574"/>
      <c r="I317" s="573"/>
      <c r="J317" s="573"/>
      <c r="K317" s="572"/>
      <c r="L317" s="571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57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hidden="1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541">
        <f ca="1">I330</f>
        <v>0</v>
      </c>
      <c r="J319" s="541">
        <f>J330</f>
        <v>0</v>
      </c>
      <c r="K319" s="540">
        <f ca="1">IF(I319&gt;0,J319*100/I319,0)</f>
        <v>0</v>
      </c>
      <c r="L319" s="539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hidden="1" x14ac:dyDescent="0.3">
      <c r="A320" s="128"/>
      <c r="B320" s="40"/>
      <c r="C320" s="129" t="s">
        <v>18</v>
      </c>
      <c r="D320" s="472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471">
        <f ca="1">L321+L322</f>
        <v>0</v>
      </c>
      <c r="M320" s="470">
        <f ca="1">M321+M322</f>
        <v>0</v>
      </c>
      <c r="N320" s="470">
        <f ca="1">N321+N322</f>
        <v>0</v>
      </c>
      <c r="O320" s="470">
        <f t="shared" ref="O320:O328" ca="1" si="83">IF(L320&gt;0,N320*100/L320,0)</f>
        <v>0</v>
      </c>
      <c r="P320" s="470">
        <f t="shared" ref="P320:P328" ca="1" si="84">IF(M320&gt;0,N320*100/M320,0)</f>
        <v>0</v>
      </c>
      <c r="Q320" s="470">
        <f>Q321+Q322</f>
        <v>0</v>
      </c>
      <c r="R320" s="470">
        <f>R321+R322</f>
        <v>0</v>
      </c>
      <c r="S320" s="470">
        <f>S321+S322</f>
        <v>0</v>
      </c>
      <c r="T320" s="470">
        <f t="shared" ref="T320:T328" si="85">IF(Q320&gt;0,S320*100/Q320,0)</f>
        <v>0</v>
      </c>
      <c r="U320" s="470">
        <f t="shared" ref="U320:U328" si="86"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469">
        <f t="shared" ref="L321:N322" si="87">L324+L327</f>
        <v>0</v>
      </c>
      <c r="M321" s="83">
        <f t="shared" si="87"/>
        <v>0</v>
      </c>
      <c r="N321" s="83">
        <f t="shared" si="87"/>
        <v>0</v>
      </c>
      <c r="O321" s="83">
        <f t="shared" si="83"/>
        <v>0</v>
      </c>
      <c r="P321" s="83">
        <f t="shared" si="84"/>
        <v>0</v>
      </c>
      <c r="Q321" s="83">
        <f t="shared" ref="Q321:S322" si="88">Q324+Q327</f>
        <v>0</v>
      </c>
      <c r="R321" s="83">
        <f t="shared" si="88"/>
        <v>0</v>
      </c>
      <c r="S321" s="83">
        <f t="shared" si="88"/>
        <v>0</v>
      </c>
      <c r="T321" s="83">
        <f t="shared" si="85"/>
        <v>0</v>
      </c>
      <c r="U321" s="83">
        <f t="shared" si="86"/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468">
        <f t="shared" ca="1" si="87"/>
        <v>0</v>
      </c>
      <c r="M322" s="224">
        <f t="shared" ca="1" si="87"/>
        <v>0</v>
      </c>
      <c r="N322" s="224">
        <f t="shared" ca="1" si="87"/>
        <v>0</v>
      </c>
      <c r="O322" s="224">
        <f t="shared" ca="1" si="83"/>
        <v>0</v>
      </c>
      <c r="P322" s="224">
        <f t="shared" ca="1" si="84"/>
        <v>0</v>
      </c>
      <c r="Q322" s="224">
        <f t="shared" si="88"/>
        <v>0</v>
      </c>
      <c r="R322" s="224">
        <f t="shared" si="88"/>
        <v>0</v>
      </c>
      <c r="S322" s="224">
        <f t="shared" si="88"/>
        <v>0</v>
      </c>
      <c r="T322" s="224">
        <f t="shared" si="85"/>
        <v>0</v>
      </c>
      <c r="U322" s="224">
        <f t="shared" si="86"/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468">
        <f ca="1">L324+L325</f>
        <v>0</v>
      </c>
      <c r="M323" s="224">
        <f ca="1">M324+M325</f>
        <v>0</v>
      </c>
      <c r="N323" s="224">
        <f ca="1">N324+N325</f>
        <v>0</v>
      </c>
      <c r="O323" s="224">
        <f t="shared" ca="1" si="83"/>
        <v>0</v>
      </c>
      <c r="P323" s="224">
        <f t="shared" ca="1" si="84"/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 t="shared" si="85"/>
        <v>0</v>
      </c>
      <c r="U323" s="224">
        <f t="shared" si="86"/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469">
        <v>0</v>
      </c>
      <c r="M324" s="83">
        <v>0</v>
      </c>
      <c r="N324" s="83">
        <v>0</v>
      </c>
      <c r="O324" s="83">
        <f t="shared" si="83"/>
        <v>0</v>
      </c>
      <c r="P324" s="83">
        <f t="shared" si="84"/>
        <v>0</v>
      </c>
      <c r="Q324" s="83">
        <v>0</v>
      </c>
      <c r="R324" s="83">
        <v>0</v>
      </c>
      <c r="S324" s="83">
        <v>0</v>
      </c>
      <c r="T324" s="83">
        <f t="shared" si="85"/>
        <v>0</v>
      </c>
      <c r="U324" s="83">
        <f t="shared" si="86"/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468">
        <f ca="1">IFERROR(__xludf.DUMMYFUNCTION("IMPORTRANGE(""https://docs.google.com/spreadsheets/d/1-uDff_7J0KD5mKrp0Vvzr7lt3OU09vwQwhkpOPPYv2Y/edit?usp=sharing"",""งบพรบ!EI20"")"),0)</f>
        <v>0</v>
      </c>
      <c r="M325" s="224">
        <f ca="1">IFERROR(__xludf.DUMMYFUNCTION("IMPORTRANGE(""https://docs.google.com/spreadsheets/d/1-uDff_7J0KD5mKrp0Vvzr7lt3OU09vwQwhkpOPPYv2Y/edit?usp=sharing"",""งบพรบ!EN20"")"),0)</f>
        <v>0</v>
      </c>
      <c r="N325" s="224">
        <f ca="1">IFERROR(__xludf.DUMMYFUNCTION("IMPORTRANGE(""https://docs.google.com/spreadsheets/d/1-uDff_7J0KD5mKrp0Vvzr7lt3OU09vwQwhkpOPPYv2Y/edit?usp=sharing"",""งบพรบ!EP20"")"),0)</f>
        <v>0</v>
      </c>
      <c r="O325" s="224">
        <f t="shared" ca="1" si="83"/>
        <v>0</v>
      </c>
      <c r="P325" s="224">
        <f t="shared" ca="1" si="84"/>
        <v>0</v>
      </c>
      <c r="Q325" s="224">
        <v>0</v>
      </c>
      <c r="R325" s="224">
        <v>0</v>
      </c>
      <c r="S325" s="224">
        <v>0</v>
      </c>
      <c r="T325" s="224">
        <f t="shared" si="85"/>
        <v>0</v>
      </c>
      <c r="U325" s="224">
        <f t="shared" si="86"/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468">
        <f ca="1">L327+L328</f>
        <v>0</v>
      </c>
      <c r="M326" s="224">
        <f ca="1">M327+M328</f>
        <v>0</v>
      </c>
      <c r="N326" s="224">
        <f ca="1">N327+N328</f>
        <v>0</v>
      </c>
      <c r="O326" s="224">
        <f t="shared" ca="1" si="83"/>
        <v>0</v>
      </c>
      <c r="P326" s="224">
        <f t="shared" ca="1" si="84"/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 t="shared" si="85"/>
        <v>0</v>
      </c>
      <c r="U326" s="224">
        <f t="shared" si="86"/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469">
        <v>0</v>
      </c>
      <c r="M327" s="83">
        <v>0</v>
      </c>
      <c r="N327" s="83">
        <v>0</v>
      </c>
      <c r="O327" s="83">
        <f t="shared" si="83"/>
        <v>0</v>
      </c>
      <c r="P327" s="83">
        <f t="shared" si="84"/>
        <v>0</v>
      </c>
      <c r="Q327" s="83">
        <v>0</v>
      </c>
      <c r="R327" s="83">
        <v>0</v>
      </c>
      <c r="S327" s="83">
        <v>0</v>
      </c>
      <c r="T327" s="83">
        <f t="shared" si="85"/>
        <v>0</v>
      </c>
      <c r="U327" s="83">
        <f t="shared" si="86"/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468">
        <f ca="1">IFERROR(__xludf.DUMMYFUNCTION("IMPORTRANGE(""https://docs.google.com/spreadsheets/d/1-uDff_7J0KD5mKrp0Vvzr7lt3OU09vwQwhkpOPPYv2Y/edit?usp=sharing"",""งบพรบ!EL20"")"),0)</f>
        <v>0</v>
      </c>
      <c r="M328" s="224">
        <f ca="1">IFERROR(__xludf.DUMMYFUNCTION("IMPORTRANGE(""https://docs.google.com/spreadsheets/d/1-uDff_7J0KD5mKrp0Vvzr7lt3OU09vwQwhkpOPPYv2Y/edit?usp=sharing"",""งบพรบ!EO20"")"),0)</f>
        <v>0</v>
      </c>
      <c r="N328" s="224">
        <f ca="1">IFERROR(__xludf.DUMMYFUNCTION("IMPORTRANGE(""https://docs.google.com/spreadsheets/d/1-uDff_7J0KD5mKrp0Vvzr7lt3OU09vwQwhkpOPPYv2Y/edit?usp=sharing"",""งบพรบ!EQ20"")"),0)</f>
        <v>0</v>
      </c>
      <c r="O328" s="224">
        <f t="shared" ca="1" si="83"/>
        <v>0</v>
      </c>
      <c r="P328" s="224">
        <f t="shared" ca="1" si="84"/>
        <v>0</v>
      </c>
      <c r="Q328" s="224">
        <v>0</v>
      </c>
      <c r="R328" s="224">
        <v>0</v>
      </c>
      <c r="S328" s="224">
        <v>0</v>
      </c>
      <c r="T328" s="224">
        <f t="shared" si="85"/>
        <v>0</v>
      </c>
      <c r="U328" s="224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8" t="s">
        <v>38</v>
      </c>
      <c r="E329" s="141"/>
      <c r="F329" s="141"/>
      <c r="G329" s="142"/>
      <c r="H329" s="143"/>
      <c r="I329" s="135"/>
      <c r="J329" s="44"/>
      <c r="K329" s="45"/>
      <c r="L329" s="465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IFERROR(__xludf.DUMMYFUNCTION("IMPORTRANGE(""https://docs.google.com/spreadsheets/d/1eHaY18a8A9IcSdp1K8H6x8fbOy06t2VsZHhMHf-1x7Y/edit?usp=sharing"",""แผน!EJ20"")"),0)</f>
        <v>0</v>
      </c>
      <c r="J330" s="466">
        <v>0</v>
      </c>
      <c r="K330" s="224">
        <f ca="1">IF(I330&gt;0,J330*100/I330,0)</f>
        <v>0</v>
      </c>
      <c r="L330" s="465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57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569">
        <f ca="1">I344</f>
        <v>1060</v>
      </c>
      <c r="J332" s="568">
        <f ca="1">J344+J347+J348+J349+J353</f>
        <v>9963</v>
      </c>
      <c r="K332" s="567">
        <f ca="1">IF(I332&gt;0,J332*100/I332,0)</f>
        <v>939.90566037735846</v>
      </c>
      <c r="L332" s="539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472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471">
        <f ca="1">L334+L335</f>
        <v>106000</v>
      </c>
      <c r="M333" s="470">
        <f ca="1">M334+M335</f>
        <v>111000</v>
      </c>
      <c r="N333" s="470">
        <f ca="1">N334+N335</f>
        <v>65330</v>
      </c>
      <c r="O333" s="470">
        <f t="shared" ref="O333:O341" ca="1" si="89">IF(L333&gt;0,N333*100/L333,0)</f>
        <v>61.632075471698116</v>
      </c>
      <c r="P333" s="470">
        <f t="shared" ref="P333:P341" ca="1" si="90">IF(M333&gt;0,N333*100/M333,0)</f>
        <v>58.855855855855857</v>
      </c>
      <c r="Q333" s="470">
        <f>Q334+Q335</f>
        <v>0</v>
      </c>
      <c r="R333" s="470">
        <f>R334+R335</f>
        <v>0</v>
      </c>
      <c r="S333" s="470">
        <f>S334+S335</f>
        <v>0</v>
      </c>
      <c r="T333" s="470">
        <f t="shared" ref="T333:T341" si="91">IF(Q333&gt;0,S333*100/Q333,0)</f>
        <v>0</v>
      </c>
      <c r="U333" s="470">
        <f t="shared" ref="U333:U341" si="92"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469">
        <f t="shared" ref="L334:N335" si="93">L337+L340</f>
        <v>0</v>
      </c>
      <c r="M334" s="83">
        <f t="shared" si="93"/>
        <v>0</v>
      </c>
      <c r="N334" s="83">
        <f t="shared" si="93"/>
        <v>0</v>
      </c>
      <c r="O334" s="83">
        <f t="shared" si="89"/>
        <v>0</v>
      </c>
      <c r="P334" s="83">
        <f t="shared" si="90"/>
        <v>0</v>
      </c>
      <c r="Q334" s="83">
        <f t="shared" ref="Q334:S335" si="94">Q337+Q340</f>
        <v>0</v>
      </c>
      <c r="R334" s="83">
        <f t="shared" si="94"/>
        <v>0</v>
      </c>
      <c r="S334" s="83">
        <f t="shared" si="94"/>
        <v>0</v>
      </c>
      <c r="T334" s="83">
        <f t="shared" si="91"/>
        <v>0</v>
      </c>
      <c r="U334" s="83">
        <f t="shared" si="92"/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468">
        <f t="shared" ca="1" si="93"/>
        <v>106000</v>
      </c>
      <c r="M335" s="224">
        <f t="shared" ca="1" si="93"/>
        <v>111000</v>
      </c>
      <c r="N335" s="224">
        <f t="shared" ca="1" si="93"/>
        <v>65330</v>
      </c>
      <c r="O335" s="224">
        <f t="shared" ca="1" si="89"/>
        <v>61.632075471698116</v>
      </c>
      <c r="P335" s="224">
        <f t="shared" ca="1" si="90"/>
        <v>58.855855855855857</v>
      </c>
      <c r="Q335" s="224">
        <f t="shared" si="94"/>
        <v>0</v>
      </c>
      <c r="R335" s="224">
        <f t="shared" si="94"/>
        <v>0</v>
      </c>
      <c r="S335" s="224">
        <f t="shared" si="94"/>
        <v>0</v>
      </c>
      <c r="T335" s="224">
        <f t="shared" si="91"/>
        <v>0</v>
      </c>
      <c r="U335" s="224">
        <f t="shared" si="92"/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468">
        <f ca="1">L337+L338</f>
        <v>106000</v>
      </c>
      <c r="M336" s="224">
        <f ca="1">M337+M338</f>
        <v>111000</v>
      </c>
      <c r="N336" s="224">
        <f ca="1">N337+N338</f>
        <v>65330</v>
      </c>
      <c r="O336" s="224">
        <f t="shared" ca="1" si="89"/>
        <v>61.632075471698116</v>
      </c>
      <c r="P336" s="224">
        <f t="shared" ca="1" si="90"/>
        <v>58.855855855855857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 t="shared" si="91"/>
        <v>0</v>
      </c>
      <c r="U336" s="224">
        <f t="shared" si="92"/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469">
        <v>0</v>
      </c>
      <c r="M337" s="83">
        <v>0</v>
      </c>
      <c r="N337" s="83">
        <v>0</v>
      </c>
      <c r="O337" s="83">
        <f t="shared" si="89"/>
        <v>0</v>
      </c>
      <c r="P337" s="83">
        <f t="shared" si="90"/>
        <v>0</v>
      </c>
      <c r="Q337" s="83">
        <v>0</v>
      </c>
      <c r="R337" s="83">
        <v>0</v>
      </c>
      <c r="S337" s="83">
        <v>0</v>
      </c>
      <c r="T337" s="83">
        <f t="shared" si="91"/>
        <v>0</v>
      </c>
      <c r="U337" s="83">
        <f t="shared" si="92"/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468">
        <f ca="1">IFERROR(__xludf.DUMMYFUNCTION("IMPORTRANGE(""https://docs.google.com/spreadsheets/d/1-uDff_7J0KD5mKrp0Vvzr7lt3OU09vwQwhkpOPPYv2Y/edit?usp=sharing"",""งบพรบ!ES20"")"),106000)</f>
        <v>106000</v>
      </c>
      <c r="M338" s="224">
        <f ca="1">IFERROR(__xludf.DUMMYFUNCTION("IMPORTRANGE(""https://docs.google.com/spreadsheets/d/1-uDff_7J0KD5mKrp0Vvzr7lt3OU09vwQwhkpOPPYv2Y/edit?usp=sharing"",""งบพรบ!EX20"")"),111000)</f>
        <v>111000</v>
      </c>
      <c r="N338" s="224">
        <f ca="1">IFERROR(__xludf.DUMMYFUNCTION("IMPORTRANGE(""https://docs.google.com/spreadsheets/d/1-uDff_7J0KD5mKrp0Vvzr7lt3OU09vwQwhkpOPPYv2Y/edit?usp=sharing"",""งบพรบ!EZ20"")"),65330)</f>
        <v>65330</v>
      </c>
      <c r="O338" s="224">
        <f t="shared" ca="1" si="89"/>
        <v>61.632075471698116</v>
      </c>
      <c r="P338" s="224">
        <f t="shared" ca="1" si="90"/>
        <v>58.855855855855857</v>
      </c>
      <c r="Q338" s="224">
        <v>0</v>
      </c>
      <c r="R338" s="224">
        <v>0</v>
      </c>
      <c r="S338" s="224">
        <v>0</v>
      </c>
      <c r="T338" s="224">
        <f t="shared" si="91"/>
        <v>0</v>
      </c>
      <c r="U338" s="224">
        <f t="shared" si="92"/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468">
        <f ca="1">L340+L341</f>
        <v>0</v>
      </c>
      <c r="M339" s="224">
        <f ca="1">M340+M341</f>
        <v>0</v>
      </c>
      <c r="N339" s="224">
        <f ca="1">N340+N341</f>
        <v>0</v>
      </c>
      <c r="O339" s="224">
        <f t="shared" ca="1" si="89"/>
        <v>0</v>
      </c>
      <c r="P339" s="224">
        <f t="shared" ca="1" si="90"/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 t="shared" si="91"/>
        <v>0</v>
      </c>
      <c r="U339" s="224">
        <f t="shared" si="92"/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469">
        <v>0</v>
      </c>
      <c r="M340" s="83">
        <v>0</v>
      </c>
      <c r="N340" s="83">
        <v>0</v>
      </c>
      <c r="O340" s="83">
        <f t="shared" si="89"/>
        <v>0</v>
      </c>
      <c r="P340" s="83">
        <f t="shared" si="90"/>
        <v>0</v>
      </c>
      <c r="Q340" s="83">
        <v>0</v>
      </c>
      <c r="R340" s="83">
        <v>0</v>
      </c>
      <c r="S340" s="83">
        <v>0</v>
      </c>
      <c r="T340" s="83">
        <f t="shared" si="91"/>
        <v>0</v>
      </c>
      <c r="U340" s="83">
        <f t="shared" si="92"/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468">
        <f ca="1">IFERROR(__xludf.DUMMYFUNCTION("IMPORTRANGE(""https://docs.google.com/spreadsheets/d/1-uDff_7J0KD5mKrp0Vvzr7lt3OU09vwQwhkpOPPYv2Y/edit?usp=sharing"",""งบพรบ!EV20"")"),0)</f>
        <v>0</v>
      </c>
      <c r="M341" s="224">
        <f ca="1">IFERROR(__xludf.DUMMYFUNCTION("IMPORTRANGE(""https://docs.google.com/spreadsheets/d/1-uDff_7J0KD5mKrp0Vvzr7lt3OU09vwQwhkpOPPYv2Y/edit?usp=sharing"",""งบพรบ!EY20"")"),0)</f>
        <v>0</v>
      </c>
      <c r="N341" s="224">
        <f ca="1">IFERROR(__xludf.DUMMYFUNCTION("IMPORTRANGE(""https://docs.google.com/spreadsheets/d/1-uDff_7J0KD5mKrp0Vvzr7lt3OU09vwQwhkpOPPYv2Y/edit?usp=sharing"",""งบพรบ!FA20"")"),0)</f>
        <v>0</v>
      </c>
      <c r="O341" s="224">
        <f t="shared" ca="1" si="89"/>
        <v>0</v>
      </c>
      <c r="P341" s="224">
        <f t="shared" ca="1" si="90"/>
        <v>0</v>
      </c>
      <c r="Q341" s="224">
        <v>0</v>
      </c>
      <c r="R341" s="224">
        <v>0</v>
      </c>
      <c r="S341" s="224">
        <v>0</v>
      </c>
      <c r="T341" s="224">
        <f t="shared" si="91"/>
        <v>0</v>
      </c>
      <c r="U341" s="224">
        <f t="shared" si="92"/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465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566"/>
      <c r="B343" s="563"/>
      <c r="C343" s="565"/>
      <c r="D343" s="563"/>
      <c r="E343" s="564" t="s">
        <v>137</v>
      </c>
      <c r="F343" s="563"/>
      <c r="G343" s="562"/>
      <c r="H343" s="561" t="s">
        <v>35</v>
      </c>
      <c r="I343" s="560">
        <v>0</v>
      </c>
      <c r="J343" s="560">
        <f ca="1">J344+J347+J348+J349</f>
        <v>2897</v>
      </c>
      <c r="K343" s="559">
        <v>0</v>
      </c>
      <c r="L343" s="557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IFERROR(__xludf.DUMMYFUNCTION("IMPORTRANGE(""https://docs.google.com/spreadsheets/d/1eHaY18a8A9IcSdp1K8H6x8fbOy06t2VsZHhMHf-1x7Y/edit?usp=sharing"",""แผน!EK20"")"),1060)</f>
        <v>1060</v>
      </c>
      <c r="J344" s="184">
        <f ca="1">IFERROR(__xludf.DUMMYFUNCTION("IMPORTRANGE(""https://docs.google.com/spreadsheets/d/1awYsYK3VOup2i3Pq_Yjnu8DRu_mYwSBnCR2QPthd0rU/edit?usp=sharing"",""ศูนย์ยกเว้นโฉนด!D20"")"),2895)</f>
        <v>2895</v>
      </c>
      <c r="K344" s="224">
        <f ca="1">IF(I344&gt;0,J344*100/I344,0)</f>
        <v>273.11320754716979</v>
      </c>
      <c r="L344" s="465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465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IFERROR(__xludf.DUMMYFUNCTION("IMPORTRANGE(""https://docs.google.com/spreadsheets/d/1eHaY18a8A9IcSdp1K8H6x8fbOy06t2VsZHhMHf-1x7Y/edit?usp=sharing"",""แผน!EL20"")"),3)</f>
        <v>3</v>
      </c>
      <c r="J346" s="184">
        <f ca="1">IFERROR(__xludf.DUMMYFUNCTION("IMPORTRANGE(""https://docs.google.com/spreadsheets/d/1awYsYK3VOup2i3Pq_Yjnu8DRu_mYwSBnCR2QPthd0rU/edit?usp=sharing"",""ศูนย์รวม!E20"")"),1)</f>
        <v>1</v>
      </c>
      <c r="K346" s="224">
        <f ca="1">IF(I346&gt;0,J346*100/I346,0)</f>
        <v>33.333333333333336</v>
      </c>
      <c r="L346" s="465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IFERROR(__xludf.DUMMYFUNCTION("IMPORTRANGE(""https://docs.google.com/spreadsheets/d/1awYsYK3VOup2i3Pq_Yjnu8DRu_mYwSBnCR2QPthd0rU/edit?usp=sharing"",""ศูนย์ยกเว้นโฉนด!F20"")"),0)</f>
        <v>0</v>
      </c>
      <c r="K347" s="45"/>
      <c r="L347" s="465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IFERROR(__xludf.DUMMYFUNCTION("IMPORTRANGE(""https://docs.google.com/spreadsheets/d/1awYsYK3VOup2i3Pq_Yjnu8DRu_mYwSBnCR2QPthd0rU/edit?usp=sharing"",""ศูนย์ยกเว้นโฉนด!G20"")"),2)</f>
        <v>2</v>
      </c>
      <c r="K348" s="45"/>
      <c r="L348" s="465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IFERROR(__xludf.DUMMYFUNCTION("IMPORTRANGE(""https://docs.google.com/spreadsheets/d/1awYsYK3VOup2i3Pq_Yjnu8DRu_mYwSBnCR2QPthd0rU/edit?usp=sharing"",""ศูนย์ยกเว้นโฉนด!H20"")"),0)</f>
        <v>0</v>
      </c>
      <c r="K349" s="45"/>
      <c r="L349" s="465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0"/>
      <c r="F350" s="40"/>
      <c r="G350" s="42"/>
      <c r="H350" s="180"/>
      <c r="I350" s="44"/>
      <c r="J350" s="44"/>
      <c r="K350" s="45"/>
      <c r="L350" s="465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558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12215</v>
      </c>
      <c r="K351" s="304">
        <v>0</v>
      </c>
      <c r="L351" s="557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IFERROR(__xludf.DUMMYFUNCTION("IMPORTRANGE(""https://docs.google.com/spreadsheets/d/1awYsYK3VOup2i3Pq_Yjnu8DRu_mYwSBnCR2QPthd0rU/edit?usp=sharing"",""โฉนดM3!G20"")"),5149)</f>
        <v>5149</v>
      </c>
      <c r="K352" s="45"/>
      <c r="L352" s="465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IFERROR(__xludf.DUMMYFUNCTION("IMPORTRANGE(""https://docs.google.com/spreadsheets/d/1awYsYK3VOup2i3Pq_Yjnu8DRu_mYwSBnCR2QPthd0rU/edit?usp=sharing"",""โฉนดM3!H20"")"),7066)</f>
        <v>7066</v>
      </c>
      <c r="K353" s="45"/>
      <c r="L353" s="465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0"/>
      <c r="F354" s="40"/>
      <c r="G354" s="42"/>
      <c r="H354" s="180"/>
      <c r="I354" s="44"/>
      <c r="J354" s="44"/>
      <c r="K354" s="45"/>
      <c r="L354" s="465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539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472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471">
        <f ca="1">L357+L358</f>
        <v>235980</v>
      </c>
      <c r="M356" s="470">
        <f ca="1">M357+M358</f>
        <v>245900</v>
      </c>
      <c r="N356" s="470">
        <f ca="1">N357+N358</f>
        <v>151919.21</v>
      </c>
      <c r="O356" s="470">
        <f t="shared" ref="O356:O364" ca="1" si="95">IF(L356&gt;0,N356*100/L356,0)</f>
        <v>64.378002373082467</v>
      </c>
      <c r="P356" s="470">
        <f t="shared" ref="P356:P364" ca="1" si="96">IF(M356&gt;0,N356*100/M356,0)</f>
        <v>61.780890605937373</v>
      </c>
      <c r="Q356" s="470">
        <f>Q357+Q358</f>
        <v>0</v>
      </c>
      <c r="R356" s="470">
        <f>R357+R358</f>
        <v>0</v>
      </c>
      <c r="S356" s="470">
        <f>S357+S358</f>
        <v>0</v>
      </c>
      <c r="T356" s="470">
        <f t="shared" ref="T356:T364" si="97">IF(Q356&gt;0,S356*100/Q356,0)</f>
        <v>0</v>
      </c>
      <c r="U356" s="470">
        <f t="shared" ref="U356:U364" si="98"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469">
        <f t="shared" ref="L357:N358" si="99">L360+L363</f>
        <v>0</v>
      </c>
      <c r="M357" s="83">
        <f t="shared" si="99"/>
        <v>0</v>
      </c>
      <c r="N357" s="83">
        <f t="shared" si="99"/>
        <v>0</v>
      </c>
      <c r="O357" s="83">
        <f t="shared" si="95"/>
        <v>0</v>
      </c>
      <c r="P357" s="83">
        <f t="shared" si="96"/>
        <v>0</v>
      </c>
      <c r="Q357" s="83">
        <f t="shared" ref="Q357:S358" si="100">Q360+Q363</f>
        <v>0</v>
      </c>
      <c r="R357" s="83">
        <f t="shared" si="100"/>
        <v>0</v>
      </c>
      <c r="S357" s="83">
        <f t="shared" si="100"/>
        <v>0</v>
      </c>
      <c r="T357" s="83">
        <f t="shared" si="97"/>
        <v>0</v>
      </c>
      <c r="U357" s="83">
        <f t="shared" si="98"/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468">
        <f t="shared" ca="1" si="99"/>
        <v>235980</v>
      </c>
      <c r="M358" s="224">
        <f t="shared" ca="1" si="99"/>
        <v>245900</v>
      </c>
      <c r="N358" s="224">
        <f t="shared" ca="1" si="99"/>
        <v>151919.21</v>
      </c>
      <c r="O358" s="224">
        <f t="shared" ca="1" si="95"/>
        <v>64.378002373082467</v>
      </c>
      <c r="P358" s="224">
        <f t="shared" ca="1" si="96"/>
        <v>61.780890605937373</v>
      </c>
      <c r="Q358" s="224">
        <f t="shared" si="100"/>
        <v>0</v>
      </c>
      <c r="R358" s="224">
        <f t="shared" si="100"/>
        <v>0</v>
      </c>
      <c r="S358" s="224">
        <f t="shared" si="100"/>
        <v>0</v>
      </c>
      <c r="T358" s="224">
        <f t="shared" si="97"/>
        <v>0</v>
      </c>
      <c r="U358" s="224">
        <f t="shared" si="98"/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468">
        <f ca="1">L360+L361</f>
        <v>235980</v>
      </c>
      <c r="M359" s="224">
        <f ca="1">M360+M361</f>
        <v>245900</v>
      </c>
      <c r="N359" s="224">
        <f ca="1">N360+N361</f>
        <v>151919.21</v>
      </c>
      <c r="O359" s="224">
        <f t="shared" ca="1" si="95"/>
        <v>64.378002373082467</v>
      </c>
      <c r="P359" s="224">
        <f t="shared" ca="1" si="96"/>
        <v>61.780890605937373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 t="shared" si="97"/>
        <v>0</v>
      </c>
      <c r="U359" s="224">
        <f t="shared" si="98"/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469">
        <v>0</v>
      </c>
      <c r="M360" s="83">
        <v>0</v>
      </c>
      <c r="N360" s="83">
        <v>0</v>
      </c>
      <c r="O360" s="83">
        <f t="shared" si="95"/>
        <v>0</v>
      </c>
      <c r="P360" s="83">
        <f t="shared" si="96"/>
        <v>0</v>
      </c>
      <c r="Q360" s="83">
        <v>0</v>
      </c>
      <c r="R360" s="83">
        <v>0</v>
      </c>
      <c r="S360" s="83">
        <v>0</v>
      </c>
      <c r="T360" s="83">
        <f t="shared" si="97"/>
        <v>0</v>
      </c>
      <c r="U360" s="83">
        <f t="shared" si="98"/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468">
        <f ca="1">IFERROR(__xludf.DUMMYFUNCTION("IMPORTRANGE(""https://docs.google.com/spreadsheets/d/1-uDff_7J0KD5mKrp0Vvzr7lt3OU09vwQwhkpOPPYv2Y/edit?usp=sharing"",""งบพรบ!FC20"")"),235980)</f>
        <v>235980</v>
      </c>
      <c r="M361" s="224">
        <f ca="1">IFERROR(__xludf.DUMMYFUNCTION("IMPORTRANGE(""https://docs.google.com/spreadsheets/d/1-uDff_7J0KD5mKrp0Vvzr7lt3OU09vwQwhkpOPPYv2Y/edit?usp=sharing"",""งบพรบ!FH20"")"),245900)</f>
        <v>245900</v>
      </c>
      <c r="N361" s="224">
        <f ca="1">IFERROR(__xludf.DUMMYFUNCTION("IMPORTRANGE(""https://docs.google.com/spreadsheets/d/1-uDff_7J0KD5mKrp0Vvzr7lt3OU09vwQwhkpOPPYv2Y/edit?usp=sharing"",""งบพรบ!FJ20"")"),151919.21)</f>
        <v>151919.21</v>
      </c>
      <c r="O361" s="224">
        <f t="shared" ca="1" si="95"/>
        <v>64.378002373082467</v>
      </c>
      <c r="P361" s="224">
        <f t="shared" ca="1" si="96"/>
        <v>61.780890605937373</v>
      </c>
      <c r="Q361" s="224">
        <v>0</v>
      </c>
      <c r="R361" s="224">
        <v>0</v>
      </c>
      <c r="S361" s="224">
        <v>0</v>
      </c>
      <c r="T361" s="224">
        <f t="shared" si="97"/>
        <v>0</v>
      </c>
      <c r="U361" s="224">
        <f t="shared" si="98"/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468">
        <f ca="1">L363+L364</f>
        <v>0</v>
      </c>
      <c r="M362" s="224">
        <f ca="1">M363+M364</f>
        <v>0</v>
      </c>
      <c r="N362" s="224">
        <f ca="1">N363+N364</f>
        <v>0</v>
      </c>
      <c r="O362" s="224">
        <f t="shared" ca="1" si="95"/>
        <v>0</v>
      </c>
      <c r="P362" s="224">
        <f t="shared" ca="1" si="96"/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 t="shared" si="97"/>
        <v>0</v>
      </c>
      <c r="U362" s="224">
        <f t="shared" si="98"/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469">
        <v>0</v>
      </c>
      <c r="M363" s="83">
        <v>0</v>
      </c>
      <c r="N363" s="83">
        <v>0</v>
      </c>
      <c r="O363" s="83">
        <f t="shared" si="95"/>
        <v>0</v>
      </c>
      <c r="P363" s="83">
        <f t="shared" si="96"/>
        <v>0</v>
      </c>
      <c r="Q363" s="83">
        <v>0</v>
      </c>
      <c r="R363" s="83">
        <v>0</v>
      </c>
      <c r="S363" s="83">
        <v>0</v>
      </c>
      <c r="T363" s="83">
        <f t="shared" si="97"/>
        <v>0</v>
      </c>
      <c r="U363" s="83">
        <f t="shared" si="98"/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468">
        <f ca="1">IFERROR(__xludf.DUMMYFUNCTION("IMPORTRANGE(""https://docs.google.com/spreadsheets/d/1-uDff_7J0KD5mKrp0Vvzr7lt3OU09vwQwhkpOPPYv2Y/edit?usp=sharing"",""งบพรบ!FF20"")"),0)</f>
        <v>0</v>
      </c>
      <c r="M364" s="224">
        <f ca="1">IFERROR(__xludf.DUMMYFUNCTION("IMPORTRANGE(""https://docs.google.com/spreadsheets/d/1-uDff_7J0KD5mKrp0Vvzr7lt3OU09vwQwhkpOPPYv2Y/edit?usp=sharing"",""งบพรบ!FI20"")"),0)</f>
        <v>0</v>
      </c>
      <c r="N364" s="224">
        <f ca="1">IFERROR(__xludf.DUMMYFUNCTION("IMPORTRANGE(""https://docs.google.com/spreadsheets/d/1-uDff_7J0KD5mKrp0Vvzr7lt3OU09vwQwhkpOPPYv2Y/edit?usp=sharing"",""งบพรบ!FK20"")"),0)</f>
        <v>0</v>
      </c>
      <c r="O364" s="224">
        <f t="shared" ca="1" si="95"/>
        <v>0</v>
      </c>
      <c r="P364" s="224">
        <f t="shared" ca="1" si="96"/>
        <v>0</v>
      </c>
      <c r="Q364" s="224">
        <v>0</v>
      </c>
      <c r="R364" s="224">
        <v>0</v>
      </c>
      <c r="S364" s="224">
        <v>0</v>
      </c>
      <c r="T364" s="224">
        <f t="shared" si="97"/>
        <v>0</v>
      </c>
      <c r="U364" s="224">
        <f t="shared" si="98"/>
        <v>0</v>
      </c>
    </row>
    <row r="365" spans="1:21" ht="19.5" x14ac:dyDescent="0.3">
      <c r="A365" s="211"/>
      <c r="B365" s="212"/>
      <c r="C365" s="214"/>
      <c r="D365" s="558" t="s">
        <v>149</v>
      </c>
      <c r="E365" s="214"/>
      <c r="F365" s="214"/>
      <c r="G365" s="215"/>
      <c r="H365" s="223" t="s">
        <v>35</v>
      </c>
      <c r="I365" s="303">
        <f ca="1">I371</f>
        <v>184</v>
      </c>
      <c r="J365" s="303">
        <f ca="1">J371</f>
        <v>123</v>
      </c>
      <c r="K365" s="304">
        <f ca="1">IF(I365&gt;0,J365*100/I365,0)</f>
        <v>66.847826086956516</v>
      </c>
      <c r="L365" s="557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498" t="s">
        <v>38</v>
      </c>
      <c r="E366" s="141"/>
      <c r="F366" s="141"/>
      <c r="G366" s="142"/>
      <c r="H366" s="143"/>
      <c r="I366" s="44"/>
      <c r="J366" s="44"/>
      <c r="K366" s="45"/>
      <c r="L366" s="4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IFERROR(__xludf.DUMMYFUNCTION("IMPORTRANGE(""https://docs.google.com/spreadsheets/d/1tdoBKaGub7dwA3U6UFTqxio9LNnvDCQjHKmttSEBsFQ/edit?usp=sharing"",""จัดที่ดิน!AB20"")"),108)</f>
        <v>108</v>
      </c>
      <c r="K367" s="224">
        <f t="shared" ref="K367:K372" si="101">IF(I367&gt;0,J367*100/I367,0)</f>
        <v>0</v>
      </c>
      <c r="L367" s="4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IFERROR(__xludf.DUMMYFUNCTION("IMPORTRANGE(""https://docs.google.com/spreadsheets/d/1eHaY18a8A9IcSdp1K8H6x8fbOy06t2VsZHhMHf-1x7Y/edit?usp=sharing"",""แผน!EW20"")"),675)</f>
        <v>675</v>
      </c>
      <c r="J368" s="556">
        <f ca="1">IFERROR(__xludf.DUMMYFUNCTION("IMPORTRANGE(""https://docs.google.com/spreadsheets/d/1tdoBKaGub7dwA3U6UFTqxio9LNnvDCQjHKmttSEBsFQ/edit?usp=sharing"",""จัดที่ดิน!AC20"")"),548.06)</f>
        <v>548.05999999999995</v>
      </c>
      <c r="K368" s="224">
        <f t="shared" ca="1" si="101"/>
        <v>81.194074074074067</v>
      </c>
      <c r="L368" s="4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IFERROR(__xludf.DUMMYFUNCTION("IMPORTRANGE(""https://docs.google.com/spreadsheets/d/1eHaY18a8A9IcSdp1K8H6x8fbOy06t2VsZHhMHf-1x7Y/edit?usp=sharing"",""แผน!EX20"")"),184)</f>
        <v>184</v>
      </c>
      <c r="J369" s="184">
        <f ca="1">IFERROR(__xludf.DUMMYFUNCTION("IMPORTRANGE(""https://docs.google.com/spreadsheets/d/1tdoBKaGub7dwA3U6UFTqxio9LNnvDCQjHKmttSEBsFQ/edit?usp=sharing"",""จัดที่ดิน!AD20"")"),118)</f>
        <v>118</v>
      </c>
      <c r="K369" s="224">
        <f t="shared" ca="1" si="101"/>
        <v>64.130434782608702</v>
      </c>
      <c r="L369" s="4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556">
        <f ca="1">IFERROR(__xludf.DUMMYFUNCTION("IMPORTRANGE(""https://docs.google.com/spreadsheets/d/1tdoBKaGub7dwA3U6UFTqxio9LNnvDCQjHKmttSEBsFQ/edit?usp=sharing"",""จัดที่ดิน!AE20"")"),860.8)</f>
        <v>860.8</v>
      </c>
      <c r="K370" s="224">
        <f t="shared" si="101"/>
        <v>0</v>
      </c>
      <c r="L370" s="4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IFERROR(__xludf.DUMMYFUNCTION("IMPORTRANGE(""https://docs.google.com/spreadsheets/d/1eHaY18a8A9IcSdp1K8H6x8fbOy06t2VsZHhMHf-1x7Y/edit?usp=sharing"",""แผน!EY20"")"),184)</f>
        <v>184</v>
      </c>
      <c r="J371" s="184">
        <f ca="1">IFERROR(__xludf.DUMMYFUNCTION("IMPORTRANGE(""https://docs.google.com/spreadsheets/d/1tdoBKaGub7dwA3U6UFTqxio9LNnvDCQjHKmttSEBsFQ/edit?usp=sharing"",""จัดที่ดิน!AF20"")"),123)</f>
        <v>123</v>
      </c>
      <c r="K371" s="224">
        <f t="shared" ca="1" si="101"/>
        <v>66.847826086956516</v>
      </c>
      <c r="L371" s="4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556">
        <f ca="1">IFERROR(__xludf.DUMMYFUNCTION("IMPORTRANGE(""https://docs.google.com/spreadsheets/d/1tdoBKaGub7dwA3U6UFTqxio9LNnvDCQjHKmttSEBsFQ/edit?usp=sharing"",""จัดที่ดิน!AG20"")"),817.09)</f>
        <v>817.09</v>
      </c>
      <c r="K372" s="224">
        <f t="shared" si="101"/>
        <v>0</v>
      </c>
      <c r="L372" s="4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2"/>
      <c r="H373" s="52"/>
      <c r="I373" s="54"/>
      <c r="J373" s="54"/>
      <c r="K373" s="3"/>
      <c r="L373" s="46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772"/>
      <c r="B374" s="771" t="s">
        <v>153</v>
      </c>
      <c r="C374" s="770"/>
      <c r="D374" s="769"/>
      <c r="E374" s="768"/>
      <c r="F374" s="768"/>
      <c r="G374" s="767"/>
      <c r="H374" s="766" t="s">
        <v>46</v>
      </c>
      <c r="I374" s="765">
        <f ca="1">I386+I388</f>
        <v>88400</v>
      </c>
      <c r="J374" s="765">
        <f ca="1">J386+J388</f>
        <v>10138.74</v>
      </c>
      <c r="K374" s="764">
        <f ca="1">IF(I374&gt;0,J374*100/I374,0)</f>
        <v>11.469162895927601</v>
      </c>
      <c r="L374" s="539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610"/>
      <c r="B375" s="545"/>
      <c r="C375" s="723" t="s">
        <v>18</v>
      </c>
      <c r="D375" s="763" t="s">
        <v>19</v>
      </c>
      <c r="E375" s="609"/>
      <c r="F375" s="609"/>
      <c r="G375" s="608"/>
      <c r="H375" s="622" t="s">
        <v>14</v>
      </c>
      <c r="I375" s="479"/>
      <c r="J375" s="479"/>
      <c r="K375" s="476"/>
      <c r="L375" s="471">
        <f>L376+L377</f>
        <v>0</v>
      </c>
      <c r="M375" s="470">
        <f>M376+M377</f>
        <v>0</v>
      </c>
      <c r="N375" s="470">
        <f>N376+N377</f>
        <v>0</v>
      </c>
      <c r="O375" s="470">
        <f t="shared" ref="O375:O383" si="102">IF(L375&gt;0,N375*100/L375,0)</f>
        <v>0</v>
      </c>
      <c r="P375" s="470">
        <f t="shared" ref="P375:P383" si="103">IF(M375&gt;0,N375*100/M375,0)</f>
        <v>0</v>
      </c>
      <c r="Q375" s="470">
        <f ca="1">Q376+Q377</f>
        <v>125000</v>
      </c>
      <c r="R375" s="470">
        <f ca="1">R376+R377</f>
        <v>125000</v>
      </c>
      <c r="S375" s="470">
        <f ca="1">S376+S377</f>
        <v>0</v>
      </c>
      <c r="T375" s="470">
        <f t="shared" ref="T375:T383" ca="1" si="104">IF(Q375&gt;0,S375*100/Q375,0)</f>
        <v>0</v>
      </c>
      <c r="U375" s="470">
        <f t="shared" ref="U375:U383" ca="1" si="105">IF(R375&gt;0,S375*100/R375,0)</f>
        <v>0</v>
      </c>
    </row>
    <row r="376" spans="1:21" ht="18.75" hidden="1" x14ac:dyDescent="0.25">
      <c r="A376" s="610"/>
      <c r="B376" s="545"/>
      <c r="C376" s="545"/>
      <c r="D376" s="545"/>
      <c r="E376" s="605" t="s">
        <v>20</v>
      </c>
      <c r="F376" s="609"/>
      <c r="G376" s="608"/>
      <c r="H376" s="480" t="s">
        <v>14</v>
      </c>
      <c r="I376" s="479"/>
      <c r="J376" s="479"/>
      <c r="K376" s="476"/>
      <c r="L376" s="469">
        <f t="shared" ref="L376:N377" si="106">L379+L382</f>
        <v>0</v>
      </c>
      <c r="M376" s="83">
        <f t="shared" si="106"/>
        <v>0</v>
      </c>
      <c r="N376" s="83">
        <f t="shared" si="106"/>
        <v>0</v>
      </c>
      <c r="O376" s="83">
        <f t="shared" si="102"/>
        <v>0</v>
      </c>
      <c r="P376" s="83">
        <f t="shared" si="103"/>
        <v>0</v>
      </c>
      <c r="Q376" s="83">
        <f t="shared" ref="Q376:S377" si="107">Q379+Q382</f>
        <v>0</v>
      </c>
      <c r="R376" s="83">
        <f t="shared" si="107"/>
        <v>0</v>
      </c>
      <c r="S376" s="83">
        <f t="shared" si="107"/>
        <v>0</v>
      </c>
      <c r="T376" s="83">
        <f t="shared" si="104"/>
        <v>0</v>
      </c>
      <c r="U376" s="83">
        <f t="shared" si="105"/>
        <v>0</v>
      </c>
    </row>
    <row r="377" spans="1:21" ht="18.75" hidden="1" x14ac:dyDescent="0.25">
      <c r="A377" s="610"/>
      <c r="B377" s="545"/>
      <c r="C377" s="545"/>
      <c r="D377" s="545"/>
      <c r="E377" s="605" t="s">
        <v>21</v>
      </c>
      <c r="F377" s="609"/>
      <c r="G377" s="608"/>
      <c r="H377" s="480" t="s">
        <v>14</v>
      </c>
      <c r="I377" s="479"/>
      <c r="J377" s="479"/>
      <c r="K377" s="476"/>
      <c r="L377" s="468">
        <f t="shared" si="106"/>
        <v>0</v>
      </c>
      <c r="M377" s="224">
        <f t="shared" si="106"/>
        <v>0</v>
      </c>
      <c r="N377" s="224">
        <f t="shared" si="106"/>
        <v>0</v>
      </c>
      <c r="O377" s="224">
        <f t="shared" si="102"/>
        <v>0</v>
      </c>
      <c r="P377" s="224">
        <f t="shared" si="103"/>
        <v>0</v>
      </c>
      <c r="Q377" s="224">
        <f t="shared" ca="1" si="107"/>
        <v>125000</v>
      </c>
      <c r="R377" s="224">
        <f t="shared" ca="1" si="107"/>
        <v>125000</v>
      </c>
      <c r="S377" s="224">
        <f t="shared" ca="1" si="107"/>
        <v>0</v>
      </c>
      <c r="T377" s="224">
        <f t="shared" ca="1" si="104"/>
        <v>0</v>
      </c>
      <c r="U377" s="224">
        <f t="shared" ca="1" si="105"/>
        <v>0</v>
      </c>
    </row>
    <row r="378" spans="1:21" ht="18.75" x14ac:dyDescent="0.25">
      <c r="A378" s="610"/>
      <c r="B378" s="545"/>
      <c r="C378" s="545"/>
      <c r="D378" s="762" t="s">
        <v>22</v>
      </c>
      <c r="E378" s="609"/>
      <c r="F378" s="609"/>
      <c r="G378" s="608"/>
      <c r="H378" s="617" t="s">
        <v>14</v>
      </c>
      <c r="I378" s="601"/>
      <c r="J378" s="601"/>
      <c r="K378" s="599"/>
      <c r="L378" s="468">
        <f>L379+L380</f>
        <v>0</v>
      </c>
      <c r="M378" s="224">
        <f>M379+M380</f>
        <v>0</v>
      </c>
      <c r="N378" s="224">
        <f>N379+N380</f>
        <v>0</v>
      </c>
      <c r="O378" s="224">
        <f t="shared" si="102"/>
        <v>0</v>
      </c>
      <c r="P378" s="224">
        <f t="shared" si="103"/>
        <v>0</v>
      </c>
      <c r="Q378" s="224">
        <f ca="1">Q379+Q380</f>
        <v>125000</v>
      </c>
      <c r="R378" s="224">
        <f ca="1">R379+R380</f>
        <v>125000</v>
      </c>
      <c r="S378" s="224">
        <f ca="1">S379+S380</f>
        <v>0</v>
      </c>
      <c r="T378" s="224">
        <f t="shared" ca="1" si="104"/>
        <v>0</v>
      </c>
      <c r="U378" s="224">
        <f t="shared" ca="1" si="105"/>
        <v>0</v>
      </c>
    </row>
    <row r="379" spans="1:21" ht="18.75" hidden="1" x14ac:dyDescent="0.25">
      <c r="A379" s="610"/>
      <c r="B379" s="545"/>
      <c r="C379" s="545"/>
      <c r="D379" s="545"/>
      <c r="E379" s="605" t="s">
        <v>36</v>
      </c>
      <c r="F379" s="609"/>
      <c r="G379" s="608"/>
      <c r="H379" s="617" t="s">
        <v>14</v>
      </c>
      <c r="I379" s="601"/>
      <c r="J379" s="601"/>
      <c r="K379" s="599"/>
      <c r="L379" s="469">
        <v>0</v>
      </c>
      <c r="M379" s="83">
        <v>0</v>
      </c>
      <c r="N379" s="83">
        <v>0</v>
      </c>
      <c r="O379" s="83">
        <f t="shared" si="102"/>
        <v>0</v>
      </c>
      <c r="P379" s="83">
        <f t="shared" si="103"/>
        <v>0</v>
      </c>
      <c r="Q379" s="83">
        <v>0</v>
      </c>
      <c r="R379" s="83">
        <v>0</v>
      </c>
      <c r="S379" s="83">
        <v>0</v>
      </c>
      <c r="T379" s="83">
        <f t="shared" si="104"/>
        <v>0</v>
      </c>
      <c r="U379" s="83">
        <f t="shared" si="105"/>
        <v>0</v>
      </c>
    </row>
    <row r="380" spans="1:21" ht="18.75" hidden="1" x14ac:dyDescent="0.25">
      <c r="A380" s="610"/>
      <c r="B380" s="545"/>
      <c r="C380" s="545"/>
      <c r="D380" s="545"/>
      <c r="E380" s="546" t="s">
        <v>37</v>
      </c>
      <c r="F380" s="545"/>
      <c r="G380" s="488"/>
      <c r="H380" s="617" t="s">
        <v>14</v>
      </c>
      <c r="I380" s="601"/>
      <c r="J380" s="601"/>
      <c r="K380" s="599"/>
      <c r="L380" s="468">
        <v>0</v>
      </c>
      <c r="M380" s="224">
        <v>0</v>
      </c>
      <c r="N380" s="224">
        <v>0</v>
      </c>
      <c r="O380" s="224">
        <f t="shared" si="102"/>
        <v>0</v>
      </c>
      <c r="P380" s="224">
        <f t="shared" si="103"/>
        <v>0</v>
      </c>
      <c r="Q380" s="224">
        <f ca="1">IFERROR(__xludf.DUMMYFUNCTION("IMPORTRANGE(""https://docs.google.com/spreadsheets/d/1ItG2mGa2ceCfYo0BwxsXqNm01IGEUdYcSSLTEv9YCik/edit?usp=sharing"",""เบิกจ่ายกองทุน!AY20"")"),125000)</f>
        <v>125000</v>
      </c>
      <c r="R380" s="224">
        <f ca="1">IFERROR(__xludf.DUMMYFUNCTION("IMPORTRANGE(""https://docs.google.com/spreadsheets/d/1ItG2mGa2ceCfYo0BwxsXqNm01IGEUdYcSSLTEv9YCik/edit?usp=sharing"",""เบิกจ่ายกองทุน!AZ20"")"),125000)</f>
        <v>125000</v>
      </c>
      <c r="S380" s="224">
        <f ca="1">IFERROR(__xludf.DUMMYFUNCTION("IMPORTRANGE(""https://docs.google.com/spreadsheets/d/1ItG2mGa2ceCfYo0BwxsXqNm01IGEUdYcSSLTEv9YCik/edit?usp=sharing"",""เบิกจ่ายกองทุน!BA20"")"),0)</f>
        <v>0</v>
      </c>
      <c r="T380" s="224">
        <f t="shared" ca="1" si="104"/>
        <v>0</v>
      </c>
      <c r="U380" s="224">
        <f t="shared" ca="1" si="105"/>
        <v>0</v>
      </c>
    </row>
    <row r="381" spans="1:21" ht="18.75" x14ac:dyDescent="0.25">
      <c r="A381" s="610"/>
      <c r="B381" s="545"/>
      <c r="C381" s="545"/>
      <c r="D381" s="762" t="s">
        <v>23</v>
      </c>
      <c r="E381" s="609"/>
      <c r="F381" s="609"/>
      <c r="G381" s="608"/>
      <c r="H381" s="607" t="s">
        <v>14</v>
      </c>
      <c r="I381" s="601"/>
      <c r="J381" s="601"/>
      <c r="K381" s="599"/>
      <c r="L381" s="468">
        <f>L382+L383</f>
        <v>0</v>
      </c>
      <c r="M381" s="224">
        <f>M382+M383</f>
        <v>0</v>
      </c>
      <c r="N381" s="224">
        <f>N382+N383</f>
        <v>0</v>
      </c>
      <c r="O381" s="224">
        <f t="shared" si="102"/>
        <v>0</v>
      </c>
      <c r="P381" s="224">
        <f t="shared" si="103"/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 t="shared" si="104"/>
        <v>0</v>
      </c>
      <c r="U381" s="224">
        <f t="shared" si="105"/>
        <v>0</v>
      </c>
    </row>
    <row r="382" spans="1:21" ht="18.75" hidden="1" x14ac:dyDescent="0.25">
      <c r="A382" s="610"/>
      <c r="B382" s="545"/>
      <c r="C382" s="545"/>
      <c r="D382" s="545"/>
      <c r="E382" s="605" t="s">
        <v>20</v>
      </c>
      <c r="F382" s="609"/>
      <c r="G382" s="608"/>
      <c r="H382" s="617" t="s">
        <v>14</v>
      </c>
      <c r="I382" s="601"/>
      <c r="J382" s="601"/>
      <c r="K382" s="599"/>
      <c r="L382" s="469">
        <v>0</v>
      </c>
      <c r="M382" s="83">
        <v>0</v>
      </c>
      <c r="N382" s="83">
        <v>0</v>
      </c>
      <c r="O382" s="83">
        <f t="shared" si="102"/>
        <v>0</v>
      </c>
      <c r="P382" s="83">
        <f t="shared" si="103"/>
        <v>0</v>
      </c>
      <c r="Q382" s="83">
        <v>0</v>
      </c>
      <c r="R382" s="83">
        <v>0</v>
      </c>
      <c r="S382" s="83">
        <v>0</v>
      </c>
      <c r="T382" s="83">
        <f t="shared" si="104"/>
        <v>0</v>
      </c>
      <c r="U382" s="83">
        <f t="shared" si="105"/>
        <v>0</v>
      </c>
    </row>
    <row r="383" spans="1:21" ht="18.75" hidden="1" x14ac:dyDescent="0.25">
      <c r="A383" s="610"/>
      <c r="B383" s="545"/>
      <c r="C383" s="545"/>
      <c r="D383" s="545"/>
      <c r="E383" s="605" t="s">
        <v>21</v>
      </c>
      <c r="F383" s="609"/>
      <c r="G383" s="608"/>
      <c r="H383" s="607" t="s">
        <v>14</v>
      </c>
      <c r="I383" s="601"/>
      <c r="J383" s="601"/>
      <c r="K383" s="599"/>
      <c r="L383" s="468">
        <v>0</v>
      </c>
      <c r="M383" s="224">
        <v>0</v>
      </c>
      <c r="N383" s="224">
        <v>0</v>
      </c>
      <c r="O383" s="224">
        <f t="shared" si="102"/>
        <v>0</v>
      </c>
      <c r="P383" s="224">
        <f t="shared" si="103"/>
        <v>0</v>
      </c>
      <c r="Q383" s="224">
        <v>0</v>
      </c>
      <c r="R383" s="224">
        <v>0</v>
      </c>
      <c r="S383" s="224">
        <v>0</v>
      </c>
      <c r="T383" s="224">
        <f t="shared" si="104"/>
        <v>0</v>
      </c>
      <c r="U383" s="224">
        <f t="shared" si="105"/>
        <v>0</v>
      </c>
    </row>
    <row r="384" spans="1:21" ht="19.5" x14ac:dyDescent="0.3">
      <c r="A384" s="485"/>
      <c r="B384" s="484"/>
      <c r="C384" s="723" t="s">
        <v>18</v>
      </c>
      <c r="D384" s="761" t="s">
        <v>38</v>
      </c>
      <c r="E384" s="603"/>
      <c r="F384" s="603"/>
      <c r="G384" s="602"/>
      <c r="H384" s="760"/>
      <c r="I384" s="601"/>
      <c r="J384" s="479"/>
      <c r="K384" s="476"/>
      <c r="L384" s="465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724"/>
      <c r="B385" s="545"/>
      <c r="C385" s="545"/>
      <c r="D385" s="545"/>
      <c r="E385" s="605" t="s">
        <v>154</v>
      </c>
      <c r="F385" s="609"/>
      <c r="G385" s="608"/>
      <c r="H385" s="480" t="s">
        <v>34</v>
      </c>
      <c r="I385" s="487">
        <v>0</v>
      </c>
      <c r="J385" s="487">
        <f ca="1">IFERROR(__xludf.DUMMYFUNCTION("IMPORTRANGE(""https://docs.google.com/spreadsheets/d/1w5rwWK1o49a35cNtocGL0gxDwhFSTZUQu90BiH9_zqM/edit?usp=sharing"",""RTK!H20"")"),3)</f>
        <v>3</v>
      </c>
      <c r="K385" s="486">
        <f>IF(I385&gt;0,J385*100/I385,0)</f>
        <v>0</v>
      </c>
      <c r="L385" s="465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545"/>
      <c r="B386" s="545"/>
      <c r="C386" s="545"/>
      <c r="D386" s="545"/>
      <c r="E386" s="545"/>
      <c r="F386" s="545"/>
      <c r="G386" s="488"/>
      <c r="H386" s="480" t="s">
        <v>46</v>
      </c>
      <c r="I386" s="487">
        <f ca="1">IFERROR(__xludf.DUMMYFUNCTION("IMPORTRANGE(""https://docs.google.com/spreadsheets/d/1w5rwWK1o49a35cNtocGL0gxDwhFSTZUQu90BiH9_zqM/edit?usp=sharing"",""RTK!G20"")"),2000)</f>
        <v>2000</v>
      </c>
      <c r="J386" s="487">
        <f ca="1">IFERROR(__xludf.DUMMYFUNCTION("IMPORTRANGE(""https://docs.google.com/spreadsheets/d/1w5rwWK1o49a35cNtocGL0gxDwhFSTZUQu90BiH9_zqM/edit?usp=sharing"",""RTK!I20"")"),10)</f>
        <v>10</v>
      </c>
      <c r="K386" s="486">
        <f ca="1">IF(I386&gt;0,J386*100/I386,0)</f>
        <v>0.5</v>
      </c>
      <c r="L386" s="465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545"/>
      <c r="B387" s="545"/>
      <c r="C387" s="545"/>
      <c r="D387" s="545"/>
      <c r="E387" s="546" t="s">
        <v>155</v>
      </c>
      <c r="F387" s="545"/>
      <c r="G387" s="488"/>
      <c r="H387" s="480" t="s">
        <v>34</v>
      </c>
      <c r="I387" s="487">
        <v>0</v>
      </c>
      <c r="J387" s="487">
        <f ca="1">IFERROR(__xludf.DUMMYFUNCTION("IMPORTRANGE(""https://docs.google.com/spreadsheets/d/1w5rwWK1o49a35cNtocGL0gxDwhFSTZUQu90BiH9_zqM/edit?usp=sharing"",""RTK!L20"")"),1720)</f>
        <v>1720</v>
      </c>
      <c r="K387" s="486">
        <f>IF(I387&gt;0,J387*100/I387,0)</f>
        <v>0</v>
      </c>
      <c r="L387" s="465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545"/>
      <c r="B388" s="545"/>
      <c r="C388" s="545"/>
      <c r="D388" s="545"/>
      <c r="E388" s="545"/>
      <c r="F388" s="545"/>
      <c r="G388" s="488"/>
      <c r="H388" s="480" t="s">
        <v>46</v>
      </c>
      <c r="I388" s="487">
        <f ca="1">IFERROR(__xludf.DUMMYFUNCTION("IMPORTRANGE(""https://docs.google.com/spreadsheets/d/1w5rwWK1o49a35cNtocGL0gxDwhFSTZUQu90BiH9_zqM/edit?usp=sharing"",""RTK!K20"")"),86400)</f>
        <v>86400</v>
      </c>
      <c r="J388" s="487">
        <f ca="1">IFERROR(__xludf.DUMMYFUNCTION("IMPORTRANGE(""https://docs.google.com/spreadsheets/d/1w5rwWK1o49a35cNtocGL0gxDwhFSTZUQu90BiH9_zqM/edit?usp=sharing"",""RTK!M20"")"),10128.74)</f>
        <v>10128.74</v>
      </c>
      <c r="K388" s="486">
        <f ca="1">IF(I388&gt;0,J388*100/I388,0)</f>
        <v>11.723078703703704</v>
      </c>
      <c r="L388" s="465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759"/>
      <c r="B389" s="759"/>
      <c r="C389" s="759"/>
      <c r="D389" s="759"/>
      <c r="E389" s="759"/>
      <c r="F389" s="759"/>
      <c r="G389" s="758"/>
      <c r="H389" s="758"/>
      <c r="I389" s="757"/>
      <c r="J389" s="757"/>
      <c r="K389" s="756"/>
      <c r="L389" s="511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755"/>
      <c r="B390" s="755"/>
      <c r="C390" s="755"/>
      <c r="D390" s="755"/>
      <c r="E390" s="755"/>
      <c r="F390" s="755"/>
      <c r="G390" s="754"/>
      <c r="H390" s="754"/>
      <c r="I390" s="753"/>
      <c r="J390" s="753"/>
      <c r="K390" s="752"/>
      <c r="L390" s="496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hidden="1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>I402</f>
        <v>0</v>
      </c>
      <c r="J391" s="307">
        <f>J402</f>
        <v>0</v>
      </c>
      <c r="K391" s="540">
        <f>IF(I391&gt;0,J391*100/I391,0)</f>
        <v>0</v>
      </c>
      <c r="L391" s="539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hidden="1" x14ac:dyDescent="0.3">
      <c r="A392" s="128"/>
      <c r="B392" s="158"/>
      <c r="C392" s="161" t="s">
        <v>18</v>
      </c>
      <c r="D392" s="54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471">
        <f>L393+L394</f>
        <v>0</v>
      </c>
      <c r="M392" s="470">
        <f>M393+M394</f>
        <v>0</v>
      </c>
      <c r="N392" s="470">
        <f>N393+N394</f>
        <v>0</v>
      </c>
      <c r="O392" s="470">
        <f t="shared" ref="O392:O400" si="108">IF(L392&gt;0,N392*100/L392,0)</f>
        <v>0</v>
      </c>
      <c r="P392" s="470">
        <f t="shared" ref="P392:P400" si="109">IF(M392&gt;0,N392*100/M392,0)</f>
        <v>0</v>
      </c>
      <c r="Q392" s="470">
        <f>Q393+Q394</f>
        <v>0</v>
      </c>
      <c r="R392" s="470">
        <f>R393+R394</f>
        <v>0</v>
      </c>
      <c r="S392" s="470">
        <f>S393+S394</f>
        <v>0</v>
      </c>
      <c r="T392" s="470">
        <f t="shared" ref="T392:T400" si="110">IF(Q392&gt;0,S392*100/Q392,0)</f>
        <v>0</v>
      </c>
      <c r="U392" s="470">
        <f t="shared" ref="U392:U400" si="11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469">
        <f t="shared" ref="L393:N394" si="112">L396+L399</f>
        <v>0</v>
      </c>
      <c r="M393" s="83">
        <f t="shared" si="112"/>
        <v>0</v>
      </c>
      <c r="N393" s="83">
        <f t="shared" si="112"/>
        <v>0</v>
      </c>
      <c r="O393" s="83">
        <f t="shared" si="108"/>
        <v>0</v>
      </c>
      <c r="P393" s="83">
        <f t="shared" si="109"/>
        <v>0</v>
      </c>
      <c r="Q393" s="83">
        <f t="shared" ref="Q393:S394" si="113">Q396+Q399</f>
        <v>0</v>
      </c>
      <c r="R393" s="83">
        <f t="shared" si="113"/>
        <v>0</v>
      </c>
      <c r="S393" s="83">
        <f t="shared" si="113"/>
        <v>0</v>
      </c>
      <c r="T393" s="83">
        <f t="shared" si="110"/>
        <v>0</v>
      </c>
      <c r="U393" s="83">
        <f t="shared" si="111"/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468">
        <f t="shared" si="112"/>
        <v>0</v>
      </c>
      <c r="M394" s="224">
        <f t="shared" si="112"/>
        <v>0</v>
      </c>
      <c r="N394" s="224">
        <f t="shared" si="112"/>
        <v>0</v>
      </c>
      <c r="O394" s="224">
        <f t="shared" si="108"/>
        <v>0</v>
      </c>
      <c r="P394" s="224">
        <f t="shared" si="109"/>
        <v>0</v>
      </c>
      <c r="Q394" s="224">
        <f t="shared" si="113"/>
        <v>0</v>
      </c>
      <c r="R394" s="224">
        <f t="shared" si="113"/>
        <v>0</v>
      </c>
      <c r="S394" s="224">
        <f t="shared" si="113"/>
        <v>0</v>
      </c>
      <c r="T394" s="224">
        <f t="shared" si="110"/>
        <v>0</v>
      </c>
      <c r="U394" s="224">
        <f t="shared" si="111"/>
        <v>0</v>
      </c>
    </row>
    <row r="395" spans="1:21" ht="18.75" hidden="1" x14ac:dyDescent="0.25">
      <c r="A395" s="128"/>
      <c r="B395" s="158"/>
      <c r="C395" s="158"/>
      <c r="D395" s="53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468">
        <f>L396+L397</f>
        <v>0</v>
      </c>
      <c r="M395" s="224">
        <f>M396+M397</f>
        <v>0</v>
      </c>
      <c r="N395" s="224">
        <f>N396+N397</f>
        <v>0</v>
      </c>
      <c r="O395" s="224">
        <f t="shared" si="108"/>
        <v>0</v>
      </c>
      <c r="P395" s="224">
        <f t="shared" si="109"/>
        <v>0</v>
      </c>
      <c r="Q395" s="224">
        <f>Q396+Q397</f>
        <v>0</v>
      </c>
      <c r="R395" s="224">
        <f>R396+R397</f>
        <v>0</v>
      </c>
      <c r="S395" s="224">
        <f>S396+S397</f>
        <v>0</v>
      </c>
      <c r="T395" s="224">
        <f t="shared" si="110"/>
        <v>0</v>
      </c>
      <c r="U395" s="224">
        <f t="shared" si="111"/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469">
        <v>0</v>
      </c>
      <c r="M396" s="83">
        <v>0</v>
      </c>
      <c r="N396" s="83">
        <v>0</v>
      </c>
      <c r="O396" s="83">
        <f t="shared" si="108"/>
        <v>0</v>
      </c>
      <c r="P396" s="83">
        <f t="shared" si="109"/>
        <v>0</v>
      </c>
      <c r="Q396" s="83">
        <v>0</v>
      </c>
      <c r="R396" s="83">
        <v>0</v>
      </c>
      <c r="S396" s="83">
        <v>0</v>
      </c>
      <c r="T396" s="83">
        <f t="shared" si="110"/>
        <v>0</v>
      </c>
      <c r="U396" s="83">
        <f t="shared" si="111"/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468">
        <v>0</v>
      </c>
      <c r="M397" s="224">
        <v>0</v>
      </c>
      <c r="N397" s="224">
        <v>0</v>
      </c>
      <c r="O397" s="224">
        <f t="shared" si="108"/>
        <v>0</v>
      </c>
      <c r="P397" s="224">
        <f t="shared" si="109"/>
        <v>0</v>
      </c>
      <c r="Q397" s="224">
        <v>0</v>
      </c>
      <c r="R397" s="224">
        <v>0</v>
      </c>
      <c r="S397" s="224">
        <v>0</v>
      </c>
      <c r="T397" s="224">
        <f t="shared" si="110"/>
        <v>0</v>
      </c>
      <c r="U397" s="224">
        <f t="shared" si="111"/>
        <v>0</v>
      </c>
    </row>
    <row r="398" spans="1:21" ht="18.75" hidden="1" x14ac:dyDescent="0.25">
      <c r="A398" s="128"/>
      <c r="B398" s="158"/>
      <c r="C398" s="158"/>
      <c r="D398" s="53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468">
        <f>L399+L400</f>
        <v>0</v>
      </c>
      <c r="M398" s="224">
        <f>M399+M400</f>
        <v>0</v>
      </c>
      <c r="N398" s="224">
        <f>N399+N400</f>
        <v>0</v>
      </c>
      <c r="O398" s="224">
        <f t="shared" si="108"/>
        <v>0</v>
      </c>
      <c r="P398" s="224">
        <f t="shared" si="109"/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 t="shared" si="110"/>
        <v>0</v>
      </c>
      <c r="U398" s="224">
        <f t="shared" si="111"/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469">
        <v>0</v>
      </c>
      <c r="M399" s="83">
        <v>0</v>
      </c>
      <c r="N399" s="83">
        <v>0</v>
      </c>
      <c r="O399" s="83">
        <f t="shared" si="108"/>
        <v>0</v>
      </c>
      <c r="P399" s="83">
        <f t="shared" si="109"/>
        <v>0</v>
      </c>
      <c r="Q399" s="83">
        <v>0</v>
      </c>
      <c r="R399" s="83">
        <v>0</v>
      </c>
      <c r="S399" s="83">
        <v>0</v>
      </c>
      <c r="T399" s="83">
        <f t="shared" si="110"/>
        <v>0</v>
      </c>
      <c r="U399" s="83">
        <f t="shared" si="111"/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468">
        <v>0</v>
      </c>
      <c r="M400" s="224">
        <v>0</v>
      </c>
      <c r="N400" s="224">
        <v>0</v>
      </c>
      <c r="O400" s="224">
        <f t="shared" si="108"/>
        <v>0</v>
      </c>
      <c r="P400" s="224">
        <f t="shared" si="109"/>
        <v>0</v>
      </c>
      <c r="Q400" s="224">
        <v>0</v>
      </c>
      <c r="R400" s="224">
        <v>0</v>
      </c>
      <c r="S400" s="224">
        <v>0</v>
      </c>
      <c r="T400" s="224">
        <f t="shared" si="110"/>
        <v>0</v>
      </c>
      <c r="U400" s="224">
        <f t="shared" si="111"/>
        <v>0</v>
      </c>
    </row>
    <row r="401" spans="1:21" ht="19.5" hidden="1" x14ac:dyDescent="0.3">
      <c r="A401" s="138"/>
      <c r="B401" s="139"/>
      <c r="C401" s="161" t="s">
        <v>18</v>
      </c>
      <c r="D401" s="491" t="s">
        <v>38</v>
      </c>
      <c r="E401" s="141"/>
      <c r="F401" s="141"/>
      <c r="G401" s="142"/>
      <c r="H401" s="178"/>
      <c r="I401" s="135"/>
      <c r="J401" s="44"/>
      <c r="K401" s="45"/>
      <c r="L401" s="465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11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11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11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11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11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11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11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11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11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496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hidden="1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541">
        <f ca="1">I423</f>
        <v>0</v>
      </c>
      <c r="J412" s="541">
        <f>J423</f>
        <v>0</v>
      </c>
      <c r="K412" s="540">
        <f ca="1">IF(I412&gt;0,J412*100/I412,0)</f>
        <v>0</v>
      </c>
      <c r="L412" s="539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hidden="1" x14ac:dyDescent="0.3">
      <c r="A413" s="128"/>
      <c r="B413" s="158"/>
      <c r="C413" s="322" t="s">
        <v>18</v>
      </c>
      <c r="D413" s="819" t="s">
        <v>19</v>
      </c>
      <c r="E413" s="800"/>
      <c r="F413" s="800"/>
      <c r="G413" s="801"/>
      <c r="H413" s="323" t="s">
        <v>14</v>
      </c>
      <c r="I413" s="44"/>
      <c r="J413" s="44"/>
      <c r="K413" s="45"/>
      <c r="L413" s="471">
        <f>L414+L415</f>
        <v>0</v>
      </c>
      <c r="M413" s="470">
        <f>M414+M415</f>
        <v>0</v>
      </c>
      <c r="N413" s="470">
        <f>N414+N415</f>
        <v>0</v>
      </c>
      <c r="O413" s="470">
        <f t="shared" ref="O413:O421" si="114">IF(L413&gt;0,N413*100/L413,0)</f>
        <v>0</v>
      </c>
      <c r="P413" s="470">
        <f t="shared" ref="P413:P421" si="115">IF(M413&gt;0,N413*100/M413,0)</f>
        <v>0</v>
      </c>
      <c r="Q413" s="470">
        <f ca="1">Q414+Q415</f>
        <v>0</v>
      </c>
      <c r="R413" s="470">
        <f ca="1">R414+R415</f>
        <v>0</v>
      </c>
      <c r="S413" s="470">
        <f ca="1">S414+S415</f>
        <v>0</v>
      </c>
      <c r="T413" s="470">
        <f t="shared" ref="T413:T421" ca="1" si="116">IF(Q413&gt;0,S413*100/Q413,0)</f>
        <v>0</v>
      </c>
      <c r="U413" s="470">
        <f t="shared" ref="U413:U421" ca="1" si="117">IF(R413&gt;0,S413*100/R413,0)</f>
        <v>0</v>
      </c>
    </row>
    <row r="414" spans="1:21" ht="18.75" hidden="1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469">
        <f t="shared" ref="L414:N415" si="118">L417+L420</f>
        <v>0</v>
      </c>
      <c r="M414" s="83">
        <f t="shared" si="118"/>
        <v>0</v>
      </c>
      <c r="N414" s="83">
        <f t="shared" si="118"/>
        <v>0</v>
      </c>
      <c r="O414" s="83">
        <f t="shared" si="114"/>
        <v>0</v>
      </c>
      <c r="P414" s="83">
        <f t="shared" si="115"/>
        <v>0</v>
      </c>
      <c r="Q414" s="83">
        <f t="shared" ref="Q414:S415" si="119">Q417+Q420</f>
        <v>0</v>
      </c>
      <c r="R414" s="83">
        <f t="shared" si="119"/>
        <v>0</v>
      </c>
      <c r="S414" s="83">
        <f t="shared" si="119"/>
        <v>0</v>
      </c>
      <c r="T414" s="83">
        <f t="shared" si="116"/>
        <v>0</v>
      </c>
      <c r="U414" s="83">
        <f t="shared" si="117"/>
        <v>0</v>
      </c>
    </row>
    <row r="415" spans="1:21" ht="18.75" hidden="1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468">
        <f t="shared" si="118"/>
        <v>0</v>
      </c>
      <c r="M415" s="224">
        <f t="shared" si="118"/>
        <v>0</v>
      </c>
      <c r="N415" s="224">
        <f t="shared" si="118"/>
        <v>0</v>
      </c>
      <c r="O415" s="224">
        <f t="shared" si="114"/>
        <v>0</v>
      </c>
      <c r="P415" s="224">
        <f t="shared" si="115"/>
        <v>0</v>
      </c>
      <c r="Q415" s="224">
        <f t="shared" ca="1" si="119"/>
        <v>0</v>
      </c>
      <c r="R415" s="224">
        <f t="shared" ca="1" si="119"/>
        <v>0</v>
      </c>
      <c r="S415" s="224">
        <f t="shared" ca="1" si="119"/>
        <v>0</v>
      </c>
      <c r="T415" s="224">
        <f t="shared" ca="1" si="116"/>
        <v>0</v>
      </c>
      <c r="U415" s="224">
        <f t="shared" ca="1" si="117"/>
        <v>0</v>
      </c>
    </row>
    <row r="416" spans="1:21" ht="19.5" hidden="1" x14ac:dyDescent="0.3">
      <c r="A416" s="128"/>
      <c r="B416" s="158"/>
      <c r="C416" s="158"/>
      <c r="D416" s="54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468">
        <f>L417+L418</f>
        <v>0</v>
      </c>
      <c r="M416" s="224">
        <f>M417+M418</f>
        <v>0</v>
      </c>
      <c r="N416" s="224">
        <f>N417+N418</f>
        <v>0</v>
      </c>
      <c r="O416" s="224">
        <f t="shared" si="114"/>
        <v>0</v>
      </c>
      <c r="P416" s="224">
        <f t="shared" si="115"/>
        <v>0</v>
      </c>
      <c r="Q416" s="224">
        <f ca="1">Q417+Q418</f>
        <v>0</v>
      </c>
      <c r="R416" s="224">
        <f ca="1">R417+R418</f>
        <v>0</v>
      </c>
      <c r="S416" s="224">
        <f ca="1">S417+S418</f>
        <v>0</v>
      </c>
      <c r="T416" s="224">
        <f t="shared" ca="1" si="116"/>
        <v>0</v>
      </c>
      <c r="U416" s="224">
        <f t="shared" ca="1" si="117"/>
        <v>0</v>
      </c>
    </row>
    <row r="417" spans="1:21" ht="18.75" hidden="1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469">
        <v>0</v>
      </c>
      <c r="M417" s="83">
        <v>0</v>
      </c>
      <c r="N417" s="83">
        <v>0</v>
      </c>
      <c r="O417" s="83">
        <f t="shared" si="114"/>
        <v>0</v>
      </c>
      <c r="P417" s="83">
        <f t="shared" si="115"/>
        <v>0</v>
      </c>
      <c r="Q417" s="83">
        <v>0</v>
      </c>
      <c r="R417" s="83">
        <v>0</v>
      </c>
      <c r="S417" s="83">
        <v>0</v>
      </c>
      <c r="T417" s="83">
        <f t="shared" si="116"/>
        <v>0</v>
      </c>
      <c r="U417" s="83">
        <f t="shared" si="117"/>
        <v>0</v>
      </c>
    </row>
    <row r="418" spans="1:21" ht="18.75" hidden="1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468">
        <v>0</v>
      </c>
      <c r="M418" s="224">
        <v>0</v>
      </c>
      <c r="N418" s="224">
        <v>0</v>
      </c>
      <c r="O418" s="224">
        <f t="shared" si="114"/>
        <v>0</v>
      </c>
      <c r="P418" s="224">
        <f t="shared" si="115"/>
        <v>0</v>
      </c>
      <c r="Q418" s="224">
        <f ca="1">IFERROR(__xludf.DUMMYFUNCTION("IMPORTRANGE(""https://docs.google.com/spreadsheets/d/1ItG2mGa2ceCfYo0BwxsXqNm01IGEUdYcSSLTEv9YCik/edit?usp=sharing"",""เบิกจ่ายกองทุน!BH20"")"),0)</f>
        <v>0</v>
      </c>
      <c r="R418" s="224">
        <f ca="1">IFERROR(__xludf.DUMMYFUNCTION("IMPORTRANGE(""https://docs.google.com/spreadsheets/d/1ItG2mGa2ceCfYo0BwxsXqNm01IGEUdYcSSLTEv9YCik/edit?usp=sharing"",""เบิกจ่ายกองทุน!BI20"")"),0)</f>
        <v>0</v>
      </c>
      <c r="S418" s="224">
        <f ca="1">IFERROR(__xludf.DUMMYFUNCTION("IMPORTRANGE(""https://docs.google.com/spreadsheets/d/1ItG2mGa2ceCfYo0BwxsXqNm01IGEUdYcSSLTEv9YCik/edit?usp=sharing"",""เบิกจ่ายกองทุน!BJ20"")"),0)</f>
        <v>0</v>
      </c>
      <c r="T418" s="224">
        <f t="shared" ca="1" si="116"/>
        <v>0</v>
      </c>
      <c r="U418" s="224">
        <f t="shared" ca="1" si="117"/>
        <v>0</v>
      </c>
    </row>
    <row r="419" spans="1:21" ht="19.5" hidden="1" x14ac:dyDescent="0.3">
      <c r="A419" s="128"/>
      <c r="B419" s="158"/>
      <c r="C419" s="158"/>
      <c r="D419" s="54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468">
        <f>L420+L421</f>
        <v>0</v>
      </c>
      <c r="M419" s="224">
        <f>M420+M421</f>
        <v>0</v>
      </c>
      <c r="N419" s="224">
        <f>N420+N421</f>
        <v>0</v>
      </c>
      <c r="O419" s="224">
        <f t="shared" si="114"/>
        <v>0</v>
      </c>
      <c r="P419" s="224">
        <f t="shared" si="115"/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 t="shared" si="116"/>
        <v>0</v>
      </c>
      <c r="U419" s="224">
        <f t="shared" si="117"/>
        <v>0</v>
      </c>
    </row>
    <row r="420" spans="1:21" ht="18.75" hidden="1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469">
        <v>0</v>
      </c>
      <c r="M420" s="83">
        <v>0</v>
      </c>
      <c r="N420" s="83">
        <v>0</v>
      </c>
      <c r="O420" s="83">
        <f t="shared" si="114"/>
        <v>0</v>
      </c>
      <c r="P420" s="83">
        <f t="shared" si="115"/>
        <v>0</v>
      </c>
      <c r="Q420" s="83">
        <v>0</v>
      </c>
      <c r="R420" s="83">
        <v>0</v>
      </c>
      <c r="S420" s="83">
        <v>0</v>
      </c>
      <c r="T420" s="83">
        <f t="shared" si="116"/>
        <v>0</v>
      </c>
      <c r="U420" s="83">
        <f t="shared" si="117"/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468">
        <v>0</v>
      </c>
      <c r="M421" s="224">
        <v>0</v>
      </c>
      <c r="N421" s="224">
        <v>0</v>
      </c>
      <c r="O421" s="224">
        <f t="shared" si="114"/>
        <v>0</v>
      </c>
      <c r="P421" s="224">
        <f t="shared" si="115"/>
        <v>0</v>
      </c>
      <c r="Q421" s="224">
        <v>0</v>
      </c>
      <c r="R421" s="224">
        <v>0</v>
      </c>
      <c r="S421" s="224">
        <v>0</v>
      </c>
      <c r="T421" s="224">
        <f t="shared" si="116"/>
        <v>0</v>
      </c>
      <c r="U421" s="224">
        <f t="shared" si="117"/>
        <v>0</v>
      </c>
    </row>
    <row r="422" spans="1:21" ht="19.5" hidden="1" x14ac:dyDescent="0.3">
      <c r="A422" s="208"/>
      <c r="B422" s="158"/>
      <c r="C422" s="322" t="s">
        <v>18</v>
      </c>
      <c r="D422" s="543" t="s">
        <v>38</v>
      </c>
      <c r="E422" s="158"/>
      <c r="F422" s="158"/>
      <c r="G422" s="180"/>
      <c r="H422" s="180"/>
      <c r="I422" s="44"/>
      <c r="J422" s="44"/>
      <c r="K422" s="45"/>
      <c r="L422" s="465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ca="1">I440</f>
        <v>0</v>
      </c>
      <c r="J423" s="328">
        <f>J440</f>
        <v>0</v>
      </c>
      <c r="K423" s="470">
        <f ca="1">IF(I423&gt;0,J423*100/I423,0)</f>
        <v>0</v>
      </c>
      <c r="L423" s="465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IFERROR(__xludf.DUMMYFUNCTION("IMPORTRANGE(""https://docs.google.com/spreadsheets/d/1eHaY18a8A9IcSdp1K8H6x8fbOy06t2VsZHhMHf-1x7Y/edit?usp=sharing"",""แผน!HJ20"")"),0)</f>
        <v>0</v>
      </c>
      <c r="J424" s="328">
        <f>J426+J428+J430</f>
        <v>0</v>
      </c>
      <c r="K424" s="470">
        <f ca="1">IF(I424&gt;0,J424*100/I424,0)</f>
        <v>0</v>
      </c>
      <c r="L424" s="465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IFERROR(__xludf.DUMMYFUNCTION("IMPORTRANGE(""https://docs.google.com/spreadsheets/d/1eHaY18a8A9IcSdp1K8H6x8fbOy06t2VsZHhMHf-1x7Y/edit?usp=sharing"",""แผน!HK20"")"),0)</f>
        <v>0</v>
      </c>
      <c r="J425" s="328">
        <f>J427+J429+J431</f>
        <v>0</v>
      </c>
      <c r="K425" s="470">
        <f ca="1">IF(I425&gt;0,J425*100/I425,0)</f>
        <v>0</v>
      </c>
      <c r="L425" s="465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465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465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465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465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465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465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IFERROR(__xludf.DUMMYFUNCTION("IMPORTRANGE(""https://docs.google.com/spreadsheets/d/1eHaY18a8A9IcSdp1K8H6x8fbOy06t2VsZHhMHf-1x7Y/edit?usp=sharing"",""แผน!HJ20"")"),0)</f>
        <v>0</v>
      </c>
      <c r="J432" s="328">
        <f>J434+J436+J438</f>
        <v>0</v>
      </c>
      <c r="K432" s="470">
        <f ca="1">IF(I432&gt;0,J432*100/I432,0)</f>
        <v>0</v>
      </c>
      <c r="L432" s="465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IFERROR(__xludf.DUMMYFUNCTION("IMPORTRANGE(""https://docs.google.com/spreadsheets/d/1eHaY18a8A9IcSdp1K8H6x8fbOy06t2VsZHhMHf-1x7Y/edit?usp=sharing"",""แผน!HK20"")"),0)</f>
        <v>0</v>
      </c>
      <c r="J433" s="328">
        <f>J435+J437+J439</f>
        <v>0</v>
      </c>
      <c r="K433" s="470">
        <f ca="1">IF(I433&gt;0,J433*100/I433,0)</f>
        <v>0</v>
      </c>
      <c r="L433" s="465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465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465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465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465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465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465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IFERROR(__xludf.DUMMYFUNCTION("IMPORTRANGE(""https://docs.google.com/spreadsheets/d/1eHaY18a8A9IcSdp1K8H6x8fbOy06t2VsZHhMHf-1x7Y/edit?usp=sharing"",""แผน!HJ20"")"),0)</f>
        <v>0</v>
      </c>
      <c r="J440" s="328">
        <f>J442+J444+J446+J452+J454</f>
        <v>0</v>
      </c>
      <c r="K440" s="470">
        <f ca="1">IF(I440&gt;0,J440*100/I440,0)</f>
        <v>0</v>
      </c>
      <c r="L440" s="465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IFERROR(__xludf.DUMMYFUNCTION("IMPORTRANGE(""https://docs.google.com/spreadsheets/d/1eHaY18a8A9IcSdp1K8H6x8fbOy06t2VsZHhMHf-1x7Y/edit?usp=sharing"",""แผน!HK20"")"),0)</f>
        <v>0</v>
      </c>
      <c r="J441" s="328">
        <f>J443+J445+J447+J453+J455</f>
        <v>0</v>
      </c>
      <c r="K441" s="470">
        <f ca="1">IF(I441&gt;0,J441*100/I441,0)</f>
        <v>0</v>
      </c>
      <c r="L441" s="465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465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465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465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465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>J448+J450</f>
        <v>0</v>
      </c>
      <c r="K446" s="45"/>
      <c r="L446" s="465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>J449+J451</f>
        <v>0</v>
      </c>
      <c r="K447" s="45"/>
      <c r="L447" s="465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465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465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465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465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465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465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542"/>
      <c r="K454" s="45"/>
      <c r="L454" s="465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465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hidden="1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ca="1">I457</f>
        <v>0</v>
      </c>
      <c r="J456" s="328">
        <f>J457</f>
        <v>0</v>
      </c>
      <c r="K456" s="470">
        <f ca="1">IF(I456&gt;0,J456*100/I456,0)</f>
        <v>0</v>
      </c>
      <c r="L456" s="465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IFERROR(__xludf.DUMMYFUNCTION("IMPORTRANGE(""https://docs.google.com/spreadsheets/d/1eHaY18a8A9IcSdp1K8H6x8fbOy06t2VsZHhMHf-1x7Y/edit?usp=sharing"",""แผน!HL20"")"),0)</f>
        <v>0</v>
      </c>
      <c r="J457" s="328">
        <f>J459+J467+J473</f>
        <v>0</v>
      </c>
      <c r="K457" s="470">
        <f ca="1">IF(I457&gt;0,J457*100/I457,0)</f>
        <v>0</v>
      </c>
      <c r="L457" s="465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IFERROR(__xludf.DUMMYFUNCTION("IMPORTRANGE(""https://docs.google.com/spreadsheets/d/1eHaY18a8A9IcSdp1K8H6x8fbOy06t2VsZHhMHf-1x7Y/edit?usp=sharing"",""แผน!HM20"")"),0)</f>
        <v>0</v>
      </c>
      <c r="J458" s="328">
        <f>J460+J468+J474</f>
        <v>0</v>
      </c>
      <c r="K458" s="470">
        <f ca="1">IF(I458&gt;0,J458*100/I458,0)</f>
        <v>0</v>
      </c>
      <c r="L458" s="465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hidden="1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>J461+J463</f>
        <v>0</v>
      </c>
      <c r="K459" s="45"/>
      <c r="L459" s="465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>J462+J464</f>
        <v>0</v>
      </c>
      <c r="K460" s="45"/>
      <c r="L460" s="465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465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465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465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465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465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465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>J469+J471</f>
        <v>0</v>
      </c>
      <c r="K467" s="45"/>
      <c r="L467" s="465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>J470+J472</f>
        <v>0</v>
      </c>
      <c r="K468" s="45"/>
      <c r="L468" s="465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465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465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465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465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465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465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470">
        <f>IF(I475&gt;0,J475*100/I475,0)</f>
        <v>0</v>
      </c>
      <c r="L475" s="465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>J478+J480</f>
        <v>0</v>
      </c>
      <c r="K476" s="470">
        <f>IF(I476&gt;0,J476*100/I476,0)</f>
        <v>0</v>
      </c>
      <c r="L476" s="465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>J479+J481</f>
        <v>0</v>
      </c>
      <c r="K477" s="470">
        <f>IF(I477&gt;0,J477*100/I477,0)</f>
        <v>0</v>
      </c>
      <c r="L477" s="465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hidden="1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465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465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465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465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IFERROR(__xludf.DUMMYFUNCTION("IMPORTRANGE(""https://docs.google.com/spreadsheets/d/1eHaY18a8A9IcSdp1K8H6x8fbOy06t2VsZHhMHf-1x7Y/edit?usp=sharing"",""แผน!HN20"")"),0)</f>
        <v>0</v>
      </c>
      <c r="K482" s="45"/>
      <c r="L482" s="465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IFERROR(__xludf.DUMMYFUNCTION("IMPORTRANGE(""https://docs.google.com/spreadsheets/d/1eHaY18a8A9IcSdp1K8H6x8fbOy06t2VsZHhMHf-1x7Y/edit?usp=sharing"",""แผน!HO20"")"),0)</f>
        <v>0</v>
      </c>
      <c r="K483" s="45"/>
      <c r="L483" s="465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>J480</f>
        <v>0</v>
      </c>
      <c r="J484" s="328">
        <f>J486+J488+J490</f>
        <v>0</v>
      </c>
      <c r="K484" s="470">
        <f>IF(I484&gt;0,J484*100/I484,0)</f>
        <v>0</v>
      </c>
      <c r="L484" s="465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>J481</f>
        <v>0</v>
      </c>
      <c r="J485" s="328">
        <f>J487+J489+J491</f>
        <v>0</v>
      </c>
      <c r="K485" s="470">
        <f>IF(I485&gt;0,J485*100/I485,0)</f>
        <v>0</v>
      </c>
      <c r="L485" s="465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hidden="1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465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465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465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465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465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46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541">
        <f ca="1">I503</f>
        <v>0</v>
      </c>
      <c r="J492" s="541">
        <f ca="1">J503</f>
        <v>0</v>
      </c>
      <c r="K492" s="540">
        <f ca="1">IF(I492&gt;0,J492*100/I492,0)</f>
        <v>0</v>
      </c>
      <c r="L492" s="539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hidden="1" x14ac:dyDescent="0.3">
      <c r="A493" s="128"/>
      <c r="B493" s="158"/>
      <c r="C493" s="177" t="s">
        <v>18</v>
      </c>
      <c r="D493" s="819" t="s">
        <v>19</v>
      </c>
      <c r="E493" s="800"/>
      <c r="F493" s="800"/>
      <c r="G493" s="42"/>
      <c r="H493" s="221" t="s">
        <v>14</v>
      </c>
      <c r="I493" s="44"/>
      <c r="J493" s="44"/>
      <c r="K493" s="45"/>
      <c r="L493" s="471">
        <f>L494+L495</f>
        <v>0</v>
      </c>
      <c r="M493" s="470">
        <f>M494+M495</f>
        <v>0</v>
      </c>
      <c r="N493" s="470">
        <f>N494+N495</f>
        <v>0</v>
      </c>
      <c r="O493" s="470">
        <f t="shared" ref="O493:O501" si="120">IF(L493&gt;0,N493*100/L493,0)</f>
        <v>0</v>
      </c>
      <c r="P493" s="470">
        <f t="shared" ref="P493:P501" si="121">IF(M493&gt;0,N493*100/M493,0)</f>
        <v>0</v>
      </c>
      <c r="Q493" s="470">
        <f ca="1">Q494+Q495</f>
        <v>0</v>
      </c>
      <c r="R493" s="470">
        <f ca="1">R494+R495</f>
        <v>0</v>
      </c>
      <c r="S493" s="470">
        <f ca="1">S494+S495</f>
        <v>0</v>
      </c>
      <c r="T493" s="470">
        <f t="shared" ref="T493:T501" ca="1" si="122">IF(Q493&gt;0,S493*100/Q493,0)</f>
        <v>0</v>
      </c>
      <c r="U493" s="470">
        <f t="shared" ref="U493:U501" ca="1" si="123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469">
        <f t="shared" ref="L494:N495" si="124">L497+L500</f>
        <v>0</v>
      </c>
      <c r="M494" s="83">
        <f t="shared" si="124"/>
        <v>0</v>
      </c>
      <c r="N494" s="83">
        <f t="shared" si="124"/>
        <v>0</v>
      </c>
      <c r="O494" s="83">
        <f t="shared" si="120"/>
        <v>0</v>
      </c>
      <c r="P494" s="83">
        <f t="shared" si="121"/>
        <v>0</v>
      </c>
      <c r="Q494" s="83">
        <f t="shared" ref="Q494:S495" si="125">Q497+Q500</f>
        <v>0</v>
      </c>
      <c r="R494" s="83">
        <f t="shared" si="125"/>
        <v>0</v>
      </c>
      <c r="S494" s="83">
        <f t="shared" si="125"/>
        <v>0</v>
      </c>
      <c r="T494" s="83">
        <f t="shared" si="122"/>
        <v>0</v>
      </c>
      <c r="U494" s="83">
        <f t="shared" si="123"/>
        <v>0</v>
      </c>
    </row>
    <row r="495" spans="1:21" ht="18.75" hidden="1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468">
        <f t="shared" si="124"/>
        <v>0</v>
      </c>
      <c r="M495" s="224">
        <f t="shared" si="124"/>
        <v>0</v>
      </c>
      <c r="N495" s="224">
        <f t="shared" si="124"/>
        <v>0</v>
      </c>
      <c r="O495" s="224">
        <f t="shared" si="120"/>
        <v>0</v>
      </c>
      <c r="P495" s="224">
        <f t="shared" si="121"/>
        <v>0</v>
      </c>
      <c r="Q495" s="224">
        <f t="shared" ca="1" si="125"/>
        <v>0</v>
      </c>
      <c r="R495" s="224">
        <f t="shared" ca="1" si="125"/>
        <v>0</v>
      </c>
      <c r="S495" s="224">
        <f t="shared" ca="1" si="125"/>
        <v>0</v>
      </c>
      <c r="T495" s="224">
        <f t="shared" ca="1" si="122"/>
        <v>0</v>
      </c>
      <c r="U495" s="224">
        <f t="shared" ca="1" si="123"/>
        <v>0</v>
      </c>
    </row>
    <row r="496" spans="1:21" ht="18.75" hidden="1" x14ac:dyDescent="0.25">
      <c r="A496" s="128"/>
      <c r="B496" s="158"/>
      <c r="C496" s="158"/>
      <c r="D496" s="53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468">
        <f>L497+L498</f>
        <v>0</v>
      </c>
      <c r="M496" s="224">
        <f>M497+M498</f>
        <v>0</v>
      </c>
      <c r="N496" s="224">
        <f>N497+N498</f>
        <v>0</v>
      </c>
      <c r="O496" s="224">
        <f t="shared" si="120"/>
        <v>0</v>
      </c>
      <c r="P496" s="224">
        <f t="shared" si="121"/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t="shared" ca="1" si="122"/>
        <v>0</v>
      </c>
      <c r="U496" s="224">
        <f t="shared" ca="1" si="123"/>
        <v>0</v>
      </c>
    </row>
    <row r="497" spans="1:21" ht="18.75" hidden="1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469">
        <v>0</v>
      </c>
      <c r="M497" s="83">
        <v>0</v>
      </c>
      <c r="N497" s="83">
        <v>0</v>
      </c>
      <c r="O497" s="83">
        <f t="shared" si="120"/>
        <v>0</v>
      </c>
      <c r="P497" s="83">
        <f t="shared" si="121"/>
        <v>0</v>
      </c>
      <c r="Q497" s="83">
        <v>0</v>
      </c>
      <c r="R497" s="83">
        <v>0</v>
      </c>
      <c r="S497" s="83">
        <v>0</v>
      </c>
      <c r="T497" s="83">
        <f t="shared" si="122"/>
        <v>0</v>
      </c>
      <c r="U497" s="83">
        <f t="shared" si="123"/>
        <v>0</v>
      </c>
    </row>
    <row r="498" spans="1:21" ht="18.75" hidden="1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468">
        <v>0</v>
      </c>
      <c r="M498" s="224">
        <v>0</v>
      </c>
      <c r="N498" s="224">
        <v>0</v>
      </c>
      <c r="O498" s="224">
        <f t="shared" si="120"/>
        <v>0</v>
      </c>
      <c r="P498" s="224">
        <f t="shared" si="121"/>
        <v>0</v>
      </c>
      <c r="Q498" s="224">
        <f ca="1">IFERROR(__xludf.DUMMYFUNCTION("IMPORTRANGE(""https://docs.google.com/spreadsheets/d/1ItG2mGa2ceCfYo0BwxsXqNm01IGEUdYcSSLTEv9YCik/edit?usp=sharing"",""เบิกจ่ายกองทุน!X20"")"),0)</f>
        <v>0</v>
      </c>
      <c r="R498" s="224">
        <f ca="1">IFERROR(__xludf.DUMMYFUNCTION("IMPORTRANGE(""https://docs.google.com/spreadsheets/d/1ItG2mGa2ceCfYo0BwxsXqNm01IGEUdYcSSLTEv9YCik/edit?usp=sharing"",""เบิกจ่ายกองทุน!Y20"")"),0)</f>
        <v>0</v>
      </c>
      <c r="S498" s="224">
        <f ca="1">IFERROR(__xludf.DUMMYFUNCTION("IMPORTRANGE(""https://docs.google.com/spreadsheets/d/1ItG2mGa2ceCfYo0BwxsXqNm01IGEUdYcSSLTEv9YCik/edit?usp=sharing"",""เบิกจ่ายกองทุน!Z20"")"),0)</f>
        <v>0</v>
      </c>
      <c r="T498" s="224">
        <f t="shared" ca="1" si="122"/>
        <v>0</v>
      </c>
      <c r="U498" s="224">
        <f t="shared" ca="1" si="123"/>
        <v>0</v>
      </c>
    </row>
    <row r="499" spans="1:21" ht="18.75" hidden="1" x14ac:dyDescent="0.25">
      <c r="A499" s="128"/>
      <c r="B499" s="158"/>
      <c r="C499" s="158"/>
      <c r="D499" s="53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468">
        <f>L500+L501</f>
        <v>0</v>
      </c>
      <c r="M499" s="224">
        <f>M500+M501</f>
        <v>0</v>
      </c>
      <c r="N499" s="224">
        <f>N500+N501</f>
        <v>0</v>
      </c>
      <c r="O499" s="224">
        <f t="shared" si="120"/>
        <v>0</v>
      </c>
      <c r="P499" s="224">
        <f t="shared" si="121"/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 t="shared" si="122"/>
        <v>0</v>
      </c>
      <c r="U499" s="224">
        <f t="shared" si="123"/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469">
        <v>0</v>
      </c>
      <c r="M500" s="83">
        <v>0</v>
      </c>
      <c r="N500" s="83">
        <v>0</v>
      </c>
      <c r="O500" s="83">
        <f t="shared" si="120"/>
        <v>0</v>
      </c>
      <c r="P500" s="83">
        <f t="shared" si="121"/>
        <v>0</v>
      </c>
      <c r="Q500" s="83">
        <v>0</v>
      </c>
      <c r="R500" s="83">
        <v>0</v>
      </c>
      <c r="S500" s="83">
        <v>0</v>
      </c>
      <c r="T500" s="83">
        <f t="shared" si="122"/>
        <v>0</v>
      </c>
      <c r="U500" s="83">
        <f t="shared" si="123"/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468">
        <v>0</v>
      </c>
      <c r="M501" s="224">
        <v>0</v>
      </c>
      <c r="N501" s="224">
        <v>0</v>
      </c>
      <c r="O501" s="224">
        <f t="shared" si="120"/>
        <v>0</v>
      </c>
      <c r="P501" s="224">
        <f t="shared" si="121"/>
        <v>0</v>
      </c>
      <c r="Q501" s="224">
        <v>0</v>
      </c>
      <c r="R501" s="224">
        <v>0</v>
      </c>
      <c r="S501" s="224">
        <v>0</v>
      </c>
      <c r="T501" s="224">
        <f t="shared" si="122"/>
        <v>0</v>
      </c>
      <c r="U501" s="224">
        <f t="shared" si="123"/>
        <v>0</v>
      </c>
    </row>
    <row r="502" spans="1:21" ht="19.5" hidden="1" x14ac:dyDescent="0.3">
      <c r="A502" s="138"/>
      <c r="B502" s="139"/>
      <c r="C502" s="177" t="s">
        <v>18</v>
      </c>
      <c r="D502" s="491" t="s">
        <v>38</v>
      </c>
      <c r="E502" s="141"/>
      <c r="F502" s="141"/>
      <c r="G502" s="142"/>
      <c r="H502" s="178"/>
      <c r="I502" s="135"/>
      <c r="J502" s="135"/>
      <c r="K502" s="136"/>
      <c r="L502" s="4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IFERROR(__xludf.DUMMYFUNCTION("IMPORTRANGE(""https://docs.google.com/spreadsheets/d/1eHaY18a8A9IcSdp1K8H6x8fbOy06t2VsZHhMHf-1x7Y/edit?usp=sharing"",""แผน!GX20"")"),0)</f>
        <v>0</v>
      </c>
      <c r="J503" s="328">
        <f ca="1">IF(AND(J504=I504,J505=I505,J506=I506,J507=I507),I503,0)</f>
        <v>0</v>
      </c>
      <c r="K503" s="470">
        <f t="shared" ref="K503:K509" ca="1" si="126">IF(I503&gt;0,J503*100/I503,0)</f>
        <v>0</v>
      </c>
      <c r="L503" s="465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IFERROR(__xludf.DUMMYFUNCTION("IMPORTRANGE(""https://docs.google.com/spreadsheets/d/1eHaY18a8A9IcSdp1K8H6x8fbOy06t2VsZHhMHf-1x7Y/edit?usp=sharing"",""แผน!GY20"")"),0)</f>
        <v>0</v>
      </c>
      <c r="J504" s="466">
        <v>0</v>
      </c>
      <c r="K504" s="224">
        <f t="shared" ca="1" si="126"/>
        <v>0</v>
      </c>
      <c r="L504" s="465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IFERROR(__xludf.DUMMYFUNCTION("IMPORTRANGE(""https://docs.google.com/spreadsheets/d/1eHaY18a8A9IcSdp1K8H6x8fbOy06t2VsZHhMHf-1x7Y/edit?usp=sharing"",""แผน!GZ20"")"),0)</f>
        <v>0</v>
      </c>
      <c r="J505" s="466">
        <v>0</v>
      </c>
      <c r="K505" s="224">
        <f t="shared" ca="1" si="126"/>
        <v>0</v>
      </c>
      <c r="L505" s="465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IFERROR(__xludf.DUMMYFUNCTION("IMPORTRANGE(""https://docs.google.com/spreadsheets/d/1eHaY18a8A9IcSdp1K8H6x8fbOy06t2VsZHhMHf-1x7Y/edit?usp=sharing"",""แผน!HA20"")"),0)</f>
        <v>0</v>
      </c>
      <c r="J506" s="466">
        <v>0</v>
      </c>
      <c r="K506" s="224">
        <f t="shared" ca="1" si="126"/>
        <v>0</v>
      </c>
      <c r="L506" s="465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IFERROR(__xludf.DUMMYFUNCTION("IMPORTRANGE(""https://docs.google.com/spreadsheets/d/1eHaY18a8A9IcSdp1K8H6x8fbOy06t2VsZHhMHf-1x7Y/edit?usp=sharing"",""แผน!HB20"")"),0)</f>
        <v>0</v>
      </c>
      <c r="J507" s="466">
        <v>0</v>
      </c>
      <c r="K507" s="224">
        <f t="shared" ca="1" si="126"/>
        <v>0</v>
      </c>
      <c r="L507" s="465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 t="shared" si="126"/>
        <v>0</v>
      </c>
      <c r="L508" s="465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IFERROR(__xludf.DUMMYFUNCTION("IMPORTRANGE(""https://docs.google.com/spreadsheets/d/1eHaY18a8A9IcSdp1K8H6x8fbOy06t2VsZHhMHf-1x7Y/edit?usp=sharing"",""แผน!HC20"")"),0)</f>
        <v>0</v>
      </c>
      <c r="J509" s="464">
        <v>0</v>
      </c>
      <c r="K509" s="455">
        <f t="shared" ca="1" si="126"/>
        <v>0</v>
      </c>
      <c r="L509" s="46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537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536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hidden="1" x14ac:dyDescent="0.3">
      <c r="A511" s="535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534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hidden="1" x14ac:dyDescent="0.3">
      <c r="A512" s="349"/>
      <c r="B512" s="533" t="s">
        <v>207</v>
      </c>
      <c r="C512" s="351"/>
      <c r="D512" s="352"/>
      <c r="E512" s="352"/>
      <c r="F512" s="352"/>
      <c r="G512" s="353"/>
      <c r="H512" s="532" t="s">
        <v>61</v>
      </c>
      <c r="I512" s="531">
        <f>I524</f>
        <v>0</v>
      </c>
      <c r="J512" s="531">
        <f>J524</f>
        <v>0</v>
      </c>
      <c r="K512" s="530">
        <f>IF(I512&gt;0,J512*100/I512,0)</f>
        <v>0</v>
      </c>
      <c r="L512" s="512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hidden="1" x14ac:dyDescent="0.3">
      <c r="A513" s="128"/>
      <c r="B513" s="40"/>
      <c r="C513" s="527" t="s">
        <v>18</v>
      </c>
      <c r="D513" s="494" t="s">
        <v>19</v>
      </c>
      <c r="E513" s="40"/>
      <c r="F513" s="40"/>
      <c r="G513" s="42"/>
      <c r="H513" s="529" t="s">
        <v>14</v>
      </c>
      <c r="I513" s="44"/>
      <c r="J513" s="44"/>
      <c r="K513" s="45"/>
      <c r="L513" s="471">
        <f ca="1">L514+L515</f>
        <v>0</v>
      </c>
      <c r="M513" s="470">
        <f ca="1">M514+M515</f>
        <v>0</v>
      </c>
      <c r="N513" s="470">
        <f ca="1">N514+N515</f>
        <v>0</v>
      </c>
      <c r="O513" s="470">
        <f t="shared" ref="O513:O521" ca="1" si="127">IF(L513&gt;0,N513*100/L513,0)</f>
        <v>0</v>
      </c>
      <c r="P513" s="470">
        <f t="shared" ref="P513:P521" ca="1" si="128">IF(M513&gt;0,N513*100/M513,0)</f>
        <v>0</v>
      </c>
      <c r="Q513" s="470">
        <f>Q514+Q515</f>
        <v>0</v>
      </c>
      <c r="R513" s="470">
        <f>R514+R515</f>
        <v>0</v>
      </c>
      <c r="S513" s="470">
        <f>S514+S515</f>
        <v>0</v>
      </c>
      <c r="T513" s="470">
        <f t="shared" ref="T513:T521" si="129">IF(Q513&gt;0,S513*100/Q513,0)</f>
        <v>0</v>
      </c>
      <c r="U513" s="470">
        <f t="shared" ref="U513:U521" si="130"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469">
        <f t="shared" ref="L514:N515" si="131">L517+L520</f>
        <v>0</v>
      </c>
      <c r="M514" s="83">
        <f t="shared" si="131"/>
        <v>0</v>
      </c>
      <c r="N514" s="83">
        <f t="shared" si="131"/>
        <v>0</v>
      </c>
      <c r="O514" s="83">
        <f t="shared" si="127"/>
        <v>0</v>
      </c>
      <c r="P514" s="83">
        <f t="shared" si="128"/>
        <v>0</v>
      </c>
      <c r="Q514" s="83">
        <f t="shared" ref="Q514:S515" si="132">Q517+Q520</f>
        <v>0</v>
      </c>
      <c r="R514" s="83">
        <f t="shared" si="132"/>
        <v>0</v>
      </c>
      <c r="S514" s="83">
        <f t="shared" si="132"/>
        <v>0</v>
      </c>
      <c r="T514" s="83">
        <f t="shared" si="129"/>
        <v>0</v>
      </c>
      <c r="U514" s="83">
        <f t="shared" si="130"/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468">
        <f t="shared" ca="1" si="131"/>
        <v>0</v>
      </c>
      <c r="M515" s="224">
        <f t="shared" ca="1" si="131"/>
        <v>0</v>
      </c>
      <c r="N515" s="224">
        <f t="shared" ca="1" si="131"/>
        <v>0</v>
      </c>
      <c r="O515" s="224">
        <f t="shared" ca="1" si="127"/>
        <v>0</v>
      </c>
      <c r="P515" s="224">
        <f t="shared" ca="1" si="128"/>
        <v>0</v>
      </c>
      <c r="Q515" s="224">
        <f t="shared" si="132"/>
        <v>0</v>
      </c>
      <c r="R515" s="224">
        <f t="shared" si="132"/>
        <v>0</v>
      </c>
      <c r="S515" s="224">
        <f t="shared" si="132"/>
        <v>0</v>
      </c>
      <c r="T515" s="224">
        <f t="shared" si="129"/>
        <v>0</v>
      </c>
      <c r="U515" s="224">
        <f t="shared" si="130"/>
        <v>0</v>
      </c>
    </row>
    <row r="516" spans="1:21" ht="18.75" hidden="1" x14ac:dyDescent="0.25">
      <c r="A516" s="128"/>
      <c r="B516" s="40"/>
      <c r="C516" s="40"/>
      <c r="D516" s="52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468">
        <f ca="1">L517+L518</f>
        <v>0</v>
      </c>
      <c r="M516" s="224">
        <f ca="1">M517+M518</f>
        <v>0</v>
      </c>
      <c r="N516" s="224">
        <f ca="1">N517+N518</f>
        <v>0</v>
      </c>
      <c r="O516" s="224">
        <f t="shared" ca="1" si="127"/>
        <v>0</v>
      </c>
      <c r="P516" s="224">
        <f t="shared" ca="1" si="128"/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 t="shared" si="129"/>
        <v>0</v>
      </c>
      <c r="U516" s="224">
        <f t="shared" si="130"/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469">
        <v>0</v>
      </c>
      <c r="M517" s="83">
        <v>0</v>
      </c>
      <c r="N517" s="83">
        <v>0</v>
      </c>
      <c r="O517" s="83">
        <f t="shared" si="127"/>
        <v>0</v>
      </c>
      <c r="P517" s="83">
        <f t="shared" si="128"/>
        <v>0</v>
      </c>
      <c r="Q517" s="83">
        <v>0</v>
      </c>
      <c r="R517" s="83">
        <v>0</v>
      </c>
      <c r="S517" s="83">
        <v>0</v>
      </c>
      <c r="T517" s="83">
        <f t="shared" si="129"/>
        <v>0</v>
      </c>
      <c r="U517" s="83">
        <f t="shared" si="130"/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468">
        <f ca="1">IFERROR(__xludf.DUMMYFUNCTION("IMPORTRANGE(""https://docs.google.com/spreadsheets/d/1-uDff_7J0KD5mKrp0Vvzr7lt3OU09vwQwhkpOPPYv2Y/edit?usp=sharing"",""งบพรบ!FM20"")"),0)</f>
        <v>0</v>
      </c>
      <c r="M518" s="224">
        <f ca="1">IFERROR(__xludf.DUMMYFUNCTION("IMPORTRANGE(""https://docs.google.com/spreadsheets/d/1-uDff_7J0KD5mKrp0Vvzr7lt3OU09vwQwhkpOPPYv2Y/edit?usp=sharing"",""งบพรบ!FR20"")"),0)</f>
        <v>0</v>
      </c>
      <c r="N518" s="224">
        <f ca="1">IFERROR(__xludf.DUMMYFUNCTION("IMPORTRANGE(""https://docs.google.com/spreadsheets/d/1-uDff_7J0KD5mKrp0Vvzr7lt3OU09vwQwhkpOPPYv2Y/edit?usp=sharing"",""งบพรบ!FT20"")"),0)</f>
        <v>0</v>
      </c>
      <c r="O518" s="224">
        <f t="shared" ca="1" si="127"/>
        <v>0</v>
      </c>
      <c r="P518" s="224">
        <f t="shared" ca="1" si="128"/>
        <v>0</v>
      </c>
      <c r="Q518" s="224">
        <v>0</v>
      </c>
      <c r="R518" s="224">
        <v>0</v>
      </c>
      <c r="S518" s="224">
        <v>0</v>
      </c>
      <c r="T518" s="224">
        <f t="shared" si="129"/>
        <v>0</v>
      </c>
      <c r="U518" s="224">
        <f t="shared" si="130"/>
        <v>0</v>
      </c>
    </row>
    <row r="519" spans="1:21" ht="18.75" hidden="1" x14ac:dyDescent="0.25">
      <c r="A519" s="128"/>
      <c r="B519" s="40"/>
      <c r="C519" s="40"/>
      <c r="D519" s="528" t="s">
        <v>23</v>
      </c>
      <c r="E519" s="40"/>
      <c r="F519" s="40"/>
      <c r="G519" s="42"/>
      <c r="H519" s="375" t="s">
        <v>14</v>
      </c>
      <c r="I519" s="135"/>
      <c r="J519" s="135"/>
      <c r="K519" s="136"/>
      <c r="L519" s="468">
        <f ca="1">L520+L521</f>
        <v>0</v>
      </c>
      <c r="M519" s="224">
        <f ca="1">M520+M521</f>
        <v>0</v>
      </c>
      <c r="N519" s="224">
        <f ca="1">N520+N521</f>
        <v>0</v>
      </c>
      <c r="O519" s="224">
        <f t="shared" ca="1" si="127"/>
        <v>0</v>
      </c>
      <c r="P519" s="224">
        <f t="shared" ca="1" si="128"/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 t="shared" si="129"/>
        <v>0</v>
      </c>
      <c r="U519" s="224">
        <f t="shared" si="130"/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469">
        <v>0</v>
      </c>
      <c r="M520" s="83">
        <v>0</v>
      </c>
      <c r="N520" s="83">
        <v>0</v>
      </c>
      <c r="O520" s="83">
        <f t="shared" si="127"/>
        <v>0</v>
      </c>
      <c r="P520" s="83">
        <f t="shared" si="128"/>
        <v>0</v>
      </c>
      <c r="Q520" s="83">
        <v>0</v>
      </c>
      <c r="R520" s="83">
        <v>0</v>
      </c>
      <c r="S520" s="83">
        <v>0</v>
      </c>
      <c r="T520" s="83">
        <f t="shared" si="129"/>
        <v>0</v>
      </c>
      <c r="U520" s="83">
        <f t="shared" si="130"/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375" t="s">
        <v>14</v>
      </c>
      <c r="I521" s="135"/>
      <c r="J521" s="135"/>
      <c r="K521" s="136"/>
      <c r="L521" s="468">
        <f ca="1">IFERROR(__xludf.DUMMYFUNCTION("IMPORTRANGE(""https://docs.google.com/spreadsheets/d/1-uDff_7J0KD5mKrp0Vvzr7lt3OU09vwQwhkpOPPYv2Y/edit?usp=sharing"",""งบพรบ!FP20"")"),0)</f>
        <v>0</v>
      </c>
      <c r="M521" s="224">
        <f ca="1">IFERROR(__xludf.DUMMYFUNCTION("IMPORTRANGE(""https://docs.google.com/spreadsheets/d/1-uDff_7J0KD5mKrp0Vvzr7lt3OU09vwQwhkpOPPYv2Y/edit?usp=sharing"",""งบพรบ!FS20"")"),0)</f>
        <v>0</v>
      </c>
      <c r="N521" s="224">
        <f ca="1">IFERROR(__xludf.DUMMYFUNCTION("IMPORTRANGE(""https://docs.google.com/spreadsheets/d/1-uDff_7J0KD5mKrp0Vvzr7lt3OU09vwQwhkpOPPYv2Y/edit?usp=sharing"",""งบพรบ!FU20"")"),0)</f>
        <v>0</v>
      </c>
      <c r="O521" s="224">
        <f t="shared" ca="1" si="127"/>
        <v>0</v>
      </c>
      <c r="P521" s="224">
        <f t="shared" ca="1" si="128"/>
        <v>0</v>
      </c>
      <c r="Q521" s="224">
        <v>0</v>
      </c>
      <c r="R521" s="224">
        <v>0</v>
      </c>
      <c r="S521" s="224">
        <v>0</v>
      </c>
      <c r="T521" s="224">
        <f t="shared" si="129"/>
        <v>0</v>
      </c>
      <c r="U521" s="224">
        <f t="shared" si="130"/>
        <v>0</v>
      </c>
    </row>
    <row r="522" spans="1:21" ht="19.5" hidden="1" x14ac:dyDescent="0.3">
      <c r="A522" s="138"/>
      <c r="B522" s="139"/>
      <c r="C522" s="527" t="s">
        <v>18</v>
      </c>
      <c r="D522" s="509" t="s">
        <v>38</v>
      </c>
      <c r="E522" s="141"/>
      <c r="F522" s="141"/>
      <c r="G522" s="142"/>
      <c r="H522" s="143"/>
      <c r="I522" s="135"/>
      <c r="J522" s="44"/>
      <c r="K522" s="45"/>
      <c r="L522" s="465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208</v>
      </c>
      <c r="E523" s="139"/>
      <c r="F523" s="40"/>
      <c r="G523" s="42"/>
      <c r="H523" s="526" t="s">
        <v>11</v>
      </c>
      <c r="I523" s="430">
        <v>0</v>
      </c>
      <c r="J523" s="525">
        <v>0</v>
      </c>
      <c r="K523" s="83">
        <f>IF(I523&gt;0,J523*100/I523,0)</f>
        <v>0</v>
      </c>
      <c r="L523" s="465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29"/>
      <c r="B524" s="1"/>
      <c r="C524" s="2"/>
      <c r="D524" s="524" t="s">
        <v>209</v>
      </c>
      <c r="E524" s="250"/>
      <c r="F524" s="1"/>
      <c r="G524" s="52"/>
      <c r="H524" s="523" t="s">
        <v>61</v>
      </c>
      <c r="I524" s="433">
        <v>0</v>
      </c>
      <c r="J524" s="522">
        <v>0</v>
      </c>
      <c r="K524" s="521">
        <f>IF(I524&gt;0,J524*100/I524,0)</f>
        <v>0</v>
      </c>
      <c r="L524" s="465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520"/>
      <c r="B525" s="519"/>
      <c r="C525" s="519"/>
      <c r="D525" s="518"/>
      <c r="E525" s="518"/>
      <c r="F525" s="518"/>
      <c r="G525" s="517"/>
      <c r="H525" s="516"/>
      <c r="I525" s="515"/>
      <c r="J525" s="515"/>
      <c r="K525" s="514"/>
      <c r="L525" s="511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11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11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11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11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11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11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496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hidden="1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64">
        <f>I545</f>
        <v>0</v>
      </c>
      <c r="J533" s="364">
        <f>J545</f>
        <v>0</v>
      </c>
      <c r="K533" s="513">
        <f>IF(I533&gt;0,J533*100/I533,0)</f>
        <v>0</v>
      </c>
      <c r="L533" s="512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hidden="1" x14ac:dyDescent="0.3">
      <c r="A534" s="128"/>
      <c r="B534" s="40"/>
      <c r="C534" s="129" t="s">
        <v>18</v>
      </c>
      <c r="D534" s="472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471">
        <f>L535+L536</f>
        <v>0</v>
      </c>
      <c r="M534" s="470">
        <f>M535+M536</f>
        <v>0</v>
      </c>
      <c r="N534" s="470">
        <f>N535+N536</f>
        <v>0</v>
      </c>
      <c r="O534" s="470">
        <f t="shared" ref="O534:O542" si="133">IF(L534&gt;0,N534*100/L534,0)</f>
        <v>0</v>
      </c>
      <c r="P534" s="470">
        <f t="shared" ref="P534:P542" si="134">IF(M534&gt;0,N534*100/M534,0)</f>
        <v>0</v>
      </c>
      <c r="Q534" s="470">
        <f>Q535+Q536</f>
        <v>0</v>
      </c>
      <c r="R534" s="470">
        <f>R535+R536</f>
        <v>0</v>
      </c>
      <c r="S534" s="470">
        <f>S535+S536</f>
        <v>0</v>
      </c>
      <c r="T534" s="470">
        <f t="shared" ref="T534:T542" si="135">IF(Q534&gt;0,S534*100/Q534,0)</f>
        <v>0</v>
      </c>
      <c r="U534" s="470">
        <f t="shared" ref="U534:U542" si="136"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469">
        <f t="shared" ref="L535:N536" si="137">L538+L541</f>
        <v>0</v>
      </c>
      <c r="M535" s="83">
        <f t="shared" si="137"/>
        <v>0</v>
      </c>
      <c r="N535" s="83">
        <f t="shared" si="137"/>
        <v>0</v>
      </c>
      <c r="O535" s="83">
        <f t="shared" si="133"/>
        <v>0</v>
      </c>
      <c r="P535" s="83">
        <f t="shared" si="134"/>
        <v>0</v>
      </c>
      <c r="Q535" s="83">
        <f t="shared" ref="Q535:S536" si="138">Q538+Q541</f>
        <v>0</v>
      </c>
      <c r="R535" s="83">
        <f t="shared" si="138"/>
        <v>0</v>
      </c>
      <c r="S535" s="83">
        <f t="shared" si="138"/>
        <v>0</v>
      </c>
      <c r="T535" s="83">
        <f t="shared" si="135"/>
        <v>0</v>
      </c>
      <c r="U535" s="83">
        <f t="shared" si="136"/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468">
        <f t="shared" si="137"/>
        <v>0</v>
      </c>
      <c r="M536" s="224">
        <f t="shared" si="137"/>
        <v>0</v>
      </c>
      <c r="N536" s="224">
        <f t="shared" si="137"/>
        <v>0</v>
      </c>
      <c r="O536" s="224">
        <f t="shared" si="133"/>
        <v>0</v>
      </c>
      <c r="P536" s="224">
        <f t="shared" si="134"/>
        <v>0</v>
      </c>
      <c r="Q536" s="224">
        <f t="shared" si="138"/>
        <v>0</v>
      </c>
      <c r="R536" s="224">
        <f t="shared" si="138"/>
        <v>0</v>
      </c>
      <c r="S536" s="224">
        <f t="shared" si="138"/>
        <v>0</v>
      </c>
      <c r="T536" s="224">
        <f t="shared" si="135"/>
        <v>0</v>
      </c>
      <c r="U536" s="224">
        <f t="shared" si="136"/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468">
        <f>L538+L539</f>
        <v>0</v>
      </c>
      <c r="M537" s="224">
        <f>M538+M539</f>
        <v>0</v>
      </c>
      <c r="N537" s="224">
        <f>N538+N539</f>
        <v>0</v>
      </c>
      <c r="O537" s="224">
        <f t="shared" si="133"/>
        <v>0</v>
      </c>
      <c r="P537" s="224">
        <f t="shared" si="134"/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 t="shared" si="135"/>
        <v>0</v>
      </c>
      <c r="U537" s="224">
        <f t="shared" si="136"/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469">
        <v>0</v>
      </c>
      <c r="M538" s="83">
        <v>0</v>
      </c>
      <c r="N538" s="83">
        <v>0</v>
      </c>
      <c r="O538" s="83">
        <f t="shared" si="133"/>
        <v>0</v>
      </c>
      <c r="P538" s="83">
        <f t="shared" si="134"/>
        <v>0</v>
      </c>
      <c r="Q538" s="83">
        <v>0</v>
      </c>
      <c r="R538" s="83">
        <v>0</v>
      </c>
      <c r="S538" s="83">
        <v>0</v>
      </c>
      <c r="T538" s="83">
        <f t="shared" si="135"/>
        <v>0</v>
      </c>
      <c r="U538" s="83">
        <f t="shared" si="136"/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468">
        <v>0</v>
      </c>
      <c r="M539" s="224">
        <v>0</v>
      </c>
      <c r="N539" s="224">
        <v>0</v>
      </c>
      <c r="O539" s="224">
        <f t="shared" si="133"/>
        <v>0</v>
      </c>
      <c r="P539" s="224">
        <f t="shared" si="134"/>
        <v>0</v>
      </c>
      <c r="Q539" s="224">
        <v>0</v>
      </c>
      <c r="R539" s="224">
        <v>0</v>
      </c>
      <c r="S539" s="224">
        <v>0</v>
      </c>
      <c r="T539" s="224">
        <f t="shared" si="135"/>
        <v>0</v>
      </c>
      <c r="U539" s="224">
        <f t="shared" si="136"/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468">
        <f>L541+L542</f>
        <v>0</v>
      </c>
      <c r="M540" s="224">
        <f>M541+M542</f>
        <v>0</v>
      </c>
      <c r="N540" s="224">
        <f>N541+N542</f>
        <v>0</v>
      </c>
      <c r="O540" s="224">
        <f t="shared" si="133"/>
        <v>0</v>
      </c>
      <c r="P540" s="224">
        <f t="shared" si="134"/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 t="shared" si="135"/>
        <v>0</v>
      </c>
      <c r="U540" s="224">
        <f t="shared" si="136"/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469">
        <v>0</v>
      </c>
      <c r="M541" s="83">
        <v>0</v>
      </c>
      <c r="N541" s="83">
        <v>0</v>
      </c>
      <c r="O541" s="83">
        <f t="shared" si="133"/>
        <v>0</v>
      </c>
      <c r="P541" s="83">
        <f t="shared" si="134"/>
        <v>0</v>
      </c>
      <c r="Q541" s="83">
        <v>0</v>
      </c>
      <c r="R541" s="83">
        <v>0</v>
      </c>
      <c r="S541" s="83">
        <v>0</v>
      </c>
      <c r="T541" s="83">
        <f t="shared" si="135"/>
        <v>0</v>
      </c>
      <c r="U541" s="83">
        <f t="shared" si="136"/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468">
        <v>0</v>
      </c>
      <c r="M542" s="224">
        <v>0</v>
      </c>
      <c r="N542" s="224">
        <v>0</v>
      </c>
      <c r="O542" s="224">
        <f t="shared" si="133"/>
        <v>0</v>
      </c>
      <c r="P542" s="224">
        <f t="shared" si="134"/>
        <v>0</v>
      </c>
      <c r="Q542" s="224">
        <v>0</v>
      </c>
      <c r="R542" s="224">
        <v>0</v>
      </c>
      <c r="S542" s="224">
        <v>0</v>
      </c>
      <c r="T542" s="224">
        <f t="shared" si="135"/>
        <v>0</v>
      </c>
      <c r="U542" s="224">
        <f t="shared" si="136"/>
        <v>0</v>
      </c>
    </row>
    <row r="543" spans="1:21" ht="19.5" hidden="1" x14ac:dyDescent="0.3">
      <c r="A543" s="138"/>
      <c r="B543" s="139"/>
      <c r="C543" s="365" t="s">
        <v>18</v>
      </c>
      <c r="D543" s="498" t="s">
        <v>38</v>
      </c>
      <c r="E543" s="141"/>
      <c r="F543" s="141"/>
      <c r="G543" s="142"/>
      <c r="H543" s="143"/>
      <c r="I543" s="135"/>
      <c r="J543" s="44"/>
      <c r="K543" s="45"/>
      <c r="L543" s="465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11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11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11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11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11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11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11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11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11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496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hidden="1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64">
        <f>I566</f>
        <v>0</v>
      </c>
      <c r="J554" s="364">
        <f>J566</f>
        <v>0</v>
      </c>
      <c r="K554" s="513">
        <f>IF(I554&gt;0,J554*100/I554,0)</f>
        <v>0</v>
      </c>
      <c r="L554" s="512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hidden="1" x14ac:dyDescent="0.3">
      <c r="A555" s="128"/>
      <c r="B555" s="40"/>
      <c r="C555" s="129" t="s">
        <v>18</v>
      </c>
      <c r="D555" s="472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471">
        <f>L556+L557</f>
        <v>0</v>
      </c>
      <c r="M555" s="470">
        <f>M556+M557</f>
        <v>0</v>
      </c>
      <c r="N555" s="470">
        <f>N556+N557</f>
        <v>0</v>
      </c>
      <c r="O555" s="470">
        <f t="shared" ref="O555:O563" si="139">IF(L555&gt;0,N555*100/L555,0)</f>
        <v>0</v>
      </c>
      <c r="P555" s="470">
        <f t="shared" ref="P555:P563" si="140">IF(M555&gt;0,N555*100/M555,0)</f>
        <v>0</v>
      </c>
      <c r="Q555" s="470">
        <f>Q556+Q557</f>
        <v>0</v>
      </c>
      <c r="R555" s="470">
        <f>R556+R557</f>
        <v>0</v>
      </c>
      <c r="S555" s="470">
        <f>S556+S557</f>
        <v>0</v>
      </c>
      <c r="T555" s="470">
        <f t="shared" ref="T555:T563" si="141">IF(Q555&gt;0,S555*100/Q555,0)</f>
        <v>0</v>
      </c>
      <c r="U555" s="470">
        <f t="shared" ref="U555:U563" si="142"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469">
        <f t="shared" ref="L556:N557" si="143">L559+L562</f>
        <v>0</v>
      </c>
      <c r="M556" s="83">
        <f t="shared" si="143"/>
        <v>0</v>
      </c>
      <c r="N556" s="83">
        <f t="shared" si="143"/>
        <v>0</v>
      </c>
      <c r="O556" s="83">
        <f t="shared" si="139"/>
        <v>0</v>
      </c>
      <c r="P556" s="83">
        <f t="shared" si="140"/>
        <v>0</v>
      </c>
      <c r="Q556" s="83">
        <f t="shared" ref="Q556:S557" si="144">Q559+Q562</f>
        <v>0</v>
      </c>
      <c r="R556" s="83">
        <f t="shared" si="144"/>
        <v>0</v>
      </c>
      <c r="S556" s="83">
        <f t="shared" si="144"/>
        <v>0</v>
      </c>
      <c r="T556" s="83">
        <f t="shared" si="141"/>
        <v>0</v>
      </c>
      <c r="U556" s="83">
        <f t="shared" si="142"/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468">
        <f t="shared" si="143"/>
        <v>0</v>
      </c>
      <c r="M557" s="224">
        <f t="shared" si="143"/>
        <v>0</v>
      </c>
      <c r="N557" s="224">
        <f t="shared" si="143"/>
        <v>0</v>
      </c>
      <c r="O557" s="224">
        <f t="shared" si="139"/>
        <v>0</v>
      </c>
      <c r="P557" s="224">
        <f t="shared" si="140"/>
        <v>0</v>
      </c>
      <c r="Q557" s="224">
        <f t="shared" si="144"/>
        <v>0</v>
      </c>
      <c r="R557" s="224">
        <f t="shared" si="144"/>
        <v>0</v>
      </c>
      <c r="S557" s="224">
        <f t="shared" si="144"/>
        <v>0</v>
      </c>
      <c r="T557" s="224">
        <f t="shared" si="141"/>
        <v>0</v>
      </c>
      <c r="U557" s="224">
        <f t="shared" si="142"/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468">
        <f>L559+L560</f>
        <v>0</v>
      </c>
      <c r="M558" s="224">
        <f>M559+M560</f>
        <v>0</v>
      </c>
      <c r="N558" s="224">
        <f>N559+N560</f>
        <v>0</v>
      </c>
      <c r="O558" s="224">
        <f t="shared" si="139"/>
        <v>0</v>
      </c>
      <c r="P558" s="224">
        <f t="shared" si="140"/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 t="shared" si="141"/>
        <v>0</v>
      </c>
      <c r="U558" s="224">
        <f t="shared" si="142"/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469">
        <v>0</v>
      </c>
      <c r="M559" s="83">
        <v>0</v>
      </c>
      <c r="N559" s="83">
        <v>0</v>
      </c>
      <c r="O559" s="83">
        <f t="shared" si="139"/>
        <v>0</v>
      </c>
      <c r="P559" s="83">
        <f t="shared" si="140"/>
        <v>0</v>
      </c>
      <c r="Q559" s="83">
        <v>0</v>
      </c>
      <c r="R559" s="83">
        <v>0</v>
      </c>
      <c r="S559" s="83">
        <v>0</v>
      </c>
      <c r="T559" s="83">
        <f t="shared" si="141"/>
        <v>0</v>
      </c>
      <c r="U559" s="83">
        <f t="shared" si="142"/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468">
        <v>0</v>
      </c>
      <c r="M560" s="224">
        <v>0</v>
      </c>
      <c r="N560" s="224">
        <v>0</v>
      </c>
      <c r="O560" s="224">
        <f t="shared" si="139"/>
        <v>0</v>
      </c>
      <c r="P560" s="224">
        <f t="shared" si="140"/>
        <v>0</v>
      </c>
      <c r="Q560" s="224">
        <v>0</v>
      </c>
      <c r="R560" s="224">
        <v>0</v>
      </c>
      <c r="S560" s="224">
        <v>0</v>
      </c>
      <c r="T560" s="224">
        <f t="shared" si="141"/>
        <v>0</v>
      </c>
      <c r="U560" s="224">
        <f t="shared" si="142"/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468">
        <f>L562+L563</f>
        <v>0</v>
      </c>
      <c r="M561" s="224">
        <f>M562+M563</f>
        <v>0</v>
      </c>
      <c r="N561" s="224">
        <f>N562+N563</f>
        <v>0</v>
      </c>
      <c r="O561" s="224">
        <f t="shared" si="139"/>
        <v>0</v>
      </c>
      <c r="P561" s="224">
        <f t="shared" si="140"/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 t="shared" si="141"/>
        <v>0</v>
      </c>
      <c r="U561" s="224">
        <f t="shared" si="142"/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469">
        <v>0</v>
      </c>
      <c r="M562" s="83">
        <v>0</v>
      </c>
      <c r="N562" s="83">
        <v>0</v>
      </c>
      <c r="O562" s="83">
        <f t="shared" si="139"/>
        <v>0</v>
      </c>
      <c r="P562" s="83">
        <f t="shared" si="140"/>
        <v>0</v>
      </c>
      <c r="Q562" s="83">
        <v>0</v>
      </c>
      <c r="R562" s="83">
        <v>0</v>
      </c>
      <c r="S562" s="83">
        <v>0</v>
      </c>
      <c r="T562" s="83">
        <f t="shared" si="141"/>
        <v>0</v>
      </c>
      <c r="U562" s="83">
        <f t="shared" si="142"/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468">
        <v>0</v>
      </c>
      <c r="M563" s="224">
        <v>0</v>
      </c>
      <c r="N563" s="224">
        <v>0</v>
      </c>
      <c r="O563" s="224">
        <f t="shared" si="139"/>
        <v>0</v>
      </c>
      <c r="P563" s="224">
        <f t="shared" si="140"/>
        <v>0</v>
      </c>
      <c r="Q563" s="224">
        <v>0</v>
      </c>
      <c r="R563" s="224">
        <v>0</v>
      </c>
      <c r="S563" s="224">
        <v>0</v>
      </c>
      <c r="T563" s="224">
        <f t="shared" si="141"/>
        <v>0</v>
      </c>
      <c r="U563" s="224">
        <f t="shared" si="142"/>
        <v>0</v>
      </c>
    </row>
    <row r="564" spans="1:21" ht="19.5" hidden="1" x14ac:dyDescent="0.3">
      <c r="A564" s="138"/>
      <c r="B564" s="139"/>
      <c r="C564" s="365" t="s">
        <v>18</v>
      </c>
      <c r="D564" s="498" t="s">
        <v>38</v>
      </c>
      <c r="E564" s="141"/>
      <c r="F564" s="141"/>
      <c r="G564" s="142"/>
      <c r="H564" s="143"/>
      <c r="I564" s="135"/>
      <c r="J564" s="44"/>
      <c r="K564" s="45"/>
      <c r="L564" s="465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11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11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11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11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11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11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11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11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11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496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hidden="1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64">
        <f>I587</f>
        <v>0</v>
      </c>
      <c r="J575" s="364">
        <f>J587</f>
        <v>0</v>
      </c>
      <c r="K575" s="513">
        <f>IF(I575&gt;0,J575*100/I575,0)</f>
        <v>0</v>
      </c>
      <c r="L575" s="512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hidden="1" x14ac:dyDescent="0.3">
      <c r="A576" s="128"/>
      <c r="B576" s="40"/>
      <c r="C576" s="129" t="s">
        <v>18</v>
      </c>
      <c r="D576" s="472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471">
        <f>L577+L578</f>
        <v>0</v>
      </c>
      <c r="M576" s="470">
        <f>M577+M578</f>
        <v>0</v>
      </c>
      <c r="N576" s="470">
        <f>N577+N578</f>
        <v>0</v>
      </c>
      <c r="O576" s="470">
        <f t="shared" ref="O576:O584" si="145">IF(L576&gt;0,N576*100/L576,0)</f>
        <v>0</v>
      </c>
      <c r="P576" s="470">
        <f t="shared" ref="P576:P584" si="146">IF(M576&gt;0,N576*100/M576,0)</f>
        <v>0</v>
      </c>
      <c r="Q576" s="470">
        <f>Q577+Q578</f>
        <v>0</v>
      </c>
      <c r="R576" s="470">
        <f>R577+R578</f>
        <v>0</v>
      </c>
      <c r="S576" s="470">
        <f>S577+S578</f>
        <v>0</v>
      </c>
      <c r="T576" s="470">
        <f t="shared" ref="T576:T584" si="147">IF(Q576&gt;0,S576*100/Q576,0)</f>
        <v>0</v>
      </c>
      <c r="U576" s="470">
        <f t="shared" ref="U576:U584" si="148"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469">
        <f t="shared" ref="L577:N578" si="149">L580+L583</f>
        <v>0</v>
      </c>
      <c r="M577" s="83">
        <f t="shared" si="149"/>
        <v>0</v>
      </c>
      <c r="N577" s="83">
        <f t="shared" si="149"/>
        <v>0</v>
      </c>
      <c r="O577" s="83">
        <f t="shared" si="145"/>
        <v>0</v>
      </c>
      <c r="P577" s="83">
        <f t="shared" si="146"/>
        <v>0</v>
      </c>
      <c r="Q577" s="83">
        <f t="shared" ref="Q577:S578" si="150">Q580+Q583</f>
        <v>0</v>
      </c>
      <c r="R577" s="83">
        <f t="shared" si="150"/>
        <v>0</v>
      </c>
      <c r="S577" s="83">
        <f t="shared" si="150"/>
        <v>0</v>
      </c>
      <c r="T577" s="83">
        <f t="shared" si="147"/>
        <v>0</v>
      </c>
      <c r="U577" s="83">
        <f t="shared" si="148"/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468">
        <f t="shared" si="149"/>
        <v>0</v>
      </c>
      <c r="M578" s="224">
        <f t="shared" si="149"/>
        <v>0</v>
      </c>
      <c r="N578" s="224">
        <f t="shared" si="149"/>
        <v>0</v>
      </c>
      <c r="O578" s="224">
        <f t="shared" si="145"/>
        <v>0</v>
      </c>
      <c r="P578" s="224">
        <f t="shared" si="146"/>
        <v>0</v>
      </c>
      <c r="Q578" s="224">
        <f t="shared" si="150"/>
        <v>0</v>
      </c>
      <c r="R578" s="224">
        <f t="shared" si="150"/>
        <v>0</v>
      </c>
      <c r="S578" s="224">
        <f t="shared" si="150"/>
        <v>0</v>
      </c>
      <c r="T578" s="224">
        <f t="shared" si="147"/>
        <v>0</v>
      </c>
      <c r="U578" s="224">
        <f t="shared" si="148"/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468">
        <f>L580+L581</f>
        <v>0</v>
      </c>
      <c r="M579" s="224">
        <f>M580+M581</f>
        <v>0</v>
      </c>
      <c r="N579" s="224">
        <f>N580+N581</f>
        <v>0</v>
      </c>
      <c r="O579" s="224">
        <f t="shared" si="145"/>
        <v>0</v>
      </c>
      <c r="P579" s="224">
        <f t="shared" si="146"/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 t="shared" si="147"/>
        <v>0</v>
      </c>
      <c r="U579" s="224">
        <f t="shared" si="148"/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469">
        <v>0</v>
      </c>
      <c r="M580" s="83">
        <v>0</v>
      </c>
      <c r="N580" s="83">
        <v>0</v>
      </c>
      <c r="O580" s="83">
        <f t="shared" si="145"/>
        <v>0</v>
      </c>
      <c r="P580" s="83">
        <f t="shared" si="146"/>
        <v>0</v>
      </c>
      <c r="Q580" s="83">
        <v>0</v>
      </c>
      <c r="R580" s="83">
        <v>0</v>
      </c>
      <c r="S580" s="83">
        <v>0</v>
      </c>
      <c r="T580" s="83">
        <f t="shared" si="147"/>
        <v>0</v>
      </c>
      <c r="U580" s="83">
        <f t="shared" si="148"/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468">
        <v>0</v>
      </c>
      <c r="M581" s="224">
        <v>0</v>
      </c>
      <c r="N581" s="224">
        <v>0</v>
      </c>
      <c r="O581" s="224">
        <f t="shared" si="145"/>
        <v>0</v>
      </c>
      <c r="P581" s="224">
        <f t="shared" si="146"/>
        <v>0</v>
      </c>
      <c r="Q581" s="224">
        <v>0</v>
      </c>
      <c r="R581" s="224">
        <v>0</v>
      </c>
      <c r="S581" s="224">
        <v>0</v>
      </c>
      <c r="T581" s="224">
        <f t="shared" si="147"/>
        <v>0</v>
      </c>
      <c r="U581" s="224">
        <f t="shared" si="148"/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468">
        <f>L583+L584</f>
        <v>0</v>
      </c>
      <c r="M582" s="224">
        <f>M583+M584</f>
        <v>0</v>
      </c>
      <c r="N582" s="224">
        <f>N583+N584</f>
        <v>0</v>
      </c>
      <c r="O582" s="224">
        <f t="shared" si="145"/>
        <v>0</v>
      </c>
      <c r="P582" s="224">
        <f t="shared" si="146"/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 t="shared" si="147"/>
        <v>0</v>
      </c>
      <c r="U582" s="224">
        <f t="shared" si="148"/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469">
        <v>0</v>
      </c>
      <c r="M583" s="83">
        <v>0</v>
      </c>
      <c r="N583" s="83">
        <v>0</v>
      </c>
      <c r="O583" s="83">
        <f t="shared" si="145"/>
        <v>0</v>
      </c>
      <c r="P583" s="83">
        <f t="shared" si="146"/>
        <v>0</v>
      </c>
      <c r="Q583" s="83">
        <v>0</v>
      </c>
      <c r="R583" s="83">
        <v>0</v>
      </c>
      <c r="S583" s="83">
        <v>0</v>
      </c>
      <c r="T583" s="83">
        <f t="shared" si="147"/>
        <v>0</v>
      </c>
      <c r="U583" s="83">
        <f t="shared" si="148"/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468">
        <v>0</v>
      </c>
      <c r="M584" s="224">
        <v>0</v>
      </c>
      <c r="N584" s="224">
        <v>0</v>
      </c>
      <c r="O584" s="224">
        <f t="shared" si="145"/>
        <v>0</v>
      </c>
      <c r="P584" s="224">
        <f t="shared" si="146"/>
        <v>0</v>
      </c>
      <c r="Q584" s="224">
        <v>0</v>
      </c>
      <c r="R584" s="224">
        <v>0</v>
      </c>
      <c r="S584" s="224">
        <v>0</v>
      </c>
      <c r="T584" s="224">
        <f t="shared" si="147"/>
        <v>0</v>
      </c>
      <c r="U584" s="224">
        <f t="shared" si="148"/>
        <v>0</v>
      </c>
    </row>
    <row r="585" spans="1:21" ht="19.5" hidden="1" x14ac:dyDescent="0.3">
      <c r="A585" s="138"/>
      <c r="B585" s="139"/>
      <c r="C585" s="365" t="s">
        <v>18</v>
      </c>
      <c r="D585" s="498" t="s">
        <v>38</v>
      </c>
      <c r="E585" s="141"/>
      <c r="F585" s="141"/>
      <c r="G585" s="142"/>
      <c r="H585" s="143"/>
      <c r="I585" s="135"/>
      <c r="J585" s="44"/>
      <c r="K585" s="45"/>
      <c r="L585" s="465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11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11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11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11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11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11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11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11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11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496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hidden="1" x14ac:dyDescent="0.3">
      <c r="A596" s="366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67" t="s">
        <v>214</v>
      </c>
      <c r="C597" s="172"/>
      <c r="D597" s="125"/>
      <c r="E597" s="27"/>
      <c r="F597" s="27"/>
      <c r="G597" s="27"/>
      <c r="H597" s="368" t="s">
        <v>99</v>
      </c>
      <c r="I597" s="182"/>
      <c r="J597" s="32"/>
      <c r="K597" s="33"/>
      <c r="L597" s="510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369"/>
      <c r="B598" s="370" t="s">
        <v>215</v>
      </c>
      <c r="C598" s="125"/>
      <c r="D598" s="27"/>
      <c r="E598" s="27"/>
      <c r="F598" s="27"/>
      <c r="G598" s="30"/>
      <c r="H598" s="371" t="s">
        <v>35</v>
      </c>
      <c r="I598" s="32"/>
      <c r="J598" s="32"/>
      <c r="K598" s="33"/>
      <c r="L598" s="510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820" t="s">
        <v>19</v>
      </c>
      <c r="E599" s="793"/>
      <c r="F599" s="793"/>
      <c r="G599" s="794"/>
      <c r="H599" s="372" t="s">
        <v>14</v>
      </c>
      <c r="I599" s="44"/>
      <c r="J599" s="44"/>
      <c r="K599" s="45"/>
      <c r="L599" s="471">
        <f>L600+L601</f>
        <v>0</v>
      </c>
      <c r="M599" s="470">
        <f>M600+M601</f>
        <v>0</v>
      </c>
      <c r="N599" s="470">
        <f>N600+N601</f>
        <v>0</v>
      </c>
      <c r="O599" s="470">
        <f t="shared" ref="O599:O607" si="151">IF(L599&gt;0,N599*100/L599,0)</f>
        <v>0</v>
      </c>
      <c r="P599" s="470">
        <f t="shared" ref="P599:P607" si="152">IF(M599&gt;0,N599*100/M599,0)</f>
        <v>0</v>
      </c>
      <c r="Q599" s="470">
        <f>Q600+Q601</f>
        <v>0</v>
      </c>
      <c r="R599" s="470">
        <f>R600+R601</f>
        <v>0</v>
      </c>
      <c r="S599" s="470">
        <f>S600+S601</f>
        <v>0</v>
      </c>
      <c r="T599" s="470">
        <f t="shared" ref="T599:T607" si="153">IF(Q599&gt;0,S599*100/Q599,0)</f>
        <v>0</v>
      </c>
      <c r="U599" s="470">
        <f t="shared" ref="U599:U607" si="154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469">
        <f t="shared" ref="L600:N601" si="155">L603+L606</f>
        <v>0</v>
      </c>
      <c r="M600" s="83">
        <f t="shared" si="155"/>
        <v>0</v>
      </c>
      <c r="N600" s="83">
        <f t="shared" si="155"/>
        <v>0</v>
      </c>
      <c r="O600" s="83">
        <f t="shared" si="151"/>
        <v>0</v>
      </c>
      <c r="P600" s="83">
        <f t="shared" si="152"/>
        <v>0</v>
      </c>
      <c r="Q600" s="83">
        <f t="shared" ref="Q600:S601" si="156">Q603+Q606</f>
        <v>0</v>
      </c>
      <c r="R600" s="83">
        <f t="shared" si="156"/>
        <v>0</v>
      </c>
      <c r="S600" s="83">
        <f t="shared" si="156"/>
        <v>0</v>
      </c>
      <c r="T600" s="83">
        <f t="shared" si="153"/>
        <v>0</v>
      </c>
      <c r="U600" s="83">
        <f t="shared" si="154"/>
        <v>0</v>
      </c>
    </row>
    <row r="601" spans="1:21" ht="18.75" hidden="1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468">
        <f t="shared" si="155"/>
        <v>0</v>
      </c>
      <c r="M601" s="224">
        <f t="shared" si="155"/>
        <v>0</v>
      </c>
      <c r="N601" s="224">
        <f t="shared" si="155"/>
        <v>0</v>
      </c>
      <c r="O601" s="224">
        <f t="shared" si="151"/>
        <v>0</v>
      </c>
      <c r="P601" s="224">
        <f t="shared" si="152"/>
        <v>0</v>
      </c>
      <c r="Q601" s="224">
        <f t="shared" si="156"/>
        <v>0</v>
      </c>
      <c r="R601" s="224">
        <f t="shared" si="156"/>
        <v>0</v>
      </c>
      <c r="S601" s="224">
        <f t="shared" si="156"/>
        <v>0</v>
      </c>
      <c r="T601" s="224">
        <f t="shared" si="153"/>
        <v>0</v>
      </c>
      <c r="U601" s="224">
        <f t="shared" si="154"/>
        <v>0</v>
      </c>
    </row>
    <row r="602" spans="1:21" ht="19.5" hidden="1" x14ac:dyDescent="0.3">
      <c r="A602" s="128"/>
      <c r="B602" s="158"/>
      <c r="C602" s="158"/>
      <c r="D602" s="494" t="s">
        <v>22</v>
      </c>
      <c r="E602" s="40"/>
      <c r="F602" s="40"/>
      <c r="G602" s="42"/>
      <c r="H602" s="372" t="s">
        <v>14</v>
      </c>
      <c r="I602" s="135"/>
      <c r="J602" s="135"/>
      <c r="K602" s="136"/>
      <c r="L602" s="468">
        <f>L603+L604</f>
        <v>0</v>
      </c>
      <c r="M602" s="224">
        <f>M603+M604</f>
        <v>0</v>
      </c>
      <c r="N602" s="224">
        <f>N603+N604</f>
        <v>0</v>
      </c>
      <c r="O602" s="224">
        <f t="shared" si="151"/>
        <v>0</v>
      </c>
      <c r="P602" s="224">
        <f t="shared" si="152"/>
        <v>0</v>
      </c>
      <c r="Q602" s="224">
        <f>Q603+Q604</f>
        <v>0</v>
      </c>
      <c r="R602" s="224">
        <f>R603+R604</f>
        <v>0</v>
      </c>
      <c r="S602" s="224">
        <f>S603+S604</f>
        <v>0</v>
      </c>
      <c r="T602" s="224">
        <f t="shared" si="153"/>
        <v>0</v>
      </c>
      <c r="U602" s="224">
        <f t="shared" si="154"/>
        <v>0</v>
      </c>
    </row>
    <row r="603" spans="1:21" ht="18.75" hidden="1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469">
        <v>0</v>
      </c>
      <c r="M603" s="83">
        <v>0</v>
      </c>
      <c r="N603" s="83">
        <v>0</v>
      </c>
      <c r="O603" s="83">
        <f t="shared" si="151"/>
        <v>0</v>
      </c>
      <c r="P603" s="83">
        <f t="shared" si="152"/>
        <v>0</v>
      </c>
      <c r="Q603" s="83">
        <v>0</v>
      </c>
      <c r="R603" s="83">
        <v>0</v>
      </c>
      <c r="S603" s="83">
        <v>0</v>
      </c>
      <c r="T603" s="83">
        <f t="shared" si="153"/>
        <v>0</v>
      </c>
      <c r="U603" s="83">
        <f t="shared" si="154"/>
        <v>0</v>
      </c>
    </row>
    <row r="604" spans="1:21" ht="18.75" hidden="1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468">
        <v>0</v>
      </c>
      <c r="M604" s="224">
        <v>0</v>
      </c>
      <c r="N604" s="224">
        <v>0</v>
      </c>
      <c r="O604" s="224">
        <f t="shared" si="151"/>
        <v>0</v>
      </c>
      <c r="P604" s="224">
        <f t="shared" si="152"/>
        <v>0</v>
      </c>
      <c r="Q604" s="224">
        <v>0</v>
      </c>
      <c r="R604" s="224">
        <v>0</v>
      </c>
      <c r="S604" s="224">
        <v>0</v>
      </c>
      <c r="T604" s="224">
        <f t="shared" si="153"/>
        <v>0</v>
      </c>
      <c r="U604" s="224">
        <f t="shared" si="154"/>
        <v>0</v>
      </c>
    </row>
    <row r="605" spans="1:21" ht="19.5" hidden="1" x14ac:dyDescent="0.3">
      <c r="A605" s="128"/>
      <c r="B605" s="158"/>
      <c r="C605" s="158"/>
      <c r="D605" s="494" t="s">
        <v>23</v>
      </c>
      <c r="E605" s="158"/>
      <c r="F605" s="40"/>
      <c r="G605" s="42"/>
      <c r="H605" s="374" t="s">
        <v>14</v>
      </c>
      <c r="I605" s="135"/>
      <c r="J605" s="135"/>
      <c r="K605" s="136"/>
      <c r="L605" s="468">
        <f>L606+L607</f>
        <v>0</v>
      </c>
      <c r="M605" s="224">
        <f>M606+M607</f>
        <v>0</v>
      </c>
      <c r="N605" s="224">
        <f>N606+N607</f>
        <v>0</v>
      </c>
      <c r="O605" s="224">
        <f t="shared" si="151"/>
        <v>0</v>
      </c>
      <c r="P605" s="224">
        <f t="shared" si="152"/>
        <v>0</v>
      </c>
      <c r="Q605" s="224">
        <f>Q606+Q607</f>
        <v>0</v>
      </c>
      <c r="R605" s="224">
        <f>R606+R607</f>
        <v>0</v>
      </c>
      <c r="S605" s="224">
        <f>S606+S607</f>
        <v>0</v>
      </c>
      <c r="T605" s="224">
        <f t="shared" si="153"/>
        <v>0</v>
      </c>
      <c r="U605" s="224">
        <f t="shared" si="154"/>
        <v>0</v>
      </c>
    </row>
    <row r="606" spans="1:21" ht="18.75" hidden="1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469">
        <v>0</v>
      </c>
      <c r="M606" s="83">
        <v>0</v>
      </c>
      <c r="N606" s="83">
        <v>0</v>
      </c>
      <c r="O606" s="83">
        <f t="shared" si="151"/>
        <v>0</v>
      </c>
      <c r="P606" s="83">
        <f t="shared" si="152"/>
        <v>0</v>
      </c>
      <c r="Q606" s="83">
        <v>0</v>
      </c>
      <c r="R606" s="83">
        <v>0</v>
      </c>
      <c r="S606" s="83">
        <v>0</v>
      </c>
      <c r="T606" s="83">
        <f t="shared" si="153"/>
        <v>0</v>
      </c>
      <c r="U606" s="83">
        <f t="shared" si="154"/>
        <v>0</v>
      </c>
    </row>
    <row r="607" spans="1:21" ht="18.75" hidden="1" x14ac:dyDescent="0.25">
      <c r="A607" s="128"/>
      <c r="B607" s="158"/>
      <c r="C607" s="158"/>
      <c r="D607" s="40"/>
      <c r="E607" s="314" t="s">
        <v>21</v>
      </c>
      <c r="F607" s="40"/>
      <c r="G607" s="42"/>
      <c r="H607" s="375" t="s">
        <v>14</v>
      </c>
      <c r="I607" s="135"/>
      <c r="J607" s="135"/>
      <c r="K607" s="136"/>
      <c r="L607" s="468">
        <v>0</v>
      </c>
      <c r="M607" s="224">
        <v>0</v>
      </c>
      <c r="N607" s="224">
        <v>0</v>
      </c>
      <c r="O607" s="224">
        <f t="shared" si="151"/>
        <v>0</v>
      </c>
      <c r="P607" s="224">
        <f t="shared" si="152"/>
        <v>0</v>
      </c>
      <c r="Q607" s="224">
        <v>0</v>
      </c>
      <c r="R607" s="224">
        <v>0</v>
      </c>
      <c r="S607" s="224">
        <v>0</v>
      </c>
      <c r="T607" s="224">
        <f t="shared" si="153"/>
        <v>0</v>
      </c>
      <c r="U607" s="224">
        <f t="shared" si="154"/>
        <v>0</v>
      </c>
    </row>
    <row r="608" spans="1:21" ht="19.5" hidden="1" x14ac:dyDescent="0.3">
      <c r="A608" s="138"/>
      <c r="B608" s="139"/>
      <c r="C608" s="177" t="s">
        <v>18</v>
      </c>
      <c r="D608" s="509" t="s">
        <v>38</v>
      </c>
      <c r="E608" s="141"/>
      <c r="F608" s="141"/>
      <c r="G608" s="142"/>
      <c r="H608" s="178"/>
      <c r="I608" s="135"/>
      <c r="J608" s="135"/>
      <c r="K608" s="136"/>
      <c r="L608" s="465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377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465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377" t="s">
        <v>217</v>
      </c>
      <c r="E610" s="145"/>
      <c r="F610" s="145"/>
      <c r="G610" s="143"/>
      <c r="H610" s="372" t="s">
        <v>35</v>
      </c>
      <c r="I610" s="44"/>
      <c r="J610" s="44"/>
      <c r="K610" s="136"/>
      <c r="L610" s="465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377" t="s">
        <v>218</v>
      </c>
      <c r="F611" s="145"/>
      <c r="G611" s="143"/>
      <c r="H611" s="375" t="s">
        <v>35</v>
      </c>
      <c r="I611" s="44"/>
      <c r="J611" s="44"/>
      <c r="K611" s="136"/>
      <c r="L611" s="465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378"/>
      <c r="B612" s="379"/>
      <c r="C612" s="379"/>
      <c r="D612" s="379"/>
      <c r="E612" s="380" t="s">
        <v>219</v>
      </c>
      <c r="F612" s="381"/>
      <c r="G612" s="382"/>
      <c r="H612" s="383" t="s">
        <v>35</v>
      </c>
      <c r="I612" s="384"/>
      <c r="J612" s="384"/>
      <c r="K612" s="385"/>
      <c r="L612" s="508"/>
      <c r="M612" s="386"/>
      <c r="N612" s="386"/>
      <c r="O612" s="386"/>
      <c r="P612" s="386"/>
      <c r="Q612" s="386"/>
      <c r="R612" s="386"/>
      <c r="S612" s="386"/>
      <c r="T612" s="386"/>
      <c r="U612" s="386"/>
    </row>
    <row r="613" spans="1:21" ht="19.5" hidden="1" x14ac:dyDescent="0.3">
      <c r="A613" s="387" t="s">
        <v>220</v>
      </c>
      <c r="B613" s="388"/>
      <c r="C613" s="388"/>
      <c r="D613" s="389"/>
      <c r="E613" s="389"/>
      <c r="F613" s="389"/>
      <c r="G613" s="390"/>
      <c r="H613" s="391"/>
      <c r="I613" s="392"/>
      <c r="J613" s="392"/>
      <c r="K613" s="393"/>
      <c r="L613" s="507"/>
      <c r="M613" s="393"/>
      <c r="N613" s="393"/>
      <c r="O613" s="393"/>
      <c r="P613" s="393"/>
      <c r="Q613" s="393"/>
      <c r="R613" s="393"/>
      <c r="S613" s="393"/>
      <c r="T613" s="393"/>
      <c r="U613" s="393"/>
    </row>
    <row r="614" spans="1:21" ht="19.5" x14ac:dyDescent="0.3">
      <c r="A614" s="394"/>
      <c r="B614" s="395" t="s">
        <v>221</v>
      </c>
      <c r="C614" s="394"/>
      <c r="D614" s="396"/>
      <c r="E614" s="396"/>
      <c r="F614" s="396"/>
      <c r="G614" s="397"/>
      <c r="H614" s="398"/>
      <c r="I614" s="399"/>
      <c r="J614" s="399"/>
      <c r="K614" s="400"/>
      <c r="L614" s="473"/>
      <c r="M614" s="400"/>
      <c r="N614" s="400"/>
      <c r="O614" s="400"/>
      <c r="P614" s="400"/>
      <c r="Q614" s="400"/>
      <c r="R614" s="400"/>
      <c r="S614" s="400"/>
      <c r="T614" s="400"/>
      <c r="U614" s="400"/>
    </row>
    <row r="615" spans="1:21" ht="19.5" x14ac:dyDescent="0.3">
      <c r="A615" s="401"/>
      <c r="B615" s="402" t="s">
        <v>222</v>
      </c>
      <c r="C615" s="401"/>
      <c r="D615" s="403"/>
      <c r="E615" s="403"/>
      <c r="F615" s="403"/>
      <c r="G615" s="404"/>
      <c r="H615" s="405" t="s">
        <v>46</v>
      </c>
      <c r="I615" s="506">
        <f ca="1">I626</f>
        <v>50</v>
      </c>
      <c r="J615" s="506">
        <f>J626</f>
        <v>0</v>
      </c>
      <c r="K615" s="505">
        <f ca="1">IF(I615&gt;0,J615*100/I615,0)</f>
        <v>0</v>
      </c>
      <c r="L615" s="504"/>
      <c r="M615" s="408"/>
      <c r="N615" s="408"/>
      <c r="O615" s="408"/>
      <c r="P615" s="408"/>
      <c r="Q615" s="408"/>
      <c r="R615" s="408"/>
      <c r="S615" s="408"/>
      <c r="T615" s="408"/>
      <c r="U615" s="408"/>
    </row>
    <row r="616" spans="1:21" ht="19.5" x14ac:dyDescent="0.3">
      <c r="A616" s="128"/>
      <c r="B616" s="158"/>
      <c r="C616" s="177" t="s">
        <v>18</v>
      </c>
      <c r="D616" s="821" t="s">
        <v>19</v>
      </c>
      <c r="E616" s="793"/>
      <c r="F616" s="793"/>
      <c r="G616" s="794"/>
      <c r="H616" s="221" t="s">
        <v>14</v>
      </c>
      <c r="I616" s="44"/>
      <c r="J616" s="44"/>
      <c r="K616" s="45"/>
      <c r="L616" s="471">
        <f>L617+L618</f>
        <v>0</v>
      </c>
      <c r="M616" s="470">
        <f>M617+M618</f>
        <v>0</v>
      </c>
      <c r="N616" s="470">
        <f>N617+N618</f>
        <v>0</v>
      </c>
      <c r="O616" s="470">
        <f t="shared" ref="O616:O624" si="157">IF(L616&gt;0,N616*100/L616,0)</f>
        <v>0</v>
      </c>
      <c r="P616" s="470">
        <f t="shared" ref="P616:P624" si="158">IF(M616&gt;0,N616*100/M616,0)</f>
        <v>0</v>
      </c>
      <c r="Q616" s="470">
        <f ca="1">Q617+Q618</f>
        <v>6725</v>
      </c>
      <c r="R616" s="470">
        <f ca="1">R617+R618</f>
        <v>6725</v>
      </c>
      <c r="S616" s="470">
        <f ca="1">S617+S618</f>
        <v>0</v>
      </c>
      <c r="T616" s="470">
        <f t="shared" ref="T616:T624" ca="1" si="159">IF(Q616&gt;0,S616*100/Q616,0)</f>
        <v>0</v>
      </c>
      <c r="U616" s="470">
        <f t="shared" ref="U616:U624" ca="1" si="160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469">
        <f t="shared" ref="L617:N618" si="161">L620+L623</f>
        <v>0</v>
      </c>
      <c r="M617" s="83">
        <f t="shared" si="161"/>
        <v>0</v>
      </c>
      <c r="N617" s="83">
        <f t="shared" si="161"/>
        <v>0</v>
      </c>
      <c r="O617" s="83">
        <f t="shared" si="157"/>
        <v>0</v>
      </c>
      <c r="P617" s="83">
        <f t="shared" si="158"/>
        <v>0</v>
      </c>
      <c r="Q617" s="83">
        <f t="shared" ref="Q617:S618" si="162">Q620+Q623</f>
        <v>0</v>
      </c>
      <c r="R617" s="83">
        <f t="shared" si="162"/>
        <v>0</v>
      </c>
      <c r="S617" s="83">
        <f t="shared" si="162"/>
        <v>0</v>
      </c>
      <c r="T617" s="83">
        <f t="shared" si="159"/>
        <v>0</v>
      </c>
      <c r="U617" s="83">
        <f t="shared" si="160"/>
        <v>0</v>
      </c>
    </row>
    <row r="618" spans="1:21" ht="18.75" hidden="1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468">
        <f t="shared" si="161"/>
        <v>0</v>
      </c>
      <c r="M618" s="224">
        <f t="shared" si="161"/>
        <v>0</v>
      </c>
      <c r="N618" s="224">
        <f t="shared" si="161"/>
        <v>0</v>
      </c>
      <c r="O618" s="224">
        <f t="shared" si="157"/>
        <v>0</v>
      </c>
      <c r="P618" s="224">
        <f t="shared" si="158"/>
        <v>0</v>
      </c>
      <c r="Q618" s="224">
        <f t="shared" ca="1" si="162"/>
        <v>6725</v>
      </c>
      <c r="R618" s="224">
        <f t="shared" ca="1" si="162"/>
        <v>6725</v>
      </c>
      <c r="S618" s="224">
        <f t="shared" ca="1" si="162"/>
        <v>0</v>
      </c>
      <c r="T618" s="224">
        <f t="shared" ca="1" si="159"/>
        <v>0</v>
      </c>
      <c r="U618" s="224">
        <f t="shared" ca="1" si="160"/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468">
        <f>L620+L621</f>
        <v>0</v>
      </c>
      <c r="M619" s="224">
        <f>M620+M621</f>
        <v>0</v>
      </c>
      <c r="N619" s="224">
        <f>N620+N621</f>
        <v>0</v>
      </c>
      <c r="O619" s="224">
        <f t="shared" si="157"/>
        <v>0</v>
      </c>
      <c r="P619" s="224">
        <f t="shared" si="158"/>
        <v>0</v>
      </c>
      <c r="Q619" s="224">
        <f ca="1">Q620+Q621</f>
        <v>6725</v>
      </c>
      <c r="R619" s="224">
        <f ca="1">R620+R621</f>
        <v>6725</v>
      </c>
      <c r="S619" s="224">
        <f ca="1">S620+S621</f>
        <v>0</v>
      </c>
      <c r="T619" s="224">
        <f t="shared" ca="1" si="159"/>
        <v>0</v>
      </c>
      <c r="U619" s="224">
        <f t="shared" ca="1" si="160"/>
        <v>0</v>
      </c>
    </row>
    <row r="620" spans="1:21" ht="18.75" hidden="1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469">
        <v>0</v>
      </c>
      <c r="M620" s="83">
        <v>0</v>
      </c>
      <c r="N620" s="83">
        <v>0</v>
      </c>
      <c r="O620" s="83">
        <f t="shared" si="157"/>
        <v>0</v>
      </c>
      <c r="P620" s="83">
        <f t="shared" si="158"/>
        <v>0</v>
      </c>
      <c r="Q620" s="83">
        <v>0</v>
      </c>
      <c r="R620" s="83">
        <v>0</v>
      </c>
      <c r="S620" s="83">
        <v>0</v>
      </c>
      <c r="T620" s="83">
        <f t="shared" si="159"/>
        <v>0</v>
      </c>
      <c r="U620" s="83">
        <f t="shared" si="160"/>
        <v>0</v>
      </c>
    </row>
    <row r="621" spans="1:21" ht="18.75" hidden="1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468">
        <v>0</v>
      </c>
      <c r="M621" s="224">
        <v>0</v>
      </c>
      <c r="N621" s="224">
        <v>0</v>
      </c>
      <c r="O621" s="224">
        <f t="shared" si="157"/>
        <v>0</v>
      </c>
      <c r="P621" s="224">
        <f t="shared" si="158"/>
        <v>0</v>
      </c>
      <c r="Q621" s="224">
        <f ca="1">IFERROR(__xludf.DUMMYFUNCTION("IMPORTRANGE(""https://docs.google.com/spreadsheets/d/1ItG2mGa2ceCfYo0BwxsXqNm01IGEUdYcSSLTEv9YCik/edit?usp=sharing"",""เบิกจ่ายกองทุน!F20"")"),6725)</f>
        <v>6725</v>
      </c>
      <c r="R621" s="224">
        <f ca="1">IFERROR(__xludf.DUMMYFUNCTION("IMPORTRANGE(""https://docs.google.com/spreadsheets/d/1ItG2mGa2ceCfYo0BwxsXqNm01IGEUdYcSSLTEv9YCik/edit?usp=sharing"",""เบิกจ่ายกองทุน!G20"")"),6725)</f>
        <v>6725</v>
      </c>
      <c r="S621" s="224">
        <f ca="1">IFERROR(__xludf.DUMMYFUNCTION("IMPORTRANGE(""https://docs.google.com/spreadsheets/d/1ItG2mGa2ceCfYo0BwxsXqNm01IGEUdYcSSLTEv9YCik/edit?usp=sharing"",""เบิกจ่ายกองทุน!H20"")"),0)</f>
        <v>0</v>
      </c>
      <c r="T621" s="224">
        <f t="shared" ca="1" si="159"/>
        <v>0</v>
      </c>
      <c r="U621" s="224">
        <f t="shared" ca="1" si="160"/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468">
        <f>L623+L624</f>
        <v>0</v>
      </c>
      <c r="M622" s="224">
        <f>M623+M624</f>
        <v>0</v>
      </c>
      <c r="N622" s="224">
        <f>N623+N624</f>
        <v>0</v>
      </c>
      <c r="O622" s="224">
        <f t="shared" si="157"/>
        <v>0</v>
      </c>
      <c r="P622" s="224">
        <f t="shared" si="158"/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 t="shared" si="159"/>
        <v>0</v>
      </c>
      <c r="U622" s="224">
        <f t="shared" si="160"/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469">
        <v>0</v>
      </c>
      <c r="M623" s="83">
        <v>0</v>
      </c>
      <c r="N623" s="83">
        <v>0</v>
      </c>
      <c r="O623" s="83">
        <f t="shared" si="157"/>
        <v>0</v>
      </c>
      <c r="P623" s="83">
        <f t="shared" si="158"/>
        <v>0</v>
      </c>
      <c r="Q623" s="83">
        <v>0</v>
      </c>
      <c r="R623" s="83">
        <v>0</v>
      </c>
      <c r="S623" s="83">
        <v>0</v>
      </c>
      <c r="T623" s="83">
        <f t="shared" si="159"/>
        <v>0</v>
      </c>
      <c r="U623" s="83">
        <f t="shared" si="160"/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468">
        <v>0</v>
      </c>
      <c r="M624" s="224">
        <v>0</v>
      </c>
      <c r="N624" s="224">
        <v>0</v>
      </c>
      <c r="O624" s="224">
        <f t="shared" si="157"/>
        <v>0</v>
      </c>
      <c r="P624" s="224">
        <f t="shared" si="158"/>
        <v>0</v>
      </c>
      <c r="Q624" s="224">
        <v>0</v>
      </c>
      <c r="R624" s="224">
        <v>0</v>
      </c>
      <c r="S624" s="224">
        <v>0</v>
      </c>
      <c r="T624" s="224">
        <f t="shared" si="159"/>
        <v>0</v>
      </c>
      <c r="U624" s="224">
        <f t="shared" si="160"/>
        <v>0</v>
      </c>
    </row>
    <row r="625" spans="1:21" ht="19.5" x14ac:dyDescent="0.3">
      <c r="A625" s="138"/>
      <c r="B625" s="139"/>
      <c r="C625" s="177" t="s">
        <v>18</v>
      </c>
      <c r="D625" s="467" t="s">
        <v>38</v>
      </c>
      <c r="E625" s="141"/>
      <c r="F625" s="141"/>
      <c r="G625" s="142"/>
      <c r="H625" s="178"/>
      <c r="I625" s="135"/>
      <c r="J625" s="135"/>
      <c r="K625" s="136"/>
      <c r="L625" s="4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10" t="s">
        <v>223</v>
      </c>
      <c r="E626" s="145"/>
      <c r="F626" s="145"/>
      <c r="G626" s="143"/>
      <c r="H626" s="411" t="s">
        <v>46</v>
      </c>
      <c r="I626" s="328">
        <f ca="1">IFERROR(__xludf.DUMMYFUNCTION("IMPORTRANGE(""https://docs.google.com/spreadsheets/d/1eHaY18a8A9IcSdp1K8H6x8fbOy06t2VsZHhMHf-1x7Y/edit?usp=sharing"",""แผน!ID20"")"),50)</f>
        <v>50</v>
      </c>
      <c r="J626" s="328">
        <f>J632</f>
        <v>0</v>
      </c>
      <c r="K626" s="470">
        <f ca="1">IF(I626&gt;0,J626*100/I626,0)</f>
        <v>0</v>
      </c>
      <c r="L626" s="4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IFERROR(__xludf.DUMMYFUNCTION("IMPORTRANGE(""https://docs.google.com/spreadsheets/d/1eHaY18a8A9IcSdp1K8H6x8fbOy06t2VsZHhMHf-1x7Y/edit?usp=sharing"",""แผน!IC20"")"),0)</f>
        <v>0</v>
      </c>
      <c r="J627" s="466">
        <v>0</v>
      </c>
      <c r="K627" s="224">
        <f ca="1">IF(I627&gt;0,(J627*100)/I627,0)</f>
        <v>0</v>
      </c>
      <c r="L627" s="4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IFERROR(__xludf.DUMMYFUNCTION("IMPORTRANGE(""https://docs.google.com/spreadsheets/d/1eHaY18a8A9IcSdp1K8H6x8fbOy06t2VsZHhMHf-1x7Y/edit?usp=sharing"",""แผน!IC20"")"),0)</f>
        <v>0</v>
      </c>
      <c r="J628" s="466">
        <v>0</v>
      </c>
      <c r="K628" s="224">
        <f ca="1">IF(I628&gt;0,(J628*100)/I628,0)</f>
        <v>0</v>
      </c>
      <c r="L628" s="4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466">
        <v>0</v>
      </c>
      <c r="K629" s="224">
        <f ca="1">IF(I$626&gt;0,J629*100/I$626,0)</f>
        <v>0</v>
      </c>
      <c r="L629" s="4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466">
        <v>0</v>
      </c>
      <c r="K630" s="224">
        <f ca="1">IF(I$626&gt;0,J630*100/I$626,0)</f>
        <v>0</v>
      </c>
      <c r="L630" s="4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466">
        <v>0</v>
      </c>
      <c r="K631" s="224">
        <f ca="1">IF(I$626&gt;0,J631*100/I$626,0)</f>
        <v>0</v>
      </c>
      <c r="L631" s="4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470">
        <f ca="1">IF(I626&gt;0,J632*100/I626,0)</f>
        <v>0</v>
      </c>
      <c r="L632" s="4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466">
        <v>0</v>
      </c>
      <c r="K633" s="45"/>
      <c r="L633" s="4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466">
        <v>0</v>
      </c>
      <c r="K634" s="45"/>
      <c r="L634" s="4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10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IFERROR(__xludf.DUMMYFUNCTION("IMPORTRANGE(""https://docs.google.com/spreadsheets/d/1eHaY18a8A9IcSdp1K8H6x8fbOy06t2VsZHhMHf-1x7Y/edit?usp=sharing"",""แผน!IE20"")"),0)</f>
        <v>0</v>
      </c>
      <c r="J635" s="328">
        <f>J636</f>
        <v>0</v>
      </c>
      <c r="K635" s="470">
        <f ca="1">IF(I635&gt;0,J635*100/I635,0)</f>
        <v>0</v>
      </c>
      <c r="L635" s="4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4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466">
        <v>0</v>
      </c>
      <c r="K637" s="45"/>
      <c r="L637" s="4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466">
        <v>0</v>
      </c>
      <c r="K638" s="45"/>
      <c r="L638" s="4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466">
        <v>0</v>
      </c>
      <c r="K639" s="45"/>
      <c r="L639" s="4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466">
        <v>0</v>
      </c>
      <c r="K640" s="45"/>
      <c r="L640" s="4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01"/>
      <c r="B641" s="402" t="s">
        <v>320</v>
      </c>
      <c r="C641" s="401"/>
      <c r="D641" s="403"/>
      <c r="E641" s="403"/>
      <c r="F641" s="403"/>
      <c r="G641" s="404"/>
      <c r="H641" s="412"/>
      <c r="I641" s="413"/>
      <c r="J641" s="413"/>
      <c r="K641" s="408"/>
      <c r="L641" s="504"/>
      <c r="M641" s="408"/>
      <c r="N641" s="408"/>
      <c r="O641" s="408"/>
      <c r="P641" s="408"/>
      <c r="Q641" s="408"/>
      <c r="R641" s="408"/>
      <c r="S641" s="408"/>
      <c r="T641" s="408"/>
      <c r="U641" s="408"/>
    </row>
    <row r="642" spans="1:21" ht="19.5" x14ac:dyDescent="0.3">
      <c r="A642" s="128"/>
      <c r="B642" s="158"/>
      <c r="C642" s="209" t="s">
        <v>18</v>
      </c>
      <c r="D642" s="821" t="s">
        <v>19</v>
      </c>
      <c r="E642" s="793"/>
      <c r="F642" s="793"/>
      <c r="G642" s="794"/>
      <c r="H642" s="221" t="s">
        <v>14</v>
      </c>
      <c r="I642" s="44"/>
      <c r="J642" s="44"/>
      <c r="K642" s="45"/>
      <c r="L642" s="471">
        <f>L643+L644</f>
        <v>0</v>
      </c>
      <c r="M642" s="470">
        <f>M643+M644</f>
        <v>0</v>
      </c>
      <c r="N642" s="470">
        <f>N643+N644</f>
        <v>0</v>
      </c>
      <c r="O642" s="470">
        <f t="shared" ref="O642:O650" si="163">IF(L642&gt;0,N642*100/L642,0)</f>
        <v>0</v>
      </c>
      <c r="P642" s="470">
        <f t="shared" ref="P642:P650" si="164">IF(M642&gt;0,N642*100/M642,0)</f>
        <v>0</v>
      </c>
      <c r="Q642" s="470">
        <f ca="1">Q643+Q644</f>
        <v>5900</v>
      </c>
      <c r="R642" s="470">
        <f ca="1">R643+R644</f>
        <v>5900</v>
      </c>
      <c r="S642" s="470">
        <f ca="1">S643+S644</f>
        <v>0</v>
      </c>
      <c r="T642" s="470">
        <f t="shared" ref="T642:T650" ca="1" si="165">IF(Q642&gt;0,S642*100/Q642,0)</f>
        <v>0</v>
      </c>
      <c r="U642" s="470">
        <f t="shared" ref="U642:U650" ca="1" si="166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469">
        <f t="shared" ref="L643:N644" si="167">L646+L649</f>
        <v>0</v>
      </c>
      <c r="M643" s="83">
        <f t="shared" si="167"/>
        <v>0</v>
      </c>
      <c r="N643" s="83">
        <f t="shared" si="167"/>
        <v>0</v>
      </c>
      <c r="O643" s="83">
        <f t="shared" si="163"/>
        <v>0</v>
      </c>
      <c r="P643" s="83">
        <f t="shared" si="164"/>
        <v>0</v>
      </c>
      <c r="Q643" s="83">
        <f t="shared" ref="Q643:S644" si="168">Q646+Q649</f>
        <v>0</v>
      </c>
      <c r="R643" s="83">
        <f t="shared" si="168"/>
        <v>0</v>
      </c>
      <c r="S643" s="83">
        <f t="shared" si="168"/>
        <v>0</v>
      </c>
      <c r="T643" s="83">
        <f t="shared" si="165"/>
        <v>0</v>
      </c>
      <c r="U643" s="83">
        <f t="shared" si="166"/>
        <v>0</v>
      </c>
    </row>
    <row r="644" spans="1:21" ht="18.75" hidden="1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468">
        <f t="shared" si="167"/>
        <v>0</v>
      </c>
      <c r="M644" s="224">
        <f t="shared" si="167"/>
        <v>0</v>
      </c>
      <c r="N644" s="224">
        <f t="shared" si="167"/>
        <v>0</v>
      </c>
      <c r="O644" s="224">
        <f t="shared" si="163"/>
        <v>0</v>
      </c>
      <c r="P644" s="224">
        <f t="shared" si="164"/>
        <v>0</v>
      </c>
      <c r="Q644" s="224">
        <f t="shared" ca="1" si="168"/>
        <v>5900</v>
      </c>
      <c r="R644" s="224">
        <f t="shared" ca="1" si="168"/>
        <v>5900</v>
      </c>
      <c r="S644" s="224">
        <f t="shared" ca="1" si="168"/>
        <v>0</v>
      </c>
      <c r="T644" s="224">
        <f t="shared" ca="1" si="165"/>
        <v>0</v>
      </c>
      <c r="U644" s="224">
        <f t="shared" ca="1" si="166"/>
        <v>0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468">
        <f>L646+L647</f>
        <v>0</v>
      </c>
      <c r="M645" s="224">
        <f>M646+M647</f>
        <v>0</v>
      </c>
      <c r="N645" s="224">
        <f>N646+N647</f>
        <v>0</v>
      </c>
      <c r="O645" s="224">
        <f t="shared" si="163"/>
        <v>0</v>
      </c>
      <c r="P645" s="224">
        <f t="shared" si="164"/>
        <v>0</v>
      </c>
      <c r="Q645" s="224">
        <f ca="1">Q646+Q647</f>
        <v>5900</v>
      </c>
      <c r="R645" s="224">
        <f ca="1">R646+R647</f>
        <v>5900</v>
      </c>
      <c r="S645" s="224">
        <f ca="1">S646+S647</f>
        <v>0</v>
      </c>
      <c r="T645" s="224">
        <f t="shared" ca="1" si="165"/>
        <v>0</v>
      </c>
      <c r="U645" s="224">
        <f t="shared" ca="1" si="166"/>
        <v>0</v>
      </c>
    </row>
    <row r="646" spans="1:21" ht="18.75" hidden="1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469">
        <v>0</v>
      </c>
      <c r="M646" s="83">
        <v>0</v>
      </c>
      <c r="N646" s="83">
        <v>0</v>
      </c>
      <c r="O646" s="83">
        <f t="shared" si="163"/>
        <v>0</v>
      </c>
      <c r="P646" s="83">
        <f t="shared" si="164"/>
        <v>0</v>
      </c>
      <c r="Q646" s="83">
        <v>0</v>
      </c>
      <c r="R646" s="83">
        <v>0</v>
      </c>
      <c r="S646" s="83">
        <v>0</v>
      </c>
      <c r="T646" s="83">
        <f t="shared" si="165"/>
        <v>0</v>
      </c>
      <c r="U646" s="83">
        <f t="shared" si="166"/>
        <v>0</v>
      </c>
    </row>
    <row r="647" spans="1:21" ht="18.75" hidden="1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468">
        <v>0</v>
      </c>
      <c r="M647" s="224">
        <v>0</v>
      </c>
      <c r="N647" s="224">
        <v>0</v>
      </c>
      <c r="O647" s="224">
        <f t="shared" si="163"/>
        <v>0</v>
      </c>
      <c r="P647" s="224">
        <f t="shared" si="164"/>
        <v>0</v>
      </c>
      <c r="Q647" s="224">
        <f ca="1">IFERROR(__xludf.DUMMYFUNCTION("IMPORTRANGE(""https://docs.google.com/spreadsheets/d/1ItG2mGa2ceCfYo0BwxsXqNm01IGEUdYcSSLTEv9YCik/edit?usp=sharing"",""เบิกจ่ายกองทุน!I20"")"),5900)</f>
        <v>5900</v>
      </c>
      <c r="R647" s="224">
        <f ca="1">IFERROR(__xludf.DUMMYFUNCTION("IMPORTRANGE(""https://docs.google.com/spreadsheets/d/1ItG2mGa2ceCfYo0BwxsXqNm01IGEUdYcSSLTEv9YCik/edit?usp=sharing"",""เบิกจ่ายกองทุน!J20"")"),5900)</f>
        <v>5900</v>
      </c>
      <c r="S647" s="224">
        <f ca="1">IFERROR(__xludf.DUMMYFUNCTION("IMPORTRANGE(""https://docs.google.com/spreadsheets/d/1ItG2mGa2ceCfYo0BwxsXqNm01IGEUdYcSSLTEv9YCik/edit?usp=sharing"",""เบิกจ่ายกองทุน!K20"")"),0)</f>
        <v>0</v>
      </c>
      <c r="T647" s="224">
        <f t="shared" ca="1" si="165"/>
        <v>0</v>
      </c>
      <c r="U647" s="224">
        <f t="shared" ca="1" si="166"/>
        <v>0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468">
        <f>L649+L650</f>
        <v>0</v>
      </c>
      <c r="M648" s="224">
        <f>M649+M650</f>
        <v>0</v>
      </c>
      <c r="N648" s="224">
        <f>N649+N650</f>
        <v>0</v>
      </c>
      <c r="O648" s="224">
        <f t="shared" si="163"/>
        <v>0</v>
      </c>
      <c r="P648" s="224">
        <f t="shared" si="164"/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 t="shared" si="165"/>
        <v>0</v>
      </c>
      <c r="U648" s="224">
        <f t="shared" si="166"/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469">
        <v>0</v>
      </c>
      <c r="M649" s="83">
        <v>0</v>
      </c>
      <c r="N649" s="83">
        <v>0</v>
      </c>
      <c r="O649" s="83">
        <f t="shared" si="163"/>
        <v>0</v>
      </c>
      <c r="P649" s="83">
        <f t="shared" si="164"/>
        <v>0</v>
      </c>
      <c r="Q649" s="83">
        <v>0</v>
      </c>
      <c r="R649" s="83">
        <v>0</v>
      </c>
      <c r="S649" s="83">
        <v>0</v>
      </c>
      <c r="T649" s="83">
        <f t="shared" si="165"/>
        <v>0</v>
      </c>
      <c r="U649" s="83">
        <f t="shared" si="166"/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468">
        <v>0</v>
      </c>
      <c r="M650" s="224">
        <v>0</v>
      </c>
      <c r="N650" s="224">
        <v>0</v>
      </c>
      <c r="O650" s="224">
        <f t="shared" si="163"/>
        <v>0</v>
      </c>
      <c r="P650" s="224">
        <f t="shared" si="164"/>
        <v>0</v>
      </c>
      <c r="Q650" s="224">
        <v>0</v>
      </c>
      <c r="R650" s="224">
        <v>0</v>
      </c>
      <c r="S650" s="224">
        <v>0</v>
      </c>
      <c r="T650" s="224">
        <f t="shared" si="165"/>
        <v>0</v>
      </c>
      <c r="U650" s="224">
        <f t="shared" si="166"/>
        <v>0</v>
      </c>
    </row>
    <row r="651" spans="1:21" ht="19.5" x14ac:dyDescent="0.3">
      <c r="A651" s="138"/>
      <c r="B651" s="139"/>
      <c r="C651" s="209" t="s">
        <v>18</v>
      </c>
      <c r="D651" s="503" t="s">
        <v>38</v>
      </c>
      <c r="E651" s="141"/>
      <c r="F651" s="141"/>
      <c r="G651" s="142"/>
      <c r="H651" s="178"/>
      <c r="I651" s="135"/>
      <c r="J651" s="135"/>
      <c r="K651" s="136"/>
      <c r="L651" s="4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502">
        <f ca="1">IFERROR(__xludf.DUMMYFUNCTION("IMPORTRANGE(""https://docs.google.com/spreadsheets/d/1eHaY18a8A9IcSdp1K8H6x8fbOy06t2VsZHhMHf-1x7Y/edit?usp=sharing"",""แผน!IF20"")"),0)</f>
        <v>0</v>
      </c>
      <c r="J652" s="184">
        <f ca="1">IFERROR(__xludf.DUMMYFUNCTION("IMPORTRANGE(""https://docs.google.com/spreadsheets/d/1tdoBKaGub7dwA3U6UFTqxio9LNnvDCQjHKmttSEBsFQ/edit?usp=sharing"",""จัดที่ดิน!AU20"")"),0)</f>
        <v>0</v>
      </c>
      <c r="K652" s="224">
        <f ca="1">IF(I652&gt;0,J652*100/I652,0)</f>
        <v>0</v>
      </c>
      <c r="L652" s="465"/>
      <c r="M652" s="45"/>
      <c r="N652" s="416"/>
      <c r="O652" s="45"/>
      <c r="P652" s="45"/>
      <c r="Q652" s="45"/>
      <c r="R652" s="45"/>
      <c r="S652" s="416"/>
      <c r="T652" s="45"/>
      <c r="U652" s="45"/>
    </row>
    <row r="653" spans="1:21" ht="18.75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502">
        <f ca="1">IFERROR(__xludf.DUMMYFUNCTION("IMPORTRANGE(""https://docs.google.com/spreadsheets/d/1eHaY18a8A9IcSdp1K8H6x8fbOy06t2VsZHhMHf-1x7Y/edit?usp=sharing"",""แผน!IG20"")"),20)</f>
        <v>20</v>
      </c>
      <c r="J653" s="184">
        <f ca="1">IFERROR(__xludf.DUMMYFUNCTION("IMPORTRANGE(""https://docs.google.com/spreadsheets/d/1tdoBKaGub7dwA3U6UFTqxio9LNnvDCQjHKmttSEBsFQ/edit?usp=sharing"",""จัดที่ดิน!AW20"")"),0)</f>
        <v>0</v>
      </c>
      <c r="K653" s="224">
        <f ca="1">IF(I653&gt;0,J653*100/I653,0)</f>
        <v>0</v>
      </c>
      <c r="L653" s="465"/>
      <c r="M653" s="45"/>
      <c r="N653" s="416"/>
      <c r="O653" s="45"/>
      <c r="P653" s="45"/>
      <c r="Q653" s="45"/>
      <c r="R653" s="45"/>
      <c r="S653" s="416"/>
      <c r="T653" s="45"/>
      <c r="U653" s="45"/>
    </row>
    <row r="654" spans="1:21" ht="19.5" x14ac:dyDescent="0.3">
      <c r="A654" s="208"/>
      <c r="B654" s="158"/>
      <c r="C654" s="158"/>
      <c r="D654" s="47" t="s">
        <v>239</v>
      </c>
      <c r="E654" s="40"/>
      <c r="F654" s="40"/>
      <c r="G654" s="42"/>
      <c r="H654" s="411" t="s">
        <v>46</v>
      </c>
      <c r="I654" s="501">
        <f ca="1">IFERROR(__xludf.DUMMYFUNCTION("IMPORTRANGE(""https://docs.google.com/spreadsheets/d/1eHaY18a8A9IcSdp1K8H6x8fbOy06t2VsZHhMHf-1x7Y/edit?usp=sharing"",""แผน!IH20"")"),125)</f>
        <v>125</v>
      </c>
      <c r="J654" s="328">
        <f>J657+J660</f>
        <v>200.28</v>
      </c>
      <c r="K654" s="470">
        <f ca="1">IF(I654&gt;0,J654*100/I654,0)</f>
        <v>160.22399999999999</v>
      </c>
      <c r="L654" s="465"/>
      <c r="M654" s="45"/>
      <c r="N654" s="416"/>
      <c r="O654" s="45"/>
      <c r="P654" s="45"/>
      <c r="Q654" s="45"/>
      <c r="R654" s="45"/>
      <c r="S654" s="416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466">
        <v>39</v>
      </c>
      <c r="K655" s="45"/>
      <c r="L655" s="465"/>
      <c r="M655" s="45"/>
      <c r="N655" s="416"/>
      <c r="O655" s="45"/>
      <c r="P655" s="45"/>
      <c r="Q655" s="45"/>
      <c r="R655" s="45"/>
      <c r="S655" s="416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466">
        <v>39</v>
      </c>
      <c r="K656" s="45"/>
      <c r="L656" s="465"/>
      <c r="M656" s="45"/>
      <c r="N656" s="416"/>
      <c r="O656" s="45"/>
      <c r="P656" s="45"/>
      <c r="Q656" s="45"/>
      <c r="R656" s="45"/>
      <c r="S656" s="416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02">
        <f ca="1">IFERROR(__xludf.DUMMYFUNCTION("IMPORTRANGE(""https://docs.google.com/spreadsheets/d/1eHaY18a8A9IcSdp1K8H6x8fbOy06t2VsZHhMHf-1x7Y/edit?usp=sharing"",""แผน!II20"")"),125)</f>
        <v>125</v>
      </c>
      <c r="J657" s="466">
        <v>200.28</v>
      </c>
      <c r="K657" s="45"/>
      <c r="L657" s="465"/>
      <c r="M657" s="45"/>
      <c r="N657" s="416"/>
      <c r="O657" s="45"/>
      <c r="P657" s="45"/>
      <c r="Q657" s="45"/>
      <c r="R657" s="45"/>
      <c r="S657" s="416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466">
        <v>0</v>
      </c>
      <c r="K658" s="45"/>
      <c r="L658" s="465"/>
      <c r="M658" s="45"/>
      <c r="N658" s="416"/>
      <c r="O658" s="45"/>
      <c r="P658" s="45"/>
      <c r="Q658" s="45"/>
      <c r="R658" s="45"/>
      <c r="S658" s="416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466">
        <v>0</v>
      </c>
      <c r="K659" s="45"/>
      <c r="L659" s="465"/>
      <c r="M659" s="45"/>
      <c r="N659" s="416"/>
      <c r="O659" s="45"/>
      <c r="P659" s="45"/>
      <c r="Q659" s="45"/>
      <c r="R659" s="45"/>
      <c r="S659" s="416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02">
        <f ca="1">IFERROR(__xludf.DUMMYFUNCTION("IMPORTRANGE(""https://docs.google.com/spreadsheets/d/1eHaY18a8A9IcSdp1K8H6x8fbOy06t2VsZHhMHf-1x7Y/edit?usp=sharing"",""แผน!IJ20"")"),0)</f>
        <v>0</v>
      </c>
      <c r="J660" s="466">
        <v>0</v>
      </c>
      <c r="K660" s="45"/>
      <c r="L660" s="465"/>
      <c r="M660" s="45"/>
      <c r="N660" s="416"/>
      <c r="O660" s="45"/>
      <c r="P660" s="45"/>
      <c r="Q660" s="45"/>
      <c r="R660" s="45"/>
      <c r="S660" s="416"/>
      <c r="T660" s="45"/>
      <c r="U660" s="45"/>
    </row>
    <row r="661" spans="1:21" ht="19.5" hidden="1" x14ac:dyDescent="0.3">
      <c r="A661" s="208"/>
      <c r="B661" s="158"/>
      <c r="C661" s="158"/>
      <c r="D661" s="332" t="s">
        <v>242</v>
      </c>
      <c r="E661" s="40"/>
      <c r="F661" s="40"/>
      <c r="G661" s="42"/>
      <c r="H661" s="411" t="s">
        <v>46</v>
      </c>
      <c r="I661" s="501">
        <f ca="1">IFERROR(__xludf.DUMMYFUNCTION("IMPORTRANGE(""https://docs.google.com/spreadsheets/d/1eHaY18a8A9IcSdp1K8H6x8fbOy06t2VsZHhMHf-1x7Y/edit?usp=sharing"",""แผน!IK20"")"),0)</f>
        <v>0</v>
      </c>
      <c r="J661" s="328">
        <f>J667+J670</f>
        <v>0</v>
      </c>
      <c r="K661" s="470">
        <f ca="1">IF(I661&gt;0,J661*100/I661,0)</f>
        <v>0</v>
      </c>
      <c r="L661" s="465"/>
      <c r="M661" s="45"/>
      <c r="N661" s="416"/>
      <c r="O661" s="45"/>
      <c r="P661" s="45"/>
      <c r="Q661" s="45"/>
      <c r="R661" s="45"/>
      <c r="S661" s="416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466">
        <v>0</v>
      </c>
      <c r="K662" s="45"/>
      <c r="L662" s="500"/>
      <c r="M662" s="45"/>
      <c r="N662" s="416"/>
      <c r="O662" s="45"/>
      <c r="P662" s="45"/>
      <c r="Q662" s="416"/>
      <c r="R662" s="45"/>
      <c r="S662" s="416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466">
        <v>0</v>
      </c>
      <c r="K663" s="45"/>
      <c r="L663" s="500"/>
      <c r="M663" s="45"/>
      <c r="N663" s="416"/>
      <c r="O663" s="45"/>
      <c r="P663" s="45"/>
      <c r="Q663" s="416"/>
      <c r="R663" s="45"/>
      <c r="S663" s="416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500"/>
      <c r="M664" s="45"/>
      <c r="N664" s="416"/>
      <c r="O664" s="45"/>
      <c r="P664" s="45"/>
      <c r="Q664" s="416"/>
      <c r="R664" s="45"/>
      <c r="S664" s="416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466">
        <v>0</v>
      </c>
      <c r="K665" s="45"/>
      <c r="L665" s="500"/>
      <c r="M665" s="45"/>
      <c r="N665" s="416"/>
      <c r="O665" s="45"/>
      <c r="P665" s="45"/>
      <c r="Q665" s="416"/>
      <c r="R665" s="45"/>
      <c r="S665" s="416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466">
        <v>0</v>
      </c>
      <c r="K666" s="45"/>
      <c r="L666" s="500"/>
      <c r="M666" s="45"/>
      <c r="N666" s="416"/>
      <c r="O666" s="45"/>
      <c r="P666" s="45"/>
      <c r="Q666" s="416"/>
      <c r="R666" s="45"/>
      <c r="S666" s="416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466">
        <v>0</v>
      </c>
      <c r="K667" s="45"/>
      <c r="L667" s="500"/>
      <c r="M667" s="45"/>
      <c r="N667" s="416"/>
      <c r="O667" s="45"/>
      <c r="P667" s="45"/>
      <c r="Q667" s="416"/>
      <c r="R667" s="45"/>
      <c r="S667" s="416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466">
        <v>0</v>
      </c>
      <c r="K668" s="45"/>
      <c r="L668" s="500"/>
      <c r="M668" s="45"/>
      <c r="N668" s="416"/>
      <c r="O668" s="45"/>
      <c r="P668" s="45"/>
      <c r="Q668" s="416"/>
      <c r="R668" s="45"/>
      <c r="S668" s="416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466">
        <v>0</v>
      </c>
      <c r="K669" s="45"/>
      <c r="L669" s="500"/>
      <c r="M669" s="45"/>
      <c r="N669" s="416"/>
      <c r="O669" s="45"/>
      <c r="P669" s="45"/>
      <c r="Q669" s="416"/>
      <c r="R669" s="45"/>
      <c r="S669" s="416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466">
        <v>0</v>
      </c>
      <c r="K670" s="45"/>
      <c r="L670" s="500"/>
      <c r="M670" s="45"/>
      <c r="N670" s="416"/>
      <c r="O670" s="45"/>
      <c r="P670" s="45"/>
      <c r="Q670" s="416"/>
      <c r="R670" s="45"/>
      <c r="S670" s="416"/>
      <c r="T670" s="45"/>
      <c r="U670" s="45"/>
    </row>
    <row r="671" spans="1:21" ht="18.75" hidden="1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IFERROR(__xludf.DUMMYFUNCTION("IMPORTRANGE(""https://docs.google.com/spreadsheets/d/1tdoBKaGub7dwA3U6UFTqxio9LNnvDCQjHKmttSEBsFQ/edit?usp=sharing"",""จัดที่ดิน!AY20"")"),0)</f>
        <v>0</v>
      </c>
      <c r="K671" s="45"/>
      <c r="L671" s="465"/>
      <c r="M671" s="45"/>
      <c r="N671" s="416"/>
      <c r="O671" s="45"/>
      <c r="P671" s="45"/>
      <c r="Q671" s="45"/>
      <c r="R671" s="45"/>
      <c r="S671" s="416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IFERROR(__xludf.DUMMYFUNCTION("IMPORTRANGE(""https://docs.google.com/spreadsheets/d/1tdoBKaGub7dwA3U6UFTqxio9LNnvDCQjHKmttSEBsFQ/edit?usp=sharing"",""จัดที่ดิน!AZ20"")"),0)</f>
        <v>0</v>
      </c>
      <c r="K672" s="45"/>
      <c r="L672" s="500"/>
      <c r="M672" s="45"/>
      <c r="N672" s="416"/>
      <c r="O672" s="45"/>
      <c r="P672" s="45"/>
      <c r="Q672" s="416"/>
      <c r="R672" s="45"/>
      <c r="S672" s="416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02">
        <f ca="1">IFERROR(__xludf.DUMMYFUNCTION("IMPORTRANGE(""https://docs.google.com/spreadsheets/d/1eHaY18a8A9IcSdp1K8H6x8fbOy06t2VsZHhMHf-1x7Y/edit?usp=sharing"",""แผน!IL20"")"),0)</f>
        <v>0</v>
      </c>
      <c r="J673" s="184">
        <f ca="1">IFERROR(__xludf.DUMMYFUNCTION("IMPORTRANGE(""https://docs.google.com/spreadsheets/d/1tdoBKaGub7dwA3U6UFTqxio9LNnvDCQjHKmttSEBsFQ/edit?usp=sharing"",""จัดที่ดิน!BA20"")"),0)</f>
        <v>0</v>
      </c>
      <c r="K673" s="224">
        <f ca="1">IF(I673&gt;0,J673*100/I673,0)</f>
        <v>0</v>
      </c>
      <c r="L673" s="500"/>
      <c r="M673" s="45"/>
      <c r="N673" s="416"/>
      <c r="O673" s="45"/>
      <c r="P673" s="45"/>
      <c r="Q673" s="416"/>
      <c r="R673" s="45"/>
      <c r="S673" s="416"/>
      <c r="T673" s="45"/>
      <c r="U673" s="45"/>
    </row>
    <row r="674" spans="1:21" ht="19.5" hidden="1" x14ac:dyDescent="0.3">
      <c r="A674" s="208"/>
      <c r="B674" s="158"/>
      <c r="C674" s="158"/>
      <c r="D674" s="47" t="s">
        <v>248</v>
      </c>
      <c r="E674" s="40"/>
      <c r="F674" s="40"/>
      <c r="G674" s="42"/>
      <c r="H674" s="411" t="s">
        <v>35</v>
      </c>
      <c r="I674" s="501">
        <f ca="1">IFERROR(__xludf.DUMMYFUNCTION("IMPORTRANGE(""https://docs.google.com/spreadsheets/d/1eHaY18a8A9IcSdp1K8H6x8fbOy06t2VsZHhMHf-1x7Y/edit?usp=sharing"",""แผน!IM20"")"),0)</f>
        <v>0</v>
      </c>
      <c r="J674" s="328">
        <f ca="1">J676+J679</f>
        <v>0</v>
      </c>
      <c r="K674" s="470">
        <f ca="1">IF(I674&gt;0,J674*100/I674,0)</f>
        <v>0</v>
      </c>
      <c r="L674" s="500"/>
      <c r="M674" s="45"/>
      <c r="N674" s="416"/>
      <c r="O674" s="45"/>
      <c r="P674" s="45"/>
      <c r="Q674" s="416"/>
      <c r="R674" s="45"/>
      <c r="S674" s="416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11" t="s">
        <v>46</v>
      </c>
      <c r="I675" s="501">
        <f ca="1">IFERROR(__xludf.DUMMYFUNCTION("IMPORTRANGE(""https://docs.google.com/spreadsheets/d/1eHaY18a8A9IcSdp1K8H6x8fbOy06t2VsZHhMHf-1x7Y/edit?usp=sharing"",""แผน!IN20"")"),0)</f>
        <v>0</v>
      </c>
      <c r="J675" s="328">
        <f ca="1">J678+J681</f>
        <v>0</v>
      </c>
      <c r="K675" s="470">
        <f ca="1">IF(I675&gt;0,J675*100/I675,0)</f>
        <v>0</v>
      </c>
      <c r="L675" s="465"/>
      <c r="M675" s="45"/>
      <c r="N675" s="416"/>
      <c r="O675" s="45"/>
      <c r="P675" s="45"/>
      <c r="Q675" s="45"/>
      <c r="R675" s="45"/>
      <c r="S675" s="416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502">
        <f ca="1">IFERROR(__xludf.DUMMYFUNCTION("IMPORTRANGE(""https://docs.google.com/spreadsheets/d/1eHaY18a8A9IcSdp1K8H6x8fbOy06t2VsZHhMHf-1x7Y/edit?usp=sharing"",""แผน!IO20"")"),0)</f>
        <v>0</v>
      </c>
      <c r="J676" s="184">
        <f ca="1">IFERROR(__xludf.DUMMYFUNCTION("IMPORTRANGE(""https://docs.google.com/spreadsheets/d/1tdoBKaGub7dwA3U6UFTqxio9LNnvDCQjHKmttSEBsFQ/edit?usp=sharing"",""จัดที่ดิน!BF20"")"),0)</f>
        <v>0</v>
      </c>
      <c r="K676" s="224">
        <f ca="1">IF(I676&gt;0,J676*100/I676,0)</f>
        <v>0</v>
      </c>
      <c r="L676" s="465"/>
      <c r="M676" s="45"/>
      <c r="N676" s="416"/>
      <c r="O676" s="45"/>
      <c r="P676" s="45"/>
      <c r="Q676" s="45"/>
      <c r="R676" s="45"/>
      <c r="S676" s="416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IFERROR(__xludf.DUMMYFUNCTION("IMPORTRANGE(""https://docs.google.com/spreadsheets/d/1tdoBKaGub7dwA3U6UFTqxio9LNnvDCQjHKmttSEBsFQ/edit?usp=sharing"",""จัดที่ดิน!BG20"")"),0)</f>
        <v>0</v>
      </c>
      <c r="K677" s="45"/>
      <c r="L677" s="500"/>
      <c r="M677" s="45"/>
      <c r="N677" s="416"/>
      <c r="O677" s="45"/>
      <c r="P677" s="45"/>
      <c r="Q677" s="416"/>
      <c r="R677" s="45"/>
      <c r="S677" s="416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02">
        <f ca="1">IFERROR(__xludf.DUMMYFUNCTION("IMPORTRANGE(""https://docs.google.com/spreadsheets/d/1eHaY18a8A9IcSdp1K8H6x8fbOy06t2VsZHhMHf-1x7Y/edit?usp=sharing"",""แผน!IP20"")"),0)</f>
        <v>0</v>
      </c>
      <c r="J678" s="184">
        <f ca="1">IFERROR(__xludf.DUMMYFUNCTION("IMPORTRANGE(""https://docs.google.com/spreadsheets/d/1tdoBKaGub7dwA3U6UFTqxio9LNnvDCQjHKmttSEBsFQ/edit?usp=sharing"",""จัดที่ดิน!BH20"")"),0)</f>
        <v>0</v>
      </c>
      <c r="K678" s="224">
        <f ca="1">IF(I678&gt;0,J678*100/I678,0)</f>
        <v>0</v>
      </c>
      <c r="L678" s="500"/>
      <c r="M678" s="45"/>
      <c r="N678" s="416"/>
      <c r="O678" s="45"/>
      <c r="P678" s="45"/>
      <c r="Q678" s="416"/>
      <c r="R678" s="45"/>
      <c r="S678" s="416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502">
        <f ca="1">IFERROR(__xludf.DUMMYFUNCTION("IMPORTRANGE(""https://docs.google.com/spreadsheets/d/1eHaY18a8A9IcSdp1K8H6x8fbOy06t2VsZHhMHf-1x7Y/edit?usp=sharing"",""แผน!IQ20"")"),0)</f>
        <v>0</v>
      </c>
      <c r="J679" s="184">
        <f ca="1">IFERROR(__xludf.DUMMYFUNCTION("IMPORTRANGE(""https://docs.google.com/spreadsheets/d/1tdoBKaGub7dwA3U6UFTqxio9LNnvDCQjHKmttSEBsFQ/edit?usp=sharing"",""จัดที่ดิน!BK20"")"),0)</f>
        <v>0</v>
      </c>
      <c r="K679" s="224">
        <f ca="1">IF(I679&gt;0,J679*100/I679,0)</f>
        <v>0</v>
      </c>
      <c r="L679" s="465"/>
      <c r="M679" s="45"/>
      <c r="N679" s="416"/>
      <c r="O679" s="45"/>
      <c r="P679" s="45"/>
      <c r="Q679" s="45"/>
      <c r="R679" s="45"/>
      <c r="S679" s="416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IFERROR(__xludf.DUMMYFUNCTION("IMPORTRANGE(""https://docs.google.com/spreadsheets/d/1tdoBKaGub7dwA3U6UFTqxio9LNnvDCQjHKmttSEBsFQ/edit?usp=sharing"",""จัดที่ดิน!BL20"")"),0)</f>
        <v>0</v>
      </c>
      <c r="K680" s="45"/>
      <c r="L680" s="500"/>
      <c r="M680" s="45"/>
      <c r="N680" s="416"/>
      <c r="O680" s="45"/>
      <c r="P680" s="45"/>
      <c r="Q680" s="416"/>
      <c r="R680" s="45"/>
      <c r="S680" s="416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02">
        <f ca="1">IFERROR(__xludf.DUMMYFUNCTION("IMPORTRANGE(""https://docs.google.com/spreadsheets/d/1eHaY18a8A9IcSdp1K8H6x8fbOy06t2VsZHhMHf-1x7Y/edit?usp=sharing"",""แผน!IR20"")"),0)</f>
        <v>0</v>
      </c>
      <c r="J681" s="184">
        <f ca="1">IFERROR(__xludf.DUMMYFUNCTION("IMPORTRANGE(""https://docs.google.com/spreadsheets/d/1tdoBKaGub7dwA3U6UFTqxio9LNnvDCQjHKmttSEBsFQ/edit?usp=sharing"",""จัดที่ดิน!BM20"")"),0)</f>
        <v>0</v>
      </c>
      <c r="K681" s="224">
        <f ca="1">IF(I681&gt;0,J681*100/I681,0)</f>
        <v>0</v>
      </c>
      <c r="L681" s="500"/>
      <c r="M681" s="45"/>
      <c r="N681" s="416"/>
      <c r="O681" s="45"/>
      <c r="P681" s="45"/>
      <c r="Q681" s="416"/>
      <c r="R681" s="45"/>
      <c r="S681" s="416"/>
      <c r="T681" s="45"/>
      <c r="U681" s="45"/>
    </row>
    <row r="682" spans="1:21" ht="19.5" hidden="1" x14ac:dyDescent="0.3">
      <c r="A682" s="208"/>
      <c r="B682" s="158"/>
      <c r="C682" s="158"/>
      <c r="D682" s="47" t="s">
        <v>251</v>
      </c>
      <c r="E682" s="40"/>
      <c r="F682" s="40"/>
      <c r="G682" s="42"/>
      <c r="H682" s="411" t="s">
        <v>46</v>
      </c>
      <c r="I682" s="501">
        <f ca="1">IFERROR(__xludf.DUMMYFUNCTION("IMPORTRANGE(""https://docs.google.com/spreadsheets/d/1eHaY18a8A9IcSdp1K8H6x8fbOy06t2VsZHhMHf-1x7Y/edit?usp=sharing"",""แผน!IS20"")"),0)</f>
        <v>0</v>
      </c>
      <c r="J682" s="328">
        <f>J685+J688</f>
        <v>0</v>
      </c>
      <c r="K682" s="470">
        <f ca="1">IF(I682&gt;0,J682*100/I682,0)</f>
        <v>0</v>
      </c>
      <c r="L682" s="465"/>
      <c r="M682" s="45"/>
      <c r="N682" s="416"/>
      <c r="O682" s="45"/>
      <c r="P682" s="45"/>
      <c r="Q682" s="45"/>
      <c r="R682" s="45"/>
      <c r="S682" s="416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466">
        <v>0</v>
      </c>
      <c r="K683" s="45"/>
      <c r="L683" s="500"/>
      <c r="M683" s="45"/>
      <c r="N683" s="416"/>
      <c r="O683" s="45"/>
      <c r="P683" s="45"/>
      <c r="Q683" s="416"/>
      <c r="R683" s="45"/>
      <c r="S683" s="416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466">
        <v>0</v>
      </c>
      <c r="K684" s="45"/>
      <c r="L684" s="500"/>
      <c r="M684" s="45"/>
      <c r="N684" s="416"/>
      <c r="O684" s="45"/>
      <c r="P684" s="45"/>
      <c r="Q684" s="416"/>
      <c r="R684" s="45"/>
      <c r="S684" s="416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466">
        <v>0</v>
      </c>
      <c r="K685" s="45"/>
      <c r="L685" s="500"/>
      <c r="M685" s="45"/>
      <c r="N685" s="416"/>
      <c r="O685" s="45"/>
      <c r="P685" s="45"/>
      <c r="Q685" s="416"/>
      <c r="R685" s="45"/>
      <c r="S685" s="416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466">
        <v>0</v>
      </c>
      <c r="K686" s="45"/>
      <c r="L686" s="500"/>
      <c r="M686" s="45"/>
      <c r="N686" s="416"/>
      <c r="O686" s="45"/>
      <c r="P686" s="45"/>
      <c r="Q686" s="416"/>
      <c r="R686" s="45"/>
      <c r="S686" s="416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466">
        <v>0</v>
      </c>
      <c r="K687" s="45"/>
      <c r="L687" s="500"/>
      <c r="M687" s="45"/>
      <c r="N687" s="416"/>
      <c r="O687" s="45"/>
      <c r="P687" s="45"/>
      <c r="Q687" s="416"/>
      <c r="R687" s="45"/>
      <c r="S687" s="416"/>
      <c r="T687" s="45"/>
      <c r="U687" s="45"/>
    </row>
    <row r="688" spans="1:21" ht="19.5" hidden="1" x14ac:dyDescent="0.3">
      <c r="A688" s="249"/>
      <c r="B688" s="419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464">
        <v>0</v>
      </c>
      <c r="K688" s="3"/>
      <c r="L688" s="499"/>
      <c r="M688" s="3"/>
      <c r="N688" s="420"/>
      <c r="O688" s="3"/>
      <c r="P688" s="3"/>
      <c r="Q688" s="420"/>
      <c r="R688" s="3"/>
      <c r="S688" s="420"/>
      <c r="T688" s="3"/>
      <c r="U688" s="3"/>
    </row>
    <row r="689" spans="1:21" ht="19.5" x14ac:dyDescent="0.3">
      <c r="A689" s="394"/>
      <c r="B689" s="395" t="s">
        <v>255</v>
      </c>
      <c r="C689" s="394"/>
      <c r="D689" s="396"/>
      <c r="E689" s="396"/>
      <c r="F689" s="396"/>
      <c r="G689" s="397"/>
      <c r="H689" s="434" t="s">
        <v>35</v>
      </c>
      <c r="I689" s="475">
        <f ca="1">I707</f>
        <v>70</v>
      </c>
      <c r="J689" s="475">
        <f ca="1">J707</f>
        <v>61</v>
      </c>
      <c r="K689" s="474">
        <f ca="1">IF(I689&gt;0,J689*100/I689,0)</f>
        <v>87.142857142857139</v>
      </c>
      <c r="L689" s="473"/>
      <c r="M689" s="400"/>
      <c r="N689" s="400"/>
      <c r="O689" s="400"/>
      <c r="P689" s="400"/>
      <c r="Q689" s="400"/>
      <c r="R689" s="400"/>
      <c r="S689" s="400"/>
      <c r="T689" s="400"/>
      <c r="U689" s="400"/>
    </row>
    <row r="690" spans="1:21" ht="19.5" x14ac:dyDescent="0.3">
      <c r="A690" s="128"/>
      <c r="B690" s="158"/>
      <c r="C690" s="177" t="s">
        <v>18</v>
      </c>
      <c r="D690" s="821" t="s">
        <v>19</v>
      </c>
      <c r="E690" s="793"/>
      <c r="F690" s="793"/>
      <c r="G690" s="794"/>
      <c r="H690" s="221" t="s">
        <v>14</v>
      </c>
      <c r="I690" s="44"/>
      <c r="J690" s="44"/>
      <c r="K690" s="45"/>
      <c r="L690" s="471">
        <f>L691+L692</f>
        <v>0</v>
      </c>
      <c r="M690" s="470">
        <f>M691+M692</f>
        <v>0</v>
      </c>
      <c r="N690" s="470">
        <f>N691+N692</f>
        <v>0</v>
      </c>
      <c r="O690" s="470">
        <f t="shared" ref="O690:O698" si="169">IF(L690&gt;0,N690*100/L690,0)</f>
        <v>0</v>
      </c>
      <c r="P690" s="470">
        <f t="shared" ref="P690:P698" si="170">IF(M690&gt;0,N690*100/M690,0)</f>
        <v>0</v>
      </c>
      <c r="Q690" s="470">
        <f ca="1">Q691+Q692</f>
        <v>237780</v>
      </c>
      <c r="R690" s="470">
        <f ca="1">R691+R692</f>
        <v>237780</v>
      </c>
      <c r="S690" s="470">
        <f ca="1">S691+S692</f>
        <v>47260</v>
      </c>
      <c r="T690" s="470">
        <f t="shared" ref="T690:T698" ca="1" si="171">IF(Q690&gt;0,S690*100/Q690,0)</f>
        <v>19.8755151821011</v>
      </c>
      <c r="U690" s="470">
        <f t="shared" ref="U690:U698" ca="1" si="172">IF(R690&gt;0,S690*100/R690,0)</f>
        <v>19.8755151821011</v>
      </c>
    </row>
    <row r="691" spans="1:21" ht="18.75" hidden="1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469">
        <f t="shared" ref="L691:N692" si="173">L694+L697</f>
        <v>0</v>
      </c>
      <c r="M691" s="83">
        <f t="shared" si="173"/>
        <v>0</v>
      </c>
      <c r="N691" s="83">
        <f t="shared" si="173"/>
        <v>0</v>
      </c>
      <c r="O691" s="83">
        <f t="shared" si="169"/>
        <v>0</v>
      </c>
      <c r="P691" s="83">
        <f t="shared" si="170"/>
        <v>0</v>
      </c>
      <c r="Q691" s="83">
        <f t="shared" ref="Q691:S692" si="174">Q694+Q697</f>
        <v>0</v>
      </c>
      <c r="R691" s="83">
        <f t="shared" si="174"/>
        <v>0</v>
      </c>
      <c r="S691" s="83">
        <f t="shared" si="174"/>
        <v>0</v>
      </c>
      <c r="T691" s="83">
        <f t="shared" si="171"/>
        <v>0</v>
      </c>
      <c r="U691" s="83">
        <f t="shared" si="172"/>
        <v>0</v>
      </c>
    </row>
    <row r="692" spans="1:21" ht="18.75" hidden="1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468">
        <f t="shared" si="173"/>
        <v>0</v>
      </c>
      <c r="M692" s="224">
        <f t="shared" si="173"/>
        <v>0</v>
      </c>
      <c r="N692" s="224">
        <f t="shared" si="173"/>
        <v>0</v>
      </c>
      <c r="O692" s="224">
        <f t="shared" si="169"/>
        <v>0</v>
      </c>
      <c r="P692" s="224">
        <f t="shared" si="170"/>
        <v>0</v>
      </c>
      <c r="Q692" s="224">
        <f t="shared" ca="1" si="174"/>
        <v>237780</v>
      </c>
      <c r="R692" s="224">
        <f t="shared" ca="1" si="174"/>
        <v>237780</v>
      </c>
      <c r="S692" s="224">
        <f t="shared" ca="1" si="174"/>
        <v>47260</v>
      </c>
      <c r="T692" s="224">
        <f t="shared" ca="1" si="171"/>
        <v>19.8755151821011</v>
      </c>
      <c r="U692" s="224">
        <f t="shared" ca="1" si="172"/>
        <v>19.8755151821011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468">
        <f>L694+L695</f>
        <v>0</v>
      </c>
      <c r="M693" s="224">
        <f>M694+M695</f>
        <v>0</v>
      </c>
      <c r="N693" s="224">
        <f>N694+N695</f>
        <v>0</v>
      </c>
      <c r="O693" s="224">
        <f t="shared" si="169"/>
        <v>0</v>
      </c>
      <c r="P693" s="224">
        <f t="shared" si="170"/>
        <v>0</v>
      </c>
      <c r="Q693" s="224">
        <f ca="1">Q694+Q695</f>
        <v>237780</v>
      </c>
      <c r="R693" s="224">
        <f ca="1">R694+R695</f>
        <v>237780</v>
      </c>
      <c r="S693" s="224">
        <f ca="1">S694+S695</f>
        <v>47260</v>
      </c>
      <c r="T693" s="224">
        <f t="shared" ca="1" si="171"/>
        <v>19.8755151821011</v>
      </c>
      <c r="U693" s="224">
        <f t="shared" ca="1" si="172"/>
        <v>19.8755151821011</v>
      </c>
    </row>
    <row r="694" spans="1:21" ht="18.75" hidden="1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469">
        <v>0</v>
      </c>
      <c r="M694" s="83">
        <v>0</v>
      </c>
      <c r="N694" s="83">
        <v>0</v>
      </c>
      <c r="O694" s="83">
        <f t="shared" si="169"/>
        <v>0</v>
      </c>
      <c r="P694" s="83">
        <f t="shared" si="170"/>
        <v>0</v>
      </c>
      <c r="Q694" s="83">
        <v>0</v>
      </c>
      <c r="R694" s="83">
        <v>0</v>
      </c>
      <c r="S694" s="83">
        <v>0</v>
      </c>
      <c r="T694" s="83">
        <f t="shared" si="171"/>
        <v>0</v>
      </c>
      <c r="U694" s="83">
        <f t="shared" si="172"/>
        <v>0</v>
      </c>
    </row>
    <row r="695" spans="1:21" ht="18.75" hidden="1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468">
        <v>0</v>
      </c>
      <c r="M695" s="224">
        <v>0</v>
      </c>
      <c r="N695" s="224">
        <v>0</v>
      </c>
      <c r="O695" s="224">
        <f t="shared" si="169"/>
        <v>0</v>
      </c>
      <c r="P695" s="224">
        <f t="shared" si="170"/>
        <v>0</v>
      </c>
      <c r="Q695" s="224">
        <f ca="1">IFERROR(__xludf.DUMMYFUNCTION("IMPORTRANGE(""https://docs.google.com/spreadsheets/d/1ItG2mGa2ceCfYo0BwxsXqNm01IGEUdYcSSLTEv9YCik/edit?usp=sharing"",""เบิกจ่ายกองทุน!L20"")"),237780)</f>
        <v>237780</v>
      </c>
      <c r="R695" s="224">
        <f ca="1">IFERROR(__xludf.DUMMYFUNCTION("IMPORTRANGE(""https://docs.google.com/spreadsheets/d/1ItG2mGa2ceCfYo0BwxsXqNm01IGEUdYcSSLTEv9YCik/edit?usp=sharing"",""เบิกจ่ายกองทุน!M20"")"),237780)</f>
        <v>237780</v>
      </c>
      <c r="S695" s="224">
        <f ca="1">IFERROR(__xludf.DUMMYFUNCTION("IMPORTRANGE(""https://docs.google.com/spreadsheets/d/1ItG2mGa2ceCfYo0BwxsXqNm01IGEUdYcSSLTEv9YCik/edit?usp=sharing"",""เบิกจ่ายกองทุน!N20"")"),47260)</f>
        <v>47260</v>
      </c>
      <c r="T695" s="224">
        <f t="shared" ca="1" si="171"/>
        <v>19.8755151821011</v>
      </c>
      <c r="U695" s="224">
        <f t="shared" ca="1" si="172"/>
        <v>19.8755151821011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468">
        <f>L697+L698</f>
        <v>0</v>
      </c>
      <c r="M696" s="224">
        <f>M697+M698</f>
        <v>0</v>
      </c>
      <c r="N696" s="224">
        <f>N697+N698</f>
        <v>0</v>
      </c>
      <c r="O696" s="224">
        <f t="shared" si="169"/>
        <v>0</v>
      </c>
      <c r="P696" s="224">
        <f t="shared" si="170"/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 t="shared" si="171"/>
        <v>0</v>
      </c>
      <c r="U696" s="224">
        <f t="shared" si="172"/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469">
        <v>0</v>
      </c>
      <c r="M697" s="83">
        <v>0</v>
      </c>
      <c r="N697" s="83">
        <v>0</v>
      </c>
      <c r="O697" s="83">
        <f t="shared" si="169"/>
        <v>0</v>
      </c>
      <c r="P697" s="83">
        <f t="shared" si="170"/>
        <v>0</v>
      </c>
      <c r="Q697" s="83">
        <v>0</v>
      </c>
      <c r="R697" s="83">
        <v>0</v>
      </c>
      <c r="S697" s="83">
        <v>0</v>
      </c>
      <c r="T697" s="83">
        <f t="shared" si="171"/>
        <v>0</v>
      </c>
      <c r="U697" s="83">
        <f t="shared" si="172"/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468">
        <v>0</v>
      </c>
      <c r="M698" s="224">
        <v>0</v>
      </c>
      <c r="N698" s="224">
        <v>0</v>
      </c>
      <c r="O698" s="224">
        <f t="shared" si="169"/>
        <v>0</v>
      </c>
      <c r="P698" s="224">
        <f t="shared" si="170"/>
        <v>0</v>
      </c>
      <c r="Q698" s="224">
        <v>0</v>
      </c>
      <c r="R698" s="224">
        <v>0</v>
      </c>
      <c r="S698" s="224">
        <v>0</v>
      </c>
      <c r="T698" s="224">
        <f t="shared" si="171"/>
        <v>0</v>
      </c>
      <c r="U698" s="224">
        <f t="shared" si="172"/>
        <v>0</v>
      </c>
    </row>
    <row r="699" spans="1:21" ht="19.5" x14ac:dyDescent="0.3">
      <c r="A699" s="138"/>
      <c r="B699" s="139"/>
      <c r="C699" s="177" t="s">
        <v>18</v>
      </c>
      <c r="D699" s="498" t="s">
        <v>38</v>
      </c>
      <c r="E699" s="141"/>
      <c r="F699" s="141"/>
      <c r="G699" s="141"/>
      <c r="H699" s="178"/>
      <c r="I699" s="135"/>
      <c r="J699" s="135"/>
      <c r="K699" s="136"/>
      <c r="L699" s="465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IFERROR(__xludf.DUMMYFUNCTION("IMPORTRANGE(""https://docs.google.com/spreadsheets/d/1eHaY18a8A9IcSdp1K8H6x8fbOy06t2VsZHhMHf-1x7Y/edit?usp=sharing"",""แผน!LC20"")"),3)</f>
        <v>3</v>
      </c>
      <c r="J700" s="466">
        <v>0</v>
      </c>
      <c r="K700" s="497">
        <f t="shared" ref="K700:K710" ca="1" si="175">IF(I700&gt;0,J700*100/I700,0)</f>
        <v>0</v>
      </c>
      <c r="L700" s="4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24" t="s">
        <v>258</v>
      </c>
      <c r="F701" s="145"/>
      <c r="G701" s="143"/>
      <c r="H701" s="131" t="s">
        <v>35</v>
      </c>
      <c r="I701" s="328">
        <f ca="1">I703+I705</f>
        <v>74</v>
      </c>
      <c r="J701" s="328">
        <f ca="1">J703+J705</f>
        <v>61</v>
      </c>
      <c r="K701" s="470">
        <f t="shared" ca="1" si="175"/>
        <v>82.432432432432435</v>
      </c>
      <c r="L701" s="4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78.36</v>
      </c>
      <c r="K702" s="470">
        <f t="shared" si="175"/>
        <v>0</v>
      </c>
      <c r="L702" s="4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IFERROR(__xludf.DUMMYFUNCTION("IMPORTRANGE(""https://docs.google.com/spreadsheets/d/1eHaY18a8A9IcSdp1K8H6x8fbOy06t2VsZHhMHf-1x7Y/edit?usp=sharing"",""แผน!LJ20"")"),70)</f>
        <v>70</v>
      </c>
      <c r="J703" s="184">
        <f ca="1">IFERROR(__xludf.DUMMYFUNCTION("IMPORTRANGE(""https://docs.google.com/spreadsheets/d/1tdoBKaGub7dwA3U6UFTqxio9LNnvDCQjHKmttSEBsFQ/edit?usp=sharing"",""จัดที่ดิน!AP20"")"),61)</f>
        <v>61</v>
      </c>
      <c r="K703" s="224">
        <f t="shared" ca="1" si="175"/>
        <v>87.142857142857139</v>
      </c>
      <c r="L703" s="4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IFERROR(__xludf.DUMMYFUNCTION("IMPORTRANGE(""https://docs.google.com/spreadsheets/d/1tdoBKaGub7dwA3U6UFTqxio9LNnvDCQjHKmttSEBsFQ/edit?usp=sharing"",""จัดที่ดิน!AQ20"")"),78.36)</f>
        <v>78.36</v>
      </c>
      <c r="K704" s="224">
        <f t="shared" si="175"/>
        <v>0</v>
      </c>
      <c r="L704" s="4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IFERROR(__xludf.DUMMYFUNCTION("IMPORTRANGE(""https://docs.google.com/spreadsheets/d/1eHaY18a8A9IcSdp1K8H6x8fbOy06t2VsZHhMHf-1x7Y/edit?usp=sharing"",""แผน!LK20"")"),4)</f>
        <v>4</v>
      </c>
      <c r="J705" s="184">
        <f ca="1">IFERROR(__xludf.DUMMYFUNCTION("IMPORTRANGE(""https://docs.google.com/spreadsheets/d/1tdoBKaGub7dwA3U6UFTqxio9LNnvDCQjHKmttSEBsFQ/edit?usp=sharing"",""จัดที่ดิน!AR20"")"),0)</f>
        <v>0</v>
      </c>
      <c r="K705" s="497">
        <f t="shared" ca="1" si="175"/>
        <v>0</v>
      </c>
      <c r="L705" s="4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IFERROR(__xludf.DUMMYFUNCTION("IMPORTRANGE(""https://docs.google.com/spreadsheets/d/1tdoBKaGub7dwA3U6UFTqxio9LNnvDCQjHKmttSEBsFQ/edit?usp=sharing"",""จัดที่ดิน!AS20"")"),0)</f>
        <v>0</v>
      </c>
      <c r="K706" s="224">
        <f t="shared" si="175"/>
        <v>0</v>
      </c>
      <c r="L706" s="4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IFERROR(__xludf.DUMMYFUNCTION("IMPORTRANGE(""https://docs.google.com/spreadsheets/d/1eHaY18a8A9IcSdp1K8H6x8fbOy06t2VsZHhMHf-1x7Y/edit?usp=sharing"",""แผน!LJ20"")"),70)</f>
        <v>70</v>
      </c>
      <c r="J707" s="184">
        <f ca="1">IFERROR(__xludf.DUMMYFUNCTION("IMPORTRANGE(""https://docs.google.com/spreadsheets/d/1tdoBKaGub7dwA3U6UFTqxio9LNnvDCQjHKmttSEBsFQ/edit?usp=sharing"",""จัดที่ดิน!BN20"")"),61)</f>
        <v>61</v>
      </c>
      <c r="K707" s="224">
        <f t="shared" ca="1" si="175"/>
        <v>87.142857142857139</v>
      </c>
      <c r="L707" s="4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25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IFERROR(__xludf.DUMMYFUNCTION("IMPORTRANGE(""https://docs.google.com/spreadsheets/d/1tdoBKaGub7dwA3U6UFTqxio9LNnvDCQjHKmttSEBsFQ/edit?usp=sharing"",""จัดที่ดิน!BO20"")"),56)</f>
        <v>56</v>
      </c>
      <c r="K708" s="224">
        <f t="shared" si="175"/>
        <v>0</v>
      </c>
      <c r="L708" s="4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IFERROR(__xludf.DUMMYFUNCTION("IMPORTRANGE(""https://docs.google.com/spreadsheets/d/1eHaY18a8A9IcSdp1K8H6x8fbOy06t2VsZHhMHf-1x7Y/edit?usp=sharing"",""แผน!LK20"")"),4)</f>
        <v>4</v>
      </c>
      <c r="J709" s="184">
        <f ca="1">IFERROR(__xludf.DUMMYFUNCTION("IMPORTRANGE(""https://docs.google.com/spreadsheets/d/1tdoBKaGub7dwA3U6UFTqxio9LNnvDCQjHKmttSEBsFQ/edit?usp=sharing"",""จัดที่ดิน!BP20"")"),2)</f>
        <v>2</v>
      </c>
      <c r="K709" s="224">
        <f t="shared" ca="1" si="175"/>
        <v>50</v>
      </c>
      <c r="L709" s="465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25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IFERROR(__xludf.DUMMYFUNCTION("IMPORTRANGE(""https://docs.google.com/spreadsheets/d/1tdoBKaGub7dwA3U6UFTqxio9LNnvDCQjHKmttSEBsFQ/edit?usp=sharing"",""จัดที่ดิน!BQ20"")"),0)</f>
        <v>0</v>
      </c>
      <c r="K710" s="224">
        <f t="shared" si="175"/>
        <v>0</v>
      </c>
      <c r="L710" s="465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496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hidden="1" x14ac:dyDescent="0.3">
      <c r="A712" s="394"/>
      <c r="B712" s="426" t="s">
        <v>265</v>
      </c>
      <c r="C712" s="394"/>
      <c r="D712" s="396"/>
      <c r="E712" s="396"/>
      <c r="F712" s="396"/>
      <c r="G712" s="397"/>
      <c r="H712" s="427" t="s">
        <v>46</v>
      </c>
      <c r="I712" s="399"/>
      <c r="J712" s="399">
        <f>J724</f>
        <v>0</v>
      </c>
      <c r="K712" s="495">
        <f>IF(I712&gt;0,J712*100/I712,0)</f>
        <v>0</v>
      </c>
      <c r="L712" s="473"/>
      <c r="M712" s="400"/>
      <c r="N712" s="400"/>
      <c r="O712" s="400"/>
      <c r="P712" s="400"/>
      <c r="Q712" s="400"/>
      <c r="R712" s="400"/>
      <c r="S712" s="400"/>
      <c r="T712" s="400"/>
      <c r="U712" s="400"/>
    </row>
    <row r="713" spans="1:21" ht="19.5" hidden="1" x14ac:dyDescent="0.3">
      <c r="A713" s="394"/>
      <c r="B713" s="426" t="s">
        <v>266</v>
      </c>
      <c r="C713" s="394"/>
      <c r="D713" s="396"/>
      <c r="E713" s="396"/>
      <c r="F713" s="396"/>
      <c r="G713" s="397"/>
      <c r="H713" s="398"/>
      <c r="I713" s="399"/>
      <c r="J713" s="399"/>
      <c r="K713" s="400"/>
      <c r="L713" s="47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128"/>
      <c r="B714" s="158"/>
      <c r="C714" s="314" t="s">
        <v>18</v>
      </c>
      <c r="D714" s="820" t="s">
        <v>19</v>
      </c>
      <c r="E714" s="793"/>
      <c r="F714" s="793"/>
      <c r="G714" s="794"/>
      <c r="H714" s="372" t="s">
        <v>14</v>
      </c>
      <c r="I714" s="44"/>
      <c r="J714" s="44"/>
      <c r="K714" s="45"/>
      <c r="L714" s="471">
        <f>L715+L716</f>
        <v>0</v>
      </c>
      <c r="M714" s="470">
        <f>M715+M716</f>
        <v>0</v>
      </c>
      <c r="N714" s="470">
        <f>N715+N716</f>
        <v>0</v>
      </c>
      <c r="O714" s="470">
        <f t="shared" ref="O714:O722" si="176">IF(L714&gt;0,N714*100/L714,0)</f>
        <v>0</v>
      </c>
      <c r="P714" s="470">
        <f t="shared" ref="P714:P722" si="177">IF(M714&gt;0,N714*100/M714,0)</f>
        <v>0</v>
      </c>
      <c r="Q714" s="470">
        <f>Q715+Q716</f>
        <v>0</v>
      </c>
      <c r="R714" s="470">
        <f>R715+R716</f>
        <v>0</v>
      </c>
      <c r="S714" s="470">
        <f>S715+S716</f>
        <v>0</v>
      </c>
      <c r="T714" s="470">
        <f t="shared" ref="T714:T722" si="178">IF(Q714&gt;0,S714*100/Q714,0)</f>
        <v>0</v>
      </c>
      <c r="U714" s="470">
        <f t="shared" ref="U714:U722" si="179"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469">
        <f t="shared" ref="L715:N716" si="180">L718+L721</f>
        <v>0</v>
      </c>
      <c r="M715" s="83">
        <f t="shared" si="180"/>
        <v>0</v>
      </c>
      <c r="N715" s="83">
        <f t="shared" si="180"/>
        <v>0</v>
      </c>
      <c r="O715" s="83">
        <f t="shared" si="176"/>
        <v>0</v>
      </c>
      <c r="P715" s="83">
        <f t="shared" si="177"/>
        <v>0</v>
      </c>
      <c r="Q715" s="83">
        <f t="shared" ref="Q715:S716" si="181">Q718+Q721</f>
        <v>0</v>
      </c>
      <c r="R715" s="83">
        <f t="shared" si="181"/>
        <v>0</v>
      </c>
      <c r="S715" s="83">
        <f t="shared" si="181"/>
        <v>0</v>
      </c>
      <c r="T715" s="83">
        <f t="shared" si="178"/>
        <v>0</v>
      </c>
      <c r="U715" s="83">
        <f t="shared" si="179"/>
        <v>0</v>
      </c>
    </row>
    <row r="716" spans="1:21" ht="18.75" hidden="1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468">
        <f t="shared" si="180"/>
        <v>0</v>
      </c>
      <c r="M716" s="224">
        <f t="shared" si="180"/>
        <v>0</v>
      </c>
      <c r="N716" s="224">
        <f t="shared" si="180"/>
        <v>0</v>
      </c>
      <c r="O716" s="224">
        <f t="shared" si="176"/>
        <v>0</v>
      </c>
      <c r="P716" s="224">
        <f t="shared" si="177"/>
        <v>0</v>
      </c>
      <c r="Q716" s="224">
        <f t="shared" si="181"/>
        <v>0</v>
      </c>
      <c r="R716" s="224">
        <f t="shared" si="181"/>
        <v>0</v>
      </c>
      <c r="S716" s="224">
        <f t="shared" si="181"/>
        <v>0</v>
      </c>
      <c r="T716" s="224">
        <f t="shared" si="178"/>
        <v>0</v>
      </c>
      <c r="U716" s="224">
        <f t="shared" si="179"/>
        <v>0</v>
      </c>
    </row>
    <row r="717" spans="1:21" ht="19.5" hidden="1" x14ac:dyDescent="0.3">
      <c r="A717" s="128"/>
      <c r="B717" s="158"/>
      <c r="C717" s="158"/>
      <c r="D717" s="494" t="s">
        <v>22</v>
      </c>
      <c r="E717" s="40"/>
      <c r="F717" s="40"/>
      <c r="G717" s="42"/>
      <c r="H717" s="372" t="s">
        <v>14</v>
      </c>
      <c r="I717" s="135"/>
      <c r="J717" s="135"/>
      <c r="K717" s="136"/>
      <c r="L717" s="468">
        <f>L718+L719</f>
        <v>0</v>
      </c>
      <c r="M717" s="224">
        <f>M718+M719</f>
        <v>0</v>
      </c>
      <c r="N717" s="224">
        <f>N718+N719</f>
        <v>0</v>
      </c>
      <c r="O717" s="224">
        <f t="shared" si="176"/>
        <v>0</v>
      </c>
      <c r="P717" s="224">
        <f t="shared" si="177"/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 t="shared" si="178"/>
        <v>0</v>
      </c>
      <c r="U717" s="224">
        <f t="shared" si="179"/>
        <v>0</v>
      </c>
    </row>
    <row r="718" spans="1:21" ht="18.75" hidden="1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469">
        <v>0</v>
      </c>
      <c r="M718" s="83">
        <v>0</v>
      </c>
      <c r="N718" s="83">
        <v>0</v>
      </c>
      <c r="O718" s="83">
        <f t="shared" si="176"/>
        <v>0</v>
      </c>
      <c r="P718" s="83">
        <f t="shared" si="177"/>
        <v>0</v>
      </c>
      <c r="Q718" s="83">
        <v>0</v>
      </c>
      <c r="R718" s="83">
        <v>0</v>
      </c>
      <c r="S718" s="83">
        <v>0</v>
      </c>
      <c r="T718" s="83">
        <f t="shared" si="178"/>
        <v>0</v>
      </c>
      <c r="U718" s="83">
        <f t="shared" si="179"/>
        <v>0</v>
      </c>
    </row>
    <row r="719" spans="1:21" ht="18.75" hidden="1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468">
        <v>0</v>
      </c>
      <c r="M719" s="224">
        <v>0</v>
      </c>
      <c r="N719" s="224">
        <v>0</v>
      </c>
      <c r="O719" s="224">
        <f t="shared" si="176"/>
        <v>0</v>
      </c>
      <c r="P719" s="224">
        <f t="shared" si="177"/>
        <v>0</v>
      </c>
      <c r="Q719" s="224">
        <v>0</v>
      </c>
      <c r="R719" s="224">
        <v>0</v>
      </c>
      <c r="S719" s="224">
        <v>0</v>
      </c>
      <c r="T719" s="224">
        <f t="shared" si="178"/>
        <v>0</v>
      </c>
      <c r="U719" s="224">
        <f t="shared" si="179"/>
        <v>0</v>
      </c>
    </row>
    <row r="720" spans="1:21" ht="19.5" hidden="1" x14ac:dyDescent="0.3">
      <c r="A720" s="128"/>
      <c r="B720" s="158"/>
      <c r="C720" s="158"/>
      <c r="D720" s="494" t="s">
        <v>23</v>
      </c>
      <c r="E720" s="40"/>
      <c r="F720" s="40"/>
      <c r="G720" s="42"/>
      <c r="H720" s="374" t="s">
        <v>14</v>
      </c>
      <c r="I720" s="135"/>
      <c r="J720" s="135"/>
      <c r="K720" s="136"/>
      <c r="L720" s="468">
        <f>L721+L722</f>
        <v>0</v>
      </c>
      <c r="M720" s="224">
        <f>M721+M722</f>
        <v>0</v>
      </c>
      <c r="N720" s="224">
        <f>N721+N722</f>
        <v>0</v>
      </c>
      <c r="O720" s="224">
        <f t="shared" si="176"/>
        <v>0</v>
      </c>
      <c r="P720" s="224">
        <f t="shared" si="177"/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 t="shared" si="178"/>
        <v>0</v>
      </c>
      <c r="U720" s="224">
        <f t="shared" si="179"/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469">
        <v>0</v>
      </c>
      <c r="M721" s="83">
        <v>0</v>
      </c>
      <c r="N721" s="83">
        <v>0</v>
      </c>
      <c r="O721" s="83">
        <f t="shared" si="176"/>
        <v>0</v>
      </c>
      <c r="P721" s="83">
        <f t="shared" si="177"/>
        <v>0</v>
      </c>
      <c r="Q721" s="83">
        <v>0</v>
      </c>
      <c r="R721" s="83">
        <v>0</v>
      </c>
      <c r="S721" s="83">
        <v>0</v>
      </c>
      <c r="T721" s="83">
        <f t="shared" si="178"/>
        <v>0</v>
      </c>
      <c r="U721" s="83">
        <f t="shared" si="179"/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375" t="s">
        <v>14</v>
      </c>
      <c r="I722" s="135"/>
      <c r="J722" s="135"/>
      <c r="K722" s="136"/>
      <c r="L722" s="468">
        <v>0</v>
      </c>
      <c r="M722" s="224">
        <v>0</v>
      </c>
      <c r="N722" s="224">
        <v>0</v>
      </c>
      <c r="O722" s="224">
        <f t="shared" si="176"/>
        <v>0</v>
      </c>
      <c r="P722" s="224">
        <f t="shared" si="177"/>
        <v>0</v>
      </c>
      <c r="Q722" s="224">
        <v>0</v>
      </c>
      <c r="R722" s="224">
        <v>0</v>
      </c>
      <c r="S722" s="224">
        <v>0</v>
      </c>
      <c r="T722" s="224">
        <f t="shared" si="178"/>
        <v>0</v>
      </c>
      <c r="U722" s="224">
        <f t="shared" si="179"/>
        <v>0</v>
      </c>
    </row>
    <row r="723" spans="1:21" ht="19.5" hidden="1" x14ac:dyDescent="0.3">
      <c r="A723" s="138"/>
      <c r="B723" s="139"/>
      <c r="C723" s="314" t="s">
        <v>18</v>
      </c>
      <c r="D723" s="493" t="s">
        <v>38</v>
      </c>
      <c r="E723" s="141"/>
      <c r="F723" s="141"/>
      <c r="G723" s="142"/>
      <c r="H723" s="178"/>
      <c r="I723" s="135"/>
      <c r="J723" s="135"/>
      <c r="K723" s="136"/>
      <c r="L723" s="4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30">
        <v>0</v>
      </c>
      <c r="J724" s="44"/>
      <c r="K724" s="45"/>
      <c r="L724" s="465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29"/>
      <c r="B725" s="2"/>
      <c r="C725" s="2"/>
      <c r="D725" s="1"/>
      <c r="E725" s="431" t="s">
        <v>268</v>
      </c>
      <c r="F725" s="1"/>
      <c r="G725" s="52"/>
      <c r="H725" s="432" t="s">
        <v>46</v>
      </c>
      <c r="I725" s="433">
        <v>0</v>
      </c>
      <c r="J725" s="54"/>
      <c r="K725" s="3"/>
      <c r="L725" s="46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94"/>
      <c r="B726" s="395" t="s">
        <v>269</v>
      </c>
      <c r="C726" s="394"/>
      <c r="D726" s="396"/>
      <c r="E726" s="396"/>
      <c r="F726" s="396"/>
      <c r="G726" s="397"/>
      <c r="H726" s="434" t="s">
        <v>35</v>
      </c>
      <c r="I726" s="475">
        <f ca="1">IFERROR(__xludf.DUMMYFUNCTION("IMPORTRANGE(""https://docs.google.com/spreadsheets/d/1eHaY18a8A9IcSdp1K8H6x8fbOy06t2VsZHhMHf-1x7Y/edit?usp=sharing"",""แผน!GA20"")"),31)</f>
        <v>31</v>
      </c>
      <c r="J726" s="475">
        <f>J742+J746+J749</f>
        <v>0</v>
      </c>
      <c r="K726" s="474">
        <f ca="1">IF(I726&gt;0,J726*100/I726,0)</f>
        <v>0</v>
      </c>
      <c r="L726" s="473"/>
      <c r="M726" s="400"/>
      <c r="N726" s="400"/>
      <c r="O726" s="400"/>
      <c r="P726" s="400"/>
      <c r="Q726" s="400"/>
      <c r="R726" s="400"/>
      <c r="S726" s="400"/>
      <c r="T726" s="400"/>
      <c r="U726" s="400"/>
    </row>
    <row r="727" spans="1:21" ht="19.5" x14ac:dyDescent="0.3">
      <c r="A727" s="436"/>
      <c r="B727" s="394"/>
      <c r="C727" s="394"/>
      <c r="D727" s="396"/>
      <c r="E727" s="396"/>
      <c r="F727" s="396"/>
      <c r="G727" s="397"/>
      <c r="H727" s="434" t="s">
        <v>46</v>
      </c>
      <c r="I727" s="475">
        <f ca="1">IFERROR(__xludf.DUMMYFUNCTION("IMPORTRANGE(""https://docs.google.com/spreadsheets/d/1eHaY18a8A9IcSdp1K8H6x8fbOy06t2VsZHhMHf-1x7Y/edit?usp=sharing"",""แผน!FZ20"")"),300)</f>
        <v>300</v>
      </c>
      <c r="J727" s="475">
        <f>J752+J755</f>
        <v>0</v>
      </c>
      <c r="K727" s="474">
        <f ca="1">IF(I727&gt;0,J727*100/I727,0)</f>
        <v>0</v>
      </c>
      <c r="L727" s="47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128"/>
      <c r="B728" s="158"/>
      <c r="C728" s="177" t="s">
        <v>18</v>
      </c>
      <c r="D728" s="821" t="s">
        <v>19</v>
      </c>
      <c r="E728" s="793"/>
      <c r="F728" s="793"/>
      <c r="G728" s="794"/>
      <c r="H728" s="221" t="s">
        <v>14</v>
      </c>
      <c r="I728" s="44"/>
      <c r="J728" s="44"/>
      <c r="K728" s="45"/>
      <c r="L728" s="471">
        <f>L729+L730</f>
        <v>0</v>
      </c>
      <c r="M728" s="470">
        <f>M729+M730</f>
        <v>0</v>
      </c>
      <c r="N728" s="470">
        <f>N729+N730</f>
        <v>0</v>
      </c>
      <c r="O728" s="470">
        <f t="shared" ref="O728:O736" si="182">IF(L728&gt;0,N728*100/L728,0)</f>
        <v>0</v>
      </c>
      <c r="P728" s="470">
        <f t="shared" ref="P728:P736" si="183">IF(M728&gt;0,N728*100/M728,0)</f>
        <v>0</v>
      </c>
      <c r="Q728" s="470">
        <f ca="1">Q729+Q730</f>
        <v>242546</v>
      </c>
      <c r="R728" s="470">
        <f ca="1">R729+R730</f>
        <v>242546</v>
      </c>
      <c r="S728" s="470">
        <f ca="1">S729+S730</f>
        <v>9670</v>
      </c>
      <c r="T728" s="470">
        <f t="shared" ref="T728:T736" ca="1" si="184">IF(Q728&gt;0,S728*100/Q728,0)</f>
        <v>3.9868725932400451</v>
      </c>
      <c r="U728" s="470">
        <f t="shared" ref="U728:U736" ca="1" si="185">IF(R728&gt;0,S728*100/R728,0)</f>
        <v>3.9868725932400451</v>
      </c>
    </row>
    <row r="729" spans="1:21" ht="18.75" hidden="1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469">
        <f t="shared" ref="L729:N730" si="186">L732+L735</f>
        <v>0</v>
      </c>
      <c r="M729" s="83">
        <f t="shared" si="186"/>
        <v>0</v>
      </c>
      <c r="N729" s="83">
        <f t="shared" si="186"/>
        <v>0</v>
      </c>
      <c r="O729" s="83">
        <f t="shared" si="182"/>
        <v>0</v>
      </c>
      <c r="P729" s="83">
        <f t="shared" si="183"/>
        <v>0</v>
      </c>
      <c r="Q729" s="83">
        <f t="shared" ref="Q729:S730" si="187">Q732+Q735</f>
        <v>0</v>
      </c>
      <c r="R729" s="83">
        <f t="shared" si="187"/>
        <v>0</v>
      </c>
      <c r="S729" s="83">
        <f t="shared" si="187"/>
        <v>0</v>
      </c>
      <c r="T729" s="83">
        <f t="shared" si="184"/>
        <v>0</v>
      </c>
      <c r="U729" s="83">
        <f t="shared" si="185"/>
        <v>0</v>
      </c>
    </row>
    <row r="730" spans="1:21" ht="18.75" hidden="1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468">
        <f t="shared" si="186"/>
        <v>0</v>
      </c>
      <c r="M730" s="224">
        <f t="shared" si="186"/>
        <v>0</v>
      </c>
      <c r="N730" s="224">
        <f t="shared" si="186"/>
        <v>0</v>
      </c>
      <c r="O730" s="224">
        <f t="shared" si="182"/>
        <v>0</v>
      </c>
      <c r="P730" s="224">
        <f t="shared" si="183"/>
        <v>0</v>
      </c>
      <c r="Q730" s="224">
        <f t="shared" ca="1" si="187"/>
        <v>242546</v>
      </c>
      <c r="R730" s="224">
        <f t="shared" ca="1" si="187"/>
        <v>242546</v>
      </c>
      <c r="S730" s="224">
        <f t="shared" ca="1" si="187"/>
        <v>9670</v>
      </c>
      <c r="T730" s="224">
        <f t="shared" ca="1" si="184"/>
        <v>3.9868725932400451</v>
      </c>
      <c r="U730" s="224">
        <f t="shared" ca="1" si="185"/>
        <v>3.9868725932400451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468">
        <f>L732+L733</f>
        <v>0</v>
      </c>
      <c r="M731" s="224">
        <f>M732+M733</f>
        <v>0</v>
      </c>
      <c r="N731" s="224">
        <f>N732+N733</f>
        <v>0</v>
      </c>
      <c r="O731" s="224">
        <f t="shared" si="182"/>
        <v>0</v>
      </c>
      <c r="P731" s="224">
        <f t="shared" si="183"/>
        <v>0</v>
      </c>
      <c r="Q731" s="224">
        <f ca="1">Q732+Q733</f>
        <v>242546</v>
      </c>
      <c r="R731" s="224">
        <f ca="1">R732+R733</f>
        <v>242546</v>
      </c>
      <c r="S731" s="224">
        <f ca="1">S732+S733</f>
        <v>9670</v>
      </c>
      <c r="T731" s="224">
        <f t="shared" ca="1" si="184"/>
        <v>3.9868725932400451</v>
      </c>
      <c r="U731" s="224">
        <f t="shared" ca="1" si="185"/>
        <v>3.9868725932400451</v>
      </c>
    </row>
    <row r="732" spans="1:21" ht="18.75" hidden="1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469">
        <v>0</v>
      </c>
      <c r="M732" s="83">
        <v>0</v>
      </c>
      <c r="N732" s="83">
        <v>0</v>
      </c>
      <c r="O732" s="83">
        <f t="shared" si="182"/>
        <v>0</v>
      </c>
      <c r="P732" s="83">
        <f t="shared" si="183"/>
        <v>0</v>
      </c>
      <c r="Q732" s="83">
        <v>0</v>
      </c>
      <c r="R732" s="83">
        <v>0</v>
      </c>
      <c r="S732" s="83">
        <v>0</v>
      </c>
      <c r="T732" s="83">
        <f t="shared" si="184"/>
        <v>0</v>
      </c>
      <c r="U732" s="83">
        <f t="shared" si="185"/>
        <v>0</v>
      </c>
    </row>
    <row r="733" spans="1:21" ht="18.75" hidden="1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468">
        <v>0</v>
      </c>
      <c r="M733" s="224">
        <v>0</v>
      </c>
      <c r="N733" s="224">
        <v>0</v>
      </c>
      <c r="O733" s="224">
        <f t="shared" si="182"/>
        <v>0</v>
      </c>
      <c r="P733" s="224">
        <f t="shared" si="183"/>
        <v>0</v>
      </c>
      <c r="Q733" s="224">
        <f ca="1">IFERROR(__xludf.DUMMYFUNCTION("IMPORTRANGE(""https://docs.google.com/spreadsheets/d/1ItG2mGa2ceCfYo0BwxsXqNm01IGEUdYcSSLTEv9YCik/edit?usp=sharing"",""เบิกจ่ายกองทุน!O20"")"),242546)</f>
        <v>242546</v>
      </c>
      <c r="R733" s="224">
        <f ca="1">IFERROR(__xludf.DUMMYFUNCTION("IMPORTRANGE(""https://docs.google.com/spreadsheets/d/1ItG2mGa2ceCfYo0BwxsXqNm01IGEUdYcSSLTEv9YCik/edit?usp=sharing"",""เบิกจ่ายกองทุน!P20"")"),242546)</f>
        <v>242546</v>
      </c>
      <c r="S733" s="224">
        <f ca="1">IFERROR(__xludf.DUMMYFUNCTION("IMPORTRANGE(""https://docs.google.com/spreadsheets/d/1ItG2mGa2ceCfYo0BwxsXqNm01IGEUdYcSSLTEv9YCik/edit?usp=sharing"",""เบิกจ่ายกองทุน!Q20"")"),9670)</f>
        <v>9670</v>
      </c>
      <c r="T733" s="224">
        <f t="shared" ca="1" si="184"/>
        <v>3.9868725932400451</v>
      </c>
      <c r="U733" s="224">
        <f t="shared" ca="1" si="185"/>
        <v>3.9868725932400451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468">
        <f>L735+L736</f>
        <v>0</v>
      </c>
      <c r="M734" s="224">
        <f>M735+M736</f>
        <v>0</v>
      </c>
      <c r="N734" s="224">
        <f>N735+N736</f>
        <v>0</v>
      </c>
      <c r="O734" s="224">
        <f t="shared" si="182"/>
        <v>0</v>
      </c>
      <c r="P734" s="224">
        <f t="shared" si="183"/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 t="shared" si="184"/>
        <v>0</v>
      </c>
      <c r="U734" s="224">
        <f t="shared" si="185"/>
        <v>0</v>
      </c>
    </row>
    <row r="735" spans="1:21" ht="18.75" hidden="1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469">
        <v>0</v>
      </c>
      <c r="M735" s="83">
        <v>0</v>
      </c>
      <c r="N735" s="83">
        <v>0</v>
      </c>
      <c r="O735" s="83">
        <f t="shared" si="182"/>
        <v>0</v>
      </c>
      <c r="P735" s="83">
        <f t="shared" si="183"/>
        <v>0</v>
      </c>
      <c r="Q735" s="83">
        <v>0</v>
      </c>
      <c r="R735" s="83">
        <v>0</v>
      </c>
      <c r="S735" s="83">
        <v>0</v>
      </c>
      <c r="T735" s="83">
        <f t="shared" si="184"/>
        <v>0</v>
      </c>
      <c r="U735" s="83">
        <f t="shared" si="185"/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468">
        <v>0</v>
      </c>
      <c r="M736" s="224">
        <v>0</v>
      </c>
      <c r="N736" s="224">
        <v>0</v>
      </c>
      <c r="O736" s="224">
        <f t="shared" si="182"/>
        <v>0</v>
      </c>
      <c r="P736" s="224">
        <f t="shared" si="183"/>
        <v>0</v>
      </c>
      <c r="Q736" s="224">
        <v>0</v>
      </c>
      <c r="R736" s="224">
        <v>0</v>
      </c>
      <c r="S736" s="224">
        <v>0</v>
      </c>
      <c r="T736" s="224">
        <f t="shared" si="184"/>
        <v>0</v>
      </c>
      <c r="U736" s="224">
        <f t="shared" si="185"/>
        <v>0</v>
      </c>
    </row>
    <row r="737" spans="1:21" ht="19.5" x14ac:dyDescent="0.3">
      <c r="A737" s="138"/>
      <c r="B737" s="139"/>
      <c r="C737" s="177" t="s">
        <v>18</v>
      </c>
      <c r="D737" s="491" t="s">
        <v>38</v>
      </c>
      <c r="E737" s="203"/>
      <c r="F737" s="141"/>
      <c r="G737" s="142"/>
      <c r="H737" s="178"/>
      <c r="I737" s="44"/>
      <c r="J737" s="44"/>
      <c r="K737" s="45"/>
      <c r="L737" s="465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7" t="s">
        <v>121</v>
      </c>
      <c r="E738" s="139"/>
      <c r="F738" s="139"/>
      <c r="G738" s="143"/>
      <c r="H738" s="180"/>
      <c r="I738" s="44"/>
      <c r="J738" s="44"/>
      <c r="K738" s="45"/>
      <c r="L738" s="465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10" t="s">
        <v>270</v>
      </c>
      <c r="F739" s="139"/>
      <c r="G739" s="143"/>
      <c r="H739" s="180"/>
      <c r="I739" s="44"/>
      <c r="J739" s="44"/>
      <c r="K739" s="45"/>
      <c r="L739" s="465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485"/>
      <c r="B740" s="484"/>
      <c r="C740" s="484"/>
      <c r="D740" s="484"/>
      <c r="E740" s="484"/>
      <c r="F740" s="489" t="s">
        <v>271</v>
      </c>
      <c r="G740" s="481"/>
      <c r="H740" s="480" t="s">
        <v>46</v>
      </c>
      <c r="I740" s="487">
        <f ca="1">IFERROR(__xludf.DUMMYFUNCTION("IMPORTRANGE(""https://docs.google.com/spreadsheets/d/1eHaY18a8A9IcSdp1K8H6x8fbOy06t2VsZHhMHf-1x7Y/edit?usp=sharing"",""แผน!GB20"")"),240)</f>
        <v>240</v>
      </c>
      <c r="J740" s="478">
        <v>0</v>
      </c>
      <c r="K740" s="486">
        <f ca="1">IF(I740&gt;0,J740*100/I740,0)</f>
        <v>0</v>
      </c>
      <c r="L740" s="477"/>
      <c r="M740" s="476"/>
      <c r="N740" s="476"/>
      <c r="O740" s="476"/>
      <c r="P740" s="476"/>
      <c r="Q740" s="476"/>
      <c r="R740" s="476"/>
      <c r="S740" s="476"/>
      <c r="T740" s="476"/>
      <c r="U740" s="476"/>
    </row>
    <row r="741" spans="1:21" ht="18.75" x14ac:dyDescent="0.25">
      <c r="A741" s="485"/>
      <c r="B741" s="484"/>
      <c r="C741" s="484"/>
      <c r="D741" s="484"/>
      <c r="E741" s="484"/>
      <c r="F741" s="489" t="s">
        <v>306</v>
      </c>
      <c r="G741" s="481"/>
      <c r="H741" s="480" t="s">
        <v>35</v>
      </c>
      <c r="I741" s="479"/>
      <c r="J741" s="478">
        <v>0</v>
      </c>
      <c r="K741" s="476"/>
      <c r="L741" s="477"/>
      <c r="M741" s="476"/>
      <c r="N741" s="476"/>
      <c r="O741" s="476"/>
      <c r="P741" s="476"/>
      <c r="Q741" s="476"/>
      <c r="R741" s="476"/>
      <c r="S741" s="476"/>
      <c r="T741" s="476"/>
      <c r="U741" s="476"/>
    </row>
    <row r="742" spans="1:21" ht="18.75" x14ac:dyDescent="0.25">
      <c r="A742" s="485"/>
      <c r="B742" s="484"/>
      <c r="C742" s="484"/>
      <c r="D742" s="484"/>
      <c r="E742" s="484"/>
      <c r="F742" s="489" t="s">
        <v>305</v>
      </c>
      <c r="G742" s="481"/>
      <c r="H742" s="480" t="s">
        <v>35</v>
      </c>
      <c r="I742" s="487">
        <f ca="1">IFERROR(__xludf.DUMMYFUNCTION("IMPORTRANGE(""https://docs.google.com/spreadsheets/d/1eHaY18a8A9IcSdp1K8H6x8fbOy06t2VsZHhMHf-1x7Y/edit?usp=sharing"",""แผน!GC20"")"),24)</f>
        <v>24</v>
      </c>
      <c r="J742" s="478">
        <v>0</v>
      </c>
      <c r="K742" s="486">
        <f ca="1">IF(I742&gt;0,J742*100/I742,0)</f>
        <v>0</v>
      </c>
      <c r="L742" s="477"/>
      <c r="M742" s="476"/>
      <c r="N742" s="476"/>
      <c r="O742" s="476"/>
      <c r="P742" s="476"/>
      <c r="Q742" s="476"/>
      <c r="R742" s="476"/>
      <c r="S742" s="476"/>
      <c r="T742" s="476"/>
      <c r="U742" s="476"/>
    </row>
    <row r="743" spans="1:21" ht="18.75" x14ac:dyDescent="0.25">
      <c r="A743" s="485"/>
      <c r="B743" s="484"/>
      <c r="C743" s="484"/>
      <c r="D743" s="484"/>
      <c r="E743" s="489" t="s">
        <v>274</v>
      </c>
      <c r="F743" s="484"/>
      <c r="G743" s="481"/>
      <c r="H743" s="488"/>
      <c r="I743" s="479"/>
      <c r="J743" s="479"/>
      <c r="K743" s="476"/>
      <c r="L743" s="477"/>
      <c r="M743" s="476"/>
      <c r="N743" s="476"/>
      <c r="O743" s="476"/>
      <c r="P743" s="476"/>
      <c r="Q743" s="476"/>
      <c r="R743" s="476"/>
      <c r="S743" s="476"/>
      <c r="T743" s="476"/>
      <c r="U743" s="476"/>
    </row>
    <row r="744" spans="1:21" ht="18.75" x14ac:dyDescent="0.25">
      <c r="A744" s="485"/>
      <c r="B744" s="484"/>
      <c r="C744" s="484"/>
      <c r="D744" s="484"/>
      <c r="E744" s="484"/>
      <c r="F744" s="489" t="s">
        <v>271</v>
      </c>
      <c r="G744" s="481"/>
      <c r="H744" s="480" t="s">
        <v>46</v>
      </c>
      <c r="I744" s="487">
        <f ca="1">IFERROR(__xludf.DUMMYFUNCTION("IMPORTRANGE(""https://docs.google.com/spreadsheets/d/1eHaY18a8A9IcSdp1K8H6x8fbOy06t2VsZHhMHf-1x7Y/edit?usp=sharing"",""แผน!GD20"")"),60)</f>
        <v>60</v>
      </c>
      <c r="J744" s="478">
        <v>0</v>
      </c>
      <c r="K744" s="486">
        <f ca="1">IF(I744&gt;0,J744*100/I744,0)</f>
        <v>0</v>
      </c>
      <c r="L744" s="477"/>
      <c r="M744" s="476"/>
      <c r="N744" s="476"/>
      <c r="O744" s="476"/>
      <c r="P744" s="476"/>
      <c r="Q744" s="476"/>
      <c r="R744" s="476"/>
      <c r="S744" s="476"/>
      <c r="T744" s="476"/>
      <c r="U744" s="476"/>
    </row>
    <row r="745" spans="1:21" ht="18.75" x14ac:dyDescent="0.25">
      <c r="A745" s="485"/>
      <c r="B745" s="484"/>
      <c r="C745" s="484"/>
      <c r="D745" s="484"/>
      <c r="E745" s="484"/>
      <c r="F745" s="489" t="s">
        <v>304</v>
      </c>
      <c r="G745" s="481"/>
      <c r="H745" s="480" t="s">
        <v>35</v>
      </c>
      <c r="I745" s="479"/>
      <c r="J745" s="478">
        <v>0</v>
      </c>
      <c r="K745" s="476"/>
      <c r="L745" s="477"/>
      <c r="M745" s="476"/>
      <c r="N745" s="476"/>
      <c r="O745" s="476"/>
      <c r="P745" s="476"/>
      <c r="Q745" s="476"/>
      <c r="R745" s="476"/>
      <c r="S745" s="476"/>
      <c r="T745" s="476"/>
      <c r="U745" s="476"/>
    </row>
    <row r="746" spans="1:21" ht="18.75" x14ac:dyDescent="0.25">
      <c r="A746" s="485"/>
      <c r="B746" s="484"/>
      <c r="C746" s="484"/>
      <c r="D746" s="484"/>
      <c r="E746" s="484"/>
      <c r="F746" s="489" t="s">
        <v>303</v>
      </c>
      <c r="G746" s="481"/>
      <c r="H746" s="480" t="s">
        <v>35</v>
      </c>
      <c r="I746" s="487">
        <f ca="1">IFERROR(__xludf.DUMMYFUNCTION("IMPORTRANGE(""https://docs.google.com/spreadsheets/d/1eHaY18a8A9IcSdp1K8H6x8fbOy06t2VsZHhMHf-1x7Y/edit?usp=sharing"",""แผน!GE20"")"),6)</f>
        <v>6</v>
      </c>
      <c r="J746" s="478">
        <v>0</v>
      </c>
      <c r="K746" s="486">
        <f ca="1">IF(I746&gt;0,J746*100/I746,0)</f>
        <v>0</v>
      </c>
      <c r="L746" s="477"/>
      <c r="M746" s="476"/>
      <c r="N746" s="476"/>
      <c r="O746" s="476"/>
      <c r="P746" s="476"/>
      <c r="Q746" s="476"/>
      <c r="R746" s="476"/>
      <c r="S746" s="476"/>
      <c r="T746" s="476"/>
      <c r="U746" s="476"/>
    </row>
    <row r="747" spans="1:21" ht="18.75" x14ac:dyDescent="0.25">
      <c r="A747" s="485"/>
      <c r="B747" s="484"/>
      <c r="C747" s="484"/>
      <c r="D747" s="484"/>
      <c r="E747" s="489" t="s">
        <v>277</v>
      </c>
      <c r="F747" s="483"/>
      <c r="G747" s="481"/>
      <c r="H747" s="488"/>
      <c r="I747" s="479"/>
      <c r="J747" s="479"/>
      <c r="K747" s="476"/>
      <c r="L747" s="477"/>
      <c r="M747" s="476"/>
      <c r="N747" s="476"/>
      <c r="O747" s="476"/>
      <c r="P747" s="476"/>
      <c r="Q747" s="476"/>
      <c r="R747" s="476"/>
      <c r="S747" s="476"/>
      <c r="T747" s="476"/>
      <c r="U747" s="476"/>
    </row>
    <row r="748" spans="1:21" ht="18.75" x14ac:dyDescent="0.25">
      <c r="A748" s="485"/>
      <c r="B748" s="484"/>
      <c r="C748" s="484"/>
      <c r="D748" s="484"/>
      <c r="E748" s="484"/>
      <c r="F748" s="489" t="s">
        <v>302</v>
      </c>
      <c r="G748" s="481"/>
      <c r="H748" s="480" t="s">
        <v>35</v>
      </c>
      <c r="I748" s="479"/>
      <c r="J748" s="478">
        <v>0</v>
      </c>
      <c r="K748" s="476"/>
      <c r="L748" s="477"/>
      <c r="M748" s="476"/>
      <c r="N748" s="476"/>
      <c r="O748" s="476"/>
      <c r="P748" s="476"/>
      <c r="Q748" s="476"/>
      <c r="R748" s="476"/>
      <c r="S748" s="476"/>
      <c r="T748" s="476"/>
      <c r="U748" s="476"/>
    </row>
    <row r="749" spans="1:21" ht="18.75" x14ac:dyDescent="0.25">
      <c r="A749" s="485"/>
      <c r="B749" s="484"/>
      <c r="C749" s="484"/>
      <c r="D749" s="484"/>
      <c r="E749" s="484"/>
      <c r="F749" s="489" t="s">
        <v>301</v>
      </c>
      <c r="G749" s="481"/>
      <c r="H749" s="480" t="s">
        <v>35</v>
      </c>
      <c r="I749" s="487">
        <f ca="1">IFERROR(__xludf.DUMMYFUNCTION("IMPORTRANGE(""https://docs.google.com/spreadsheets/d/1eHaY18a8A9IcSdp1K8H6x8fbOy06t2VsZHhMHf-1x7Y/edit?usp=sharing"",""แผน!GF20"")"),1)</f>
        <v>1</v>
      </c>
      <c r="J749" s="478">
        <v>0</v>
      </c>
      <c r="K749" s="486">
        <f ca="1">IF(I749&gt;0,J749*100/I749,0)</f>
        <v>0</v>
      </c>
      <c r="L749" s="477"/>
      <c r="M749" s="476"/>
      <c r="N749" s="476"/>
      <c r="O749" s="476"/>
      <c r="P749" s="476"/>
      <c r="Q749" s="476"/>
      <c r="R749" s="476"/>
      <c r="S749" s="476"/>
      <c r="T749" s="476"/>
      <c r="U749" s="476"/>
    </row>
    <row r="750" spans="1:21" ht="19.5" x14ac:dyDescent="0.3">
      <c r="A750" s="485"/>
      <c r="B750" s="484"/>
      <c r="C750" s="484"/>
      <c r="D750" s="490" t="s">
        <v>50</v>
      </c>
      <c r="E750" s="484"/>
      <c r="F750" s="483"/>
      <c r="G750" s="481"/>
      <c r="H750" s="488"/>
      <c r="I750" s="479"/>
      <c r="J750" s="479"/>
      <c r="K750" s="476"/>
      <c r="L750" s="477"/>
      <c r="M750" s="476"/>
      <c r="N750" s="476"/>
      <c r="O750" s="476"/>
      <c r="P750" s="476"/>
      <c r="Q750" s="476"/>
      <c r="R750" s="476"/>
      <c r="S750" s="476"/>
      <c r="T750" s="476"/>
      <c r="U750" s="476"/>
    </row>
    <row r="751" spans="1:21" ht="18.75" x14ac:dyDescent="0.25">
      <c r="A751" s="485"/>
      <c r="B751" s="484"/>
      <c r="C751" s="484"/>
      <c r="D751" s="484"/>
      <c r="E751" s="489" t="s">
        <v>270</v>
      </c>
      <c r="F751" s="483"/>
      <c r="G751" s="481"/>
      <c r="H751" s="488"/>
      <c r="I751" s="479"/>
      <c r="J751" s="479"/>
      <c r="K751" s="476"/>
      <c r="L751" s="477"/>
      <c r="M751" s="476"/>
      <c r="N751" s="476"/>
      <c r="O751" s="476"/>
      <c r="P751" s="476"/>
      <c r="Q751" s="476"/>
      <c r="R751" s="476"/>
      <c r="S751" s="476"/>
      <c r="T751" s="476"/>
      <c r="U751" s="476"/>
    </row>
    <row r="752" spans="1:21" ht="18.75" x14ac:dyDescent="0.25">
      <c r="A752" s="485"/>
      <c r="B752" s="484"/>
      <c r="C752" s="484"/>
      <c r="D752" s="484"/>
      <c r="E752" s="484"/>
      <c r="F752" s="482" t="s">
        <v>300</v>
      </c>
      <c r="G752" s="481"/>
      <c r="H752" s="480" t="s">
        <v>46</v>
      </c>
      <c r="I752" s="487">
        <f ca="1">IFERROR(__xludf.DUMMYFUNCTION("IMPORTRANGE(""https://docs.google.com/spreadsheets/d/1eHaY18a8A9IcSdp1K8H6x8fbOy06t2VsZHhMHf-1x7Y/edit?usp=sharing"",""แผน!GB20"")"),240)</f>
        <v>240</v>
      </c>
      <c r="J752" s="478">
        <v>0</v>
      </c>
      <c r="K752" s="486">
        <f ca="1">IF(I752&gt;0,J752*100/I752,0)</f>
        <v>0</v>
      </c>
      <c r="L752" s="477"/>
      <c r="M752" s="476"/>
      <c r="N752" s="476"/>
      <c r="O752" s="476"/>
      <c r="P752" s="476"/>
      <c r="Q752" s="476"/>
      <c r="R752" s="476"/>
      <c r="S752" s="476"/>
      <c r="T752" s="476"/>
      <c r="U752" s="476"/>
    </row>
    <row r="753" spans="1:21" ht="18.75" x14ac:dyDescent="0.25">
      <c r="A753" s="485"/>
      <c r="B753" s="484"/>
      <c r="C753" s="484"/>
      <c r="D753" s="484"/>
      <c r="E753" s="484"/>
      <c r="F753" s="482" t="s">
        <v>299</v>
      </c>
      <c r="G753" s="481"/>
      <c r="H753" s="480" t="s">
        <v>46</v>
      </c>
      <c r="I753" s="479"/>
      <c r="J753" s="478">
        <v>0</v>
      </c>
      <c r="K753" s="476"/>
      <c r="L753" s="477"/>
      <c r="M753" s="476"/>
      <c r="N753" s="476"/>
      <c r="O753" s="476"/>
      <c r="P753" s="476"/>
      <c r="Q753" s="476"/>
      <c r="R753" s="476"/>
      <c r="S753" s="476"/>
      <c r="T753" s="476"/>
      <c r="U753" s="476"/>
    </row>
    <row r="754" spans="1:21" ht="18.75" x14ac:dyDescent="0.25">
      <c r="A754" s="485"/>
      <c r="B754" s="484"/>
      <c r="C754" s="484"/>
      <c r="D754" s="484"/>
      <c r="E754" s="489" t="s">
        <v>274</v>
      </c>
      <c r="F754" s="483"/>
      <c r="G754" s="481"/>
      <c r="H754" s="488"/>
      <c r="I754" s="479"/>
      <c r="J754" s="479"/>
      <c r="K754" s="476"/>
      <c r="L754" s="477"/>
      <c r="M754" s="476"/>
      <c r="N754" s="476"/>
      <c r="O754" s="476"/>
      <c r="P754" s="476"/>
      <c r="Q754" s="476"/>
      <c r="R754" s="476"/>
      <c r="S754" s="476"/>
      <c r="T754" s="476"/>
      <c r="U754" s="476"/>
    </row>
    <row r="755" spans="1:21" ht="18.75" x14ac:dyDescent="0.25">
      <c r="A755" s="485"/>
      <c r="B755" s="484"/>
      <c r="C755" s="484"/>
      <c r="D755" s="484"/>
      <c r="E755" s="483"/>
      <c r="F755" s="482" t="s">
        <v>298</v>
      </c>
      <c r="G755" s="481"/>
      <c r="H755" s="480" t="s">
        <v>46</v>
      </c>
      <c r="I755" s="487">
        <f ca="1">IFERROR(__xludf.DUMMYFUNCTION("IMPORTRANGE(""https://docs.google.com/spreadsheets/d/1eHaY18a8A9IcSdp1K8H6x8fbOy06t2VsZHhMHf-1x7Y/edit?usp=sharing"",""แผน!GD20"")"),60)</f>
        <v>60</v>
      </c>
      <c r="J755" s="478">
        <v>0</v>
      </c>
      <c r="K755" s="486">
        <f ca="1">IF(I755&gt;0,J755*100/I755,0)</f>
        <v>0</v>
      </c>
      <c r="L755" s="477"/>
      <c r="M755" s="476"/>
      <c r="N755" s="476"/>
      <c r="O755" s="476"/>
      <c r="P755" s="476"/>
      <c r="Q755" s="476"/>
      <c r="R755" s="476"/>
      <c r="S755" s="476"/>
      <c r="T755" s="476"/>
      <c r="U755" s="476"/>
    </row>
    <row r="756" spans="1:21" ht="18.75" x14ac:dyDescent="0.25">
      <c r="A756" s="485"/>
      <c r="B756" s="484"/>
      <c r="C756" s="484"/>
      <c r="D756" s="484"/>
      <c r="E756" s="483"/>
      <c r="F756" s="482" t="s">
        <v>297</v>
      </c>
      <c r="G756" s="481"/>
      <c r="H756" s="480" t="s">
        <v>46</v>
      </c>
      <c r="I756" s="479"/>
      <c r="J756" s="478">
        <v>0</v>
      </c>
      <c r="K756" s="476"/>
      <c r="L756" s="477"/>
      <c r="M756" s="476"/>
      <c r="N756" s="476"/>
      <c r="O756" s="476"/>
      <c r="P756" s="476"/>
      <c r="Q756" s="476"/>
      <c r="R756" s="476"/>
      <c r="S756" s="476"/>
      <c r="T756" s="476"/>
      <c r="U756" s="476"/>
    </row>
    <row r="757" spans="1:21" ht="18.75" x14ac:dyDescent="0.25">
      <c r="A757" s="438"/>
      <c r="B757" s="438"/>
      <c r="C757" s="438"/>
      <c r="D757" s="438"/>
      <c r="E757" s="439" t="s">
        <v>284</v>
      </c>
      <c r="F757" s="440"/>
      <c r="G757" s="441"/>
      <c r="H757" s="442" t="s">
        <v>35</v>
      </c>
      <c r="I757" s="443"/>
      <c r="J757" s="444">
        <v>0</v>
      </c>
      <c r="K757" s="445"/>
      <c r="L757" s="445"/>
      <c r="M757" s="445"/>
      <c r="N757" s="445"/>
      <c r="O757" s="445"/>
      <c r="P757" s="445"/>
      <c r="Q757" s="445"/>
      <c r="R757" s="445"/>
      <c r="S757" s="445"/>
      <c r="T757" s="445"/>
      <c r="U757" s="445"/>
    </row>
    <row r="758" spans="1:21" ht="19.5" x14ac:dyDescent="0.3">
      <c r="A758" s="394"/>
      <c r="B758" s="395" t="s">
        <v>285</v>
      </c>
      <c r="C758" s="394"/>
      <c r="D758" s="396"/>
      <c r="E758" s="396"/>
      <c r="F758" s="396"/>
      <c r="G758" s="397"/>
      <c r="H758" s="434" t="s">
        <v>35</v>
      </c>
      <c r="I758" s="475">
        <f ca="1">I772</f>
        <v>80</v>
      </c>
      <c r="J758" s="475">
        <f>J772</f>
        <v>80</v>
      </c>
      <c r="K758" s="474">
        <f ca="1">IF(I758&gt;0,J758*100/I758,0)</f>
        <v>100</v>
      </c>
      <c r="L758" s="47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6"/>
      <c r="B759" s="394"/>
      <c r="C759" s="394"/>
      <c r="D759" s="396"/>
      <c r="E759" s="396"/>
      <c r="F759" s="396"/>
      <c r="G759" s="397"/>
      <c r="H759" s="434" t="s">
        <v>46</v>
      </c>
      <c r="I759" s="475">
        <f ca="1">I774</f>
        <v>140</v>
      </c>
      <c r="J759" s="475">
        <f>J774</f>
        <v>140</v>
      </c>
      <c r="K759" s="474">
        <f ca="1">IF(I759&gt;0,J759*100/I759,0)</f>
        <v>100</v>
      </c>
      <c r="L759" s="47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8"/>
      <c r="C760" s="177" t="s">
        <v>18</v>
      </c>
      <c r="D760" s="821" t="s">
        <v>19</v>
      </c>
      <c r="E760" s="793"/>
      <c r="F760" s="793"/>
      <c r="G760" s="794"/>
      <c r="H760" s="221" t="s">
        <v>14</v>
      </c>
      <c r="I760" s="44"/>
      <c r="J760" s="44"/>
      <c r="K760" s="45"/>
      <c r="L760" s="471">
        <f>L761+L762</f>
        <v>0</v>
      </c>
      <c r="M760" s="470">
        <f>M761+M762</f>
        <v>0</v>
      </c>
      <c r="N760" s="470">
        <f>N761+N762</f>
        <v>0</v>
      </c>
      <c r="O760" s="470">
        <f t="shared" ref="O760:O768" si="188">IF(L760&gt;0,N760*100/L760,0)</f>
        <v>0</v>
      </c>
      <c r="P760" s="470">
        <f t="shared" ref="P760:P768" si="189">IF(M760&gt;0,N760*100/M760,0)</f>
        <v>0</v>
      </c>
      <c r="Q760" s="470">
        <f ca="1">Q761+Q762</f>
        <v>484700</v>
      </c>
      <c r="R760" s="470">
        <f ca="1">R761+R762</f>
        <v>484700</v>
      </c>
      <c r="S760" s="470">
        <f ca="1">S761+S762</f>
        <v>158755</v>
      </c>
      <c r="T760" s="470">
        <f t="shared" ref="T760:T768" ca="1" si="190">IF(Q760&gt;0,S760*100/Q760,0)</f>
        <v>32.753249432638746</v>
      </c>
      <c r="U760" s="470">
        <f t="shared" ref="U760:U768" ca="1" si="191">IF(R760&gt;0,S760*100/R760,0)</f>
        <v>32.753249432638746</v>
      </c>
    </row>
    <row r="761" spans="1:21" ht="18.75" hidden="1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469">
        <f t="shared" ref="L761:N762" si="192">L764+L767</f>
        <v>0</v>
      </c>
      <c r="M761" s="83">
        <f t="shared" si="192"/>
        <v>0</v>
      </c>
      <c r="N761" s="83">
        <f t="shared" si="192"/>
        <v>0</v>
      </c>
      <c r="O761" s="83">
        <f t="shared" si="188"/>
        <v>0</v>
      </c>
      <c r="P761" s="83">
        <f t="shared" si="189"/>
        <v>0</v>
      </c>
      <c r="Q761" s="83">
        <f t="shared" ref="Q761:S762" si="193">Q764+Q767</f>
        <v>0</v>
      </c>
      <c r="R761" s="83">
        <f t="shared" si="193"/>
        <v>0</v>
      </c>
      <c r="S761" s="83">
        <f t="shared" si="193"/>
        <v>0</v>
      </c>
      <c r="T761" s="83">
        <f t="shared" si="190"/>
        <v>0</v>
      </c>
      <c r="U761" s="83">
        <f t="shared" si="191"/>
        <v>0</v>
      </c>
    </row>
    <row r="762" spans="1:21" ht="18.75" hidden="1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468">
        <f t="shared" si="192"/>
        <v>0</v>
      </c>
      <c r="M762" s="224">
        <f t="shared" si="192"/>
        <v>0</v>
      </c>
      <c r="N762" s="224">
        <f t="shared" si="192"/>
        <v>0</v>
      </c>
      <c r="O762" s="224">
        <f t="shared" si="188"/>
        <v>0</v>
      </c>
      <c r="P762" s="224">
        <f t="shared" si="189"/>
        <v>0</v>
      </c>
      <c r="Q762" s="224">
        <f t="shared" ca="1" si="193"/>
        <v>484700</v>
      </c>
      <c r="R762" s="224">
        <f t="shared" ca="1" si="193"/>
        <v>484700</v>
      </c>
      <c r="S762" s="224">
        <f t="shared" ca="1" si="193"/>
        <v>158755</v>
      </c>
      <c r="T762" s="224">
        <f t="shared" ca="1" si="190"/>
        <v>32.753249432638746</v>
      </c>
      <c r="U762" s="224">
        <f t="shared" ca="1" si="191"/>
        <v>32.753249432638746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468">
        <f>L764+L765</f>
        <v>0</v>
      </c>
      <c r="M763" s="224">
        <f>M764+M765</f>
        <v>0</v>
      </c>
      <c r="N763" s="224">
        <f>N764+N765</f>
        <v>0</v>
      </c>
      <c r="O763" s="224">
        <f t="shared" si="188"/>
        <v>0</v>
      </c>
      <c r="P763" s="224">
        <f t="shared" si="189"/>
        <v>0</v>
      </c>
      <c r="Q763" s="224">
        <f ca="1">Q764+Q765</f>
        <v>484700</v>
      </c>
      <c r="R763" s="224">
        <f ca="1">R764+R765</f>
        <v>484700</v>
      </c>
      <c r="S763" s="224">
        <f ca="1">S764+S765</f>
        <v>158755</v>
      </c>
      <c r="T763" s="224">
        <f t="shared" ca="1" si="190"/>
        <v>32.753249432638746</v>
      </c>
      <c r="U763" s="224">
        <f t="shared" ca="1" si="191"/>
        <v>32.753249432638746</v>
      </c>
    </row>
    <row r="764" spans="1:21" ht="18.75" hidden="1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469">
        <v>0</v>
      </c>
      <c r="M764" s="83">
        <v>0</v>
      </c>
      <c r="N764" s="83">
        <v>0</v>
      </c>
      <c r="O764" s="83">
        <f t="shared" si="188"/>
        <v>0</v>
      </c>
      <c r="P764" s="83">
        <f t="shared" si="189"/>
        <v>0</v>
      </c>
      <c r="Q764" s="83">
        <v>0</v>
      </c>
      <c r="R764" s="83">
        <v>0</v>
      </c>
      <c r="S764" s="83">
        <v>0</v>
      </c>
      <c r="T764" s="83">
        <f t="shared" si="190"/>
        <v>0</v>
      </c>
      <c r="U764" s="83">
        <f t="shared" si="191"/>
        <v>0</v>
      </c>
    </row>
    <row r="765" spans="1:21" ht="18.75" hidden="1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468">
        <v>0</v>
      </c>
      <c r="M765" s="224">
        <v>0</v>
      </c>
      <c r="N765" s="224">
        <v>0</v>
      </c>
      <c r="O765" s="224">
        <f t="shared" si="188"/>
        <v>0</v>
      </c>
      <c r="P765" s="224">
        <f t="shared" si="189"/>
        <v>0</v>
      </c>
      <c r="Q765" s="224">
        <f ca="1">IFERROR(__xludf.DUMMYFUNCTION("IMPORTRANGE(""https://docs.google.com/spreadsheets/d/1ItG2mGa2ceCfYo0BwxsXqNm01IGEUdYcSSLTEv9YCik/edit?usp=sharing"",""เบิกจ่ายกองทุน!U20"")"),484700)</f>
        <v>484700</v>
      </c>
      <c r="R765" s="224">
        <f ca="1">IFERROR(__xludf.DUMMYFUNCTION("IMPORTRANGE(""https://docs.google.com/spreadsheets/d/1ItG2mGa2ceCfYo0BwxsXqNm01IGEUdYcSSLTEv9YCik/edit?usp=sharing"",""เบิกจ่ายกองทุน!V20"")"),484700)</f>
        <v>484700</v>
      </c>
      <c r="S765" s="224">
        <f ca="1">IFERROR(__xludf.DUMMYFUNCTION("IMPORTRANGE(""https://docs.google.com/spreadsheets/d/1ItG2mGa2ceCfYo0BwxsXqNm01IGEUdYcSSLTEv9YCik/edit?usp=sharing"",""เบิกจ่ายกองทุน!W20"")"),158755)</f>
        <v>158755</v>
      </c>
      <c r="T765" s="224">
        <f t="shared" ca="1" si="190"/>
        <v>32.753249432638746</v>
      </c>
      <c r="U765" s="224">
        <f t="shared" ca="1" si="191"/>
        <v>32.753249432638746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468">
        <f>L767+L768</f>
        <v>0</v>
      </c>
      <c r="M766" s="224">
        <f>M767+M768</f>
        <v>0</v>
      </c>
      <c r="N766" s="224">
        <f>N767+N768</f>
        <v>0</v>
      </c>
      <c r="O766" s="224">
        <f t="shared" si="188"/>
        <v>0</v>
      </c>
      <c r="P766" s="224">
        <f t="shared" si="189"/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 t="shared" si="190"/>
        <v>0</v>
      </c>
      <c r="U766" s="224">
        <f t="shared" si="191"/>
        <v>0</v>
      </c>
    </row>
    <row r="767" spans="1:21" ht="18.75" hidden="1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469">
        <v>0</v>
      </c>
      <c r="M767" s="83">
        <v>0</v>
      </c>
      <c r="N767" s="83">
        <v>0</v>
      </c>
      <c r="O767" s="83">
        <f t="shared" si="188"/>
        <v>0</v>
      </c>
      <c r="P767" s="83">
        <f t="shared" si="189"/>
        <v>0</v>
      </c>
      <c r="Q767" s="83">
        <v>0</v>
      </c>
      <c r="R767" s="83">
        <v>0</v>
      </c>
      <c r="S767" s="83">
        <v>0</v>
      </c>
      <c r="T767" s="83">
        <f t="shared" si="190"/>
        <v>0</v>
      </c>
      <c r="U767" s="83">
        <f t="shared" si="191"/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468">
        <v>0</v>
      </c>
      <c r="M768" s="224">
        <v>0</v>
      </c>
      <c r="N768" s="224">
        <v>0</v>
      </c>
      <c r="O768" s="224">
        <f t="shared" si="188"/>
        <v>0</v>
      </c>
      <c r="P768" s="224">
        <f t="shared" si="189"/>
        <v>0</v>
      </c>
      <c r="Q768" s="224">
        <v>0</v>
      </c>
      <c r="R768" s="224">
        <v>0</v>
      </c>
      <c r="S768" s="224">
        <v>0</v>
      </c>
      <c r="T768" s="224">
        <f t="shared" si="190"/>
        <v>0</v>
      </c>
      <c r="U768" s="224">
        <f t="shared" si="191"/>
        <v>0</v>
      </c>
    </row>
    <row r="769" spans="1:21" ht="19.5" x14ac:dyDescent="0.3">
      <c r="A769" s="138"/>
      <c r="B769" s="139"/>
      <c r="C769" s="446" t="s">
        <v>18</v>
      </c>
      <c r="D769" s="467" t="s">
        <v>38</v>
      </c>
      <c r="E769" s="203"/>
      <c r="F769" s="141"/>
      <c r="G769" s="142"/>
      <c r="H769" s="178"/>
      <c r="I769" s="44"/>
      <c r="J769" s="44"/>
      <c r="K769" s="45"/>
      <c r="L769" s="465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377" t="s">
        <v>286</v>
      </c>
      <c r="E770" s="139"/>
      <c r="F770" s="145"/>
      <c r="G770" s="143"/>
      <c r="H770" s="375" t="s">
        <v>35</v>
      </c>
      <c r="I770" s="430">
        <f ca="1">IFERROR(__xludf.DUMMYFUNCTION("IMPORTRANGE(""https://docs.google.com/spreadsheets/d/1eHaY18a8A9IcSdp1K8H6x8fbOy06t2VsZHhMHf-1x7Y/edit?usp=sharing"",""แผน!FI20"")"),0)</f>
        <v>0</v>
      </c>
      <c r="J770" s="430">
        <v>0</v>
      </c>
      <c r="K770" s="83">
        <f ca="1">IF(I770&gt;0,J770*100/I770,0)</f>
        <v>0</v>
      </c>
      <c r="L770" s="465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377" t="s">
        <v>287</v>
      </c>
      <c r="E771" s="139"/>
      <c r="F771" s="145"/>
      <c r="G771" s="143"/>
      <c r="H771" s="178"/>
      <c r="I771" s="44"/>
      <c r="J771" s="44"/>
      <c r="K771" s="45"/>
      <c r="L771" s="465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10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IFERROR(__xludf.DUMMYFUNCTION("IMPORTRANGE(""https://docs.google.com/spreadsheets/d/1eHaY18a8A9IcSdp1K8H6x8fbOy06t2VsZHhMHf-1x7Y/edit?usp=sharing"",""แผน!FQ20"")"),80)</f>
        <v>80</v>
      </c>
      <c r="J772" s="466">
        <v>80</v>
      </c>
      <c r="K772" s="224">
        <f ca="1">IF(I772&gt;0,J772*100/I772,0)</f>
        <v>100</v>
      </c>
      <c r="L772" s="465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10" t="s">
        <v>289</v>
      </c>
      <c r="E773" s="139"/>
      <c r="F773" s="145"/>
      <c r="G773" s="143"/>
      <c r="H773" s="178"/>
      <c r="I773" s="44"/>
      <c r="J773" s="44"/>
      <c r="K773" s="45"/>
      <c r="L773" s="465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10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IFERROR(__xludf.DUMMYFUNCTION("IMPORTRANGE(""https://docs.google.com/spreadsheets/d/1eHaY18a8A9IcSdp1K8H6x8fbOy06t2VsZHhMHf-1x7Y/edit?usp=sharing"",""แผน!FR20"")"),140)</f>
        <v>140</v>
      </c>
      <c r="J774" s="466">
        <v>140</v>
      </c>
      <c r="K774" s="224">
        <f ca="1">IF(I774&gt;0,J774*100/I774,0)</f>
        <v>100</v>
      </c>
      <c r="L774" s="465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10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IFERROR(__xludf.DUMMYFUNCTION("IMPORTRANGE(""https://docs.google.com/spreadsheets/d/1eHaY18a8A9IcSdp1K8H6x8fbOy06t2VsZHhMHf-1x7Y/edit?usp=sharing"",""แผน!FS20"")"),140)</f>
        <v>140</v>
      </c>
      <c r="J775" s="466">
        <v>0</v>
      </c>
      <c r="K775" s="45"/>
      <c r="L775" s="465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IFERROR(__xludf.DUMMYFUNCTION("IMPORTRANGE(""https://docs.google.com/spreadsheets/d/1eHaY18a8A9IcSdp1K8H6x8fbOy06t2VsZHhMHf-1x7Y/edit?usp=sharing"",""แผน!FT20"")"),80)</f>
        <v>80</v>
      </c>
      <c r="J776" s="464">
        <v>0</v>
      </c>
      <c r="K776" s="3"/>
      <c r="L776" s="46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462" t="s">
        <v>291</v>
      </c>
      <c r="B777" s="449"/>
      <c r="C777" s="449"/>
      <c r="D777" s="448"/>
      <c r="E777" s="449"/>
      <c r="F777" s="449"/>
      <c r="G777" s="450"/>
      <c r="H777" s="461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2"/>
      <c r="J777" s="453"/>
      <c r="K777" s="454"/>
      <c r="L777" s="454"/>
      <c r="M777" s="454"/>
      <c r="N777" s="454"/>
      <c r="O777" s="454"/>
      <c r="P777" s="454"/>
      <c r="Q777" s="454"/>
      <c r="R777" s="454"/>
      <c r="S777" s="454"/>
      <c r="T777" s="454"/>
      <c r="U777" s="454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IFERROR(__xludf.DUMMYFUNCTION("IMPORTRANGE(""https://docs.google.com/spreadsheets/d/10OvvATaaLtwErnr3qtWFcTmtbfpFEt5Bsqel9sXx0uE/edit?usp=sharing"",""งานกองทุน!D20"")"),4179397.67)</f>
        <v>4179397.67</v>
      </c>
      <c r="J778" s="184">
        <f ca="1">IFERROR(__xludf.DUMMYFUNCTION("IMPORTRANGE(""https://docs.google.com/spreadsheets/d/10OvvATaaLtwErnr3qtWFcTmtbfpFEt5Bsqel9sXx0uE/edit?usp=sharing"",""งานกองทุน!F20"")"),1816831.07)</f>
        <v>1816831.07</v>
      </c>
      <c r="K778" s="224">
        <f t="shared" ref="K778:K785" ca="1" si="194">IF(I778&gt;0,J778*100/I778,0)</f>
        <v>43.471122239487684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IFERROR(__xludf.DUMMYFUNCTION("IMPORTRANGE(""https://docs.google.com/spreadsheets/d/10OvvATaaLtwErnr3qtWFcTmtbfpFEt5Bsqel9sXx0uE/edit?usp=sharing"",""งานกองทุน!C20"")"),416)</f>
        <v>416</v>
      </c>
      <c r="J779" s="184">
        <f ca="1">IFERROR(__xludf.DUMMYFUNCTION("IMPORTRANGE(""https://docs.google.com/spreadsheets/d/10OvvATaaLtwErnr3qtWFcTmtbfpFEt5Bsqel9sXx0uE/edit?usp=sharing"",""งานกองทุน!E20"")"),159)</f>
        <v>159</v>
      </c>
      <c r="K779" s="224">
        <f t="shared" ca="1" si="194"/>
        <v>38.221153846153847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IFERROR(__xludf.DUMMYFUNCTION("IMPORTRANGE(""https://docs.google.com/spreadsheets/d/10OvvATaaLtwErnr3qtWFcTmtbfpFEt5Bsqel9sXx0uE/edit?usp=sharing"",""งานกองทุน!I20"")"),9863192.74)</f>
        <v>9863192.7400000002</v>
      </c>
      <c r="J780" s="184">
        <f ca="1">IFERROR(__xludf.DUMMYFUNCTION("IMPORTRANGE(""https://docs.google.com/spreadsheets/d/10OvvATaaLtwErnr3qtWFcTmtbfpFEt5Bsqel9sXx0uE/edit?usp=sharing"",""งานกองทุน!K20"")"),318055.22)</f>
        <v>318055.21999999997</v>
      </c>
      <c r="K780" s="224">
        <f t="shared" ca="1" si="194"/>
        <v>3.2246679993399376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IFERROR(__xludf.DUMMYFUNCTION("IMPORTRANGE(""https://docs.google.com/spreadsheets/d/10OvvATaaLtwErnr3qtWFcTmtbfpFEt5Bsqel9sXx0uE/edit?usp=sharing"",""งานกองทุน!H20"")"),351)</f>
        <v>351</v>
      </c>
      <c r="J781" s="184">
        <f ca="1">IFERROR(__xludf.DUMMYFUNCTION("IMPORTRANGE(""https://docs.google.com/spreadsheets/d/10OvvATaaLtwErnr3qtWFcTmtbfpFEt5Bsqel9sXx0uE/edit?usp=sharing"",""งานกองทุน!J20"")"),32)</f>
        <v>32</v>
      </c>
      <c r="K781" s="224">
        <f t="shared" ca="1" si="194"/>
        <v>9.116809116809117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IFERROR(__xludf.DUMMYFUNCTION("IMPORTRANGE(""https://docs.google.com/spreadsheets/d/10OvvATaaLtwErnr3qtWFcTmtbfpFEt5Bsqel9sXx0uE/edit?usp=sharing"",""งานกองทุน!N20"")"),118173.91)</f>
        <v>118173.91</v>
      </c>
      <c r="J782" s="184">
        <f ca="1">IFERROR(__xludf.DUMMYFUNCTION("IMPORTRANGE(""https://docs.google.com/spreadsheets/d/10OvvATaaLtwErnr3qtWFcTmtbfpFEt5Bsqel9sXx0uE/edit?usp=sharing"",""งานกองทุน!P20"")"),6757.69)</f>
        <v>6757.69</v>
      </c>
      <c r="K782" s="224">
        <f t="shared" ca="1" si="194"/>
        <v>5.7184280354267703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IFERROR(__xludf.DUMMYFUNCTION("IMPORTRANGE(""https://docs.google.com/spreadsheets/d/10OvvATaaLtwErnr3qtWFcTmtbfpFEt5Bsqel9sXx0uE/edit?usp=sharing"",""งานกองทุน!M20"")"),241)</f>
        <v>241</v>
      </c>
      <c r="J783" s="184">
        <f ca="1">IFERROR(__xludf.DUMMYFUNCTION("IMPORTRANGE(""https://docs.google.com/spreadsheets/d/10OvvATaaLtwErnr3qtWFcTmtbfpFEt5Bsqel9sXx0uE/edit?usp=sharing"",""งานกองทุน!O20"")"),15)</f>
        <v>15</v>
      </c>
      <c r="K783" s="224">
        <f t="shared" ca="1" si="194"/>
        <v>6.2240663900414939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IFERROR(__xludf.DUMMYFUNCTION("IMPORTRANGE(""https://docs.google.com/spreadsheets/d/10OvvATaaLtwErnr3qtWFcTmtbfpFEt5Bsqel9sXx0uE/edit?usp=sharing"",""งานกองทุน!S20"")"),6696000)</f>
        <v>6696000</v>
      </c>
      <c r="J784" s="184">
        <f ca="1">IFERROR(__xludf.DUMMYFUNCTION("IMPORTRANGE(""https://docs.google.com/spreadsheets/d/10OvvATaaLtwErnr3qtWFcTmtbfpFEt5Bsqel9sXx0uE/edit?usp=sharing"",""งานกองทุน!U20"")"),1260000)</f>
        <v>1260000</v>
      </c>
      <c r="K784" s="224">
        <f t="shared" ca="1" si="194"/>
        <v>18.817204301075268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IFERROR(__xludf.DUMMYFUNCTION("IMPORTRANGE(""https://docs.google.com/spreadsheets/d/10OvvATaaLtwErnr3qtWFcTmtbfpFEt5Bsqel9sXx0uE/edit?usp=sharing"",""งานกองทุน!R20"")"),133)</f>
        <v>133</v>
      </c>
      <c r="J785" s="188">
        <f ca="1">IFERROR(__xludf.DUMMYFUNCTION("IMPORTRANGE(""https://docs.google.com/spreadsheets/d/10OvvATaaLtwErnr3qtWFcTmtbfpFEt5Bsqel9sXx0uE/edit?usp=sharing"",""งานกองทุน!T20"")"),30)</f>
        <v>30</v>
      </c>
      <c r="K785" s="455">
        <f t="shared" ca="1" si="194"/>
        <v>22.556390977443609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460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4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4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horizontalDpi="4294967293" verticalDpi="4294967293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01D61-78D0-443E-AB4C-74AC09C7598D}">
  <sheetPr>
    <outlinePr summaryBelow="0" summaryRight="0"/>
  </sheetPr>
  <dimension ref="A1:U789"/>
  <sheetViews>
    <sheetView view="pageBreakPreview" zoomScale="60" zoomScaleNormal="70" workbookViewId="0">
      <pane xSplit="8" ySplit="6" topLeftCell="I7" activePane="bottomRight" state="frozen"/>
      <selection activeCell="N28" sqref="N28"/>
      <selection pane="topRight" activeCell="N28" sqref="N28"/>
      <selection pane="bottomLeft" activeCell="N28" sqref="N28"/>
      <selection pane="bottomRight" activeCell="N28" sqref="N2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7109375" bestFit="1" customWidth="1"/>
    <col min="11" max="11" width="12.42578125" bestFit="1" customWidth="1"/>
    <col min="12" max="14" width="21" bestFit="1" customWidth="1"/>
    <col min="15" max="15" width="20.140625" bestFit="1" customWidth="1"/>
    <col min="16" max="16" width="22" bestFit="1" customWidth="1"/>
    <col min="17" max="18" width="21" bestFit="1" customWidth="1"/>
    <col min="19" max="19" width="18.57031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815" t="s">
        <v>0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5"/>
      <c r="T1" s="815"/>
      <c r="U1" s="815"/>
    </row>
    <row r="2" spans="1:21" ht="19.5" x14ac:dyDescent="0.3">
      <c r="A2" s="815" t="s">
        <v>324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</row>
    <row r="3" spans="1:21" ht="19.5" x14ac:dyDescent="0.3">
      <c r="A3" s="815" t="s">
        <v>335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709"/>
      <c r="L4" s="816" t="s">
        <v>2</v>
      </c>
      <c r="M4" s="800"/>
      <c r="N4" s="800"/>
      <c r="O4" s="800"/>
      <c r="P4" s="801"/>
      <c r="Q4" s="817" t="s">
        <v>3</v>
      </c>
      <c r="R4" s="800"/>
      <c r="S4" s="800"/>
      <c r="T4" s="800"/>
      <c r="U4" s="801"/>
    </row>
    <row r="5" spans="1:21" ht="19.5" x14ac:dyDescent="0.3">
      <c r="A5" s="822" t="s">
        <v>4</v>
      </c>
      <c r="B5" s="797"/>
      <c r="C5" s="797"/>
      <c r="D5" s="797"/>
      <c r="E5" s="797"/>
      <c r="F5" s="797"/>
      <c r="G5" s="798"/>
      <c r="H5" s="708" t="s">
        <v>5</v>
      </c>
      <c r="I5" s="814" t="s">
        <v>6</v>
      </c>
      <c r="J5" s="800"/>
      <c r="K5" s="801"/>
      <c r="L5" s="818" t="s">
        <v>7</v>
      </c>
      <c r="M5" s="801"/>
      <c r="N5" s="807" t="s">
        <v>8</v>
      </c>
      <c r="O5" s="800"/>
      <c r="P5" s="801"/>
      <c r="Q5" s="808" t="s">
        <v>7</v>
      </c>
      <c r="R5" s="801"/>
      <c r="S5" s="807" t="s">
        <v>8</v>
      </c>
      <c r="T5" s="800"/>
      <c r="U5" s="801"/>
    </row>
    <row r="6" spans="1:21" ht="19.5" x14ac:dyDescent="0.3">
      <c r="A6" s="799"/>
      <c r="B6" s="800"/>
      <c r="C6" s="800"/>
      <c r="D6" s="800"/>
      <c r="E6" s="800"/>
      <c r="F6" s="800"/>
      <c r="G6" s="801"/>
      <c r="H6" s="707"/>
      <c r="I6" s="6" t="s">
        <v>9</v>
      </c>
      <c r="J6" s="7" t="s">
        <v>10</v>
      </c>
      <c r="K6" s="6" t="s">
        <v>11</v>
      </c>
      <c r="L6" s="706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823"/>
      <c r="B7" s="800"/>
      <c r="C7" s="800"/>
      <c r="D7" s="800"/>
      <c r="E7" s="800"/>
      <c r="F7" s="800"/>
      <c r="G7" s="801"/>
      <c r="H7" s="14"/>
      <c r="I7" s="15"/>
      <c r="J7" s="15"/>
      <c r="K7" s="16"/>
      <c r="L7" s="580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571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71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71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71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71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71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71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71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580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803" t="s">
        <v>309</v>
      </c>
      <c r="B17" s="800"/>
      <c r="C17" s="800"/>
      <c r="D17" s="800"/>
      <c r="E17" s="800"/>
      <c r="F17" s="800"/>
      <c r="G17" s="801"/>
      <c r="H17" s="23"/>
      <c r="I17" s="24"/>
      <c r="J17" s="24"/>
      <c r="K17" s="25"/>
      <c r="L17" s="705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704">
        <f ca="1">L19+L20</f>
        <v>1752295</v>
      </c>
      <c r="M18" s="664">
        <f ca="1">M19+M20</f>
        <v>1877920</v>
      </c>
      <c r="N18" s="664">
        <f ca="1">N19+N20</f>
        <v>1627097.7899999998</v>
      </c>
      <c r="O18" s="664">
        <f t="shared" ref="O18:O26" ca="1" si="0">IF(L18&gt;0,N18*100/L18,0)</f>
        <v>92.85524355202746</v>
      </c>
      <c r="P18" s="664">
        <f t="shared" ref="P18:P26" ca="1" si="1">IF(M18&gt;0,N18*100/M18,0)</f>
        <v>86.64361580898013</v>
      </c>
      <c r="Q18" s="664">
        <f ca="1">Q19+Q20</f>
        <v>1654261.3900000001</v>
      </c>
      <c r="R18" s="664">
        <f ca="1">R19+R20</f>
        <v>1654261</v>
      </c>
      <c r="S18" s="664">
        <f ca="1">S19+S20</f>
        <v>262825</v>
      </c>
      <c r="T18" s="664">
        <f t="shared" ref="T18:T26" ca="1" si="2">IF(Q18&gt;0,S18*100/Q18,0)</f>
        <v>15.887755199315869</v>
      </c>
      <c r="U18" s="664">
        <f t="shared" ref="U18:U26" ca="1" si="3">IF(R18&gt;0,S18*100/R18,0)</f>
        <v>15.887758944930697</v>
      </c>
    </row>
    <row r="19" spans="1:21" ht="18.75" hidden="1" x14ac:dyDescent="0.25">
      <c r="A19" s="26"/>
      <c r="B19" s="27"/>
      <c r="C19" s="27"/>
      <c r="D19" s="27"/>
      <c r="E19" s="703" t="s">
        <v>20</v>
      </c>
      <c r="F19" s="27"/>
      <c r="G19" s="30"/>
      <c r="H19" s="702" t="s">
        <v>14</v>
      </c>
      <c r="I19" s="32"/>
      <c r="J19" s="32"/>
      <c r="K19" s="33"/>
      <c r="L19" s="701">
        <f t="shared" ref="L19:N20" si="4">L22+L25</f>
        <v>0</v>
      </c>
      <c r="M19" s="700">
        <f t="shared" si="4"/>
        <v>0</v>
      </c>
      <c r="N19" s="700">
        <f t="shared" si="4"/>
        <v>0</v>
      </c>
      <c r="O19" s="700">
        <f t="shared" si="0"/>
        <v>0</v>
      </c>
      <c r="P19" s="700">
        <f t="shared" si="1"/>
        <v>0</v>
      </c>
      <c r="Q19" s="700">
        <f t="shared" ref="Q19:S20" si="5">Q22+Q25</f>
        <v>0</v>
      </c>
      <c r="R19" s="700">
        <f t="shared" si="5"/>
        <v>0</v>
      </c>
      <c r="S19" s="700">
        <f t="shared" si="5"/>
        <v>0</v>
      </c>
      <c r="T19" s="700">
        <f t="shared" si="2"/>
        <v>0</v>
      </c>
      <c r="U19" s="700">
        <f t="shared" si="3"/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699">
        <f t="shared" ca="1" si="4"/>
        <v>1752295</v>
      </c>
      <c r="M20" s="698">
        <f t="shared" ca="1" si="4"/>
        <v>1877920</v>
      </c>
      <c r="N20" s="698">
        <f t="shared" ca="1" si="4"/>
        <v>1627097.7899999998</v>
      </c>
      <c r="O20" s="698">
        <f t="shared" ca="1" si="0"/>
        <v>92.85524355202746</v>
      </c>
      <c r="P20" s="698">
        <f t="shared" ca="1" si="1"/>
        <v>86.64361580898013</v>
      </c>
      <c r="Q20" s="698">
        <f t="shared" ca="1" si="5"/>
        <v>1654261.3900000001</v>
      </c>
      <c r="R20" s="698">
        <f t="shared" ca="1" si="5"/>
        <v>1654261</v>
      </c>
      <c r="S20" s="698">
        <f t="shared" ca="1" si="5"/>
        <v>262825</v>
      </c>
      <c r="T20" s="698">
        <f t="shared" ca="1" si="2"/>
        <v>15.887755199315869</v>
      </c>
      <c r="U20" s="698">
        <f t="shared" ca="1" si="3"/>
        <v>15.887758944930697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468">
        <f ca="1">L22+L23</f>
        <v>1752295</v>
      </c>
      <c r="M21" s="224">
        <f ca="1">M22+M23</f>
        <v>1877920</v>
      </c>
      <c r="N21" s="224">
        <f ca="1">N22+N23</f>
        <v>1627097.7899999998</v>
      </c>
      <c r="O21" s="224">
        <f t="shared" ca="1" si="0"/>
        <v>92.85524355202746</v>
      </c>
      <c r="P21" s="224">
        <f t="shared" ca="1" si="1"/>
        <v>86.64361580898013</v>
      </c>
      <c r="Q21" s="224">
        <f ca="1">Q22+Q23</f>
        <v>1654261.3900000001</v>
      </c>
      <c r="R21" s="224">
        <f ca="1">R22+R23</f>
        <v>1654261</v>
      </c>
      <c r="S21" s="224">
        <f ca="1">S22+S23</f>
        <v>262825</v>
      </c>
      <c r="T21" s="224">
        <f t="shared" ca="1" si="2"/>
        <v>15.887755199315869</v>
      </c>
      <c r="U21" s="224">
        <f t="shared" ca="1" si="3"/>
        <v>15.887758944930697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674" t="s">
        <v>14</v>
      </c>
      <c r="I22" s="44"/>
      <c r="J22" s="44"/>
      <c r="K22" s="45"/>
      <c r="L22" s="469">
        <f t="shared" ref="L22:N23" si="6">L48+L63+L76+L98+L129+L143+L161+L190+L177+L270+L286+L307+L324+L337+L360+L517</f>
        <v>0</v>
      </c>
      <c r="M22" s="83">
        <f t="shared" si="6"/>
        <v>0</v>
      </c>
      <c r="N22" s="83">
        <f t="shared" si="6"/>
        <v>0</v>
      </c>
      <c r="O22" s="83">
        <f t="shared" si="0"/>
        <v>0</v>
      </c>
      <c r="P22" s="83">
        <f t="shared" si="1"/>
        <v>0</v>
      </c>
      <c r="Q22" s="83">
        <f t="shared" ref="Q22:S23" si="7">Q76+Q98+Q121+Q143+Q161+Q177+Q190+Q270+Q286+Q307+Q337+Q379+Q396+Q417+Q497+Q603+Q620+Q646+Q694+Q718+Q732+Q764</f>
        <v>0</v>
      </c>
      <c r="R22" s="83">
        <f t="shared" si="7"/>
        <v>0</v>
      </c>
      <c r="S22" s="83">
        <f t="shared" si="7"/>
        <v>0</v>
      </c>
      <c r="T22" s="83">
        <f t="shared" si="2"/>
        <v>0</v>
      </c>
      <c r="U22" s="83">
        <f t="shared" si="3"/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468">
        <f t="shared" ca="1" si="6"/>
        <v>1752295</v>
      </c>
      <c r="M23" s="224">
        <f t="shared" ca="1" si="6"/>
        <v>1877920</v>
      </c>
      <c r="N23" s="224">
        <f t="shared" ca="1" si="6"/>
        <v>1627097.7899999998</v>
      </c>
      <c r="O23" s="224">
        <f t="shared" ca="1" si="0"/>
        <v>92.85524355202746</v>
      </c>
      <c r="P23" s="224">
        <f t="shared" ca="1" si="1"/>
        <v>86.64361580898013</v>
      </c>
      <c r="Q23" s="224">
        <f t="shared" ca="1" si="7"/>
        <v>1654261.3900000001</v>
      </c>
      <c r="R23" s="224">
        <f t="shared" ca="1" si="7"/>
        <v>1654261</v>
      </c>
      <c r="S23" s="224">
        <f t="shared" ca="1" si="7"/>
        <v>262825</v>
      </c>
      <c r="T23" s="224">
        <f t="shared" ca="1" si="2"/>
        <v>15.887755199315869</v>
      </c>
      <c r="U23" s="224">
        <f t="shared" ca="1" si="3"/>
        <v>15.887758944930697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468">
        <f ca="1">L25+L26</f>
        <v>0</v>
      </c>
      <c r="M24" s="224">
        <f ca="1">M25+M26</f>
        <v>0</v>
      </c>
      <c r="N24" s="224">
        <f ca="1">N25+N26</f>
        <v>0</v>
      </c>
      <c r="O24" s="224">
        <f t="shared" ca="1" si="0"/>
        <v>0</v>
      </c>
      <c r="P24" s="224">
        <f t="shared" ca="1" si="1"/>
        <v>0</v>
      </c>
      <c r="Q24" s="224">
        <f>Q25+Q26</f>
        <v>0</v>
      </c>
      <c r="R24" s="224">
        <f>R25+R26</f>
        <v>0</v>
      </c>
      <c r="S24" s="224">
        <f>S25+S26</f>
        <v>0</v>
      </c>
      <c r="T24" s="224">
        <f t="shared" si="2"/>
        <v>0</v>
      </c>
      <c r="U24" s="224">
        <f t="shared" si="3"/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674" t="s">
        <v>14</v>
      </c>
      <c r="I25" s="44"/>
      <c r="J25" s="44"/>
      <c r="K25" s="45"/>
      <c r="L25" s="469">
        <f t="shared" ref="L25:N26" si="8">L51+L66+L79+L101+L132+L146+L164+L193+L180+L273+L289+L310+L327+L340+L363+L520</f>
        <v>0</v>
      </c>
      <c r="M25" s="83">
        <f t="shared" si="8"/>
        <v>0</v>
      </c>
      <c r="N25" s="83">
        <f t="shared" si="8"/>
        <v>0</v>
      </c>
      <c r="O25" s="83">
        <f t="shared" si="0"/>
        <v>0</v>
      </c>
      <c r="P25" s="83">
        <f t="shared" si="1"/>
        <v>0</v>
      </c>
      <c r="Q25" s="83">
        <f t="shared" ref="Q25:S26" si="9">Q79+Q101+Q124+Q146+Q164+Q180+Q193+Q273+Q289+Q310+Q340+Q382+Q399+Q420+Q500+Q606+Q623+Q649+Q697+Q721+Q735+Q767</f>
        <v>0</v>
      </c>
      <c r="R25" s="83">
        <f t="shared" si="9"/>
        <v>0</v>
      </c>
      <c r="S25" s="83">
        <f t="shared" si="9"/>
        <v>0</v>
      </c>
      <c r="T25" s="83">
        <f t="shared" si="2"/>
        <v>0</v>
      </c>
      <c r="U25" s="83">
        <f t="shared" si="3"/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468">
        <f t="shared" ca="1" si="8"/>
        <v>0</v>
      </c>
      <c r="M26" s="224">
        <f t="shared" ca="1" si="8"/>
        <v>0</v>
      </c>
      <c r="N26" s="224">
        <f t="shared" ca="1" si="8"/>
        <v>0</v>
      </c>
      <c r="O26" s="224">
        <f t="shared" ca="1" si="0"/>
        <v>0</v>
      </c>
      <c r="P26" s="224">
        <f t="shared" ca="1" si="1"/>
        <v>0</v>
      </c>
      <c r="Q26" s="83">
        <f t="shared" si="9"/>
        <v>0</v>
      </c>
      <c r="R26" s="83">
        <f t="shared" si="9"/>
        <v>0</v>
      </c>
      <c r="S26" s="83">
        <f t="shared" si="9"/>
        <v>0</v>
      </c>
      <c r="T26" s="224">
        <f t="shared" si="2"/>
        <v>0</v>
      </c>
      <c r="U26" s="224">
        <f t="shared" si="3"/>
        <v>0</v>
      </c>
    </row>
    <row r="27" spans="1:21" ht="18.75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465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674" t="s">
        <v>14</v>
      </c>
      <c r="I28" s="44"/>
      <c r="J28" s="44"/>
      <c r="K28" s="45"/>
      <c r="L28" s="465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463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823"/>
      <c r="B30" s="800"/>
      <c r="C30" s="800"/>
      <c r="D30" s="800"/>
      <c r="E30" s="800"/>
      <c r="F30" s="800"/>
      <c r="G30" s="801"/>
      <c r="H30" s="14"/>
      <c r="I30" s="15"/>
      <c r="J30" s="15"/>
      <c r="K30" s="16"/>
      <c r="L30" s="580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571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7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71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7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7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7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7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71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580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697">
        <f ca="1">L44+L59+L72+L94+L125+L139+L157+L173+L186+L266+L282+L303+L320+L333+L356</f>
        <v>1752295</v>
      </c>
      <c r="M40" s="696">
        <f ca="1">M44+M59+M72+M94+M125+M139+M157+M173+M186+M266+M282+M303+M320+M333+M356</f>
        <v>1877920</v>
      </c>
      <c r="N40" s="696">
        <f ca="1">N44+N59+N72+N94+N125+N139+N157+N173+N186+N266+N282+N303+N320+N333+N356</f>
        <v>1627097.7899999998</v>
      </c>
      <c r="O40" s="696">
        <f ca="1">IF(L40&gt;0,N40*100/L40,0)</f>
        <v>92.85524355202746</v>
      </c>
      <c r="P40" s="696">
        <f ca="1">IF(M40&gt;0,N40*100/M40,0)</f>
        <v>86.64361580898013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695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571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694" t="s">
        <v>19</v>
      </c>
      <c r="E44" s="71"/>
      <c r="F44" s="71"/>
      <c r="G44" s="74"/>
      <c r="H44" s="75" t="s">
        <v>14</v>
      </c>
      <c r="I44" s="76"/>
      <c r="J44" s="76"/>
      <c r="K44" s="77"/>
      <c r="L44" s="693">
        <f ca="1">L45+L46</f>
        <v>380550</v>
      </c>
      <c r="M44" s="692">
        <f ca="1">M45+M46</f>
        <v>389240</v>
      </c>
      <c r="N44" s="692">
        <f ca="1">N45+N46</f>
        <v>369877</v>
      </c>
      <c r="O44" s="692">
        <f t="shared" ref="O44:O52" ca="1" si="10">IF(L44&gt;0,N44*100/L44,0)</f>
        <v>97.195375114965188</v>
      </c>
      <c r="P44" s="692">
        <f t="shared" ref="P44:P52" ca="1" si="11">IF(M44&gt;0,N44*100/M44,0)</f>
        <v>95.025434179426568</v>
      </c>
      <c r="Q44" s="692">
        <f>Q45+Q46</f>
        <v>0</v>
      </c>
      <c r="R44" s="692">
        <f>R45+R46</f>
        <v>0</v>
      </c>
      <c r="S44" s="692">
        <f>S45+S46</f>
        <v>0</v>
      </c>
      <c r="T44" s="692">
        <f t="shared" ref="T44:T52" si="12">IF(Q44&gt;0,S44*100/Q44,0)</f>
        <v>0</v>
      </c>
      <c r="U44" s="692">
        <f t="shared" ref="U44:U52" si="13">IF(R44&gt;0,S44*100/R44,0)</f>
        <v>0</v>
      </c>
    </row>
    <row r="45" spans="1:21" ht="18.75" hidden="1" x14ac:dyDescent="0.25">
      <c r="A45" s="70"/>
      <c r="B45" s="71"/>
      <c r="C45" s="71"/>
      <c r="D45" s="71"/>
      <c r="E45" s="691" t="s">
        <v>20</v>
      </c>
      <c r="F45" s="71"/>
      <c r="G45" s="74"/>
      <c r="H45" s="690" t="s">
        <v>14</v>
      </c>
      <c r="I45" s="76"/>
      <c r="J45" s="76"/>
      <c r="K45" s="77"/>
      <c r="L45" s="689">
        <f t="shared" ref="L45:N46" si="14">L48+L51</f>
        <v>0</v>
      </c>
      <c r="M45" s="688">
        <f t="shared" si="14"/>
        <v>0</v>
      </c>
      <c r="N45" s="688">
        <f t="shared" si="14"/>
        <v>0</v>
      </c>
      <c r="O45" s="688">
        <f t="shared" si="10"/>
        <v>0</v>
      </c>
      <c r="P45" s="688">
        <f t="shared" si="11"/>
        <v>0</v>
      </c>
      <c r="Q45" s="688">
        <f t="shared" ref="Q45:S46" si="15">Q48+Q51</f>
        <v>0</v>
      </c>
      <c r="R45" s="688">
        <f t="shared" si="15"/>
        <v>0</v>
      </c>
      <c r="S45" s="688">
        <f t="shared" si="15"/>
        <v>0</v>
      </c>
      <c r="T45" s="688">
        <f t="shared" si="12"/>
        <v>0</v>
      </c>
      <c r="U45" s="688">
        <f t="shared" si="13"/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687">
        <f t="shared" ca="1" si="14"/>
        <v>380550</v>
      </c>
      <c r="M46" s="686">
        <f t="shared" ca="1" si="14"/>
        <v>389240</v>
      </c>
      <c r="N46" s="686">
        <f t="shared" ca="1" si="14"/>
        <v>369877</v>
      </c>
      <c r="O46" s="686">
        <f t="shared" ca="1" si="10"/>
        <v>97.195375114965188</v>
      </c>
      <c r="P46" s="686">
        <f t="shared" ca="1" si="11"/>
        <v>95.025434179426568</v>
      </c>
      <c r="Q46" s="686">
        <f t="shared" si="15"/>
        <v>0</v>
      </c>
      <c r="R46" s="686">
        <f t="shared" si="15"/>
        <v>0</v>
      </c>
      <c r="S46" s="686">
        <f t="shared" si="15"/>
        <v>0</v>
      </c>
      <c r="T46" s="686">
        <f t="shared" si="12"/>
        <v>0</v>
      </c>
      <c r="U46" s="686">
        <f t="shared" si="13"/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468">
        <f ca="1">L48+L49</f>
        <v>380550</v>
      </c>
      <c r="M47" s="224">
        <f ca="1">M48+M49</f>
        <v>389240</v>
      </c>
      <c r="N47" s="224">
        <f ca="1">N48+N49</f>
        <v>369877</v>
      </c>
      <c r="O47" s="224">
        <f t="shared" ca="1" si="10"/>
        <v>97.195375114965188</v>
      </c>
      <c r="P47" s="224">
        <f t="shared" ca="1" si="11"/>
        <v>95.025434179426568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 t="shared" si="12"/>
        <v>0</v>
      </c>
      <c r="U47" s="224">
        <f t="shared" si="13"/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674" t="s">
        <v>14</v>
      </c>
      <c r="I48" s="44"/>
      <c r="J48" s="44"/>
      <c r="K48" s="45"/>
      <c r="L48" s="469">
        <v>0</v>
      </c>
      <c r="M48" s="83">
        <v>0</v>
      </c>
      <c r="N48" s="83">
        <v>0</v>
      </c>
      <c r="O48" s="83">
        <f t="shared" si="10"/>
        <v>0</v>
      </c>
      <c r="P48" s="83">
        <f t="shared" si="11"/>
        <v>0</v>
      </c>
      <c r="Q48" s="83">
        <v>0</v>
      </c>
      <c r="R48" s="83">
        <v>0</v>
      </c>
      <c r="S48" s="83">
        <v>0</v>
      </c>
      <c r="T48" s="83">
        <f t="shared" si="12"/>
        <v>0</v>
      </c>
      <c r="U48" s="83">
        <f t="shared" si="13"/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468">
        <f ca="1">IFERROR(__xludf.DUMMYFUNCTION("IMPORTRANGE(""https://docs.google.com/spreadsheets/d/1-uDff_7J0KD5mKrp0Vvzr7lt3OU09vwQwhkpOPPYv2Y/edit?usp=sharing"",""งบพรบ!P21"")"),380550)</f>
        <v>380550</v>
      </c>
      <c r="M49" s="224">
        <f ca="1">IFERROR(__xludf.DUMMYFUNCTION("IMPORTRANGE(""https://docs.google.com/spreadsheets/d/1-uDff_7J0KD5mKrp0Vvzr7lt3OU09vwQwhkpOPPYv2Y/edit?usp=sharing"",""งบพรบ!V21"")"),389240)</f>
        <v>389240</v>
      </c>
      <c r="N49" s="224">
        <f ca="1">IFERROR(__xludf.DUMMYFUNCTION("IMPORTRANGE(""https://docs.google.com/spreadsheets/d/1-uDff_7J0KD5mKrp0Vvzr7lt3OU09vwQwhkpOPPYv2Y/edit?usp=sharing"",""งบพรบ!Y21"")"),369877)</f>
        <v>369877</v>
      </c>
      <c r="O49" s="224">
        <f t="shared" ca="1" si="10"/>
        <v>97.195375114965188</v>
      </c>
      <c r="P49" s="224">
        <f t="shared" ca="1" si="11"/>
        <v>95.025434179426568</v>
      </c>
      <c r="Q49" s="224">
        <v>0</v>
      </c>
      <c r="R49" s="224">
        <v>0</v>
      </c>
      <c r="S49" s="224">
        <v>0</v>
      </c>
      <c r="T49" s="224">
        <f t="shared" si="12"/>
        <v>0</v>
      </c>
      <c r="U49" s="224">
        <f t="shared" si="13"/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468">
        <f ca="1">L51+L52</f>
        <v>0</v>
      </c>
      <c r="M50" s="224">
        <f ca="1">M51+M52</f>
        <v>0</v>
      </c>
      <c r="N50" s="224">
        <f ca="1">N51+N52</f>
        <v>0</v>
      </c>
      <c r="O50" s="224">
        <f t="shared" ca="1" si="10"/>
        <v>0</v>
      </c>
      <c r="P50" s="224">
        <f t="shared" ca="1" si="11"/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 t="shared" si="12"/>
        <v>0</v>
      </c>
      <c r="U50" s="224">
        <f t="shared" si="13"/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674" t="s">
        <v>14</v>
      </c>
      <c r="I51" s="44"/>
      <c r="J51" s="44"/>
      <c r="K51" s="45"/>
      <c r="L51" s="469">
        <v>0</v>
      </c>
      <c r="M51" s="83">
        <v>0</v>
      </c>
      <c r="N51" s="83">
        <v>0</v>
      </c>
      <c r="O51" s="83">
        <f t="shared" si="10"/>
        <v>0</v>
      </c>
      <c r="P51" s="83">
        <f t="shared" si="11"/>
        <v>0</v>
      </c>
      <c r="Q51" s="83">
        <v>0</v>
      </c>
      <c r="R51" s="83">
        <v>0</v>
      </c>
      <c r="S51" s="83">
        <v>0</v>
      </c>
      <c r="T51" s="83">
        <f t="shared" si="12"/>
        <v>0</v>
      </c>
      <c r="U51" s="83">
        <f t="shared" si="13"/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468">
        <f ca="1">IFERROR(__xludf.DUMMYFUNCTION("IMPORTRANGE(""https://docs.google.com/spreadsheets/d/1-uDff_7J0KD5mKrp0Vvzr7lt3OU09vwQwhkpOPPYv2Y/edit?usp=sharing"",""งบพรบ!S21"")"),0)</f>
        <v>0</v>
      </c>
      <c r="M52" s="224">
        <f ca="1">IFERROR(__xludf.DUMMYFUNCTION("IMPORTRANGE(""https://docs.google.com/spreadsheets/d/1-uDff_7J0KD5mKrp0Vvzr7lt3OU09vwQwhkpOPPYv2Y/edit?usp=sharing"",""งบพรบ!W21"")"),0)</f>
        <v>0</v>
      </c>
      <c r="N52" s="224">
        <f ca="1">IFERROR(__xludf.DUMMYFUNCTION("IMPORTRANGE(""https://docs.google.com/spreadsheets/d/1-uDff_7J0KD5mKrp0Vvzr7lt3OU09vwQwhkpOPPYv2Y/edit?usp=sharing"",""งบพรบ!Z21"")"),0)</f>
        <v>0</v>
      </c>
      <c r="O52" s="224">
        <f t="shared" ca="1" si="10"/>
        <v>0</v>
      </c>
      <c r="P52" s="224">
        <f t="shared" ca="1" si="11"/>
        <v>0</v>
      </c>
      <c r="Q52" s="224">
        <v>0</v>
      </c>
      <c r="R52" s="224">
        <v>0</v>
      </c>
      <c r="S52" s="224">
        <v>0</v>
      </c>
      <c r="T52" s="224">
        <f t="shared" si="12"/>
        <v>0</v>
      </c>
      <c r="U52" s="224">
        <f t="shared" si="13"/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465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674" t="s">
        <v>14</v>
      </c>
      <c r="I54" s="44"/>
      <c r="J54" s="44"/>
      <c r="K54" s="45"/>
      <c r="L54" s="465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463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804" t="s">
        <v>28</v>
      </c>
      <c r="B56" s="800"/>
      <c r="C56" s="800"/>
      <c r="D56" s="800"/>
      <c r="E56" s="800"/>
      <c r="F56" s="800"/>
      <c r="G56" s="80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805" t="s">
        <v>29</v>
      </c>
      <c r="C57" s="793"/>
      <c r="D57" s="793"/>
      <c r="E57" s="793"/>
      <c r="F57" s="793"/>
      <c r="G57" s="794"/>
      <c r="H57" s="89"/>
      <c r="I57" s="90"/>
      <c r="J57" s="90"/>
      <c r="K57" s="91"/>
      <c r="L57" s="68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8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8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82">
        <f ca="1">L60+L61</f>
        <v>448300</v>
      </c>
      <c r="M59" s="681">
        <f ca="1">M60+M61</f>
        <v>448300</v>
      </c>
      <c r="N59" s="681">
        <f ca="1">N60+N61</f>
        <v>414343.94</v>
      </c>
      <c r="O59" s="681">
        <f t="shared" ref="O59:O67" ca="1" si="16">IF(L59&gt;0,N59*100/L59,0)</f>
        <v>92.42559446799018</v>
      </c>
      <c r="P59" s="681">
        <f t="shared" ref="P59:P67" ca="1" si="17">IF(M59&gt;0,N59*100/M59,0)</f>
        <v>92.42559446799018</v>
      </c>
      <c r="Q59" s="681">
        <f>Q60+Q61</f>
        <v>0</v>
      </c>
      <c r="R59" s="681">
        <f>R60+R61</f>
        <v>0</v>
      </c>
      <c r="S59" s="681">
        <f>S60+S61</f>
        <v>0</v>
      </c>
      <c r="T59" s="681">
        <f t="shared" ref="T59:T67" si="18">IF(Q59&gt;0,S59*100/Q59,0)</f>
        <v>0</v>
      </c>
      <c r="U59" s="681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80" t="s">
        <v>20</v>
      </c>
      <c r="F60" s="99"/>
      <c r="G60" s="102"/>
      <c r="H60" s="679" t="s">
        <v>14</v>
      </c>
      <c r="I60" s="104"/>
      <c r="J60" s="104"/>
      <c r="K60" s="105"/>
      <c r="L60" s="678">
        <f t="shared" ref="L60:N61" si="20">L63+L66</f>
        <v>0</v>
      </c>
      <c r="M60" s="677">
        <f t="shared" si="20"/>
        <v>0</v>
      </c>
      <c r="N60" s="677">
        <f t="shared" si="20"/>
        <v>0</v>
      </c>
      <c r="O60" s="677">
        <f t="shared" si="16"/>
        <v>0</v>
      </c>
      <c r="P60" s="677">
        <f t="shared" si="17"/>
        <v>0</v>
      </c>
      <c r="Q60" s="677">
        <f t="shared" ref="Q60:S61" si="21">Q63+Q66</f>
        <v>0</v>
      </c>
      <c r="R60" s="677">
        <f t="shared" si="21"/>
        <v>0</v>
      </c>
      <c r="S60" s="677">
        <f t="shared" si="21"/>
        <v>0</v>
      </c>
      <c r="T60" s="677">
        <f t="shared" si="18"/>
        <v>0</v>
      </c>
      <c r="U60" s="677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76">
        <f t="shared" ca="1" si="20"/>
        <v>448300</v>
      </c>
      <c r="M61" s="675">
        <f t="shared" ca="1" si="20"/>
        <v>448300</v>
      </c>
      <c r="N61" s="675">
        <f t="shared" ca="1" si="20"/>
        <v>414343.94</v>
      </c>
      <c r="O61" s="675">
        <f t="shared" ca="1" si="16"/>
        <v>92.42559446799018</v>
      </c>
      <c r="P61" s="675">
        <f t="shared" ca="1" si="17"/>
        <v>92.42559446799018</v>
      </c>
      <c r="Q61" s="675">
        <f t="shared" si="21"/>
        <v>0</v>
      </c>
      <c r="R61" s="675">
        <f t="shared" si="21"/>
        <v>0</v>
      </c>
      <c r="S61" s="675">
        <f t="shared" si="21"/>
        <v>0</v>
      </c>
      <c r="T61" s="675">
        <f t="shared" si="18"/>
        <v>0</v>
      </c>
      <c r="U61" s="675">
        <f t="shared" si="19"/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468">
        <f ca="1">L63+L64</f>
        <v>448300</v>
      </c>
      <c r="M62" s="224">
        <f ca="1">M63+M64</f>
        <v>448300</v>
      </c>
      <c r="N62" s="224">
        <f ca="1">N63+N64</f>
        <v>414343.94</v>
      </c>
      <c r="O62" s="224">
        <f t="shared" ca="1" si="16"/>
        <v>92.42559446799018</v>
      </c>
      <c r="P62" s="224">
        <f t="shared" ca="1" si="17"/>
        <v>92.42559446799018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 t="shared" si="18"/>
        <v>0</v>
      </c>
      <c r="U62" s="224">
        <f t="shared" si="19"/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674" t="s">
        <v>14</v>
      </c>
      <c r="I63" s="44"/>
      <c r="J63" s="44"/>
      <c r="K63" s="45"/>
      <c r="L63" s="469">
        <v>0</v>
      </c>
      <c r="M63" s="83">
        <v>0</v>
      </c>
      <c r="N63" s="83">
        <v>0</v>
      </c>
      <c r="O63" s="83">
        <f t="shared" si="16"/>
        <v>0</v>
      </c>
      <c r="P63" s="83">
        <f t="shared" si="17"/>
        <v>0</v>
      </c>
      <c r="Q63" s="83">
        <v>0</v>
      </c>
      <c r="R63" s="83">
        <v>0</v>
      </c>
      <c r="S63" s="83">
        <v>0</v>
      </c>
      <c r="T63" s="83">
        <f t="shared" si="18"/>
        <v>0</v>
      </c>
      <c r="U63" s="83">
        <f t="shared" si="19"/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468">
        <f ca="1">IFERROR(__xludf.DUMMYFUNCTION("IMPORTRANGE(""https://docs.google.com/spreadsheets/d/1-uDff_7J0KD5mKrp0Vvzr7lt3OU09vwQwhkpOPPYv2Y/edit?usp=sharing"",""งบพรบ!AC21"")"),448300)</f>
        <v>448300</v>
      </c>
      <c r="M64" s="224">
        <f ca="1">IFERROR(__xludf.DUMMYFUNCTION("IMPORTRANGE(""https://docs.google.com/spreadsheets/d/1-uDff_7J0KD5mKrp0Vvzr7lt3OU09vwQwhkpOPPYv2Y/edit?usp=sharing"",""งบพรบ!AH21"")"),448300)</f>
        <v>448300</v>
      </c>
      <c r="N64" s="224">
        <f ca="1">IFERROR(__xludf.DUMMYFUNCTION("IMPORTRANGE(""https://docs.google.com/spreadsheets/d/1-uDff_7J0KD5mKrp0Vvzr7lt3OU09vwQwhkpOPPYv2Y/edit?usp=sharing"",""งบพรบ!AJ21"")"),414343.94)</f>
        <v>414343.94</v>
      </c>
      <c r="O64" s="224">
        <f t="shared" ca="1" si="16"/>
        <v>92.42559446799018</v>
      </c>
      <c r="P64" s="224">
        <f t="shared" ca="1" si="17"/>
        <v>92.42559446799018</v>
      </c>
      <c r="Q64" s="224">
        <v>0</v>
      </c>
      <c r="R64" s="224">
        <v>0</v>
      </c>
      <c r="S64" s="224">
        <v>0</v>
      </c>
      <c r="T64" s="224">
        <f t="shared" si="18"/>
        <v>0</v>
      </c>
      <c r="U64" s="224">
        <f t="shared" si="19"/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468">
        <f ca="1">L66+L67</f>
        <v>0</v>
      </c>
      <c r="M65" s="224">
        <f ca="1">M66+M67</f>
        <v>0</v>
      </c>
      <c r="N65" s="224">
        <f ca="1">N66+N67</f>
        <v>0</v>
      </c>
      <c r="O65" s="224">
        <f t="shared" ca="1" si="16"/>
        <v>0</v>
      </c>
      <c r="P65" s="224">
        <f t="shared" ca="1" si="17"/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 t="shared" si="18"/>
        <v>0</v>
      </c>
      <c r="U65" s="224">
        <f t="shared" si="19"/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674" t="s">
        <v>14</v>
      </c>
      <c r="I66" s="44"/>
      <c r="J66" s="44"/>
      <c r="K66" s="45"/>
      <c r="L66" s="469">
        <v>0</v>
      </c>
      <c r="M66" s="83">
        <v>0</v>
      </c>
      <c r="N66" s="83">
        <v>0</v>
      </c>
      <c r="O66" s="83">
        <f t="shared" si="16"/>
        <v>0</v>
      </c>
      <c r="P66" s="83">
        <f t="shared" si="17"/>
        <v>0</v>
      </c>
      <c r="Q66" s="83">
        <v>0</v>
      </c>
      <c r="R66" s="83">
        <v>0</v>
      </c>
      <c r="S66" s="83">
        <v>0</v>
      </c>
      <c r="T66" s="83">
        <f t="shared" si="18"/>
        <v>0</v>
      </c>
      <c r="U66" s="83">
        <f t="shared" si="19"/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673">
        <f ca="1">IFERROR(__xludf.DUMMYFUNCTION("IMPORTRANGE(""https://docs.google.com/spreadsheets/d/1-uDff_7J0KD5mKrp0Vvzr7lt3OU09vwQwhkpOPPYv2Y/edit?usp=sharing"",""งบพรบ!AF21"")"),0)</f>
        <v>0</v>
      </c>
      <c r="M67" s="455">
        <f ca="1">IFERROR(__xludf.DUMMYFUNCTION("IMPORTRANGE(""https://docs.google.com/spreadsheets/d/1-uDff_7J0KD5mKrp0Vvzr7lt3OU09vwQwhkpOPPYv2Y/edit?usp=sharing"",""งบพรบ!AI21"")"),0)</f>
        <v>0</v>
      </c>
      <c r="N67" s="455">
        <f ca="1">IFERROR(__xludf.DUMMYFUNCTION("IMPORTRANGE(""https://docs.google.com/spreadsheets/d/1-uDff_7J0KD5mKrp0Vvzr7lt3OU09vwQwhkpOPPYv2Y/edit?usp=sharing"",""งบพรบ!AK21"")"),0)</f>
        <v>0</v>
      </c>
      <c r="O67" s="455">
        <f t="shared" ca="1" si="16"/>
        <v>0</v>
      </c>
      <c r="P67" s="455">
        <f t="shared" ca="1" si="17"/>
        <v>0</v>
      </c>
      <c r="Q67" s="455">
        <v>0</v>
      </c>
      <c r="R67" s="455">
        <v>0</v>
      </c>
      <c r="S67" s="455">
        <v>0</v>
      </c>
      <c r="T67" s="455">
        <f t="shared" si="18"/>
        <v>0</v>
      </c>
      <c r="U67" s="455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7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665">
        <f ca="1">I82</f>
        <v>0</v>
      </c>
      <c r="J70" s="665">
        <f>J82</f>
        <v>0</v>
      </c>
      <c r="K70" s="664">
        <f ca="1">IF(I70&gt;0,J70*100/I70,0)</f>
        <v>0</v>
      </c>
      <c r="L70" s="510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hidden="1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665">
        <f ca="1">I83</f>
        <v>0</v>
      </c>
      <c r="J71" s="665">
        <f>J83</f>
        <v>0</v>
      </c>
      <c r="K71" s="664">
        <f ca="1">IF(I71&gt;0,J71*100/I71,0)</f>
        <v>0</v>
      </c>
      <c r="L71" s="510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8"/>
      <c r="B72" s="40"/>
      <c r="C72" s="129" t="s">
        <v>18</v>
      </c>
      <c r="D72" s="472" t="s">
        <v>19</v>
      </c>
      <c r="E72" s="40"/>
      <c r="F72" s="40"/>
      <c r="G72" s="42"/>
      <c r="H72" s="131" t="s">
        <v>14</v>
      </c>
      <c r="I72" s="44"/>
      <c r="J72" s="44"/>
      <c r="K72" s="45"/>
      <c r="L72" s="471">
        <f ca="1">L73+L74</f>
        <v>0</v>
      </c>
      <c r="M72" s="470">
        <f ca="1">M73+M74</f>
        <v>0</v>
      </c>
      <c r="N72" s="470">
        <f ca="1">N73+N74</f>
        <v>0</v>
      </c>
      <c r="O72" s="470">
        <f t="shared" ref="O72:O80" ca="1" si="22">IF(L72&gt;0,N72*100/L72,0)</f>
        <v>0</v>
      </c>
      <c r="P72" s="470">
        <f t="shared" ref="P72:P80" ca="1" si="23">IF(M72&gt;0,N72*100/M72,0)</f>
        <v>0</v>
      </c>
      <c r="Q72" s="470">
        <f ca="1">Q73+Q74</f>
        <v>0</v>
      </c>
      <c r="R72" s="470">
        <f ca="1">R73+R74</f>
        <v>0</v>
      </c>
      <c r="S72" s="470">
        <f ca="1">S73+S74</f>
        <v>0</v>
      </c>
      <c r="T72" s="470">
        <f t="shared" ref="T72:T80" ca="1" si="24">IF(Q72&gt;0,S72*100/Q72,0)</f>
        <v>0</v>
      </c>
      <c r="U72" s="470">
        <f t="shared" ref="U72:U80" ca="1" si="25">IF(R72&gt;0,S72*100/R72,0)</f>
        <v>0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469">
        <f t="shared" ref="L73:N74" si="26">L76+L79</f>
        <v>0</v>
      </c>
      <c r="M73" s="83">
        <f t="shared" si="26"/>
        <v>0</v>
      </c>
      <c r="N73" s="83">
        <f t="shared" si="26"/>
        <v>0</v>
      </c>
      <c r="O73" s="83">
        <f t="shared" si="22"/>
        <v>0</v>
      </c>
      <c r="P73" s="83">
        <f t="shared" si="23"/>
        <v>0</v>
      </c>
      <c r="Q73" s="83">
        <f t="shared" ref="Q73:S74" si="27">Q76+Q79</f>
        <v>0</v>
      </c>
      <c r="R73" s="83">
        <f t="shared" si="27"/>
        <v>0</v>
      </c>
      <c r="S73" s="83">
        <f t="shared" si="27"/>
        <v>0</v>
      </c>
      <c r="T73" s="83">
        <f t="shared" si="24"/>
        <v>0</v>
      </c>
      <c r="U73" s="83">
        <f t="shared" si="25"/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468">
        <f t="shared" ca="1" si="26"/>
        <v>0</v>
      </c>
      <c r="M74" s="224">
        <f t="shared" ca="1" si="26"/>
        <v>0</v>
      </c>
      <c r="N74" s="224">
        <f t="shared" ca="1" si="26"/>
        <v>0</v>
      </c>
      <c r="O74" s="224">
        <f t="shared" ca="1" si="22"/>
        <v>0</v>
      </c>
      <c r="P74" s="224">
        <f t="shared" ca="1" si="23"/>
        <v>0</v>
      </c>
      <c r="Q74" s="224">
        <f t="shared" ca="1" si="27"/>
        <v>0</v>
      </c>
      <c r="R74" s="224">
        <f t="shared" ca="1" si="27"/>
        <v>0</v>
      </c>
      <c r="S74" s="224">
        <f t="shared" ca="1" si="27"/>
        <v>0</v>
      </c>
      <c r="T74" s="224">
        <f t="shared" ca="1" si="24"/>
        <v>0</v>
      </c>
      <c r="U74" s="224">
        <f t="shared" ca="1" si="25"/>
        <v>0</v>
      </c>
    </row>
    <row r="75" spans="1:21" ht="18.75" hidden="1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468">
        <f ca="1">L76+L77</f>
        <v>0</v>
      </c>
      <c r="M75" s="224">
        <f ca="1">M76+M77</f>
        <v>0</v>
      </c>
      <c r="N75" s="224">
        <f ca="1">N76+N77</f>
        <v>0</v>
      </c>
      <c r="O75" s="224">
        <f t="shared" ca="1" si="22"/>
        <v>0</v>
      </c>
      <c r="P75" s="224">
        <f t="shared" ca="1" si="23"/>
        <v>0</v>
      </c>
      <c r="Q75" s="224">
        <f ca="1">Q76+Q77</f>
        <v>0</v>
      </c>
      <c r="R75" s="224">
        <f ca="1">R76+R77</f>
        <v>0</v>
      </c>
      <c r="S75" s="224">
        <f ca="1">S76+S77</f>
        <v>0</v>
      </c>
      <c r="T75" s="224">
        <f t="shared" ca="1" si="24"/>
        <v>0</v>
      </c>
      <c r="U75" s="224">
        <f t="shared" ca="1" si="25"/>
        <v>0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469">
        <v>0</v>
      </c>
      <c r="M76" s="83">
        <v>0</v>
      </c>
      <c r="N76" s="83">
        <v>0</v>
      </c>
      <c r="O76" s="83">
        <f t="shared" si="22"/>
        <v>0</v>
      </c>
      <c r="P76" s="83">
        <f t="shared" si="23"/>
        <v>0</v>
      </c>
      <c r="Q76" s="83">
        <v>0</v>
      </c>
      <c r="R76" s="83">
        <v>0</v>
      </c>
      <c r="S76" s="83">
        <v>0</v>
      </c>
      <c r="T76" s="83">
        <f t="shared" si="24"/>
        <v>0</v>
      </c>
      <c r="U76" s="83">
        <f t="shared" si="25"/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468">
        <f ca="1">IFERROR(__xludf.DUMMYFUNCTION("IMPORTRANGE(""https://docs.google.com/spreadsheets/d/1-uDff_7J0KD5mKrp0Vvzr7lt3OU09vwQwhkpOPPYv2Y/edit?usp=sharing"",""งบพรบ!AM21"")"),0)</f>
        <v>0</v>
      </c>
      <c r="M77" s="224">
        <f ca="1">IFERROR(__xludf.DUMMYFUNCTION("IMPORTRANGE(""https://docs.google.com/spreadsheets/d/1-uDff_7J0KD5mKrp0Vvzr7lt3OU09vwQwhkpOPPYv2Y/edit?usp=sharing"",""งบพรบ!AR21"")"),0)</f>
        <v>0</v>
      </c>
      <c r="N77" s="224">
        <f ca="1">IFERROR(__xludf.DUMMYFUNCTION("IMPORTRANGE(""https://docs.google.com/spreadsheets/d/1-uDff_7J0KD5mKrp0Vvzr7lt3OU09vwQwhkpOPPYv2Y/edit?usp=sharing"",""งบพรบ!AT21"")"),0)</f>
        <v>0</v>
      </c>
      <c r="O77" s="224">
        <f t="shared" ca="1" si="22"/>
        <v>0</v>
      </c>
      <c r="P77" s="224">
        <f t="shared" ca="1" si="23"/>
        <v>0</v>
      </c>
      <c r="Q77" s="224">
        <f ca="1">IFERROR(__xludf.DUMMYFUNCTION("IMPORTRANGE(""https://docs.google.com/spreadsheets/d/1ItG2mGa2ceCfYo0BwxsXqNm01IGEUdYcSSLTEv9YCik/edit?usp=sharing"",""เบิกจ่ายกองทุน!AS21"")"),0)</f>
        <v>0</v>
      </c>
      <c r="R77" s="224">
        <f ca="1">IFERROR(__xludf.DUMMYFUNCTION("IMPORTRANGE(""https://docs.google.com/spreadsheets/d/1ItG2mGa2ceCfYo0BwxsXqNm01IGEUdYcSSLTEv9YCik/edit?usp=sharing"",""เบิกจ่ายกองทุน!AT21"")"),0)</f>
        <v>0</v>
      </c>
      <c r="S77" s="224">
        <f ca="1">IFERROR(__xludf.DUMMYFUNCTION("IMPORTRANGE(""https://docs.google.com/spreadsheets/d/1ItG2mGa2ceCfYo0BwxsXqNm01IGEUdYcSSLTEv9YCik/edit?usp=sharing"",""เบิกจ่ายกองทุน!AU21"")"),0)</f>
        <v>0</v>
      </c>
      <c r="T77" s="224">
        <f t="shared" ca="1" si="24"/>
        <v>0</v>
      </c>
      <c r="U77" s="224">
        <f t="shared" ca="1" si="25"/>
        <v>0</v>
      </c>
    </row>
    <row r="78" spans="1:21" ht="18.75" hidden="1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468">
        <f ca="1">L79+L80</f>
        <v>0</v>
      </c>
      <c r="M78" s="224">
        <f ca="1">M79+M80</f>
        <v>0</v>
      </c>
      <c r="N78" s="224">
        <f ca="1">N79+N80</f>
        <v>0</v>
      </c>
      <c r="O78" s="224">
        <f t="shared" ca="1" si="22"/>
        <v>0</v>
      </c>
      <c r="P78" s="224">
        <f t="shared" ca="1" si="23"/>
        <v>0</v>
      </c>
      <c r="Q78" s="224">
        <f>Q79+Q80</f>
        <v>0</v>
      </c>
      <c r="R78" s="224">
        <f>R79+R80</f>
        <v>0</v>
      </c>
      <c r="S78" s="224">
        <f>S79+S80</f>
        <v>0</v>
      </c>
      <c r="T78" s="224">
        <f t="shared" si="24"/>
        <v>0</v>
      </c>
      <c r="U78" s="224">
        <f t="shared" si="25"/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469">
        <v>0</v>
      </c>
      <c r="M79" s="224">
        <v>0</v>
      </c>
      <c r="N79" s="224">
        <v>0</v>
      </c>
      <c r="O79" s="83">
        <f t="shared" si="22"/>
        <v>0</v>
      </c>
      <c r="P79" s="83">
        <f t="shared" si="23"/>
        <v>0</v>
      </c>
      <c r="Q79" s="83">
        <v>0</v>
      </c>
      <c r="R79" s="224">
        <v>0</v>
      </c>
      <c r="S79" s="224">
        <v>0</v>
      </c>
      <c r="T79" s="83">
        <f t="shared" si="24"/>
        <v>0</v>
      </c>
      <c r="U79" s="83">
        <f t="shared" si="25"/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468">
        <f ca="1">IFERROR(__xludf.DUMMYFUNCTION("IMPORTRANGE(""https://docs.google.com/spreadsheets/d/1-uDff_7J0KD5mKrp0Vvzr7lt3OU09vwQwhkpOPPYv2Y/edit?usp=sharing"",""งบพรบ!AP21"")"),0)</f>
        <v>0</v>
      </c>
      <c r="M80" s="224">
        <f ca="1">IFERROR(__xludf.DUMMYFUNCTION("IMPORTRANGE(""https://docs.google.com/spreadsheets/d/1-uDff_7J0KD5mKrp0Vvzr7lt3OU09vwQwhkpOPPYv2Y/edit?usp=sharing"",""งบพรบ!AS21"")"),0)</f>
        <v>0</v>
      </c>
      <c r="N80" s="224">
        <f ca="1">IFERROR(__xludf.DUMMYFUNCTION("IMPORTRANGE(""https://docs.google.com/spreadsheets/d/1-uDff_7J0KD5mKrp0Vvzr7lt3OU09vwQwhkpOPPYv2Y/edit?usp=sharing"",""งบพรบ!AU21"")"),0)</f>
        <v>0</v>
      </c>
      <c r="O80" s="224">
        <f t="shared" ca="1" si="22"/>
        <v>0</v>
      </c>
      <c r="P80" s="224">
        <f t="shared" ca="1" si="23"/>
        <v>0</v>
      </c>
      <c r="Q80" s="224">
        <v>0</v>
      </c>
      <c r="R80" s="224">
        <v>0</v>
      </c>
      <c r="S80" s="224">
        <v>0</v>
      </c>
      <c r="T80" s="224">
        <f t="shared" si="24"/>
        <v>0</v>
      </c>
      <c r="U80" s="224">
        <f t="shared" si="25"/>
        <v>0</v>
      </c>
    </row>
    <row r="81" spans="1:21" ht="19.5" hidden="1" x14ac:dyDescent="0.3">
      <c r="A81" s="138"/>
      <c r="B81" s="139"/>
      <c r="C81" s="129" t="s">
        <v>18</v>
      </c>
      <c r="D81" s="498" t="s">
        <v>38</v>
      </c>
      <c r="E81" s="141"/>
      <c r="F81" s="141"/>
      <c r="G81" s="142"/>
      <c r="H81" s="143"/>
      <c r="I81" s="135"/>
      <c r="J81" s="135"/>
      <c r="K81" s="136"/>
      <c r="L81" s="4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ca="1">I84+I86+I88</f>
        <v>0</v>
      </c>
      <c r="J82" s="328">
        <f>J84+J86+J88</f>
        <v>0</v>
      </c>
      <c r="K82" s="582">
        <f t="shared" ref="K82:K90" ca="1" si="28">IF(I82&gt;0,J82*100/I82,0)</f>
        <v>0</v>
      </c>
      <c r="L82" s="4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ca="1">I85+I87+I89</f>
        <v>0</v>
      </c>
      <c r="J83" s="328">
        <f>J85+J87+J89</f>
        <v>0</v>
      </c>
      <c r="K83" s="582">
        <f t="shared" ca="1" si="28"/>
        <v>0</v>
      </c>
      <c r="L83" s="4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581">
        <f ca="1">IFERROR(__xludf.DUMMYFUNCTION("IMPORTRANGE(""https://docs.google.com/spreadsheets/d/1eHaY18a8A9IcSdp1K8H6x8fbOy06t2VsZHhMHf-1x7Y/edit?usp=sharing"",""แผน!H21"")"),0)</f>
        <v>0</v>
      </c>
      <c r="J84" s="466">
        <v>0</v>
      </c>
      <c r="K84" s="497">
        <f t="shared" ca="1" si="28"/>
        <v>0</v>
      </c>
      <c r="L84" s="4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581">
        <f ca="1">IFERROR(__xludf.DUMMYFUNCTION("IMPORTRANGE(""https://docs.google.com/spreadsheets/d/1eHaY18a8A9IcSdp1K8H6x8fbOy06t2VsZHhMHf-1x7Y/edit?usp=sharing"",""แผน!I21"")"),0)</f>
        <v>0</v>
      </c>
      <c r="J85" s="466">
        <v>0</v>
      </c>
      <c r="K85" s="497">
        <f t="shared" ca="1" si="28"/>
        <v>0</v>
      </c>
      <c r="L85" s="4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581">
        <f ca="1">IFERROR(__xludf.DUMMYFUNCTION("IMPORTRANGE(""https://docs.google.com/spreadsheets/d/1eHaY18a8A9IcSdp1K8H6x8fbOy06t2VsZHhMHf-1x7Y/edit?usp=sharing"",""แผน!F21"")"),0)</f>
        <v>0</v>
      </c>
      <c r="J86" s="466">
        <v>0</v>
      </c>
      <c r="K86" s="497">
        <f t="shared" ca="1" si="28"/>
        <v>0</v>
      </c>
      <c r="L86" s="4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581">
        <f ca="1">IFERROR(__xludf.DUMMYFUNCTION("IMPORTRANGE(""https://docs.google.com/spreadsheets/d/1eHaY18a8A9IcSdp1K8H6x8fbOy06t2VsZHhMHf-1x7Y/edit?usp=sharing"",""แผน!G21"")"),0)</f>
        <v>0</v>
      </c>
      <c r="J87" s="466">
        <v>0</v>
      </c>
      <c r="K87" s="497">
        <f t="shared" ca="1" si="28"/>
        <v>0</v>
      </c>
      <c r="L87" s="4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581">
        <f ca="1">IFERROR(__xludf.DUMMYFUNCTION("IMPORTRANGE(""https://docs.google.com/spreadsheets/d/1eHaY18a8A9IcSdp1K8H6x8fbOy06t2VsZHhMHf-1x7Y/edit?usp=sharing"",""แผน!D21"")"),0)</f>
        <v>0</v>
      </c>
      <c r="J88" s="466">
        <v>0</v>
      </c>
      <c r="K88" s="497">
        <f t="shared" ca="1" si="28"/>
        <v>0</v>
      </c>
      <c r="L88" s="4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581">
        <f ca="1">IFERROR(__xludf.DUMMYFUNCTION("IMPORTRANGE(""https://docs.google.com/spreadsheets/d/1eHaY18a8A9IcSdp1K8H6x8fbOy06t2VsZHhMHf-1x7Y/edit?usp=sharing"",""แผน!E21"")"),0)</f>
        <v>0</v>
      </c>
      <c r="J89" s="466">
        <v>0</v>
      </c>
      <c r="K89" s="497">
        <f t="shared" ca="1" si="28"/>
        <v>0</v>
      </c>
      <c r="L89" s="4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581">
        <f ca="1">IFERROR(__xludf.DUMMYFUNCTION("IMPORTRANGE(""https://docs.google.com/spreadsheets/d/1eHaY18a8A9IcSdp1K8H6x8fbOy06t2VsZHhMHf-1x7Y/edit?usp=sharing"",""แผน!J21"")"),0)</f>
        <v>0</v>
      </c>
      <c r="J90" s="466">
        <v>0</v>
      </c>
      <c r="K90" s="497">
        <f t="shared" ca="1" si="28"/>
        <v>0</v>
      </c>
      <c r="L90" s="4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7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665">
        <f ca="1">I108</f>
        <v>30</v>
      </c>
      <c r="J92" s="665">
        <f>J108</f>
        <v>0</v>
      </c>
      <c r="K92" s="664">
        <f ca="1">IF(I92&gt;0,J92*100/I92,0)</f>
        <v>0</v>
      </c>
      <c r="L92" s="510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665">
        <f ca="1">I109</f>
        <v>10</v>
      </c>
      <c r="J93" s="665">
        <f>J109</f>
        <v>0</v>
      </c>
      <c r="K93" s="664">
        <f ca="1">IF(I93&gt;0,J93*100/I93,0)</f>
        <v>0</v>
      </c>
      <c r="L93" s="510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129" t="s">
        <v>18</v>
      </c>
      <c r="D94" s="472" t="s">
        <v>19</v>
      </c>
      <c r="E94" s="40"/>
      <c r="F94" s="40"/>
      <c r="G94" s="42"/>
      <c r="H94" s="131" t="s">
        <v>14</v>
      </c>
      <c r="I94" s="44"/>
      <c r="J94" s="44"/>
      <c r="K94" s="45"/>
      <c r="L94" s="471">
        <f ca="1">L95+L96</f>
        <v>0</v>
      </c>
      <c r="M94" s="470">
        <f ca="1">M95+M96</f>
        <v>0</v>
      </c>
      <c r="N94" s="470">
        <f ca="1">N95+N96</f>
        <v>0</v>
      </c>
      <c r="O94" s="470">
        <f t="shared" ref="O94:O102" ca="1" si="29">IF(L94&gt;0,N94*100/L94,0)</f>
        <v>0</v>
      </c>
      <c r="P94" s="470">
        <f t="shared" ref="P94:P102" ca="1" si="30">IF(M94&gt;0,N94*100/M94,0)</f>
        <v>0</v>
      </c>
      <c r="Q94" s="470">
        <f ca="1">Q95+Q96</f>
        <v>84420</v>
      </c>
      <c r="R94" s="470">
        <f ca="1">R95+R96</f>
        <v>84420</v>
      </c>
      <c r="S94" s="470">
        <f ca="1">S95+S96</f>
        <v>0</v>
      </c>
      <c r="T94" s="470">
        <f t="shared" ref="T94:T102" ca="1" si="31">IF(Q94&gt;0,S94*100/Q94,0)</f>
        <v>0</v>
      </c>
      <c r="U94" s="470">
        <f t="shared" ref="U94:U102" ca="1" si="32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469">
        <f t="shared" ref="L95:N96" si="33">L98+L101</f>
        <v>0</v>
      </c>
      <c r="M95" s="83">
        <f t="shared" si="33"/>
        <v>0</v>
      </c>
      <c r="N95" s="83">
        <f t="shared" si="33"/>
        <v>0</v>
      </c>
      <c r="O95" s="83">
        <f t="shared" si="29"/>
        <v>0</v>
      </c>
      <c r="P95" s="83">
        <f t="shared" si="30"/>
        <v>0</v>
      </c>
      <c r="Q95" s="83">
        <f t="shared" ref="Q95:S96" si="34">Q98+Q101</f>
        <v>0</v>
      </c>
      <c r="R95" s="83">
        <f t="shared" si="34"/>
        <v>0</v>
      </c>
      <c r="S95" s="83">
        <f t="shared" si="34"/>
        <v>0</v>
      </c>
      <c r="T95" s="83">
        <f t="shared" si="31"/>
        <v>0</v>
      </c>
      <c r="U95" s="83">
        <f t="shared" si="32"/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468">
        <f t="shared" ca="1" si="33"/>
        <v>0</v>
      </c>
      <c r="M96" s="224">
        <f t="shared" ca="1" si="33"/>
        <v>0</v>
      </c>
      <c r="N96" s="224">
        <f t="shared" ca="1" si="33"/>
        <v>0</v>
      </c>
      <c r="O96" s="224">
        <f t="shared" ca="1" si="29"/>
        <v>0</v>
      </c>
      <c r="P96" s="224">
        <f t="shared" ca="1" si="30"/>
        <v>0</v>
      </c>
      <c r="Q96" s="224">
        <f t="shared" ca="1" si="34"/>
        <v>84420</v>
      </c>
      <c r="R96" s="224">
        <f t="shared" ca="1" si="34"/>
        <v>84420</v>
      </c>
      <c r="S96" s="224">
        <f t="shared" ca="1" si="34"/>
        <v>0</v>
      </c>
      <c r="T96" s="224">
        <f t="shared" ca="1" si="31"/>
        <v>0</v>
      </c>
      <c r="U96" s="224">
        <f t="shared" ca="1" si="32"/>
        <v>0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468">
        <f ca="1">L98+L99</f>
        <v>0</v>
      </c>
      <c r="M97" s="224">
        <f ca="1">M98+M99</f>
        <v>0</v>
      </c>
      <c r="N97" s="224">
        <f ca="1">N98+N99</f>
        <v>0</v>
      </c>
      <c r="O97" s="224">
        <f t="shared" ca="1" si="29"/>
        <v>0</v>
      </c>
      <c r="P97" s="224">
        <f t="shared" ca="1" si="30"/>
        <v>0</v>
      </c>
      <c r="Q97" s="224">
        <f ca="1">Q98+Q99</f>
        <v>84420</v>
      </c>
      <c r="R97" s="224">
        <f ca="1">R98+R99</f>
        <v>84420</v>
      </c>
      <c r="S97" s="224">
        <f ca="1">S98+S99</f>
        <v>0</v>
      </c>
      <c r="T97" s="224">
        <f t="shared" ca="1" si="31"/>
        <v>0</v>
      </c>
      <c r="U97" s="224">
        <f t="shared" ca="1" si="32"/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469">
        <v>0</v>
      </c>
      <c r="M98" s="83">
        <v>0</v>
      </c>
      <c r="N98" s="83">
        <v>0</v>
      </c>
      <c r="O98" s="83">
        <f t="shared" si="29"/>
        <v>0</v>
      </c>
      <c r="P98" s="83">
        <f t="shared" si="30"/>
        <v>0</v>
      </c>
      <c r="Q98" s="83">
        <v>0</v>
      </c>
      <c r="R98" s="83">
        <v>0</v>
      </c>
      <c r="S98" s="83">
        <v>0</v>
      </c>
      <c r="T98" s="83">
        <f t="shared" si="31"/>
        <v>0</v>
      </c>
      <c r="U98" s="83">
        <f t="shared" si="32"/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468">
        <f ca="1">IFERROR(__xludf.DUMMYFUNCTION("IMPORTRANGE(""https://docs.google.com/spreadsheets/d/1-uDff_7J0KD5mKrp0Vvzr7lt3OU09vwQwhkpOPPYv2Y/edit?usp=sharing"",""งบพรบ!AW21"")"),0)</f>
        <v>0</v>
      </c>
      <c r="M99" s="224">
        <f ca="1">IFERROR(__xludf.DUMMYFUNCTION("IMPORTRANGE(""https://docs.google.com/spreadsheets/d/1-uDff_7J0KD5mKrp0Vvzr7lt3OU09vwQwhkpOPPYv2Y/edit?usp=sharing"",""งบพรบ!BB21"")"),0)</f>
        <v>0</v>
      </c>
      <c r="N99" s="224">
        <f ca="1">IFERROR(__xludf.DUMMYFUNCTION("IMPORTRANGE(""https://docs.google.com/spreadsheets/d/1-uDff_7J0KD5mKrp0Vvzr7lt3OU09vwQwhkpOPPYv2Y/edit?usp=sharing"",""งบพรบ!BD21"")"),0)</f>
        <v>0</v>
      </c>
      <c r="O99" s="224">
        <f t="shared" ca="1" si="29"/>
        <v>0</v>
      </c>
      <c r="P99" s="224">
        <f t="shared" ca="1" si="30"/>
        <v>0</v>
      </c>
      <c r="Q99" s="224">
        <f ca="1">IFERROR(__xludf.DUMMYFUNCTION("IMPORTRANGE(""https://docs.google.com/spreadsheets/d/1ItG2mGa2ceCfYo0BwxsXqNm01IGEUdYcSSLTEv9YCik/edit?usp=sharing"",""เบิกจ่ายกองทุน!AD21"")"),84420)</f>
        <v>84420</v>
      </c>
      <c r="R99" s="224">
        <f ca="1">IFERROR(__xludf.DUMMYFUNCTION("IMPORTRANGE(""https://docs.google.com/spreadsheets/d/1ItG2mGa2ceCfYo0BwxsXqNm01IGEUdYcSSLTEv9YCik/edit?usp=sharing"",""เบิกจ่ายกองทุน!AE21"")"),84420)</f>
        <v>84420</v>
      </c>
      <c r="S99" s="224">
        <f ca="1">IFERROR(__xludf.DUMMYFUNCTION("IMPORTRANGE(""https://docs.google.com/spreadsheets/d/1ItG2mGa2ceCfYo0BwxsXqNm01IGEUdYcSSLTEv9YCik/edit?usp=sharing"",""เบิกจ่ายกองทุน!AF21"")"),0)</f>
        <v>0</v>
      </c>
      <c r="T99" s="224">
        <f t="shared" ca="1" si="31"/>
        <v>0</v>
      </c>
      <c r="U99" s="224">
        <f t="shared" ca="1" si="32"/>
        <v>0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468">
        <f ca="1">L101+L102</f>
        <v>0</v>
      </c>
      <c r="M100" s="224">
        <f ca="1">M101+M102</f>
        <v>0</v>
      </c>
      <c r="N100" s="224">
        <f ca="1">N101+N102</f>
        <v>0</v>
      </c>
      <c r="O100" s="224">
        <f t="shared" ca="1" si="29"/>
        <v>0</v>
      </c>
      <c r="P100" s="224">
        <f t="shared" ca="1" si="30"/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 t="shared" si="31"/>
        <v>0</v>
      </c>
      <c r="U100" s="224">
        <f t="shared" si="32"/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469">
        <v>0</v>
      </c>
      <c r="M101" s="83">
        <v>0</v>
      </c>
      <c r="N101" s="83">
        <v>0</v>
      </c>
      <c r="O101" s="83">
        <f t="shared" si="29"/>
        <v>0</v>
      </c>
      <c r="P101" s="83">
        <f t="shared" si="30"/>
        <v>0</v>
      </c>
      <c r="Q101" s="83">
        <v>0</v>
      </c>
      <c r="R101" s="83">
        <v>0</v>
      </c>
      <c r="S101" s="83">
        <v>0</v>
      </c>
      <c r="T101" s="83">
        <f t="shared" si="31"/>
        <v>0</v>
      </c>
      <c r="U101" s="83">
        <f t="shared" si="32"/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468">
        <f ca="1">IFERROR(__xludf.DUMMYFUNCTION("IMPORTRANGE(""https://docs.google.com/spreadsheets/d/1-uDff_7J0KD5mKrp0Vvzr7lt3OU09vwQwhkpOPPYv2Y/edit?usp=sharing"",""งบพรบ!AZ21"")"),0)</f>
        <v>0</v>
      </c>
      <c r="M102" s="224">
        <f ca="1">IFERROR(__xludf.DUMMYFUNCTION("IMPORTRANGE(""https://docs.google.com/spreadsheets/d/1-uDff_7J0KD5mKrp0Vvzr7lt3OU09vwQwhkpOPPYv2Y/edit?usp=sharing"",""งบพรบ!BC21"")"),0)</f>
        <v>0</v>
      </c>
      <c r="N102" s="224">
        <f ca="1">IFERROR(__xludf.DUMMYFUNCTION("IMPORTRANGE(""https://docs.google.com/spreadsheets/d/1-uDff_7J0KD5mKrp0Vvzr7lt3OU09vwQwhkpOPPYv2Y/edit?usp=sharing"",""งบพรบ!BE21"")"),0)</f>
        <v>0</v>
      </c>
      <c r="O102" s="224">
        <f t="shared" ca="1" si="29"/>
        <v>0</v>
      </c>
      <c r="P102" s="224">
        <f t="shared" ca="1" si="30"/>
        <v>0</v>
      </c>
      <c r="Q102" s="224">
        <v>0</v>
      </c>
      <c r="R102" s="224">
        <v>0</v>
      </c>
      <c r="S102" s="224">
        <v>0</v>
      </c>
      <c r="T102" s="224">
        <f t="shared" si="31"/>
        <v>0</v>
      </c>
      <c r="U102" s="224">
        <f t="shared" si="32"/>
        <v>0</v>
      </c>
    </row>
    <row r="103" spans="1:21" ht="19.5" x14ac:dyDescent="0.3">
      <c r="A103" s="138"/>
      <c r="B103" s="139"/>
      <c r="C103" s="129" t="s">
        <v>18</v>
      </c>
      <c r="D103" s="498" t="s">
        <v>38</v>
      </c>
      <c r="E103" s="141"/>
      <c r="F103" s="141"/>
      <c r="G103" s="142"/>
      <c r="H103" s="143"/>
      <c r="I103" s="135"/>
      <c r="J103" s="44"/>
      <c r="K103" s="45"/>
      <c r="L103" s="465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571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571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571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465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IFERROR(__xludf.DUMMYFUNCTION("IMPORTRANGE(""https://docs.google.com/spreadsheets/d/1eHaY18a8A9IcSdp1K8H6x8fbOy06t2VsZHhMHf-1x7Y/edit?usp=sharing"",""แผน!N21"")"),30)</f>
        <v>30</v>
      </c>
      <c r="J108" s="466">
        <v>0</v>
      </c>
      <c r="K108" s="224">
        <f ca="1">IF(I108&gt;0,J108*100/I108,0)</f>
        <v>0</v>
      </c>
      <c r="L108" s="465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IFERROR(__xludf.DUMMYFUNCTION("IMPORTRANGE(""https://docs.google.com/spreadsheets/d/1eHaY18a8A9IcSdp1K8H6x8fbOy06t2VsZHhMHf-1x7Y/edit?usp=sharing"",""แผน!O21"")"),10)</f>
        <v>10</v>
      </c>
      <c r="J109" s="466">
        <v>0</v>
      </c>
      <c r="K109" s="224">
        <f ca="1">IF(I109&gt;0,J109*100/I109,0)</f>
        <v>0</v>
      </c>
      <c r="L109" s="465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571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571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571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749"/>
      <c r="B113" s="438"/>
      <c r="C113" s="438"/>
      <c r="D113" s="748" t="s">
        <v>50</v>
      </c>
      <c r="E113" s="440"/>
      <c r="F113" s="440"/>
      <c r="G113" s="441"/>
      <c r="H113" s="747" t="s">
        <v>46</v>
      </c>
      <c r="I113" s="746">
        <f ca="1">IFERROR(__xludf.DUMMYFUNCTION("IMPORTRANGE(""https://docs.google.com/spreadsheets/d/1eHaY18a8A9IcSdp1K8H6x8fbOy06t2VsZHhMHf-1x7Y/edit?usp=sharing"",""แผน!N21"")"),30)</f>
        <v>30</v>
      </c>
      <c r="J113" s="444">
        <v>0</v>
      </c>
      <c r="K113" s="591">
        <f ca="1">IF(I113&gt;0,J113*100/I113,0)</f>
        <v>0</v>
      </c>
      <c r="L113" s="656"/>
      <c r="M113" s="656"/>
      <c r="N113" s="656"/>
      <c r="O113" s="445"/>
      <c r="P113" s="445"/>
      <c r="Q113" s="656"/>
      <c r="R113" s="656"/>
      <c r="S113" s="656"/>
      <c r="T113" s="445"/>
      <c r="U113" s="445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581">
        <f ca="1">IFERROR(__xludf.DUMMYFUNCTION("IMPORTRANGE(""https://docs.google.com/spreadsheets/d/1eHaY18a8A9IcSdp1K8H6x8fbOy06t2VsZHhMHf-1x7Y/edit?usp=sharing"",""แผน!O21"")"),10)</f>
        <v>10</v>
      </c>
      <c r="J114" s="466">
        <v>0</v>
      </c>
      <c r="K114" s="224">
        <f ca="1">IF(I114&gt;0,J114*100/I114,0)</f>
        <v>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671" t="s">
        <v>51</v>
      </c>
      <c r="B115" s="668"/>
      <c r="C115" s="670"/>
      <c r="D115" s="669"/>
      <c r="E115" s="669"/>
      <c r="F115" s="669"/>
      <c r="G115" s="669"/>
      <c r="H115" s="668"/>
      <c r="I115" s="667"/>
      <c r="J115" s="667"/>
      <c r="K115" s="66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665">
        <f ca="1">I127</f>
        <v>20</v>
      </c>
      <c r="J116" s="665">
        <f>J127</f>
        <v>20</v>
      </c>
      <c r="K116" s="664">
        <f ca="1">IF(I116&gt;0,J116*100/I116,0)</f>
        <v>100</v>
      </c>
      <c r="L116" s="510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472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471">
        <f ca="1">L118+L119</f>
        <v>0</v>
      </c>
      <c r="M117" s="470">
        <f ca="1">M118+M119</f>
        <v>0</v>
      </c>
      <c r="N117" s="470">
        <f ca="1">N118+N119</f>
        <v>0</v>
      </c>
      <c r="O117" s="470">
        <f t="shared" ref="O117:O125" ca="1" si="35">IF(L117&gt;0,N117*100/L117,0)</f>
        <v>0</v>
      </c>
      <c r="P117" s="470">
        <f t="shared" ref="P117:P125" ca="1" si="36">IF(M117&gt;0,N117*100/M117,0)</f>
        <v>0</v>
      </c>
      <c r="Q117" s="470">
        <f ca="1">Q118+Q119</f>
        <v>209360</v>
      </c>
      <c r="R117" s="470">
        <f ca="1">R118+R119</f>
        <v>209360</v>
      </c>
      <c r="S117" s="470">
        <f ca="1">S118+S119</f>
        <v>61147</v>
      </c>
      <c r="T117" s="470">
        <f t="shared" ref="T117:T125" ca="1" si="37">IF(Q117&gt;0,S117*100/Q117,0)</f>
        <v>29.206629728696981</v>
      </c>
      <c r="U117" s="470">
        <f t="shared" ref="U117:U125" ca="1" si="38">IF(R117&gt;0,S117*100/R117,0)</f>
        <v>29.206629728696981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469">
        <f t="shared" ref="L118:N119" si="39">L121+L124</f>
        <v>0</v>
      </c>
      <c r="M118" s="83">
        <f t="shared" si="39"/>
        <v>0</v>
      </c>
      <c r="N118" s="83">
        <f t="shared" si="39"/>
        <v>0</v>
      </c>
      <c r="O118" s="83">
        <f t="shared" si="35"/>
        <v>0</v>
      </c>
      <c r="P118" s="83">
        <f t="shared" si="36"/>
        <v>0</v>
      </c>
      <c r="Q118" s="83">
        <f t="shared" ref="Q118:S119" si="40">Q121+Q124</f>
        <v>0</v>
      </c>
      <c r="R118" s="83">
        <f t="shared" si="40"/>
        <v>0</v>
      </c>
      <c r="S118" s="83">
        <f t="shared" si="40"/>
        <v>0</v>
      </c>
      <c r="T118" s="83">
        <f t="shared" si="37"/>
        <v>0</v>
      </c>
      <c r="U118" s="83">
        <f t="shared" si="38"/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468">
        <f t="shared" ca="1" si="39"/>
        <v>0</v>
      </c>
      <c r="M119" s="224">
        <f t="shared" ca="1" si="39"/>
        <v>0</v>
      </c>
      <c r="N119" s="224">
        <f t="shared" ca="1" si="39"/>
        <v>0</v>
      </c>
      <c r="O119" s="224">
        <f t="shared" ca="1" si="35"/>
        <v>0</v>
      </c>
      <c r="P119" s="224">
        <f t="shared" ca="1" si="36"/>
        <v>0</v>
      </c>
      <c r="Q119" s="224">
        <f t="shared" ca="1" si="40"/>
        <v>209360</v>
      </c>
      <c r="R119" s="224">
        <f t="shared" ca="1" si="40"/>
        <v>209360</v>
      </c>
      <c r="S119" s="224">
        <f t="shared" ca="1" si="40"/>
        <v>61147</v>
      </c>
      <c r="T119" s="224">
        <f t="shared" ca="1" si="37"/>
        <v>29.206629728696981</v>
      </c>
      <c r="U119" s="224">
        <f t="shared" ca="1" si="38"/>
        <v>29.206629728696981</v>
      </c>
    </row>
    <row r="120" spans="1:21" ht="18.75" x14ac:dyDescent="0.25">
      <c r="A120" s="128"/>
      <c r="B120" s="158"/>
      <c r="C120" s="174"/>
      <c r="D120" s="53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468">
        <f ca="1">L121+L122</f>
        <v>0</v>
      </c>
      <c r="M120" s="224">
        <f ca="1">M121+M122</f>
        <v>0</v>
      </c>
      <c r="N120" s="224">
        <f ca="1">N121+N122</f>
        <v>0</v>
      </c>
      <c r="O120" s="224">
        <f t="shared" ca="1" si="35"/>
        <v>0</v>
      </c>
      <c r="P120" s="224">
        <f t="shared" ca="1" si="36"/>
        <v>0</v>
      </c>
      <c r="Q120" s="224">
        <f ca="1">Q121+Q122</f>
        <v>209360</v>
      </c>
      <c r="R120" s="224">
        <f ca="1">R121+R122</f>
        <v>209360</v>
      </c>
      <c r="S120" s="224">
        <f ca="1">S121+S122</f>
        <v>61147</v>
      </c>
      <c r="T120" s="224">
        <f t="shared" ca="1" si="37"/>
        <v>29.206629728696981</v>
      </c>
      <c r="U120" s="224">
        <f t="shared" ca="1" si="38"/>
        <v>29.206629728696981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469">
        <v>0</v>
      </c>
      <c r="M121" s="83">
        <v>0</v>
      </c>
      <c r="N121" s="83">
        <v>0</v>
      </c>
      <c r="O121" s="83">
        <f t="shared" si="35"/>
        <v>0</v>
      </c>
      <c r="P121" s="83">
        <f t="shared" si="36"/>
        <v>0</v>
      </c>
      <c r="Q121" s="83">
        <v>0</v>
      </c>
      <c r="R121" s="83">
        <v>0</v>
      </c>
      <c r="S121" s="83">
        <v>0</v>
      </c>
      <c r="T121" s="83">
        <f t="shared" si="37"/>
        <v>0</v>
      </c>
      <c r="U121" s="83">
        <f t="shared" si="38"/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468">
        <f ca="1">IFERROR(__xludf.DUMMYFUNCTION("IMPORTRANGE(""https://docs.google.com/spreadsheets/d/1-uDff_7J0KD5mKrp0Vvzr7lt3OU09vwQwhkpOPPYv2Y/edit?usp=sharing"",""งบพรบ!BG21"")"),0)</f>
        <v>0</v>
      </c>
      <c r="M122" s="224">
        <f ca="1">IFERROR(__xludf.DUMMYFUNCTION("IMPORTRANGE(""https://docs.google.com/spreadsheets/d/1-uDff_7J0KD5mKrp0Vvzr7lt3OU09vwQwhkpOPPYv2Y/edit?usp=sharing"",""งบพรบ!BL21"")"),0)</f>
        <v>0</v>
      </c>
      <c r="N122" s="224">
        <f ca="1">IFERROR(__xludf.DUMMYFUNCTION("IMPORTRANGE(""https://docs.google.com/spreadsheets/d/1-uDff_7J0KD5mKrp0Vvzr7lt3OU09vwQwhkpOPPYv2Y/edit?usp=sharing"",""งบพรบ!BN21"")"),0)</f>
        <v>0</v>
      </c>
      <c r="O122" s="224">
        <f t="shared" ca="1" si="35"/>
        <v>0</v>
      </c>
      <c r="P122" s="224">
        <f t="shared" ca="1" si="36"/>
        <v>0</v>
      </c>
      <c r="Q122" s="224">
        <f ca="1">IFERROR(__xludf.DUMMYFUNCTION("IMPORTRANGE(""https://docs.google.com/spreadsheets/d/1ItG2mGa2ceCfYo0BwxsXqNm01IGEUdYcSSLTEv9YCik/edit?usp=sharing"",""เบิกจ่ายกองทุน!R21"")"),209360)</f>
        <v>209360</v>
      </c>
      <c r="R122" s="224">
        <f ca="1">IFERROR(__xludf.DUMMYFUNCTION("IMPORTRANGE(""https://docs.google.com/spreadsheets/d/1ItG2mGa2ceCfYo0BwxsXqNm01IGEUdYcSSLTEv9YCik/edit?usp=sharing"",""เบิกจ่ายกองทุน!S21"")"),209360)</f>
        <v>209360</v>
      </c>
      <c r="S122" s="224">
        <f ca="1">IFERROR(__xludf.DUMMYFUNCTION("IMPORTRANGE(""https://docs.google.com/spreadsheets/d/1ItG2mGa2ceCfYo0BwxsXqNm01IGEUdYcSSLTEv9YCik/edit?usp=sharing"",""เบิกจ่ายกองทุน!T21"")"),61147)</f>
        <v>61147</v>
      </c>
      <c r="T122" s="224">
        <f t="shared" ca="1" si="37"/>
        <v>29.206629728696981</v>
      </c>
      <c r="U122" s="224">
        <f t="shared" ca="1" si="38"/>
        <v>29.206629728696981</v>
      </c>
    </row>
    <row r="123" spans="1:21" ht="18.75" x14ac:dyDescent="0.25">
      <c r="A123" s="128"/>
      <c r="B123" s="40"/>
      <c r="C123" s="174"/>
      <c r="D123" s="53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468">
        <f ca="1">L124+L125</f>
        <v>0</v>
      </c>
      <c r="M123" s="224">
        <f ca="1">M124+M125</f>
        <v>0</v>
      </c>
      <c r="N123" s="224">
        <f ca="1">N124+N125</f>
        <v>0</v>
      </c>
      <c r="O123" s="224">
        <f t="shared" ca="1" si="35"/>
        <v>0</v>
      </c>
      <c r="P123" s="224">
        <f t="shared" ca="1" si="36"/>
        <v>0</v>
      </c>
      <c r="Q123" s="224">
        <f>Q124+Q125</f>
        <v>0</v>
      </c>
      <c r="R123" s="224">
        <f>R124+R125</f>
        <v>0</v>
      </c>
      <c r="S123" s="224">
        <f>S124+S125</f>
        <v>0</v>
      </c>
      <c r="T123" s="224">
        <f t="shared" si="37"/>
        <v>0</v>
      </c>
      <c r="U123" s="224">
        <f t="shared" si="38"/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469">
        <v>0</v>
      </c>
      <c r="M124" s="83">
        <v>0</v>
      </c>
      <c r="N124" s="83">
        <v>0</v>
      </c>
      <c r="O124" s="83">
        <f t="shared" si="35"/>
        <v>0</v>
      </c>
      <c r="P124" s="83">
        <f t="shared" si="36"/>
        <v>0</v>
      </c>
      <c r="Q124" s="83">
        <v>0</v>
      </c>
      <c r="R124" s="83">
        <v>0</v>
      </c>
      <c r="S124" s="83">
        <v>0</v>
      </c>
      <c r="T124" s="83">
        <f t="shared" si="37"/>
        <v>0</v>
      </c>
      <c r="U124" s="83">
        <f t="shared" si="38"/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468">
        <f ca="1">IFERROR(__xludf.DUMMYFUNCTION("IMPORTRANGE(""https://docs.google.com/spreadsheets/d/1-uDff_7J0KD5mKrp0Vvzr7lt3OU09vwQwhkpOPPYv2Y/edit?usp=sharing"",""งบพรบ!BJ21"")"),0)</f>
        <v>0</v>
      </c>
      <c r="M125" s="224">
        <f ca="1">IFERROR(__xludf.DUMMYFUNCTION("IMPORTRANGE(""https://docs.google.com/spreadsheets/d/1-uDff_7J0KD5mKrp0Vvzr7lt3OU09vwQwhkpOPPYv2Y/edit?usp=sharing"",""งบพรบ!BM21"")"),0)</f>
        <v>0</v>
      </c>
      <c r="N125" s="224">
        <f ca="1">IFERROR(__xludf.DUMMYFUNCTION("IMPORTRANGE(""https://docs.google.com/spreadsheets/d/1-uDff_7J0KD5mKrp0Vvzr7lt3OU09vwQwhkpOPPYv2Y/edit?usp=sharing"",""งบพรบ!BO21"")"),0)</f>
        <v>0</v>
      </c>
      <c r="O125" s="224">
        <f t="shared" ca="1" si="35"/>
        <v>0</v>
      </c>
      <c r="P125" s="224">
        <f t="shared" ca="1" si="36"/>
        <v>0</v>
      </c>
      <c r="Q125" s="224">
        <v>0</v>
      </c>
      <c r="R125" s="224">
        <v>0</v>
      </c>
      <c r="S125" s="224">
        <v>0</v>
      </c>
      <c r="T125" s="224">
        <f t="shared" si="37"/>
        <v>0</v>
      </c>
      <c r="U125" s="224">
        <f t="shared" si="38"/>
        <v>0</v>
      </c>
    </row>
    <row r="126" spans="1:21" ht="19.5" x14ac:dyDescent="0.3">
      <c r="A126" s="138"/>
      <c r="B126" s="139"/>
      <c r="C126" s="177" t="s">
        <v>18</v>
      </c>
      <c r="D126" s="498" t="s">
        <v>38</v>
      </c>
      <c r="E126" s="141"/>
      <c r="F126" s="141"/>
      <c r="G126" s="142"/>
      <c r="H126" s="178"/>
      <c r="I126" s="44"/>
      <c r="J126" s="44"/>
      <c r="K126" s="45"/>
      <c r="L126" s="465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IFERROR(__xludf.DUMMYFUNCTION("IMPORTRANGE(""https://docs.google.com/spreadsheets/d/1eHaY18a8A9IcSdp1K8H6x8fbOy06t2VsZHhMHf-1x7Y/edit?usp=sharing"",""แผน!FF21"")"),20)</f>
        <v>20</v>
      </c>
      <c r="J127" s="466">
        <v>20</v>
      </c>
      <c r="K127" s="224">
        <f ca="1">IF(I127&gt;0,J127*100/I127,0)</f>
        <v>100</v>
      </c>
      <c r="L127" s="465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IFERROR(__xludf.DUMMYFUNCTION("IMPORTRANGE(""https://docs.google.com/spreadsheets/d/1eHaY18a8A9IcSdp1K8H6x8fbOy06t2VsZHhMHf-1x7Y/edit?usp=sharing"",""แผน!FG21"")"),0)</f>
        <v>0</v>
      </c>
      <c r="J128" s="466">
        <v>0</v>
      </c>
      <c r="K128" s="224">
        <f ca="1">IF(I128&gt;0,J128*100/I128,0)</f>
        <v>0</v>
      </c>
      <c r="L128" s="465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IFERROR(__xludf.DUMMYFUNCTION("IMPORTRANGE(""https://docs.google.com/spreadsheets/d/1eHaY18a8A9IcSdp1K8H6x8fbOy06t2VsZHhMHf-1x7Y/edit?usp=sharing"",""แผน!FH21"")"),20)</f>
        <v>20</v>
      </c>
      <c r="J129" s="466">
        <v>20</v>
      </c>
      <c r="K129" s="224">
        <f ca="1">IF(I129&gt;0,J129*100/I129,0)</f>
        <v>100</v>
      </c>
      <c r="L129" s="465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IFERROR(__xludf.DUMMYFUNCTION("IMPORTRANGE(""https://docs.google.com/spreadsheets/d/1eHaY18a8A9IcSdp1K8H6x8fbOy06t2VsZHhMHf-1x7Y/edit?usp=sharing"",""แผน!FI21"")"),0)</f>
        <v>0</v>
      </c>
      <c r="J130" s="466">
        <v>0</v>
      </c>
      <c r="K130" s="224">
        <f ca="1">IF(I130&gt;0,J130*100/I130,0)</f>
        <v>0</v>
      </c>
      <c r="L130" s="465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465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465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57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hidden="1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10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hidden="1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665">
        <f ca="1">I154</f>
        <v>0</v>
      </c>
      <c r="J136" s="665">
        <f>J154</f>
        <v>0</v>
      </c>
      <c r="K136" s="664">
        <f ca="1">IF(I136&gt;0,J136*100/I136,0)</f>
        <v>0</v>
      </c>
      <c r="L136" s="510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665">
        <f ca="1">I152</f>
        <v>0</v>
      </c>
      <c r="J137" s="665">
        <f>J152</f>
        <v>0</v>
      </c>
      <c r="K137" s="664">
        <f ca="1">IF(I137&gt;0,J137*100/I137,0)</f>
        <v>0</v>
      </c>
      <c r="L137" s="510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665">
        <f ca="1">I153</f>
        <v>0</v>
      </c>
      <c r="J138" s="665">
        <f>J153</f>
        <v>0</v>
      </c>
      <c r="K138" s="664">
        <f ca="1">IF(I138&gt;0,J138*100/I138,0)</f>
        <v>0</v>
      </c>
      <c r="L138" s="510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8"/>
      <c r="B139" s="40"/>
      <c r="C139" s="129" t="s">
        <v>18</v>
      </c>
      <c r="D139" s="472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471">
        <f ca="1">L140+L141</f>
        <v>0</v>
      </c>
      <c r="M139" s="470">
        <f ca="1">M140+M141</f>
        <v>0</v>
      </c>
      <c r="N139" s="470">
        <f ca="1">N140+N141</f>
        <v>0</v>
      </c>
      <c r="O139" s="470">
        <f t="shared" ref="O139:O147" ca="1" si="41">IF(L139&gt;0,N139*100/L139,0)</f>
        <v>0</v>
      </c>
      <c r="P139" s="470">
        <f t="shared" ref="P139:P147" ca="1" si="42">IF(M139&gt;0,N139*100/M139,0)</f>
        <v>0</v>
      </c>
      <c r="Q139" s="470">
        <f ca="1">Q140+Q141</f>
        <v>0</v>
      </c>
      <c r="R139" s="470">
        <f ca="1">R140+R141</f>
        <v>0</v>
      </c>
      <c r="S139" s="470">
        <f ca="1">S140+S141</f>
        <v>0</v>
      </c>
      <c r="T139" s="470">
        <f t="shared" ref="T139:T147" ca="1" si="43">IF(Q139&gt;0,S139*100/Q139,0)</f>
        <v>0</v>
      </c>
      <c r="U139" s="470">
        <f t="shared" ref="U139:U147" ca="1" si="44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469">
        <f t="shared" ref="L140:N141" si="45">L143+L146</f>
        <v>0</v>
      </c>
      <c r="M140" s="83">
        <f t="shared" si="45"/>
        <v>0</v>
      </c>
      <c r="N140" s="83">
        <f t="shared" si="45"/>
        <v>0</v>
      </c>
      <c r="O140" s="83">
        <f t="shared" si="41"/>
        <v>0</v>
      </c>
      <c r="P140" s="83">
        <f t="shared" si="42"/>
        <v>0</v>
      </c>
      <c r="Q140" s="83">
        <f t="shared" ref="Q140:S141" si="46">Q143+Q146</f>
        <v>0</v>
      </c>
      <c r="R140" s="83">
        <f t="shared" si="46"/>
        <v>0</v>
      </c>
      <c r="S140" s="83">
        <f t="shared" si="46"/>
        <v>0</v>
      </c>
      <c r="T140" s="83">
        <f t="shared" si="43"/>
        <v>0</v>
      </c>
      <c r="U140" s="83">
        <f t="shared" si="44"/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468">
        <f t="shared" ca="1" si="45"/>
        <v>0</v>
      </c>
      <c r="M141" s="224">
        <f t="shared" ca="1" si="45"/>
        <v>0</v>
      </c>
      <c r="N141" s="224">
        <f t="shared" ca="1" si="45"/>
        <v>0</v>
      </c>
      <c r="O141" s="224">
        <f t="shared" ca="1" si="41"/>
        <v>0</v>
      </c>
      <c r="P141" s="224">
        <f t="shared" ca="1" si="42"/>
        <v>0</v>
      </c>
      <c r="Q141" s="224">
        <f t="shared" ca="1" si="46"/>
        <v>0</v>
      </c>
      <c r="R141" s="224">
        <f t="shared" ca="1" si="46"/>
        <v>0</v>
      </c>
      <c r="S141" s="224">
        <f t="shared" ca="1" si="46"/>
        <v>0</v>
      </c>
      <c r="T141" s="224">
        <f t="shared" ca="1" si="43"/>
        <v>0</v>
      </c>
      <c r="U141" s="224">
        <f t="shared" ca="1" si="44"/>
        <v>0</v>
      </c>
    </row>
    <row r="142" spans="1:21" ht="18.75" hidden="1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468">
        <f ca="1">L143+L144</f>
        <v>0</v>
      </c>
      <c r="M142" s="224">
        <f ca="1">M143+M144</f>
        <v>0</v>
      </c>
      <c r="N142" s="224">
        <f ca="1">N143+N144</f>
        <v>0</v>
      </c>
      <c r="O142" s="224">
        <f t="shared" ca="1" si="41"/>
        <v>0</v>
      </c>
      <c r="P142" s="224">
        <f t="shared" ca="1" si="42"/>
        <v>0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t="shared" ca="1" si="43"/>
        <v>0</v>
      </c>
      <c r="U142" s="224">
        <f t="shared" ca="1" si="44"/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469">
        <v>0</v>
      </c>
      <c r="M143" s="83">
        <v>0</v>
      </c>
      <c r="N143" s="83">
        <v>0</v>
      </c>
      <c r="O143" s="83">
        <f t="shared" si="41"/>
        <v>0</v>
      </c>
      <c r="P143" s="83">
        <f t="shared" si="42"/>
        <v>0</v>
      </c>
      <c r="Q143" s="83">
        <v>0</v>
      </c>
      <c r="R143" s="83">
        <v>0</v>
      </c>
      <c r="S143" s="83">
        <v>0</v>
      </c>
      <c r="T143" s="83">
        <f t="shared" si="43"/>
        <v>0</v>
      </c>
      <c r="U143" s="83">
        <f t="shared" si="44"/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468">
        <f ca="1">IFERROR(__xludf.DUMMYFUNCTION("IMPORTRANGE(""https://docs.google.com/spreadsheets/d/1-uDff_7J0KD5mKrp0Vvzr7lt3OU09vwQwhkpOPPYv2Y/edit?usp=sharing"",""งบพรบ!BQ21"")"),0)</f>
        <v>0</v>
      </c>
      <c r="M144" s="224">
        <f ca="1">IFERROR(__xludf.DUMMYFUNCTION("IMPORTRANGE(""https://docs.google.com/spreadsheets/d/1-uDff_7J0KD5mKrp0Vvzr7lt3OU09vwQwhkpOPPYv2Y/edit?usp=sharing"",""งบพรบ!BV21"")"),0)</f>
        <v>0</v>
      </c>
      <c r="N144" s="224">
        <f ca="1">IFERROR(__xludf.DUMMYFUNCTION("IMPORTRANGE(""https://docs.google.com/spreadsheets/d/1-uDff_7J0KD5mKrp0Vvzr7lt3OU09vwQwhkpOPPYv2Y/edit?usp=sharing"",""งบพรบ!BX21"")"),0)</f>
        <v>0</v>
      </c>
      <c r="O144" s="224">
        <f t="shared" ca="1" si="41"/>
        <v>0</v>
      </c>
      <c r="P144" s="224">
        <f t="shared" ca="1" si="42"/>
        <v>0</v>
      </c>
      <c r="Q144" s="224">
        <f ca="1">IFERROR(__xludf.DUMMYFUNCTION("IMPORTRANGE(""https://docs.google.com/spreadsheets/d/1ItG2mGa2ceCfYo0BwxsXqNm01IGEUdYcSSLTEv9YCik/edit?usp=sharing"",""เบิกจ่ายกองทุน!BB21"")"),0)</f>
        <v>0</v>
      </c>
      <c r="R144" s="224">
        <f ca="1">IFERROR(__xludf.DUMMYFUNCTION("IMPORTRANGE(""https://docs.google.com/spreadsheets/d/1ItG2mGa2ceCfYo0BwxsXqNm01IGEUdYcSSLTEv9YCik/edit?usp=sharing"",""เบิกจ่ายกองทุน!BC21"")"),0)</f>
        <v>0</v>
      </c>
      <c r="S144" s="224">
        <f ca="1">IFERROR(__xludf.DUMMYFUNCTION("IMPORTRANGE(""https://docs.google.com/spreadsheets/d/1ItG2mGa2ceCfYo0BwxsXqNm01IGEUdYcSSLTEv9YCik/edit?usp=sharing"",""เบิกจ่ายกองทุน!BD21"")"),0)</f>
        <v>0</v>
      </c>
      <c r="T144" s="224">
        <f t="shared" ca="1" si="43"/>
        <v>0</v>
      </c>
      <c r="U144" s="224">
        <f t="shared" ca="1" si="44"/>
        <v>0</v>
      </c>
    </row>
    <row r="145" spans="1:21" ht="18.75" hidden="1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468">
        <f ca="1">L146+L147</f>
        <v>0</v>
      </c>
      <c r="M145" s="224">
        <f ca="1">M146+M147</f>
        <v>0</v>
      </c>
      <c r="N145" s="224">
        <f ca="1">N146+N147</f>
        <v>0</v>
      </c>
      <c r="O145" s="224">
        <f t="shared" ca="1" si="41"/>
        <v>0</v>
      </c>
      <c r="P145" s="224">
        <f t="shared" ca="1" si="42"/>
        <v>0</v>
      </c>
      <c r="Q145" s="224">
        <f>Q146+Q147</f>
        <v>0</v>
      </c>
      <c r="R145" s="224">
        <f>R146+R147</f>
        <v>0</v>
      </c>
      <c r="S145" s="224">
        <f>S146+S147</f>
        <v>0</v>
      </c>
      <c r="T145" s="224">
        <f t="shared" si="43"/>
        <v>0</v>
      </c>
      <c r="U145" s="224">
        <f t="shared" si="44"/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469">
        <v>0</v>
      </c>
      <c r="M146" s="83">
        <v>0</v>
      </c>
      <c r="N146" s="83">
        <v>0</v>
      </c>
      <c r="O146" s="83">
        <f t="shared" si="41"/>
        <v>0</v>
      </c>
      <c r="P146" s="83">
        <f t="shared" si="42"/>
        <v>0</v>
      </c>
      <c r="Q146" s="83">
        <v>0</v>
      </c>
      <c r="R146" s="83">
        <v>0</v>
      </c>
      <c r="S146" s="83">
        <v>0</v>
      </c>
      <c r="T146" s="83">
        <f t="shared" si="43"/>
        <v>0</v>
      </c>
      <c r="U146" s="83">
        <f t="shared" si="44"/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468">
        <f ca="1">IFERROR(__xludf.DUMMYFUNCTION("IMPORTRANGE(""https://docs.google.com/spreadsheets/d/1-uDff_7J0KD5mKrp0Vvzr7lt3OU09vwQwhkpOPPYv2Y/edit?usp=sharing"",""งบพรบ!BT21"")"),0)</f>
        <v>0</v>
      </c>
      <c r="M147" s="224">
        <f ca="1">IFERROR(__xludf.DUMMYFUNCTION("IMPORTRANGE(""https://docs.google.com/spreadsheets/d/1-uDff_7J0KD5mKrp0Vvzr7lt3OU09vwQwhkpOPPYv2Y/edit?usp=sharing"",""งบพรบ!BW21"")"),0)</f>
        <v>0</v>
      </c>
      <c r="N147" s="224">
        <f ca="1">IFERROR(__xludf.DUMMYFUNCTION("IMPORTRANGE(""https://docs.google.com/spreadsheets/d/1-uDff_7J0KD5mKrp0Vvzr7lt3OU09vwQwhkpOPPYv2Y/edit?usp=sharing"",""งบพรบ!BY21"")"),0)</f>
        <v>0</v>
      </c>
      <c r="O147" s="224">
        <f t="shared" ca="1" si="41"/>
        <v>0</v>
      </c>
      <c r="P147" s="224">
        <f t="shared" ca="1" si="42"/>
        <v>0</v>
      </c>
      <c r="Q147" s="224">
        <v>0</v>
      </c>
      <c r="R147" s="224">
        <v>0</v>
      </c>
      <c r="S147" s="224">
        <v>0</v>
      </c>
      <c r="T147" s="224">
        <f t="shared" si="43"/>
        <v>0</v>
      </c>
      <c r="U147" s="224">
        <f t="shared" si="44"/>
        <v>0</v>
      </c>
    </row>
    <row r="148" spans="1:21" ht="19.5" hidden="1" x14ac:dyDescent="0.3">
      <c r="A148" s="138"/>
      <c r="B148" s="139"/>
      <c r="C148" s="129" t="s">
        <v>18</v>
      </c>
      <c r="D148" s="498" t="s">
        <v>38</v>
      </c>
      <c r="E148" s="141"/>
      <c r="F148" s="141"/>
      <c r="G148" s="142"/>
      <c r="H148" s="178"/>
      <c r="I148" s="44"/>
      <c r="J148" s="44"/>
      <c r="K148" s="45"/>
      <c r="L148" s="465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hidden="1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466">
        <v>0</v>
      </c>
      <c r="K149" s="45"/>
      <c r="L149" s="465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hidden="1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IFERROR(__xludf.DUMMYFUNCTION("IMPORTRANGE(""https://docs.google.com/spreadsheets/d/1eHaY18a8A9IcSdp1K8H6x8fbOy06t2VsZHhMHf-1x7Y/edit?usp=sharing"",""แผน!U21"")"),0)</f>
        <v>0</v>
      </c>
      <c r="J150" s="466">
        <v>0</v>
      </c>
      <c r="K150" s="224">
        <f ca="1">IF(I150&gt;0,J150*100/I150,0)</f>
        <v>0</v>
      </c>
      <c r="L150" s="465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hidden="1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IFERROR(__xludf.DUMMYFUNCTION("IMPORTRANGE(""https://docs.google.com/spreadsheets/d/1eHaY18a8A9IcSdp1K8H6x8fbOy06t2VsZHhMHf-1x7Y/edit?usp=sharing"",""แผน!V21"")"),0)</f>
        <v>0</v>
      </c>
      <c r="J151" s="466">
        <v>0</v>
      </c>
      <c r="K151" s="224">
        <f ca="1">IF(I151&gt;0,J151*100/I151,0)</f>
        <v>0</v>
      </c>
      <c r="L151" s="465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hidden="1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IFERROR(__xludf.DUMMYFUNCTION("IMPORTRANGE(""https://docs.google.com/spreadsheets/d/1eHaY18a8A9IcSdp1K8H6x8fbOy06t2VsZHhMHf-1x7Y/edit?usp=sharing"",""แผน!W21"")"),0)</f>
        <v>0</v>
      </c>
      <c r="J152" s="466">
        <v>0</v>
      </c>
      <c r="K152" s="224">
        <f ca="1">IF(I152&gt;0,J152*100/I152,0)</f>
        <v>0</v>
      </c>
      <c r="L152" s="465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hidden="1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IFERROR(__xludf.DUMMYFUNCTION("IMPORTRANGE(""https://docs.google.com/spreadsheets/d/1eHaY18a8A9IcSdp1K8H6x8fbOy06t2VsZHhMHf-1x7Y/edit?usp=sharing"",""แผน!X21"")"),0)</f>
        <v>0</v>
      </c>
      <c r="J153" s="466">
        <v>0</v>
      </c>
      <c r="K153" s="224">
        <f ca="1">IF(I153&gt;0,J153*100/I153,0)</f>
        <v>0</v>
      </c>
      <c r="L153" s="465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IFERROR(__xludf.DUMMYFUNCTION("IMPORTRANGE(""https://docs.google.com/spreadsheets/d/1eHaY18a8A9IcSdp1K8H6x8fbOy06t2VsZHhMHf-1x7Y/edit?usp=sharing"",""แผน!Y21"")"),0)</f>
        <v>0</v>
      </c>
      <c r="J154" s="466">
        <v>0</v>
      </c>
      <c r="K154" s="224">
        <f ca="1">IF(I154&gt;0,J154*100/I154,0)</f>
        <v>0</v>
      </c>
      <c r="L154" s="465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hidden="1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665">
        <f ca="1">I169</f>
        <v>0</v>
      </c>
      <c r="J156" s="665">
        <f>J169</f>
        <v>0</v>
      </c>
      <c r="K156" s="664">
        <f ca="1">IF(I156&gt;0,J156*100/I156,0)</f>
        <v>0</v>
      </c>
      <c r="L156" s="510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hidden="1" x14ac:dyDescent="0.3">
      <c r="A157" s="128"/>
      <c r="B157" s="40"/>
      <c r="C157" s="129" t="s">
        <v>18</v>
      </c>
      <c r="D157" s="472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471">
        <f ca="1">L158+L159</f>
        <v>0</v>
      </c>
      <c r="M157" s="470">
        <f ca="1">M158+M159</f>
        <v>2880</v>
      </c>
      <c r="N157" s="470">
        <f ca="1">N158+N159</f>
        <v>0</v>
      </c>
      <c r="O157" s="470">
        <f t="shared" ref="O157:O165" ca="1" si="47">IF(L157&gt;0,N157*100/L157,0)</f>
        <v>0</v>
      </c>
      <c r="P157" s="470">
        <f t="shared" ref="P157:P165" ca="1" si="48">IF(M157&gt;0,N157*100/M157,0)</f>
        <v>0</v>
      </c>
      <c r="Q157" s="470">
        <f ca="1">Q158+Q159</f>
        <v>0</v>
      </c>
      <c r="R157" s="470">
        <f ca="1">R158+R159</f>
        <v>0</v>
      </c>
      <c r="S157" s="470">
        <f ca="1">S158+S159</f>
        <v>0</v>
      </c>
      <c r="T157" s="470">
        <f t="shared" ref="T157:T165" ca="1" si="49">IF(Q157&gt;0,S157*100/Q157,0)</f>
        <v>0</v>
      </c>
      <c r="U157" s="470">
        <f t="shared" ref="U157:U165" ca="1" si="50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469">
        <f t="shared" ref="L158:N159" si="51">L161+L164</f>
        <v>0</v>
      </c>
      <c r="M158" s="83">
        <f t="shared" si="51"/>
        <v>0</v>
      </c>
      <c r="N158" s="83">
        <f t="shared" si="51"/>
        <v>0</v>
      </c>
      <c r="O158" s="83">
        <f t="shared" si="47"/>
        <v>0</v>
      </c>
      <c r="P158" s="83">
        <f t="shared" si="48"/>
        <v>0</v>
      </c>
      <c r="Q158" s="83">
        <f t="shared" ref="Q158:S159" si="52">Q161+Q164</f>
        <v>0</v>
      </c>
      <c r="R158" s="83">
        <f t="shared" si="52"/>
        <v>0</v>
      </c>
      <c r="S158" s="83">
        <f t="shared" si="52"/>
        <v>0</v>
      </c>
      <c r="T158" s="83">
        <f t="shared" si="49"/>
        <v>0</v>
      </c>
      <c r="U158" s="83">
        <f t="shared" si="50"/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468">
        <f t="shared" ca="1" si="51"/>
        <v>0</v>
      </c>
      <c r="M159" s="224">
        <f t="shared" ca="1" si="51"/>
        <v>2880</v>
      </c>
      <c r="N159" s="224">
        <f t="shared" ca="1" si="51"/>
        <v>0</v>
      </c>
      <c r="O159" s="224">
        <f t="shared" ca="1" si="47"/>
        <v>0</v>
      </c>
      <c r="P159" s="224">
        <f t="shared" ca="1" si="48"/>
        <v>0</v>
      </c>
      <c r="Q159" s="224">
        <f t="shared" ca="1" si="52"/>
        <v>0</v>
      </c>
      <c r="R159" s="224">
        <f t="shared" ca="1" si="52"/>
        <v>0</v>
      </c>
      <c r="S159" s="224">
        <f t="shared" ca="1" si="52"/>
        <v>0</v>
      </c>
      <c r="T159" s="224">
        <f t="shared" ca="1" si="49"/>
        <v>0</v>
      </c>
      <c r="U159" s="224">
        <f t="shared" ca="1" si="50"/>
        <v>0</v>
      </c>
    </row>
    <row r="160" spans="1:21" ht="18.75" hidden="1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468">
        <f ca="1">L161+L162</f>
        <v>0</v>
      </c>
      <c r="M160" s="224">
        <f ca="1">M161+M162</f>
        <v>2880</v>
      </c>
      <c r="N160" s="224">
        <f ca="1">N161+N162</f>
        <v>0</v>
      </c>
      <c r="O160" s="224">
        <f t="shared" ca="1" si="47"/>
        <v>0</v>
      </c>
      <c r="P160" s="224">
        <f t="shared" ca="1" si="48"/>
        <v>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t="shared" ca="1" si="49"/>
        <v>0</v>
      </c>
      <c r="U160" s="224">
        <f t="shared" ca="1" si="50"/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469">
        <v>0</v>
      </c>
      <c r="M161" s="83">
        <v>0</v>
      </c>
      <c r="N161" s="83">
        <v>0</v>
      </c>
      <c r="O161" s="83">
        <f t="shared" si="47"/>
        <v>0</v>
      </c>
      <c r="P161" s="83">
        <f t="shared" si="48"/>
        <v>0</v>
      </c>
      <c r="Q161" s="83">
        <v>0</v>
      </c>
      <c r="R161" s="83">
        <v>0</v>
      </c>
      <c r="S161" s="83">
        <v>0</v>
      </c>
      <c r="T161" s="83">
        <f t="shared" si="49"/>
        <v>0</v>
      </c>
      <c r="U161" s="83">
        <f t="shared" si="50"/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468">
        <f ca="1">IFERROR(__xludf.DUMMYFUNCTION("IMPORTRANGE(""https://docs.google.com/spreadsheets/d/1-uDff_7J0KD5mKrp0Vvzr7lt3OU09vwQwhkpOPPYv2Y/edit?usp=sharing"",""งบพรบ!CA21"")"),0)</f>
        <v>0</v>
      </c>
      <c r="M162" s="224">
        <f ca="1">IFERROR(__xludf.DUMMYFUNCTION("IMPORTRANGE(""https://docs.google.com/spreadsheets/d/1-uDff_7J0KD5mKrp0Vvzr7lt3OU09vwQwhkpOPPYv2Y/edit?usp=sharing"",""งบพรบ!CF21"")"),2880)</f>
        <v>2880</v>
      </c>
      <c r="N162" s="224">
        <f ca="1">IFERROR(__xludf.DUMMYFUNCTION("IMPORTRANGE(""https://docs.google.com/spreadsheets/d/1-uDff_7J0KD5mKrp0Vvzr7lt3OU09vwQwhkpOPPYv2Y/edit?usp=sharing"",""งบพรบ!CH21"")"),0)</f>
        <v>0</v>
      </c>
      <c r="O162" s="224">
        <f t="shared" ca="1" si="47"/>
        <v>0</v>
      </c>
      <c r="P162" s="224">
        <f t="shared" ca="1" si="48"/>
        <v>0</v>
      </c>
      <c r="Q162" s="224">
        <f ca="1">IFERROR(__xludf.DUMMYFUNCTION("IMPORTRANGE(""https://docs.google.com/spreadsheets/d/1ItG2mGa2ceCfYo0BwxsXqNm01IGEUdYcSSLTEv9YCik/edit?usp=sharing"",""เบิกจ่ายกองทุน!AG21"")"),0)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IFERROR(__xludf.DUMMYFUNCTION("IMPORTRANGE(""https://docs.google.com/spreadsheets/d/1ItG2mGa2ceCfYo0BwxsXqNm01IGEUdYcSSLTEv9YCik/edit?usp=sharing"",""เบิกจ่ายกองทุน!AH21"")"),0)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IFERROR(__xludf.DUMMYFUNCTION("IMPORTRANGE(""https://docs.google.com/spreadsheets/d/1ItG2mGa2ceCfYo0BwxsXqNm01IGEUdYcSSLTEv9YCik/edit?usp=sharing"",""เบิกจ่ายกองทุน!AI21"")"),0)</f>
        <v>0</v>
      </c>
      <c r="T162" s="224">
        <f t="shared" ca="1" si="49"/>
        <v>0</v>
      </c>
      <c r="U162" s="224">
        <f t="shared" ca="1" si="50"/>
        <v>0</v>
      </c>
    </row>
    <row r="163" spans="1:21" ht="18.75" hidden="1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468">
        <f ca="1">L164+L165</f>
        <v>0</v>
      </c>
      <c r="M163" s="224">
        <f ca="1">M164+M165</f>
        <v>0</v>
      </c>
      <c r="N163" s="224">
        <f ca="1">N164+N165</f>
        <v>0</v>
      </c>
      <c r="O163" s="224">
        <f t="shared" ca="1" si="47"/>
        <v>0</v>
      </c>
      <c r="P163" s="224">
        <f t="shared" ca="1" si="48"/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 t="shared" si="49"/>
        <v>0</v>
      </c>
      <c r="U163" s="224">
        <f t="shared" si="50"/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469">
        <v>0</v>
      </c>
      <c r="M164" s="83">
        <v>0</v>
      </c>
      <c r="N164" s="83">
        <v>0</v>
      </c>
      <c r="O164" s="83">
        <f t="shared" si="47"/>
        <v>0</v>
      </c>
      <c r="P164" s="83">
        <f t="shared" si="48"/>
        <v>0</v>
      </c>
      <c r="Q164" s="83">
        <v>0</v>
      </c>
      <c r="R164" s="83">
        <v>0</v>
      </c>
      <c r="S164" s="83">
        <v>0</v>
      </c>
      <c r="T164" s="83">
        <f t="shared" si="49"/>
        <v>0</v>
      </c>
      <c r="U164" s="83">
        <f t="shared" si="50"/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468">
        <f ca="1">IFERROR(__xludf.DUMMYFUNCTION("IMPORTRANGE(""https://docs.google.com/spreadsheets/d/1-uDff_7J0KD5mKrp0Vvzr7lt3OU09vwQwhkpOPPYv2Y/edit?usp=sharing"",""งบพรบ!CD21"")"),0)</f>
        <v>0</v>
      </c>
      <c r="M165" s="224">
        <f ca="1">IFERROR(__xludf.DUMMYFUNCTION("IMPORTRANGE(""https://docs.google.com/spreadsheets/d/1-uDff_7J0KD5mKrp0Vvzr7lt3OU09vwQwhkpOPPYv2Y/edit?usp=sharing"",""งบพรบ!CG21"")"),0)</f>
        <v>0</v>
      </c>
      <c r="N165" s="224">
        <f ca="1">IFERROR(__xludf.DUMMYFUNCTION("IMPORTRANGE(""https://docs.google.com/spreadsheets/d/1-uDff_7J0KD5mKrp0Vvzr7lt3OU09vwQwhkpOPPYv2Y/edit?usp=sharing"",""งบพรบ!CI21"")"),0)</f>
        <v>0</v>
      </c>
      <c r="O165" s="224">
        <f t="shared" ca="1" si="47"/>
        <v>0</v>
      </c>
      <c r="P165" s="224">
        <f t="shared" ca="1" si="48"/>
        <v>0</v>
      </c>
      <c r="Q165" s="224">
        <v>0</v>
      </c>
      <c r="R165" s="224">
        <v>0</v>
      </c>
      <c r="S165" s="224">
        <v>0</v>
      </c>
      <c r="T165" s="224">
        <f t="shared" si="49"/>
        <v>0</v>
      </c>
      <c r="U165" s="224">
        <f t="shared" si="50"/>
        <v>0</v>
      </c>
    </row>
    <row r="166" spans="1:21" ht="19.5" hidden="1" x14ac:dyDescent="0.3">
      <c r="A166" s="138"/>
      <c r="B166" s="139"/>
      <c r="C166" s="129" t="s">
        <v>18</v>
      </c>
      <c r="D166" s="498" t="s">
        <v>38</v>
      </c>
      <c r="E166" s="141"/>
      <c r="F166" s="141"/>
      <c r="G166" s="142"/>
      <c r="H166" s="178"/>
      <c r="I166" s="44"/>
      <c r="J166" s="44"/>
      <c r="K166" s="45"/>
      <c r="L166" s="465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hidden="1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IFERROR(__xludf.DUMMYFUNCTION("IMPORTRANGE(""https://docs.google.com/spreadsheets/d/1eHaY18a8A9IcSdp1K8H6x8fbOy06t2VsZHhMHf-1x7Y/edit?usp=sharing"",""แผน!Z21"")"),0)</f>
        <v>0</v>
      </c>
      <c r="J167" s="466">
        <v>0</v>
      </c>
      <c r="K167" s="224">
        <f ca="1">IF(I167&gt;0,J167*100/I167,0)</f>
        <v>0</v>
      </c>
      <c r="L167" s="465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375" t="s">
        <v>35</v>
      </c>
      <c r="I168" s="430">
        <f ca="1">IFERROR(__xludf.DUMMYFUNCTION("IMPORTRANGE(""https://docs.google.com/spreadsheets/d/1eHaY18a8A9IcSdp1K8H6x8fbOy06t2VsZHhMHf-1x7Y/edit?usp=sharing"",""แผน!Z21"")"),0)</f>
        <v>0</v>
      </c>
      <c r="J168" s="525">
        <v>0</v>
      </c>
      <c r="K168" s="83">
        <f ca="1">IF(I168&gt;0,J168*100/I168,0)</f>
        <v>0</v>
      </c>
      <c r="L168" s="465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31" t="s">
        <v>71</v>
      </c>
      <c r="E169" s="1"/>
      <c r="F169" s="1"/>
      <c r="G169" s="52"/>
      <c r="H169" s="663" t="s">
        <v>35</v>
      </c>
      <c r="I169" s="433">
        <f ca="1">IFERROR(__xludf.DUMMYFUNCTION("IMPORTRANGE(""https://docs.google.com/spreadsheets/d/1eHaY18a8A9IcSdp1K8H6x8fbOy06t2VsZHhMHf-1x7Y/edit?usp=sharing"",""แผน!Z21"")"),0)</f>
        <v>0</v>
      </c>
      <c r="J169" s="522">
        <v>0</v>
      </c>
      <c r="K169" s="521">
        <f ca="1">IF(I169&gt;0,J169*100/I169,0)</f>
        <v>0</v>
      </c>
      <c r="L169" s="46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662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661">
        <f ca="1">I183+I184</f>
        <v>7</v>
      </c>
      <c r="J172" s="661">
        <f>J183+J184</f>
        <v>7</v>
      </c>
      <c r="K172" s="660">
        <f ca="1">IF(I172&gt;0,J172*100/I172,0)</f>
        <v>100</v>
      </c>
      <c r="L172" s="659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472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471">
        <f ca="1">L174+L175</f>
        <v>19590</v>
      </c>
      <c r="M173" s="470">
        <f ca="1">M174+M175</f>
        <v>139645</v>
      </c>
      <c r="N173" s="470">
        <f ca="1">N174+N175</f>
        <v>125840</v>
      </c>
      <c r="O173" s="470">
        <f t="shared" ref="O173:O181" ca="1" si="53">IF(L173&gt;0,N173*100/L173,0)</f>
        <v>642.36855538540067</v>
      </c>
      <c r="P173" s="470">
        <f t="shared" ref="P173:P181" ca="1" si="54">IF(M173&gt;0,N173*100/M173,0)</f>
        <v>90.114218196140214</v>
      </c>
      <c r="Q173" s="470">
        <f ca="1">Q174+Q175</f>
        <v>0</v>
      </c>
      <c r="R173" s="470">
        <f ca="1">R174+R175</f>
        <v>0</v>
      </c>
      <c r="S173" s="470">
        <f ca="1">S174+S175</f>
        <v>0</v>
      </c>
      <c r="T173" s="470">
        <f t="shared" ref="T173:T181" ca="1" si="55">IF(Q173&gt;0,S173*100/Q173,0)</f>
        <v>0</v>
      </c>
      <c r="U173" s="470">
        <f t="shared" ref="U173:U181" ca="1" si="56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469">
        <f t="shared" ref="L174:N175" si="57">L177+L180</f>
        <v>0</v>
      </c>
      <c r="M174" s="83">
        <f t="shared" si="57"/>
        <v>0</v>
      </c>
      <c r="N174" s="83">
        <f t="shared" si="57"/>
        <v>0</v>
      </c>
      <c r="O174" s="83">
        <f t="shared" si="53"/>
        <v>0</v>
      </c>
      <c r="P174" s="83">
        <f t="shared" si="54"/>
        <v>0</v>
      </c>
      <c r="Q174" s="83">
        <f t="shared" ref="Q174:S175" si="58">Q177+Q180</f>
        <v>0</v>
      </c>
      <c r="R174" s="83">
        <f t="shared" si="58"/>
        <v>0</v>
      </c>
      <c r="S174" s="83">
        <f t="shared" si="58"/>
        <v>0</v>
      </c>
      <c r="T174" s="83">
        <f t="shared" si="55"/>
        <v>0</v>
      </c>
      <c r="U174" s="83">
        <f t="shared" si="56"/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468">
        <f t="shared" ca="1" si="57"/>
        <v>19590</v>
      </c>
      <c r="M175" s="224">
        <f t="shared" ca="1" si="57"/>
        <v>139645</v>
      </c>
      <c r="N175" s="224">
        <f t="shared" ca="1" si="57"/>
        <v>125840</v>
      </c>
      <c r="O175" s="224">
        <f t="shared" ca="1" si="53"/>
        <v>642.36855538540067</v>
      </c>
      <c r="P175" s="224">
        <f t="shared" ca="1" si="54"/>
        <v>90.114218196140214</v>
      </c>
      <c r="Q175" s="224">
        <f t="shared" ca="1" si="58"/>
        <v>0</v>
      </c>
      <c r="R175" s="224">
        <f t="shared" ca="1" si="58"/>
        <v>0</v>
      </c>
      <c r="S175" s="224">
        <f t="shared" ca="1" si="58"/>
        <v>0</v>
      </c>
      <c r="T175" s="224">
        <f t="shared" ca="1" si="55"/>
        <v>0</v>
      </c>
      <c r="U175" s="224">
        <f t="shared" ca="1" si="56"/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468">
        <f ca="1">L177+L178</f>
        <v>19590</v>
      </c>
      <c r="M176" s="224">
        <f ca="1">M177+M178</f>
        <v>139645</v>
      </c>
      <c r="N176" s="224">
        <f ca="1">N177+N178</f>
        <v>125840</v>
      </c>
      <c r="O176" s="224">
        <f t="shared" ca="1" si="53"/>
        <v>642.36855538540067</v>
      </c>
      <c r="P176" s="224">
        <f t="shared" ca="1" si="54"/>
        <v>90.114218196140214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t="shared" ca="1" si="55"/>
        <v>0</v>
      </c>
      <c r="U176" s="224">
        <f t="shared" ca="1" si="56"/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469">
        <v>0</v>
      </c>
      <c r="M177" s="83">
        <v>0</v>
      </c>
      <c r="N177" s="83">
        <v>0</v>
      </c>
      <c r="O177" s="83">
        <f t="shared" si="53"/>
        <v>0</v>
      </c>
      <c r="P177" s="83">
        <f t="shared" si="54"/>
        <v>0</v>
      </c>
      <c r="Q177" s="83">
        <v>0</v>
      </c>
      <c r="R177" s="83">
        <v>0</v>
      </c>
      <c r="S177" s="83">
        <v>0</v>
      </c>
      <c r="T177" s="83">
        <f t="shared" si="55"/>
        <v>0</v>
      </c>
      <c r="U177" s="83">
        <f t="shared" si="56"/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468">
        <f ca="1">IFERROR(__xludf.DUMMYFUNCTION("IMPORTRANGE(""https://docs.google.com/spreadsheets/d/1-uDff_7J0KD5mKrp0Vvzr7lt3OU09vwQwhkpOPPYv2Y/edit?usp=sharing"",""งบพรบ!CK21"")"),19590)</f>
        <v>19590</v>
      </c>
      <c r="M178" s="224">
        <f ca="1">IFERROR(__xludf.DUMMYFUNCTION("IMPORTRANGE(""https://docs.google.com/spreadsheets/d/1-uDff_7J0KD5mKrp0Vvzr7lt3OU09vwQwhkpOPPYv2Y/edit?usp=sharing"",""งบพรบ!CP21"")"),139645)</f>
        <v>139645</v>
      </c>
      <c r="N178" s="224">
        <f ca="1">IFERROR(__xludf.DUMMYFUNCTION("IMPORTRANGE(""https://docs.google.com/spreadsheets/d/1-uDff_7J0KD5mKrp0Vvzr7lt3OU09vwQwhkpOPPYv2Y/edit?usp=sharing"",""งบพรบ!CR21"")"),125840)</f>
        <v>125840</v>
      </c>
      <c r="O178" s="224">
        <f t="shared" ca="1" si="53"/>
        <v>642.36855538540067</v>
      </c>
      <c r="P178" s="224">
        <f t="shared" ca="1" si="54"/>
        <v>90.114218196140214</v>
      </c>
      <c r="Q178" s="224">
        <f ca="1">IFERROR(__xludf.DUMMYFUNCTION("IMPORTRANGE(""https://docs.google.com/spreadsheets/d/1ItG2mGa2ceCfYo0BwxsXqNm01IGEUdYcSSLTEv9YCik/edit?usp=sharing"",""เบิกจ่ายกองทุน!BE21"")"),0)</f>
        <v>0</v>
      </c>
      <c r="R178" s="224">
        <f ca="1">IFERROR(__xludf.DUMMYFUNCTION("IMPORTRANGE(""https://docs.google.com/spreadsheets/d/1ItG2mGa2ceCfYo0BwxsXqNm01IGEUdYcSSLTEv9YCik/edit?usp=sharing"",""เบิกจ่ายกองทุน!BF21"")"),0)</f>
        <v>0</v>
      </c>
      <c r="S178" s="224">
        <f ca="1">IFERROR(__xludf.DUMMYFUNCTION("IMPORTRANGE(""https://docs.google.com/spreadsheets/d/1ItG2mGa2ceCfYo0BwxsXqNm01IGEUdYcSSLTEv9YCik/edit?usp=sharing"",""เบิกจ่ายกองทุน!BG21"")"),0)</f>
        <v>0</v>
      </c>
      <c r="T178" s="224">
        <f t="shared" ca="1" si="55"/>
        <v>0</v>
      </c>
      <c r="U178" s="224">
        <f t="shared" ca="1" si="56"/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468">
        <f ca="1">L180+L181</f>
        <v>0</v>
      </c>
      <c r="M179" s="224">
        <f ca="1">M180+M181</f>
        <v>0</v>
      </c>
      <c r="N179" s="224">
        <f ca="1">N180+N181</f>
        <v>0</v>
      </c>
      <c r="O179" s="224">
        <f t="shared" ca="1" si="53"/>
        <v>0</v>
      </c>
      <c r="P179" s="224">
        <f t="shared" ca="1" si="54"/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 t="shared" si="55"/>
        <v>0</v>
      </c>
      <c r="U179" s="224">
        <f t="shared" si="56"/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469">
        <v>0</v>
      </c>
      <c r="M180" s="83">
        <v>0</v>
      </c>
      <c r="N180" s="83">
        <v>0</v>
      </c>
      <c r="O180" s="83">
        <f t="shared" si="53"/>
        <v>0</v>
      </c>
      <c r="P180" s="83">
        <f t="shared" si="54"/>
        <v>0</v>
      </c>
      <c r="Q180" s="83">
        <v>0</v>
      </c>
      <c r="R180" s="83">
        <v>0</v>
      </c>
      <c r="S180" s="83">
        <v>0</v>
      </c>
      <c r="T180" s="83">
        <f t="shared" si="55"/>
        <v>0</v>
      </c>
      <c r="U180" s="83">
        <f t="shared" si="56"/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468">
        <f ca="1">IFERROR(__xludf.DUMMYFUNCTION("IMPORTRANGE(""https://docs.google.com/spreadsheets/d/1-uDff_7J0KD5mKrp0Vvzr7lt3OU09vwQwhkpOPPYv2Y/edit?usp=sharing"",""งบพรบ!CN21"")"),0)</f>
        <v>0</v>
      </c>
      <c r="M181" s="224">
        <f ca="1">IFERROR(__xludf.DUMMYFUNCTION("IMPORTRANGE(""https://docs.google.com/spreadsheets/d/1-uDff_7J0KD5mKrp0Vvzr7lt3OU09vwQwhkpOPPYv2Y/edit?usp=sharing"",""งบพรบ!CQ21"")"),0)</f>
        <v>0</v>
      </c>
      <c r="N181" s="224">
        <f ca="1">IFERROR(__xludf.DUMMYFUNCTION("IMPORTRANGE(""https://docs.google.com/spreadsheets/d/1-uDff_7J0KD5mKrp0Vvzr7lt3OU09vwQwhkpOPPYv2Y/edit?usp=sharing"",""งบพรบ!CS21"")"),0)</f>
        <v>0</v>
      </c>
      <c r="O181" s="224">
        <f t="shared" ca="1" si="53"/>
        <v>0</v>
      </c>
      <c r="P181" s="224">
        <f t="shared" ca="1" si="54"/>
        <v>0</v>
      </c>
      <c r="Q181" s="224">
        <v>0</v>
      </c>
      <c r="R181" s="224">
        <v>0</v>
      </c>
      <c r="S181" s="224">
        <v>0</v>
      </c>
      <c r="T181" s="224">
        <f t="shared" si="55"/>
        <v>0</v>
      </c>
      <c r="U181" s="224">
        <f t="shared" si="56"/>
        <v>0</v>
      </c>
    </row>
    <row r="182" spans="1:21" ht="19.5" x14ac:dyDescent="0.3">
      <c r="A182" s="138"/>
      <c r="B182" s="139"/>
      <c r="C182" s="129" t="s">
        <v>18</v>
      </c>
      <c r="D182" s="498" t="s">
        <v>38</v>
      </c>
      <c r="E182" s="141"/>
      <c r="F182" s="141"/>
      <c r="G182" s="142"/>
      <c r="H182" s="178"/>
      <c r="I182" s="44"/>
      <c r="J182" s="44"/>
      <c r="K182" s="45"/>
      <c r="L182" s="465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IFERROR(__xludf.DUMMYFUNCTION("IMPORTRANGE(""https://docs.google.com/spreadsheets/d/1eHaY18a8A9IcSdp1K8H6x8fbOy06t2VsZHhMHf-1x7Y/edit?usp=sharing"",""แผน!AA21"")"),7)</f>
        <v>7</v>
      </c>
      <c r="J183" s="466">
        <v>7</v>
      </c>
      <c r="K183" s="224">
        <f ca="1">IF(I183&gt;0,J183*100/I183,0)</f>
        <v>100</v>
      </c>
      <c r="L183" s="465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14" t="s">
        <v>76</v>
      </c>
      <c r="E184" s="40"/>
      <c r="F184" s="40"/>
      <c r="G184" s="42"/>
      <c r="H184" s="526" t="s">
        <v>35</v>
      </c>
      <c r="I184" s="430">
        <v>0</v>
      </c>
      <c r="J184" s="430">
        <v>0</v>
      </c>
      <c r="K184" s="83">
        <f>IF(I184&gt;0,J184*100/I184,0)</f>
        <v>0</v>
      </c>
      <c r="L184" s="465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661">
        <f ca="1">I230+I231</f>
        <v>0</v>
      </c>
      <c r="J185" s="661">
        <f>J230+J231</f>
        <v>0</v>
      </c>
      <c r="K185" s="660">
        <f ca="1">IF(I185&gt;0,J185*100/I185,0)</f>
        <v>0</v>
      </c>
      <c r="L185" s="659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472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471">
        <f ca="1">L187+L188</f>
        <v>218500</v>
      </c>
      <c r="M186" s="470">
        <f ca="1">M187+M188</f>
        <v>202500</v>
      </c>
      <c r="N186" s="470">
        <f ca="1">N187+N188</f>
        <v>169516.68</v>
      </c>
      <c r="O186" s="470">
        <f t="shared" ref="O186:O194" ca="1" si="59">IF(L186&gt;0,N186*100/L186,0)</f>
        <v>77.582004576659045</v>
      </c>
      <c r="P186" s="470">
        <f t="shared" ref="P186:P194" ca="1" si="60">IF(M186&gt;0,N186*100/M186,0)</f>
        <v>83.711940740740744</v>
      </c>
      <c r="Q186" s="470">
        <f ca="1">Q187+Q188</f>
        <v>42000</v>
      </c>
      <c r="R186" s="470">
        <f ca="1">R187+R188</f>
        <v>42000</v>
      </c>
      <c r="S186" s="470">
        <f ca="1">S187+S188</f>
        <v>0</v>
      </c>
      <c r="T186" s="470">
        <f t="shared" ref="T186:T194" ca="1" si="61">IF(Q186&gt;0,S186*100/Q186,0)</f>
        <v>0</v>
      </c>
      <c r="U186" s="470">
        <f t="shared" ref="U186:U194" ca="1" si="62">IF(R186&gt;0,S186*100/R186,0)</f>
        <v>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469">
        <f t="shared" ref="L187:N188" si="63">L190+L193</f>
        <v>0</v>
      </c>
      <c r="M187" s="83">
        <f t="shared" si="63"/>
        <v>0</v>
      </c>
      <c r="N187" s="83">
        <f t="shared" si="63"/>
        <v>0</v>
      </c>
      <c r="O187" s="83">
        <f t="shared" si="59"/>
        <v>0</v>
      </c>
      <c r="P187" s="83">
        <f t="shared" si="60"/>
        <v>0</v>
      </c>
      <c r="Q187" s="83">
        <f t="shared" ref="Q187:S188" si="64">Q190+Q193</f>
        <v>0</v>
      </c>
      <c r="R187" s="83">
        <f t="shared" si="64"/>
        <v>0</v>
      </c>
      <c r="S187" s="83">
        <f t="shared" si="64"/>
        <v>0</v>
      </c>
      <c r="T187" s="83">
        <f t="shared" si="61"/>
        <v>0</v>
      </c>
      <c r="U187" s="83">
        <f t="shared" si="62"/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468">
        <f t="shared" ca="1" si="63"/>
        <v>218500</v>
      </c>
      <c r="M188" s="224">
        <f t="shared" ca="1" si="63"/>
        <v>202500</v>
      </c>
      <c r="N188" s="224">
        <f t="shared" ca="1" si="63"/>
        <v>169516.68</v>
      </c>
      <c r="O188" s="224">
        <f t="shared" ca="1" si="59"/>
        <v>77.582004576659045</v>
      </c>
      <c r="P188" s="224">
        <f t="shared" ca="1" si="60"/>
        <v>83.711940740740744</v>
      </c>
      <c r="Q188" s="224">
        <f t="shared" ca="1" si="64"/>
        <v>42000</v>
      </c>
      <c r="R188" s="224">
        <f t="shared" ca="1" si="64"/>
        <v>42000</v>
      </c>
      <c r="S188" s="224">
        <f t="shared" ca="1" si="64"/>
        <v>0</v>
      </c>
      <c r="T188" s="224">
        <f t="shared" ca="1" si="61"/>
        <v>0</v>
      </c>
      <c r="U188" s="224">
        <f t="shared" ca="1" si="62"/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468">
        <f ca="1">L190+L191</f>
        <v>218500</v>
      </c>
      <c r="M189" s="224">
        <f ca="1">M190+M191</f>
        <v>202500</v>
      </c>
      <c r="N189" s="224">
        <f ca="1">N190+N191</f>
        <v>169516.68</v>
      </c>
      <c r="O189" s="224">
        <f t="shared" ca="1" si="59"/>
        <v>77.582004576659045</v>
      </c>
      <c r="P189" s="224">
        <f t="shared" ca="1" si="60"/>
        <v>83.711940740740744</v>
      </c>
      <c r="Q189" s="224">
        <f ca="1">Q190+Q191</f>
        <v>42000</v>
      </c>
      <c r="R189" s="224">
        <f ca="1">R190+R191</f>
        <v>42000</v>
      </c>
      <c r="S189" s="224">
        <f ca="1">S190+S191</f>
        <v>0</v>
      </c>
      <c r="T189" s="224">
        <f t="shared" ca="1" si="61"/>
        <v>0</v>
      </c>
      <c r="U189" s="224">
        <f t="shared" ca="1" si="62"/>
        <v>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469">
        <v>0</v>
      </c>
      <c r="M190" s="83">
        <v>0</v>
      </c>
      <c r="N190" s="83">
        <v>0</v>
      </c>
      <c r="O190" s="83">
        <f t="shared" si="59"/>
        <v>0</v>
      </c>
      <c r="P190" s="83">
        <f t="shared" si="60"/>
        <v>0</v>
      </c>
      <c r="Q190" s="83">
        <v>0</v>
      </c>
      <c r="R190" s="83">
        <v>0</v>
      </c>
      <c r="S190" s="83">
        <v>0</v>
      </c>
      <c r="T190" s="83">
        <f t="shared" si="61"/>
        <v>0</v>
      </c>
      <c r="U190" s="83">
        <f t="shared" si="62"/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468">
        <f ca="1">IFERROR(__xludf.DUMMYFUNCTION("IMPORTRANGE(""https://docs.google.com/spreadsheets/d/1-uDff_7J0KD5mKrp0Vvzr7lt3OU09vwQwhkpOPPYv2Y/edit?usp=sharing"",""งบพรบ!CU21"")"),218500)</f>
        <v>218500</v>
      </c>
      <c r="M191" s="224">
        <f ca="1">IFERROR(__xludf.DUMMYFUNCTION("IMPORTRANGE(""https://docs.google.com/spreadsheets/d/1-uDff_7J0KD5mKrp0Vvzr7lt3OU09vwQwhkpOPPYv2Y/edit?usp=sharing"",""งบพรบ!CZ21"")"),202500)</f>
        <v>202500</v>
      </c>
      <c r="N191" s="224">
        <f ca="1">IFERROR(__xludf.DUMMYFUNCTION("IMPORTRANGE(""https://docs.google.com/spreadsheets/d/1-uDff_7J0KD5mKrp0Vvzr7lt3OU09vwQwhkpOPPYv2Y/edit?usp=sharing"",""งบพรบ!DB21"")"),169516.68)</f>
        <v>169516.68</v>
      </c>
      <c r="O191" s="224">
        <f t="shared" ca="1" si="59"/>
        <v>77.582004576659045</v>
      </c>
      <c r="P191" s="224">
        <f t="shared" ca="1" si="60"/>
        <v>83.711940740740744</v>
      </c>
      <c r="Q191" s="224">
        <f ca="1">IFERROR(__xludf.DUMMYFUNCTION("IMPORTRANGE(""https://docs.google.com/spreadsheets/d/1ItG2mGa2ceCfYo0BwxsXqNm01IGEUdYcSSLTEv9YCik/edit?usp=sharing"",""เบิกจ่ายกองทุน!AV21"")"),42000)</f>
        <v>42000</v>
      </c>
      <c r="R191" s="224">
        <f ca="1">IFERROR(__xludf.DUMMYFUNCTION("IMPORTRANGE(""https://docs.google.com/spreadsheets/d/1ItG2mGa2ceCfYo0BwxsXqNm01IGEUdYcSSLTEv9YCik/edit?usp=sharing"",""เบิกจ่ายกองทุน!AW21"")"),42000)</f>
        <v>42000</v>
      </c>
      <c r="S191" s="224">
        <f ca="1">IFERROR(__xludf.DUMMYFUNCTION("IMPORTRANGE(""https://docs.google.com/spreadsheets/d/1ItG2mGa2ceCfYo0BwxsXqNm01IGEUdYcSSLTEv9YCik/edit?usp=sharing"",""เบิกจ่ายกองทุน!AX21"")"),0)</f>
        <v>0</v>
      </c>
      <c r="T191" s="224">
        <f t="shared" ca="1" si="61"/>
        <v>0</v>
      </c>
      <c r="U191" s="224">
        <f t="shared" ca="1" si="62"/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468">
        <f ca="1">L193+L194</f>
        <v>0</v>
      </c>
      <c r="M192" s="224">
        <f ca="1">M193+M194</f>
        <v>0</v>
      </c>
      <c r="N192" s="224">
        <f ca="1">N193+N194</f>
        <v>0</v>
      </c>
      <c r="O192" s="224">
        <f t="shared" ca="1" si="59"/>
        <v>0</v>
      </c>
      <c r="P192" s="224">
        <f t="shared" ca="1" si="60"/>
        <v>0</v>
      </c>
      <c r="Q192" s="224">
        <f>Q193+Q194</f>
        <v>0</v>
      </c>
      <c r="R192" s="224">
        <f>R193+R194</f>
        <v>0</v>
      </c>
      <c r="S192" s="224">
        <f>S193+S194</f>
        <v>0</v>
      </c>
      <c r="T192" s="224">
        <f t="shared" si="61"/>
        <v>0</v>
      </c>
      <c r="U192" s="224">
        <f t="shared" si="62"/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469">
        <v>0</v>
      </c>
      <c r="M193" s="83">
        <v>0</v>
      </c>
      <c r="N193" s="83">
        <v>0</v>
      </c>
      <c r="O193" s="83">
        <f t="shared" si="59"/>
        <v>0</v>
      </c>
      <c r="P193" s="83">
        <f t="shared" si="60"/>
        <v>0</v>
      </c>
      <c r="Q193" s="83">
        <v>0</v>
      </c>
      <c r="R193" s="83">
        <v>0</v>
      </c>
      <c r="S193" s="83">
        <v>0</v>
      </c>
      <c r="T193" s="83">
        <f t="shared" si="61"/>
        <v>0</v>
      </c>
      <c r="U193" s="83">
        <f t="shared" si="62"/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468">
        <f ca="1">IFERROR(__xludf.DUMMYFUNCTION("IMPORTRANGE(""https://docs.google.com/spreadsheets/d/1-uDff_7J0KD5mKrp0Vvzr7lt3OU09vwQwhkpOPPYv2Y/edit?usp=sharing"",""งบพรบ!CX21"")"),0)</f>
        <v>0</v>
      </c>
      <c r="M194" s="224">
        <f ca="1">IFERROR(__xludf.DUMMYFUNCTION("IMPORTRANGE(""https://docs.google.com/spreadsheets/d/1-uDff_7J0KD5mKrp0Vvzr7lt3OU09vwQwhkpOPPYv2Y/edit?usp=sharing"",""งบพรบ!DA21"")"),0)</f>
        <v>0</v>
      </c>
      <c r="N194" s="224">
        <f ca="1">IFERROR(__xludf.DUMMYFUNCTION("IMPORTRANGE(""https://docs.google.com/spreadsheets/d/1-uDff_7J0KD5mKrp0Vvzr7lt3OU09vwQwhkpOPPYv2Y/edit?usp=sharing"",""งบพรบ!DC21"")"),0)</f>
        <v>0</v>
      </c>
      <c r="O194" s="224">
        <f t="shared" ca="1" si="59"/>
        <v>0</v>
      </c>
      <c r="P194" s="224">
        <f t="shared" ca="1" si="60"/>
        <v>0</v>
      </c>
      <c r="Q194" s="224">
        <v>0</v>
      </c>
      <c r="R194" s="224">
        <v>0</v>
      </c>
      <c r="S194" s="224">
        <v>0</v>
      </c>
      <c r="T194" s="224">
        <f t="shared" si="61"/>
        <v>0</v>
      </c>
      <c r="U194" s="224">
        <f t="shared" si="62"/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ca="1">I198</f>
        <v>4</v>
      </c>
      <c r="J195" s="303">
        <f>J198</f>
        <v>2</v>
      </c>
      <c r="K195" s="304">
        <f ca="1">IF(I195&gt;0,J195*100/I195,0)</f>
        <v>50</v>
      </c>
      <c r="L195" s="557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654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471">
        <f ca="1">IFERROR(__xludf.DUMMYFUNCTION("IMPORTRANGE(""https://docs.google.com/spreadsheets/d/1eHaY18a8A9IcSdp1K8H6x8fbOy06t2VsZHhMHf-1x7Y/edit?usp=sharing"",""แผน!AB21"")"),6000)</f>
        <v>6000</v>
      </c>
      <c r="M196" s="45"/>
      <c r="N196" s="658">
        <v>0</v>
      </c>
      <c r="O196" s="470">
        <f ca="1">IF(L196&gt;0,N196*100/L196,0)</f>
        <v>0</v>
      </c>
      <c r="P196" s="47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498" t="s">
        <v>38</v>
      </c>
      <c r="E197" s="141"/>
      <c r="F197" s="141"/>
      <c r="G197" s="142"/>
      <c r="H197" s="143"/>
      <c r="I197" s="44"/>
      <c r="J197" s="44"/>
      <c r="K197" s="45"/>
      <c r="L197" s="465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IFERROR(__xludf.DUMMYFUNCTION("IMPORTRANGE(""https://docs.google.com/spreadsheets/d/1eHaY18a8A9IcSdp1K8H6x8fbOy06t2VsZHhMHf-1x7Y/edit?usp=sharing"",""แผน!AE21"")"),4)</f>
        <v>4</v>
      </c>
      <c r="J198" s="466">
        <v>2</v>
      </c>
      <c r="K198" s="224">
        <f ca="1">IF(I198&gt;0,J198*100/I198,0)</f>
        <v>50</v>
      </c>
      <c r="L198" s="465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44</v>
      </c>
      <c r="K199" s="45"/>
      <c r="L199" s="465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466">
        <v>44</v>
      </c>
      <c r="K200" s="45"/>
      <c r="L200" s="465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466">
        <v>0</v>
      </c>
      <c r="K201" s="45"/>
      <c r="L201" s="465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ca="1">I209</f>
        <v>3</v>
      </c>
      <c r="J202" s="303">
        <f>J209</f>
        <v>0</v>
      </c>
      <c r="K202" s="304">
        <f ca="1">IF(I202&gt;0,J202*100/I202,0)</f>
        <v>0</v>
      </c>
      <c r="L202" s="557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654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471">
        <f ca="1">L204+L205+L206+L207</f>
        <v>10000</v>
      </c>
      <c r="M203" s="45"/>
      <c r="N203" s="470">
        <f>N204+N205+N206+N207</f>
        <v>0</v>
      </c>
      <c r="O203" s="470">
        <f ca="1">IF(L203&gt;0,N203*100/L203,0)</f>
        <v>0</v>
      </c>
      <c r="P203" s="470">
        <f>IF(M203&gt;0,N203*100/M203,0)</f>
        <v>0</v>
      </c>
      <c r="Q203" s="657">
        <f ca="1">Q204+Q205+Q206+Q207</f>
        <v>42000</v>
      </c>
      <c r="R203" s="656"/>
      <c r="S203" s="655">
        <f>S204+S205+S206+S207</f>
        <v>0</v>
      </c>
      <c r="T203" s="655">
        <f ca="1">IF(Q203&gt;0,S203*100/Q203,0)</f>
        <v>0</v>
      </c>
      <c r="U203" s="655">
        <f>IF(R203&gt;0,S203*100/R203,0)</f>
        <v>0</v>
      </c>
    </row>
    <row r="204" spans="1:21" ht="18.75" x14ac:dyDescent="0.25">
      <c r="A204" s="128"/>
      <c r="B204" s="158"/>
      <c r="C204" s="40"/>
      <c r="D204" s="653" t="s">
        <v>311</v>
      </c>
      <c r="E204" s="40"/>
      <c r="F204" s="40"/>
      <c r="G204" s="42"/>
      <c r="H204" s="134" t="s">
        <v>14</v>
      </c>
      <c r="I204" s="135"/>
      <c r="J204" s="135"/>
      <c r="K204" s="136"/>
      <c r="L204" s="468">
        <f ca="1">IFERROR(__xludf.DUMMYFUNCTION("IMPORTRANGE(""https://docs.google.com/spreadsheets/d/1eHaY18a8A9IcSdp1K8H6x8fbOy06t2VsZHhMHf-1x7Y/edit?usp=sharing"",""แผน!AG21"")"),2000)</f>
        <v>2000</v>
      </c>
      <c r="M204" s="45"/>
      <c r="N204" s="644">
        <v>0</v>
      </c>
      <c r="O204" s="136"/>
      <c r="P204" s="45"/>
      <c r="Q204" s="468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307</v>
      </c>
      <c r="E205" s="40"/>
      <c r="F205" s="40"/>
      <c r="G205" s="42"/>
      <c r="H205" s="43" t="s">
        <v>14</v>
      </c>
      <c r="I205" s="44"/>
      <c r="J205" s="44"/>
      <c r="K205" s="45"/>
      <c r="L205" s="468">
        <f ca="1">IFERROR(__xludf.DUMMYFUNCTION("IMPORTRANGE(""https://docs.google.com/spreadsheets/d/1eHaY18a8A9IcSdp1K8H6x8fbOy06t2VsZHhMHf-1x7Y/edit?usp=sharing"",""แผน!AH21"")"),0)</f>
        <v>0</v>
      </c>
      <c r="M205" s="45"/>
      <c r="N205" s="644">
        <v>0</v>
      </c>
      <c r="O205" s="136"/>
      <c r="P205" s="45"/>
      <c r="Q205" s="468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468">
        <f ca="1">IFERROR(__xludf.DUMMYFUNCTION("IMPORTRANGE(""https://docs.google.com/spreadsheets/d/1eHaY18a8A9IcSdp1K8H6x8fbOy06t2VsZHhMHf-1x7Y/edit?usp=sharing"",""แผน!AI21"")"),0)</f>
        <v>0</v>
      </c>
      <c r="M206" s="45"/>
      <c r="N206" s="644">
        <v>0</v>
      </c>
      <c r="O206" s="136"/>
      <c r="P206" s="45"/>
      <c r="Q206" s="468">
        <f ca="1">IFERROR(__xludf.DUMMYFUNCTION("IMPORTRANGE(""https://docs.google.com/spreadsheets/d/1eHaY18a8A9IcSdp1K8H6x8fbOy06t2VsZHhMHf-1x7Y/edit?usp=sharing"",""แผน!LV21"")"),42000)</f>
        <v>42000</v>
      </c>
      <c r="R206" s="45"/>
      <c r="S206" s="644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468">
        <f ca="1">IFERROR(__xludf.DUMMYFUNCTION("IMPORTRANGE(""https://docs.google.com/spreadsheets/d/1eHaY18a8A9IcSdp1K8H6x8fbOy06t2VsZHhMHf-1x7Y/edit?usp=sharing"",""แผน!AJ21"")"),8000)</f>
        <v>8000</v>
      </c>
      <c r="M207" s="45"/>
      <c r="N207" s="644">
        <v>0</v>
      </c>
      <c r="O207" s="136"/>
      <c r="P207" s="45"/>
      <c r="Q207" s="468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498" t="s">
        <v>38</v>
      </c>
      <c r="E208" s="141"/>
      <c r="F208" s="141"/>
      <c r="G208" s="142"/>
      <c r="H208" s="143"/>
      <c r="I208" s="135"/>
      <c r="J208" s="135"/>
      <c r="K208" s="136"/>
      <c r="L208" s="492"/>
      <c r="M208" s="136"/>
      <c r="N208" s="136"/>
      <c r="O208" s="136"/>
      <c r="P208" s="136"/>
      <c r="Q208" s="4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IFERROR(__xludf.DUMMYFUNCTION("IMPORTRANGE(""https://docs.google.com/spreadsheets/d/1eHaY18a8A9IcSdp1K8H6x8fbOy06t2VsZHhMHf-1x7Y/edit?usp=sharing"",""แผน!AK21"")"),3)</f>
        <v>3</v>
      </c>
      <c r="J209" s="466">
        <v>0</v>
      </c>
      <c r="K209" s="497">
        <f ca="1">IF(I209&gt;0,J209*100/I209,0)</f>
        <v>0</v>
      </c>
      <c r="L209" s="465"/>
      <c r="M209" s="45"/>
      <c r="N209" s="45"/>
      <c r="O209" s="45"/>
      <c r="P209" s="45"/>
      <c r="Q209" s="465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465"/>
      <c r="M210" s="45"/>
      <c r="N210" s="45"/>
      <c r="O210" s="45"/>
      <c r="P210" s="45"/>
      <c r="Q210" s="46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IFERROR(__xludf.DUMMYFUNCTION("IMPORTRANGE(""https://docs.google.com/spreadsheets/d/1eHaY18a8A9IcSdp1K8H6x8fbOy06t2VsZHhMHf-1x7Y/edit?usp=sharing"",""แผน!JX21"")"),2)</f>
        <v>2</v>
      </c>
      <c r="J211" s="466">
        <v>0</v>
      </c>
      <c r="K211" s="497">
        <f ca="1">IF(I211&gt;0,J211*100/I211,0)</f>
        <v>0</v>
      </c>
      <c r="L211" s="465"/>
      <c r="M211" s="45"/>
      <c r="N211" s="45"/>
      <c r="O211" s="45"/>
      <c r="P211" s="45"/>
      <c r="Q211" s="46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IFERROR(__xludf.DUMMYFUNCTION("IMPORTRANGE(""https://docs.google.com/spreadsheets/d/1eHaY18a8A9IcSdp1K8H6x8fbOy06t2VsZHhMHf-1x7Y/edit?usp=sharing"",""แผน!JY21"")"),0)</f>
        <v>0</v>
      </c>
      <c r="J212" s="466">
        <v>0</v>
      </c>
      <c r="K212" s="497">
        <f ca="1">IF(I212&gt;0,J212*100/I212,0)</f>
        <v>0</v>
      </c>
      <c r="L212" s="465"/>
      <c r="M212" s="45"/>
      <c r="N212" s="45"/>
      <c r="O212" s="45"/>
      <c r="P212" s="45"/>
      <c r="Q212" s="465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ca="1">I220</f>
        <v>0</v>
      </c>
      <c r="J213" s="303">
        <f>J220</f>
        <v>0</v>
      </c>
      <c r="K213" s="304">
        <f ca="1">IF(I213&gt;0,J213*100/I213,0)</f>
        <v>0</v>
      </c>
      <c r="L213" s="557"/>
      <c r="M213" s="219"/>
      <c r="N213" s="219"/>
      <c r="O213" s="219"/>
      <c r="P213" s="219"/>
      <c r="Q213" s="557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654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471">
        <f ca="1">L215+L216+L217</f>
        <v>0</v>
      </c>
      <c r="M214" s="45"/>
      <c r="N214" s="470">
        <f>N215+N216+N217</f>
        <v>0</v>
      </c>
      <c r="O214" s="470">
        <f ca="1">IF(L214&gt;0,N214*100/L214,0)</f>
        <v>0</v>
      </c>
      <c r="P214" s="470">
        <f>IF(M214&gt;0,N214*100/M214,0)</f>
        <v>0</v>
      </c>
      <c r="Q214" s="471">
        <f ca="1">Q215+Q216+Q217</f>
        <v>0</v>
      </c>
      <c r="R214" s="45"/>
      <c r="S214" s="470">
        <f>S215+S216+S217</f>
        <v>0</v>
      </c>
      <c r="T214" s="470">
        <f ca="1">IF(Q214&gt;0,S214*100/Q214,0)</f>
        <v>0</v>
      </c>
      <c r="U214" s="470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468">
        <f ca="1">IFERROR(__xludf.DUMMYFUNCTION("IMPORTRANGE(""https://docs.google.com/spreadsheets/d/1eHaY18a8A9IcSdp1K8H6x8fbOy06t2VsZHhMHf-1x7Y/edit?usp=sharing"",""แผน!AM21"")"),0)</f>
        <v>0</v>
      </c>
      <c r="M215" s="45"/>
      <c r="N215" s="644">
        <v>0</v>
      </c>
      <c r="O215" s="136"/>
      <c r="P215" s="45"/>
      <c r="Q215" s="468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468">
        <f ca="1">IFERROR(__xludf.DUMMYFUNCTION("IMPORTRANGE(""https://docs.google.com/spreadsheets/d/1eHaY18a8A9IcSdp1K8H6x8fbOy06t2VsZHhMHf-1x7Y/edit?usp=sharing"",""แผน!AN21"")"),0)</f>
        <v>0</v>
      </c>
      <c r="M216" s="45"/>
      <c r="N216" s="644">
        <v>0</v>
      </c>
      <c r="O216" s="136"/>
      <c r="P216" s="45"/>
      <c r="Q216" s="468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468">
        <f ca="1">IFERROR(__xludf.DUMMYFUNCTION("IMPORTRANGE(""https://docs.google.com/spreadsheets/d/1eHaY18a8A9IcSdp1K8H6x8fbOy06t2VsZHhMHf-1x7Y/edit?usp=sharing"",""แผน!AO21"")"),0)</f>
        <v>0</v>
      </c>
      <c r="M217" s="45"/>
      <c r="N217" s="644">
        <v>0</v>
      </c>
      <c r="O217" s="136"/>
      <c r="P217" s="45"/>
      <c r="Q217" s="468">
        <f ca="1">IFERROR(__xludf.DUMMYFUNCTION("IMPORTRANGE(""https://docs.google.com/spreadsheets/d/1eHaY18a8A9IcSdp1K8H6x8fbOy06t2VsZHhMHf-1x7Y/edit?usp=sharing"",""แผน!LY21"")"),0)</f>
        <v>0</v>
      </c>
      <c r="R217" s="45"/>
      <c r="S217" s="644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498" t="s">
        <v>38</v>
      </c>
      <c r="E218" s="141"/>
      <c r="F218" s="141"/>
      <c r="G218" s="142"/>
      <c r="H218" s="143"/>
      <c r="I218" s="135"/>
      <c r="J218" s="44"/>
      <c r="K218" s="45"/>
      <c r="L218" s="465"/>
      <c r="M218" s="45"/>
      <c r="N218" s="45"/>
      <c r="O218" s="136"/>
      <c r="P218" s="136"/>
      <c r="Q218" s="465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IFERROR(__xludf.DUMMYFUNCTION("IMPORTRANGE(""https://docs.google.com/spreadsheets/d/1eHaY18a8A9IcSdp1K8H6x8fbOy06t2VsZHhMHf-1x7Y/edit?usp=sharing"",""แผน!AP21"")"),0)</f>
        <v>0</v>
      </c>
      <c r="J219" s="466">
        <v>0</v>
      </c>
      <c r="K219" s="224">
        <f ca="1">IF(I219&gt;0,J219*100/I219,0)</f>
        <v>0</v>
      </c>
      <c r="L219" s="465"/>
      <c r="M219" s="45"/>
      <c r="N219" s="45"/>
      <c r="O219" s="45"/>
      <c r="P219" s="45"/>
      <c r="Q219" s="465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IFERROR(__xludf.DUMMYFUNCTION("IMPORTRANGE(""https://docs.google.com/spreadsheets/d/1eHaY18a8A9IcSdp1K8H6x8fbOy06t2VsZHhMHf-1x7Y/edit?usp=sharing"",""แผน!AP21"")"),0)</f>
        <v>0</v>
      </c>
      <c r="J220" s="466">
        <v>0</v>
      </c>
      <c r="K220" s="224">
        <f ca="1">IF(I220&gt;0,J220*100/I220,0)</f>
        <v>0</v>
      </c>
      <c r="L220" s="465"/>
      <c r="M220" s="45"/>
      <c r="N220" s="45"/>
      <c r="O220" s="45"/>
      <c r="P220" s="45"/>
      <c r="Q220" s="465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ca="1">I229</f>
        <v>20000</v>
      </c>
      <c r="J221" s="303">
        <f>J229</f>
        <v>0</v>
      </c>
      <c r="K221" s="304">
        <f ca="1">IF(I221&gt;0,J221*100/I221,0)</f>
        <v>0</v>
      </c>
      <c r="L221" s="557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654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471">
        <f ca="1">L223+L224+L225</f>
        <v>4500</v>
      </c>
      <c r="M222" s="45"/>
      <c r="N222" s="470">
        <f>N223+N224+N225</f>
        <v>0</v>
      </c>
      <c r="O222" s="470">
        <f ca="1">IF(L222&gt;0,N222*100/L222,0)</f>
        <v>0</v>
      </c>
      <c r="P222" s="47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653" t="s">
        <v>308</v>
      </c>
      <c r="E223" s="40"/>
      <c r="F223" s="40"/>
      <c r="G223" s="42"/>
      <c r="H223" s="134" t="s">
        <v>14</v>
      </c>
      <c r="I223" s="135"/>
      <c r="J223" s="135"/>
      <c r="K223" s="136"/>
      <c r="L223" s="468">
        <f ca="1">IFERROR(__xludf.DUMMYFUNCTION("IMPORTRANGE(""https://docs.google.com/spreadsheets/d/1eHaY18a8A9IcSdp1K8H6x8fbOy06t2VsZHhMHf-1x7Y/edit?usp=sharing"",""แผน!AR21"")"),2500)</f>
        <v>2500</v>
      </c>
      <c r="M223" s="45"/>
      <c r="N223" s="644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307</v>
      </c>
      <c r="E224" s="40"/>
      <c r="F224" s="40"/>
      <c r="G224" s="42"/>
      <c r="H224" s="134" t="s">
        <v>14</v>
      </c>
      <c r="I224" s="44"/>
      <c r="J224" s="44"/>
      <c r="K224" s="45"/>
      <c r="L224" s="468">
        <f ca="1">IFERROR(__xludf.DUMMYFUNCTION("IMPORTRANGE(""https://docs.google.com/spreadsheets/d/1eHaY18a8A9IcSdp1K8H6x8fbOy06t2VsZHhMHf-1x7Y/edit?usp=sharing"",""แผน!AS21"")"),2000)</f>
        <v>2000</v>
      </c>
      <c r="M224" s="45"/>
      <c r="N224" s="644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468">
        <f ca="1">IFERROR(__xludf.DUMMYFUNCTION("IMPORTRANGE(""https://docs.google.com/spreadsheets/d/1eHaY18a8A9IcSdp1K8H6x8fbOy06t2VsZHhMHf-1x7Y/edit?usp=sharing"",""แผน!AT21"")"),0)</f>
        <v>0</v>
      </c>
      <c r="M225" s="45"/>
      <c r="N225" s="644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498" t="s">
        <v>38</v>
      </c>
      <c r="E226" s="141"/>
      <c r="F226" s="141"/>
      <c r="G226" s="142"/>
      <c r="H226" s="143"/>
      <c r="I226" s="135"/>
      <c r="J226" s="135"/>
      <c r="K226" s="136"/>
      <c r="L226" s="4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4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IFERROR(__xludf.DUMMYFUNCTION("IMPORTRANGE(""https://docs.google.com/spreadsheets/d/1eHaY18a8A9IcSdp1K8H6x8fbOy06t2VsZHhMHf-1x7Y/edit?usp=sharing"",""แผน!AV21"")"),20000)</f>
        <v>20000</v>
      </c>
      <c r="J228" s="466">
        <v>0</v>
      </c>
      <c r="K228" s="497">
        <f ca="1">IF(I228&gt;0,J228*100/I228,0)</f>
        <v>0</v>
      </c>
      <c r="L228" s="4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IFERROR(__xludf.DUMMYFUNCTION("IMPORTRANGE(""https://docs.google.com/spreadsheets/d/1eHaY18a8A9IcSdp1K8H6x8fbOy06t2VsZHhMHf-1x7Y/edit?usp=sharing"",""แผน!AV21"")"),20000)</f>
        <v>20000</v>
      </c>
      <c r="J229" s="466">
        <v>0</v>
      </c>
      <c r="K229" s="497">
        <f ca="1">IF(I229&gt;0,J229*100/I229,0)</f>
        <v>0</v>
      </c>
      <c r="L229" s="465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IFERROR(__xludf.DUMMYFUNCTION("IMPORTRANGE(""https://docs.google.com/spreadsheets/d/1eHaY18a8A9IcSdp1K8H6x8fbOy06t2VsZHhMHf-1x7Y/edit?usp=sharing"",""แผน!AU21"")"),0)</f>
        <v>0</v>
      </c>
      <c r="J230" s="466">
        <v>0</v>
      </c>
      <c r="K230" s="497">
        <f ca="1">IF(I230&gt;0,J230*100/I230,0)</f>
        <v>0</v>
      </c>
      <c r="L230" s="465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3">
        <f ca="1">I242+I253</f>
        <v>0</v>
      </c>
      <c r="J231" s="303">
        <f>J242+J253</f>
        <v>0</v>
      </c>
      <c r="K231" s="304">
        <f ca="1">IF(I231&gt;0,J231*100/I231,0)</f>
        <v>0</v>
      </c>
      <c r="L231" s="557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472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652">
        <f ca="1">L243+L254</f>
        <v>0</v>
      </c>
      <c r="M232" s="45"/>
      <c r="N232" s="651">
        <f>N243+N254</f>
        <v>0</v>
      </c>
      <c r="O232" s="45"/>
      <c r="P232" s="45"/>
      <c r="Q232" s="45"/>
      <c r="R232" s="45"/>
      <c r="S232" s="45"/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469">
        <f ca="1">L244+L255</f>
        <v>0</v>
      </c>
      <c r="M233" s="45"/>
      <c r="N233" s="83">
        <f>N244+N255</f>
        <v>0</v>
      </c>
      <c r="O233" s="45"/>
      <c r="P233" s="45"/>
      <c r="Q233" s="713">
        <v>0</v>
      </c>
      <c r="R233" s="712">
        <v>0</v>
      </c>
      <c r="S233" s="712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469">
        <f ca="1">L245+L256</f>
        <v>0</v>
      </c>
      <c r="M234" s="45"/>
      <c r="N234" s="83">
        <f>N245+N256</f>
        <v>0</v>
      </c>
      <c r="O234" s="45"/>
      <c r="P234" s="45"/>
      <c r="Q234" s="711">
        <v>0</v>
      </c>
      <c r="R234" s="710">
        <v>0</v>
      </c>
      <c r="S234" s="710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469">
        <f ca="1">L246+L257</f>
        <v>0</v>
      </c>
      <c r="M235" s="45"/>
      <c r="N235" s="83">
        <f>N246+N257</f>
        <v>0</v>
      </c>
      <c r="O235" s="45"/>
      <c r="P235" s="45"/>
      <c r="Q235" s="711">
        <v>0</v>
      </c>
      <c r="R235" s="710">
        <v>0</v>
      </c>
      <c r="S235" s="710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469">
        <f ca="1">L247+L258</f>
        <v>0</v>
      </c>
      <c r="M236" s="45"/>
      <c r="N236" s="83">
        <f>N247+N258</f>
        <v>0</v>
      </c>
      <c r="O236" s="45"/>
      <c r="P236" s="45"/>
      <c r="Q236" s="711">
        <v>0</v>
      </c>
      <c r="R236" s="710">
        <v>0</v>
      </c>
      <c r="S236" s="710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498" t="s">
        <v>38</v>
      </c>
      <c r="E237" s="141"/>
      <c r="F237" s="141"/>
      <c r="G237" s="142"/>
      <c r="H237" s="143"/>
      <c r="I237" s="135"/>
      <c r="J237" s="44"/>
      <c r="K237" s="45"/>
      <c r="L237" s="465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465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465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465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465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649" t="s">
        <v>111</v>
      </c>
      <c r="D242" s="214"/>
      <c r="E242" s="214"/>
      <c r="F242" s="214"/>
      <c r="G242" s="215"/>
      <c r="H242" s="648" t="s">
        <v>35</v>
      </c>
      <c r="I242" s="647">
        <f ca="1">I249</f>
        <v>0</v>
      </c>
      <c r="J242" s="647">
        <f>J249</f>
        <v>0</v>
      </c>
      <c r="K242" s="646">
        <f ca="1">IF(I242&gt;0,J242*100/I242,0)</f>
        <v>0</v>
      </c>
      <c r="L242" s="557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527" t="s">
        <v>18</v>
      </c>
      <c r="D243" s="494" t="s">
        <v>19</v>
      </c>
      <c r="E243" s="40"/>
      <c r="F243" s="40"/>
      <c r="G243" s="42"/>
      <c r="H243" s="372" t="s">
        <v>14</v>
      </c>
      <c r="I243" s="135"/>
      <c r="J243" s="135"/>
      <c r="K243" s="136"/>
      <c r="L243" s="471">
        <f ca="1">L244+L245+L246+L247</f>
        <v>0</v>
      </c>
      <c r="M243" s="45"/>
      <c r="N243" s="470">
        <f>N244+N245+N246+N247</f>
        <v>0</v>
      </c>
      <c r="O243" s="470">
        <f ca="1">IF(L243&gt;0,N243*100/L243,0)</f>
        <v>0</v>
      </c>
      <c r="P243" s="470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468">
        <f ca="1">IFERROR(__xludf.DUMMYFUNCTION("IMPORTRANGE(""https://docs.google.com/spreadsheets/d/1eHaY18a8A9IcSdp1K8H6x8fbOy06t2VsZHhMHf-1x7Y/edit?usp=sharing"",""แผน!AX21"")"),0)</f>
        <v>0</v>
      </c>
      <c r="M244" s="45"/>
      <c r="N244" s="644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468">
        <f ca="1">IFERROR(__xludf.DUMMYFUNCTION("IMPORTRANGE(""https://docs.google.com/spreadsheets/d/1eHaY18a8A9IcSdp1K8H6x8fbOy06t2VsZHhMHf-1x7Y/edit?usp=sharing"",""แผน!AY21"")"),0)</f>
        <v>0</v>
      </c>
      <c r="M245" s="45"/>
      <c r="N245" s="644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468">
        <f ca="1">IFERROR(__xludf.DUMMYFUNCTION("IMPORTRANGE(""https://docs.google.com/spreadsheets/d/1eHaY18a8A9IcSdp1K8H6x8fbOy06t2VsZHhMHf-1x7Y/edit?usp=sharing"",""แผน!AZ21"")"),0)</f>
        <v>0</v>
      </c>
      <c r="M246" s="45"/>
      <c r="N246" s="644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468">
        <f ca="1">IFERROR(__xludf.DUMMYFUNCTION("IMPORTRANGE(""https://docs.google.com/spreadsheets/d/1eHaY18a8A9IcSdp1K8H6x8fbOy06t2VsZHhMHf-1x7Y/edit?usp=sharing"",""แผน!BA21"")"),0)</f>
        <v>0</v>
      </c>
      <c r="M247" s="45"/>
      <c r="N247" s="644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643" t="s">
        <v>18</v>
      </c>
      <c r="D248" s="509" t="s">
        <v>38</v>
      </c>
      <c r="E248" s="141"/>
      <c r="F248" s="141"/>
      <c r="G248" s="142"/>
      <c r="H248" s="143"/>
      <c r="I248" s="135"/>
      <c r="J248" s="44"/>
      <c r="K248" s="45"/>
      <c r="L248" s="465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640" t="s">
        <v>35</v>
      </c>
      <c r="I249" s="430">
        <f ca="1">IFERROR(__xludf.DUMMYFUNCTION("IMPORTRANGE(""https://docs.google.com/spreadsheets/d/1eHaY18a8A9IcSdp1K8H6x8fbOy06t2VsZHhMHf-1x7Y/edit?usp=sharing"",""แผน!BG21"")"),0)</f>
        <v>0</v>
      </c>
      <c r="J249" s="525">
        <v>0</v>
      </c>
      <c r="K249" s="83">
        <f ca="1">IF(I249&gt;0,J249*100/I249,0)</f>
        <v>0</v>
      </c>
      <c r="L249" s="465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642" t="s">
        <v>43</v>
      </c>
      <c r="E250" s="145"/>
      <c r="F250" s="145"/>
      <c r="G250" s="143"/>
      <c r="H250" s="143"/>
      <c r="I250" s="44"/>
      <c r="J250" s="44"/>
      <c r="K250" s="45"/>
      <c r="L250" s="465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1" t="s">
        <v>109</v>
      </c>
      <c r="F251" s="145"/>
      <c r="G251" s="143"/>
      <c r="H251" s="640" t="s">
        <v>35</v>
      </c>
      <c r="I251" s="430">
        <v>0</v>
      </c>
      <c r="J251" s="525">
        <v>0</v>
      </c>
      <c r="K251" s="83">
        <f>IF(I251&gt;0,J251*100/I251,0)</f>
        <v>0</v>
      </c>
      <c r="L251" s="465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641" t="s">
        <v>110</v>
      </c>
      <c r="F252" s="145"/>
      <c r="G252" s="143"/>
      <c r="H252" s="640" t="s">
        <v>61</v>
      </c>
      <c r="I252" s="430">
        <v>0</v>
      </c>
      <c r="J252" s="525">
        <v>0</v>
      </c>
      <c r="K252" s="83">
        <f>IF(I252&gt;0,J252*100/I252,0)</f>
        <v>0</v>
      </c>
      <c r="L252" s="465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649" t="s">
        <v>112</v>
      </c>
      <c r="D253" s="214"/>
      <c r="E253" s="214"/>
      <c r="F253" s="214"/>
      <c r="G253" s="215"/>
      <c r="H253" s="648" t="s">
        <v>35</v>
      </c>
      <c r="I253" s="647">
        <f ca="1">I260</f>
        <v>0</v>
      </c>
      <c r="J253" s="647">
        <f>J260</f>
        <v>0</v>
      </c>
      <c r="K253" s="646">
        <f ca="1">IF(I253&gt;0,J253*100/I253,0)</f>
        <v>0</v>
      </c>
      <c r="L253" s="557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527" t="s">
        <v>18</v>
      </c>
      <c r="D254" s="645" t="s">
        <v>19</v>
      </c>
      <c r="E254" s="40"/>
      <c r="F254" s="40"/>
      <c r="G254" s="42"/>
      <c r="H254" s="372" t="s">
        <v>14</v>
      </c>
      <c r="I254" s="135"/>
      <c r="J254" s="135"/>
      <c r="K254" s="136"/>
      <c r="L254" s="471">
        <f ca="1">L255+L256+L257+L258</f>
        <v>0</v>
      </c>
      <c r="M254" s="45"/>
      <c r="N254" s="470">
        <f>N255+N256+N257+N258</f>
        <v>0</v>
      </c>
      <c r="O254" s="470">
        <f ca="1">IF(L254&gt;0,N254*100/L254,0)</f>
        <v>0</v>
      </c>
      <c r="P254" s="470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468">
        <f ca="1">IFERROR(__xludf.DUMMYFUNCTION("IMPORTRANGE(""https://docs.google.com/spreadsheets/d/1eHaY18a8A9IcSdp1K8H6x8fbOy06t2VsZHhMHf-1x7Y/edit?usp=sharing"",""แผน!BB21"")"),0)</f>
        <v>0</v>
      </c>
      <c r="M255" s="45"/>
      <c r="N255" s="644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468">
        <f ca="1">IFERROR(__xludf.DUMMYFUNCTION("IMPORTRANGE(""https://docs.google.com/spreadsheets/d/1eHaY18a8A9IcSdp1K8H6x8fbOy06t2VsZHhMHf-1x7Y/edit?usp=sharing"",""แผน!BC21"")"),0)</f>
        <v>0</v>
      </c>
      <c r="M256" s="45"/>
      <c r="N256" s="644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468">
        <f ca="1">IFERROR(__xludf.DUMMYFUNCTION("IMPORTRANGE(""https://docs.google.com/spreadsheets/d/1eHaY18a8A9IcSdp1K8H6x8fbOy06t2VsZHhMHf-1x7Y/edit?usp=sharing"",""แผน!BD21"")"),0)</f>
        <v>0</v>
      </c>
      <c r="M257" s="45"/>
      <c r="N257" s="644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468">
        <f ca="1">IFERROR(__xludf.DUMMYFUNCTION("IMPORTRANGE(""https://docs.google.com/spreadsheets/d/1eHaY18a8A9IcSdp1K8H6x8fbOy06t2VsZHhMHf-1x7Y/edit?usp=sharing"",""แผน!BE21"")"),0)</f>
        <v>0</v>
      </c>
      <c r="M258" s="45"/>
      <c r="N258" s="644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643" t="s">
        <v>18</v>
      </c>
      <c r="D259" s="509" t="s">
        <v>38</v>
      </c>
      <c r="E259" s="141"/>
      <c r="F259" s="141"/>
      <c r="G259" s="142"/>
      <c r="H259" s="143"/>
      <c r="I259" s="135"/>
      <c r="J259" s="44"/>
      <c r="K259" s="45"/>
      <c r="L259" s="465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640" t="s">
        <v>35</v>
      </c>
      <c r="I260" s="430">
        <f ca="1">IFERROR(__xludf.DUMMYFUNCTION("IMPORTRANGE(""https://docs.google.com/spreadsheets/d/1eHaY18a8A9IcSdp1K8H6x8fbOy06t2VsZHhMHf-1x7Y/edit?usp=sharing"",""แผน!BH21"")"),0)</f>
        <v>0</v>
      </c>
      <c r="J260" s="525">
        <v>0</v>
      </c>
      <c r="K260" s="83">
        <f ca="1">IF(I260&gt;0,J260*100/I260,0)</f>
        <v>0</v>
      </c>
      <c r="L260" s="465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642" t="s">
        <v>43</v>
      </c>
      <c r="E261" s="145"/>
      <c r="F261" s="145"/>
      <c r="G261" s="143"/>
      <c r="H261" s="143"/>
      <c r="I261" s="44"/>
      <c r="J261" s="44"/>
      <c r="K261" s="45"/>
      <c r="L261" s="465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1" t="s">
        <v>109</v>
      </c>
      <c r="F262" s="145"/>
      <c r="G262" s="143"/>
      <c r="H262" s="640" t="s">
        <v>35</v>
      </c>
      <c r="I262" s="44"/>
      <c r="J262" s="525">
        <v>0</v>
      </c>
      <c r="K262" s="83">
        <f>IF(I262&gt;0,J262*100/I262,0)</f>
        <v>0</v>
      </c>
      <c r="L262" s="465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641" t="s">
        <v>110</v>
      </c>
      <c r="F263" s="145"/>
      <c r="G263" s="143"/>
      <c r="H263" s="640" t="s">
        <v>61</v>
      </c>
      <c r="I263" s="44"/>
      <c r="J263" s="525">
        <v>0</v>
      </c>
      <c r="K263" s="83">
        <f>IF(I263&gt;0,J263*100/I263,0)</f>
        <v>0</v>
      </c>
      <c r="L263" s="465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639" t="s">
        <v>113</v>
      </c>
      <c r="B264" s="638"/>
      <c r="C264" s="638"/>
      <c r="D264" s="637"/>
      <c r="E264" s="637"/>
      <c r="F264" s="637"/>
      <c r="G264" s="636"/>
      <c r="H264" s="636"/>
      <c r="I264" s="635"/>
      <c r="J264" s="635"/>
      <c r="K264" s="633"/>
      <c r="L264" s="634"/>
      <c r="M264" s="633"/>
      <c r="N264" s="633"/>
      <c r="O264" s="633"/>
      <c r="P264" s="633"/>
      <c r="Q264" s="633"/>
      <c r="R264" s="633"/>
      <c r="S264" s="633"/>
      <c r="T264" s="633"/>
      <c r="U264" s="633"/>
    </row>
    <row r="265" spans="1:21" ht="19.5" x14ac:dyDescent="0.3">
      <c r="A265" s="632"/>
      <c r="B265" s="631" t="s">
        <v>114</v>
      </c>
      <c r="C265" s="630"/>
      <c r="D265" s="603"/>
      <c r="E265" s="603"/>
      <c r="F265" s="603"/>
      <c r="G265" s="602"/>
      <c r="H265" s="629" t="s">
        <v>35</v>
      </c>
      <c r="I265" s="628">
        <f ca="1">I276</f>
        <v>22</v>
      </c>
      <c r="J265" s="628">
        <f>J276</f>
        <v>22</v>
      </c>
      <c r="K265" s="627">
        <f ca="1">IF(I265&gt;0,J265*100/I265,0)</f>
        <v>100</v>
      </c>
      <c r="L265" s="626"/>
      <c r="M265" s="625"/>
      <c r="N265" s="625"/>
      <c r="O265" s="625"/>
      <c r="P265" s="625"/>
      <c r="Q265" s="625"/>
      <c r="R265" s="625"/>
      <c r="S265" s="625"/>
      <c r="T265" s="625"/>
      <c r="U265" s="625"/>
    </row>
    <row r="266" spans="1:21" ht="19.5" x14ac:dyDescent="0.3">
      <c r="A266" s="610"/>
      <c r="B266" s="609"/>
      <c r="C266" s="624" t="s">
        <v>18</v>
      </c>
      <c r="D266" s="623" t="s">
        <v>19</v>
      </c>
      <c r="E266" s="609"/>
      <c r="F266" s="609"/>
      <c r="G266" s="608"/>
      <c r="H266" s="622" t="s">
        <v>14</v>
      </c>
      <c r="I266" s="479"/>
      <c r="J266" s="479"/>
      <c r="K266" s="476"/>
      <c r="L266" s="621">
        <f ca="1">L267+L268</f>
        <v>0</v>
      </c>
      <c r="M266" s="620">
        <f ca="1">M267+M268</f>
        <v>5000</v>
      </c>
      <c r="N266" s="620">
        <f ca="1">N267+N268</f>
        <v>5000</v>
      </c>
      <c r="O266" s="620">
        <f t="shared" ref="O266:O274" ca="1" si="65">IF(L266&gt;0,N266*100/L266,0)</f>
        <v>0</v>
      </c>
      <c r="P266" s="620">
        <f t="shared" ref="P266:P274" ca="1" si="66">IF(M266&gt;0,N266*100/M266,0)</f>
        <v>100</v>
      </c>
      <c r="Q266" s="620">
        <f ca="1">Q267+Q268</f>
        <v>50660</v>
      </c>
      <c r="R266" s="620">
        <f ca="1">R267+R268</f>
        <v>50660</v>
      </c>
      <c r="S266" s="620">
        <f ca="1">S267+S268</f>
        <v>36460</v>
      </c>
      <c r="T266" s="620">
        <f t="shared" ref="T266:T274" ca="1" si="67">IF(Q266&gt;0,S266*100/Q266,0)</f>
        <v>71.969996052112123</v>
      </c>
      <c r="U266" s="620">
        <f t="shared" ref="U266:U274" ca="1" si="68">IF(R266&gt;0,S266*100/R266,0)</f>
        <v>71.969996052112123</v>
      </c>
    </row>
    <row r="267" spans="1:21" ht="18.75" hidden="1" x14ac:dyDescent="0.25">
      <c r="A267" s="615"/>
      <c r="B267" s="614"/>
      <c r="C267" s="614"/>
      <c r="D267" s="614"/>
      <c r="E267" s="156" t="s">
        <v>20</v>
      </c>
      <c r="F267" s="614"/>
      <c r="G267" s="613"/>
      <c r="H267" s="157" t="s">
        <v>14</v>
      </c>
      <c r="I267" s="619"/>
      <c r="J267" s="619"/>
      <c r="K267" s="618"/>
      <c r="L267" s="469">
        <f t="shared" ref="L267:N268" si="69">L270+L273</f>
        <v>0</v>
      </c>
      <c r="M267" s="83">
        <f t="shared" si="69"/>
        <v>0</v>
      </c>
      <c r="N267" s="83">
        <f t="shared" si="69"/>
        <v>0</v>
      </c>
      <c r="O267" s="83">
        <f t="shared" si="65"/>
        <v>0</v>
      </c>
      <c r="P267" s="83">
        <f t="shared" si="66"/>
        <v>0</v>
      </c>
      <c r="Q267" s="83">
        <f t="shared" ref="Q267:S268" si="70">Q270+Q273</f>
        <v>0</v>
      </c>
      <c r="R267" s="83">
        <f t="shared" si="70"/>
        <v>0</v>
      </c>
      <c r="S267" s="83">
        <f t="shared" si="70"/>
        <v>0</v>
      </c>
      <c r="T267" s="83">
        <f t="shared" si="67"/>
        <v>0</v>
      </c>
      <c r="U267" s="83">
        <f t="shared" si="68"/>
        <v>0</v>
      </c>
    </row>
    <row r="268" spans="1:21" ht="18.75" hidden="1" x14ac:dyDescent="0.25">
      <c r="A268" s="610"/>
      <c r="B268" s="609"/>
      <c r="C268" s="609"/>
      <c r="D268" s="609"/>
      <c r="E268" s="605" t="s">
        <v>21</v>
      </c>
      <c r="F268" s="609"/>
      <c r="G268" s="608"/>
      <c r="H268" s="480" t="s">
        <v>14</v>
      </c>
      <c r="I268" s="479"/>
      <c r="J268" s="479"/>
      <c r="K268" s="476"/>
      <c r="L268" s="606">
        <f t="shared" ca="1" si="69"/>
        <v>0</v>
      </c>
      <c r="M268" s="486">
        <f t="shared" ca="1" si="69"/>
        <v>5000</v>
      </c>
      <c r="N268" s="486">
        <f t="shared" ca="1" si="69"/>
        <v>5000</v>
      </c>
      <c r="O268" s="486">
        <f t="shared" ca="1" si="65"/>
        <v>0</v>
      </c>
      <c r="P268" s="486">
        <f t="shared" ca="1" si="66"/>
        <v>100</v>
      </c>
      <c r="Q268" s="486">
        <f t="shared" ca="1" si="70"/>
        <v>50660</v>
      </c>
      <c r="R268" s="486">
        <f t="shared" ca="1" si="70"/>
        <v>50660</v>
      </c>
      <c r="S268" s="486">
        <f t="shared" ca="1" si="70"/>
        <v>36460</v>
      </c>
      <c r="T268" s="486">
        <f t="shared" ca="1" si="67"/>
        <v>71.969996052112123</v>
      </c>
      <c r="U268" s="486">
        <f t="shared" ca="1" si="68"/>
        <v>71.969996052112123</v>
      </c>
    </row>
    <row r="269" spans="1:21" ht="18.75" x14ac:dyDescent="0.25">
      <c r="A269" s="610"/>
      <c r="B269" s="609"/>
      <c r="C269" s="609"/>
      <c r="D269" s="616" t="s">
        <v>22</v>
      </c>
      <c r="E269" s="609"/>
      <c r="F269" s="609"/>
      <c r="G269" s="608"/>
      <c r="H269" s="617" t="s">
        <v>14</v>
      </c>
      <c r="I269" s="601"/>
      <c r="J269" s="601"/>
      <c r="K269" s="599"/>
      <c r="L269" s="606">
        <f ca="1">L270+L271</f>
        <v>0</v>
      </c>
      <c r="M269" s="486">
        <f ca="1">M270+M271</f>
        <v>5000</v>
      </c>
      <c r="N269" s="486">
        <f ca="1">N270+N271</f>
        <v>5000</v>
      </c>
      <c r="O269" s="486">
        <f t="shared" ca="1" si="65"/>
        <v>0</v>
      </c>
      <c r="P269" s="486">
        <f t="shared" ca="1" si="66"/>
        <v>100</v>
      </c>
      <c r="Q269" s="486">
        <f ca="1">Q270+Q271</f>
        <v>50660</v>
      </c>
      <c r="R269" s="486">
        <f ca="1">R270+R271</f>
        <v>50660</v>
      </c>
      <c r="S269" s="486">
        <f ca="1">S270+S271</f>
        <v>36460</v>
      </c>
      <c r="T269" s="486">
        <f t="shared" ca="1" si="67"/>
        <v>71.969996052112123</v>
      </c>
      <c r="U269" s="486">
        <f t="shared" ca="1" si="68"/>
        <v>71.969996052112123</v>
      </c>
    </row>
    <row r="270" spans="1:21" ht="18.75" hidden="1" x14ac:dyDescent="0.25">
      <c r="A270" s="615"/>
      <c r="B270" s="614"/>
      <c r="C270" s="614"/>
      <c r="D270" s="614"/>
      <c r="E270" s="156" t="s">
        <v>36</v>
      </c>
      <c r="F270" s="614"/>
      <c r="G270" s="613"/>
      <c r="H270" s="159" t="s">
        <v>14</v>
      </c>
      <c r="I270" s="612"/>
      <c r="J270" s="612"/>
      <c r="K270" s="611"/>
      <c r="L270" s="469">
        <v>0</v>
      </c>
      <c r="M270" s="83">
        <v>0</v>
      </c>
      <c r="N270" s="83">
        <v>0</v>
      </c>
      <c r="O270" s="83">
        <f t="shared" si="65"/>
        <v>0</v>
      </c>
      <c r="P270" s="83">
        <f t="shared" si="66"/>
        <v>0</v>
      </c>
      <c r="Q270" s="83">
        <v>0</v>
      </c>
      <c r="R270" s="83">
        <v>0</v>
      </c>
      <c r="S270" s="83">
        <v>0</v>
      </c>
      <c r="T270" s="83">
        <f t="shared" si="67"/>
        <v>0</v>
      </c>
      <c r="U270" s="83">
        <f t="shared" si="68"/>
        <v>0</v>
      </c>
    </row>
    <row r="271" spans="1:21" ht="18.75" hidden="1" x14ac:dyDescent="0.25">
      <c r="A271" s="610"/>
      <c r="B271" s="609"/>
      <c r="C271" s="609"/>
      <c r="D271" s="609"/>
      <c r="E271" s="605" t="s">
        <v>37</v>
      </c>
      <c r="F271" s="609"/>
      <c r="G271" s="608"/>
      <c r="H271" s="617" t="s">
        <v>14</v>
      </c>
      <c r="I271" s="601"/>
      <c r="J271" s="601"/>
      <c r="K271" s="599"/>
      <c r="L271" s="606">
        <f ca="1">IFERROR(__xludf.DUMMYFUNCTION("IMPORTRANGE(""https://docs.google.com/spreadsheets/d/1-uDff_7J0KD5mKrp0Vvzr7lt3OU09vwQwhkpOPPYv2Y/edit?usp=sharing"",""งบพรบ!DE21"")"),0)</f>
        <v>0</v>
      </c>
      <c r="M271" s="486">
        <f ca="1">IFERROR(__xludf.DUMMYFUNCTION("IMPORTRANGE(""https://docs.google.com/spreadsheets/d/1-uDff_7J0KD5mKrp0Vvzr7lt3OU09vwQwhkpOPPYv2Y/edit?usp=sharing"",""งบพรบ!DJ21"")"),5000)</f>
        <v>5000</v>
      </c>
      <c r="N271" s="486">
        <f ca="1">IFERROR(__xludf.DUMMYFUNCTION("IMPORTRANGE(""https://docs.google.com/spreadsheets/d/1-uDff_7J0KD5mKrp0Vvzr7lt3OU09vwQwhkpOPPYv2Y/edit?usp=sharing"",""งบพรบ!DL21"")"),5000)</f>
        <v>5000</v>
      </c>
      <c r="O271" s="486">
        <f t="shared" ca="1" si="65"/>
        <v>0</v>
      </c>
      <c r="P271" s="486">
        <f t="shared" ca="1" si="66"/>
        <v>100</v>
      </c>
      <c r="Q271" s="486">
        <f ca="1">IFERROR(__xludf.DUMMYFUNCTION("IMPORTRANGE(""https://docs.google.com/spreadsheets/d/1ItG2mGa2ceCfYo0BwxsXqNm01IGEUdYcSSLTEv9YCik/edit?usp=sharing"",""เบิกจ่ายกองทุน!AJ21"")"),50660)</f>
        <v>50660</v>
      </c>
      <c r="R271" s="486">
        <f ca="1">IFERROR(__xludf.DUMMYFUNCTION("IMPORTRANGE(""https://docs.google.com/spreadsheets/d/1ItG2mGa2ceCfYo0BwxsXqNm01IGEUdYcSSLTEv9YCik/edit?usp=sharing"",""เบิกจ่ายกองทุน!AK21"")"),50660)</f>
        <v>50660</v>
      </c>
      <c r="S271" s="486">
        <f ca="1">IFERROR(__xludf.DUMMYFUNCTION("IMPORTRANGE(""https://docs.google.com/spreadsheets/d/1ItG2mGa2ceCfYo0BwxsXqNm01IGEUdYcSSLTEv9YCik/edit?usp=sharing"",""เบิกจ่ายกองทุน!AL21"")"),36460)</f>
        <v>36460</v>
      </c>
      <c r="T271" s="486">
        <f t="shared" ca="1" si="67"/>
        <v>71.969996052112123</v>
      </c>
      <c r="U271" s="486">
        <f t="shared" ca="1" si="68"/>
        <v>71.969996052112123</v>
      </c>
    </row>
    <row r="272" spans="1:21" ht="18.75" x14ac:dyDescent="0.25">
      <c r="A272" s="610"/>
      <c r="B272" s="609"/>
      <c r="C272" s="609"/>
      <c r="D272" s="616" t="s">
        <v>23</v>
      </c>
      <c r="E272" s="609"/>
      <c r="F272" s="609"/>
      <c r="G272" s="608"/>
      <c r="H272" s="607" t="s">
        <v>14</v>
      </c>
      <c r="I272" s="601"/>
      <c r="J272" s="601"/>
      <c r="K272" s="599"/>
      <c r="L272" s="606">
        <f ca="1">L273+L274</f>
        <v>0</v>
      </c>
      <c r="M272" s="486">
        <f ca="1">M273+M274</f>
        <v>0</v>
      </c>
      <c r="N272" s="486">
        <f ca="1">N273+N274</f>
        <v>0</v>
      </c>
      <c r="O272" s="486">
        <f t="shared" ca="1" si="65"/>
        <v>0</v>
      </c>
      <c r="P272" s="486">
        <f t="shared" ca="1" si="66"/>
        <v>0</v>
      </c>
      <c r="Q272" s="486">
        <f>Q273+Q274</f>
        <v>0</v>
      </c>
      <c r="R272" s="486">
        <f>R273+R274</f>
        <v>0</v>
      </c>
      <c r="S272" s="486">
        <f>S273+S274</f>
        <v>0</v>
      </c>
      <c r="T272" s="486">
        <f t="shared" si="67"/>
        <v>0</v>
      </c>
      <c r="U272" s="486">
        <f t="shared" si="68"/>
        <v>0</v>
      </c>
    </row>
    <row r="273" spans="1:21" ht="18.75" hidden="1" x14ac:dyDescent="0.25">
      <c r="A273" s="615"/>
      <c r="B273" s="614"/>
      <c r="C273" s="614"/>
      <c r="D273" s="614"/>
      <c r="E273" s="156" t="s">
        <v>20</v>
      </c>
      <c r="F273" s="614"/>
      <c r="G273" s="613"/>
      <c r="H273" s="159" t="s">
        <v>14</v>
      </c>
      <c r="I273" s="612"/>
      <c r="J273" s="612"/>
      <c r="K273" s="611"/>
      <c r="L273" s="469">
        <v>0</v>
      </c>
      <c r="M273" s="83">
        <v>0</v>
      </c>
      <c r="N273" s="83">
        <v>0</v>
      </c>
      <c r="O273" s="83">
        <f t="shared" si="65"/>
        <v>0</v>
      </c>
      <c r="P273" s="83">
        <f t="shared" si="66"/>
        <v>0</v>
      </c>
      <c r="Q273" s="83">
        <v>0</v>
      </c>
      <c r="R273" s="83">
        <v>0</v>
      </c>
      <c r="S273" s="83">
        <v>0</v>
      </c>
      <c r="T273" s="83">
        <f t="shared" si="67"/>
        <v>0</v>
      </c>
      <c r="U273" s="83">
        <f t="shared" si="68"/>
        <v>0</v>
      </c>
    </row>
    <row r="274" spans="1:21" ht="18.75" hidden="1" x14ac:dyDescent="0.25">
      <c r="A274" s="610"/>
      <c r="B274" s="609"/>
      <c r="C274" s="609"/>
      <c r="D274" s="609"/>
      <c r="E274" s="605" t="s">
        <v>21</v>
      </c>
      <c r="F274" s="609"/>
      <c r="G274" s="608"/>
      <c r="H274" s="607" t="s">
        <v>14</v>
      </c>
      <c r="I274" s="601"/>
      <c r="J274" s="601"/>
      <c r="K274" s="599"/>
      <c r="L274" s="606">
        <f ca="1">IFERROR(__xludf.DUMMYFUNCTION("IMPORTRANGE(""https://docs.google.com/spreadsheets/d/1-uDff_7J0KD5mKrp0Vvzr7lt3OU09vwQwhkpOPPYv2Y/edit?usp=sharing"",""งบพรบ!DH21"")"),0)</f>
        <v>0</v>
      </c>
      <c r="M274" s="486">
        <f ca="1">IFERROR(__xludf.DUMMYFUNCTION("IMPORTRANGE(""https://docs.google.com/spreadsheets/d/1-uDff_7J0KD5mKrp0Vvzr7lt3OU09vwQwhkpOPPYv2Y/edit?usp=sharing"",""งบพรบ!DK21"")"),0)</f>
        <v>0</v>
      </c>
      <c r="N274" s="486">
        <f ca="1">IFERROR(__xludf.DUMMYFUNCTION("IMPORTRANGE(""https://docs.google.com/spreadsheets/d/1-uDff_7J0KD5mKrp0Vvzr7lt3OU09vwQwhkpOPPYv2Y/edit?usp=sharing"",""งบพรบ!DM21"")"),0)</f>
        <v>0</v>
      </c>
      <c r="O274" s="486">
        <f t="shared" ca="1" si="65"/>
        <v>0</v>
      </c>
      <c r="P274" s="486">
        <f t="shared" ca="1" si="66"/>
        <v>0</v>
      </c>
      <c r="Q274" s="486">
        <v>0</v>
      </c>
      <c r="R274" s="486">
        <v>0</v>
      </c>
      <c r="S274" s="486">
        <v>0</v>
      </c>
      <c r="T274" s="486">
        <f t="shared" si="67"/>
        <v>0</v>
      </c>
      <c r="U274" s="486">
        <f t="shared" si="68"/>
        <v>0</v>
      </c>
    </row>
    <row r="275" spans="1:21" ht="19.5" x14ac:dyDescent="0.3">
      <c r="A275" s="485"/>
      <c r="B275" s="484"/>
      <c r="C275" s="605" t="s">
        <v>18</v>
      </c>
      <c r="D275" s="604" t="s">
        <v>38</v>
      </c>
      <c r="E275" s="603"/>
      <c r="F275" s="603"/>
      <c r="G275" s="602"/>
      <c r="H275" s="481"/>
      <c r="I275" s="601"/>
      <c r="J275" s="601"/>
      <c r="K275" s="599"/>
      <c r="L275" s="600"/>
      <c r="M275" s="599"/>
      <c r="N275" s="599"/>
      <c r="O275" s="599"/>
      <c r="P275" s="599"/>
      <c r="Q275" s="599"/>
      <c r="R275" s="599"/>
      <c r="S275" s="599"/>
      <c r="T275" s="599"/>
      <c r="U275" s="599"/>
    </row>
    <row r="276" spans="1:21" ht="18.75" x14ac:dyDescent="0.25">
      <c r="A276" s="598"/>
      <c r="B276" s="597"/>
      <c r="C276" s="597"/>
      <c r="D276" s="596" t="s">
        <v>115</v>
      </c>
      <c r="E276" s="595"/>
      <c r="F276" s="595"/>
      <c r="G276" s="594"/>
      <c r="H276" s="593" t="s">
        <v>35</v>
      </c>
      <c r="I276" s="592">
        <f ca="1">IFERROR(__xludf.DUMMYFUNCTION("IMPORTRANGE(""https://docs.google.com/spreadsheets/d/1eHaY18a8A9IcSdp1K8H6x8fbOy06t2VsZHhMHf-1x7Y/edit?usp=sharing"",""แผน!EC21"")"),22)</f>
        <v>22</v>
      </c>
      <c r="J276" s="444">
        <v>22</v>
      </c>
      <c r="K276" s="591">
        <f ca="1">IF(I276&gt;0,J276*100/I276,0)</f>
        <v>100</v>
      </c>
      <c r="L276" s="465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590" t="s">
        <v>116</v>
      </c>
      <c r="E277" s="252"/>
      <c r="F277" s="252"/>
      <c r="G277" s="253"/>
      <c r="H277" s="589" t="s">
        <v>35</v>
      </c>
      <c r="I277" s="433">
        <v>0</v>
      </c>
      <c r="J277" s="433">
        <v>0</v>
      </c>
      <c r="K277" s="588">
        <v>0</v>
      </c>
      <c r="L277" s="587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58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585">
        <f ca="1">I293</f>
        <v>10</v>
      </c>
      <c r="J280" s="585">
        <f>J293</f>
        <v>10</v>
      </c>
      <c r="K280" s="584">
        <f ca="1">IF(I280&gt;0,J280*100/I280,0)</f>
        <v>100</v>
      </c>
      <c r="L280" s="583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585">
        <f ca="1">I292</f>
        <v>100</v>
      </c>
      <c r="J281" s="585">
        <f>J292</f>
        <v>0</v>
      </c>
      <c r="K281" s="584">
        <f ca="1">IF(I281&gt;0,J281*100/I281,0)</f>
        <v>0</v>
      </c>
      <c r="L281" s="583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472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471">
        <f ca="1">L283+L284</f>
        <v>132320</v>
      </c>
      <c r="M282" s="470">
        <f ca="1">M283+M284</f>
        <v>132320</v>
      </c>
      <c r="N282" s="470">
        <f ca="1">N283+N284</f>
        <v>111443.54</v>
      </c>
      <c r="O282" s="470">
        <f t="shared" ref="O282:O290" ca="1" si="71">IF(L282&gt;0,N282*100/L282,0)</f>
        <v>84.222747883917776</v>
      </c>
      <c r="P282" s="470">
        <f t="shared" ref="P282:P290" ca="1" si="72">IF(M282&gt;0,N282*100/M282,0)</f>
        <v>84.222747883917776</v>
      </c>
      <c r="Q282" s="470">
        <f>Q283+Q284</f>
        <v>0</v>
      </c>
      <c r="R282" s="470">
        <f>R283+R284</f>
        <v>0</v>
      </c>
      <c r="S282" s="470">
        <f>S283+S284</f>
        <v>0</v>
      </c>
      <c r="T282" s="470">
        <f t="shared" ref="T282:T290" si="73">IF(Q282&gt;0,S282*100/Q282,0)</f>
        <v>0</v>
      </c>
      <c r="U282" s="470">
        <f t="shared" ref="U282:U290" si="74"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469">
        <f t="shared" ref="L283:N284" si="75">L286+L289</f>
        <v>0</v>
      </c>
      <c r="M283" s="83">
        <f t="shared" si="75"/>
        <v>0</v>
      </c>
      <c r="N283" s="83">
        <f t="shared" si="75"/>
        <v>0</v>
      </c>
      <c r="O283" s="83">
        <f t="shared" si="71"/>
        <v>0</v>
      </c>
      <c r="P283" s="83">
        <f t="shared" si="72"/>
        <v>0</v>
      </c>
      <c r="Q283" s="83">
        <f t="shared" ref="Q283:S284" si="76">Q286+Q289</f>
        <v>0</v>
      </c>
      <c r="R283" s="83">
        <f t="shared" si="76"/>
        <v>0</v>
      </c>
      <c r="S283" s="83">
        <f t="shared" si="76"/>
        <v>0</v>
      </c>
      <c r="T283" s="83">
        <f t="shared" si="73"/>
        <v>0</v>
      </c>
      <c r="U283" s="83">
        <f t="shared" si="74"/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468">
        <f t="shared" ca="1" si="75"/>
        <v>132320</v>
      </c>
      <c r="M284" s="224">
        <f t="shared" ca="1" si="75"/>
        <v>132320</v>
      </c>
      <c r="N284" s="224">
        <f t="shared" ca="1" si="75"/>
        <v>111443.54</v>
      </c>
      <c r="O284" s="224">
        <f t="shared" ca="1" si="71"/>
        <v>84.222747883917776</v>
      </c>
      <c r="P284" s="224">
        <f t="shared" ca="1" si="72"/>
        <v>84.222747883917776</v>
      </c>
      <c r="Q284" s="224">
        <f t="shared" si="76"/>
        <v>0</v>
      </c>
      <c r="R284" s="224">
        <f t="shared" si="76"/>
        <v>0</v>
      </c>
      <c r="S284" s="224">
        <f t="shared" si="76"/>
        <v>0</v>
      </c>
      <c r="T284" s="224">
        <f t="shared" si="73"/>
        <v>0</v>
      </c>
      <c r="U284" s="224">
        <f t="shared" si="74"/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468">
        <f ca="1">L286+L287</f>
        <v>132320</v>
      </c>
      <c r="M285" s="224">
        <f ca="1">M286+M287</f>
        <v>132320</v>
      </c>
      <c r="N285" s="224">
        <f ca="1">N286+N287</f>
        <v>111443.54</v>
      </c>
      <c r="O285" s="224">
        <f t="shared" ca="1" si="71"/>
        <v>84.222747883917776</v>
      </c>
      <c r="P285" s="224">
        <f t="shared" ca="1" si="72"/>
        <v>84.222747883917776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 t="shared" si="73"/>
        <v>0</v>
      </c>
      <c r="U285" s="224">
        <f t="shared" si="74"/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469">
        <v>0</v>
      </c>
      <c r="M286" s="83">
        <v>0</v>
      </c>
      <c r="N286" s="83">
        <v>0</v>
      </c>
      <c r="O286" s="83">
        <f t="shared" si="71"/>
        <v>0</v>
      </c>
      <c r="P286" s="83">
        <f t="shared" si="72"/>
        <v>0</v>
      </c>
      <c r="Q286" s="83">
        <v>0</v>
      </c>
      <c r="R286" s="83">
        <v>0</v>
      </c>
      <c r="S286" s="83">
        <v>0</v>
      </c>
      <c r="T286" s="83">
        <f t="shared" si="73"/>
        <v>0</v>
      </c>
      <c r="U286" s="83">
        <f t="shared" si="74"/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468">
        <f ca="1">IFERROR(__xludf.DUMMYFUNCTION("IMPORTRANGE(""https://docs.google.com/spreadsheets/d/1-uDff_7J0KD5mKrp0Vvzr7lt3OU09vwQwhkpOPPYv2Y/edit?usp=sharing"",""งบพรบ!DO21"")"),132320)</f>
        <v>132320</v>
      </c>
      <c r="M287" s="224">
        <f ca="1">IFERROR(__xludf.DUMMYFUNCTION("IMPORTRANGE(""https://docs.google.com/spreadsheets/d/1-uDff_7J0KD5mKrp0Vvzr7lt3OU09vwQwhkpOPPYv2Y/edit?usp=sharing"",""งบพรบ!DT21"")"),132320)</f>
        <v>132320</v>
      </c>
      <c r="N287" s="224">
        <f ca="1">IFERROR(__xludf.DUMMYFUNCTION("IMPORTRANGE(""https://docs.google.com/spreadsheets/d/1-uDff_7J0KD5mKrp0Vvzr7lt3OU09vwQwhkpOPPYv2Y/edit?usp=sharing"",""งบพรบ!DV21"")"),111443.54)</f>
        <v>111443.54</v>
      </c>
      <c r="O287" s="224">
        <f t="shared" ca="1" si="71"/>
        <v>84.222747883917776</v>
      </c>
      <c r="P287" s="224">
        <f t="shared" ca="1" si="72"/>
        <v>84.222747883917776</v>
      </c>
      <c r="Q287" s="224">
        <v>0</v>
      </c>
      <c r="R287" s="224">
        <v>0</v>
      </c>
      <c r="S287" s="224">
        <v>0</v>
      </c>
      <c r="T287" s="83">
        <f t="shared" si="73"/>
        <v>0</v>
      </c>
      <c r="U287" s="83">
        <f t="shared" si="74"/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468">
        <f ca="1">L289+L290</f>
        <v>0</v>
      </c>
      <c r="M288" s="224">
        <f ca="1">M289+M290</f>
        <v>0</v>
      </c>
      <c r="N288" s="224">
        <f ca="1">N289+N290</f>
        <v>0</v>
      </c>
      <c r="O288" s="224">
        <f t="shared" ca="1" si="71"/>
        <v>0</v>
      </c>
      <c r="P288" s="224">
        <f t="shared" ca="1" si="72"/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 t="shared" si="73"/>
        <v>0</v>
      </c>
      <c r="U288" s="224">
        <f t="shared" si="74"/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469">
        <v>0</v>
      </c>
      <c r="M289" s="83">
        <v>0</v>
      </c>
      <c r="N289" s="83">
        <v>0</v>
      </c>
      <c r="O289" s="83">
        <f t="shared" si="71"/>
        <v>0</v>
      </c>
      <c r="P289" s="83">
        <f t="shared" si="72"/>
        <v>0</v>
      </c>
      <c r="Q289" s="83">
        <v>0</v>
      </c>
      <c r="R289" s="83">
        <v>0</v>
      </c>
      <c r="S289" s="83">
        <v>0</v>
      </c>
      <c r="T289" s="83">
        <f t="shared" si="73"/>
        <v>0</v>
      </c>
      <c r="U289" s="83">
        <f t="shared" si="74"/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468">
        <f ca="1">IFERROR(__xludf.DUMMYFUNCTION("IMPORTRANGE(""https://docs.google.com/spreadsheets/d/1-uDff_7J0KD5mKrp0Vvzr7lt3OU09vwQwhkpOPPYv2Y/edit?usp=sharing"",""งบพรบ!DR21"")"),0)</f>
        <v>0</v>
      </c>
      <c r="M290" s="224">
        <f ca="1">IFERROR(__xludf.DUMMYFUNCTION("IMPORTRANGE(""https://docs.google.com/spreadsheets/d/1-uDff_7J0KD5mKrp0Vvzr7lt3OU09vwQwhkpOPPYv2Y/edit?usp=sharing"",""งบพรบ!DU21"")"),0)</f>
        <v>0</v>
      </c>
      <c r="N290" s="224">
        <f ca="1">IFERROR(__xludf.DUMMYFUNCTION("IMPORTRANGE(""https://docs.google.com/spreadsheets/d/1-uDff_7J0KD5mKrp0Vvzr7lt3OU09vwQwhkpOPPYv2Y/edit?usp=sharing"",""งบพรบ!DW21"")"),0)</f>
        <v>0</v>
      </c>
      <c r="O290" s="224">
        <f t="shared" ca="1" si="71"/>
        <v>0</v>
      </c>
      <c r="P290" s="224">
        <f t="shared" ca="1" si="72"/>
        <v>0</v>
      </c>
      <c r="Q290" s="224">
        <v>0</v>
      </c>
      <c r="R290" s="224">
        <v>0</v>
      </c>
      <c r="S290" s="224">
        <v>0</v>
      </c>
      <c r="T290" s="224">
        <f t="shared" si="73"/>
        <v>0</v>
      </c>
      <c r="U290" s="224">
        <f t="shared" si="74"/>
        <v>0</v>
      </c>
    </row>
    <row r="291" spans="1:21" ht="19.5" x14ac:dyDescent="0.3">
      <c r="A291" s="138"/>
      <c r="B291" s="139"/>
      <c r="C291" s="129" t="s">
        <v>18</v>
      </c>
      <c r="D291" s="498" t="s">
        <v>38</v>
      </c>
      <c r="E291" s="141"/>
      <c r="F291" s="141"/>
      <c r="G291" s="142"/>
      <c r="H291" s="143"/>
      <c r="I291" s="135"/>
      <c r="J291" s="135"/>
      <c r="K291" s="136"/>
      <c r="L291" s="4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IFERROR(__xludf.DUMMYFUNCTION("IMPORTRANGE(""https://docs.google.com/spreadsheets/d/1eHaY18a8A9IcSdp1K8H6x8fbOy06t2VsZHhMHf-1x7Y/edit?usp=sharing"",""แผน!EE21"")"),100)</f>
        <v>100</v>
      </c>
      <c r="J292" s="466">
        <v>0</v>
      </c>
      <c r="K292" s="497">
        <f ca="1">IF(I292&gt;0,J292*100/I292,0)</f>
        <v>0</v>
      </c>
      <c r="L292" s="4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IFERROR(__xludf.DUMMYFUNCTION("IMPORTRANGE(""https://docs.google.com/spreadsheets/d/1eHaY18a8A9IcSdp1K8H6x8fbOy06t2VsZHhMHf-1x7Y/edit?usp=sharing"",""แผน!ED21"")"),10)</f>
        <v>10</v>
      </c>
      <c r="J293" s="328">
        <f>J296</f>
        <v>10</v>
      </c>
      <c r="K293" s="582">
        <f ca="1">IF(I293&gt;0,J293*100/I293,0)</f>
        <v>100</v>
      </c>
      <c r="L293" s="4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4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581">
        <f ca="1">IFERROR(__xludf.DUMMYFUNCTION("IMPORTRANGE(""https://docs.google.com/spreadsheets/d/1eHaY18a8A9IcSdp1K8H6x8fbOy06t2VsZHhMHf-1x7Y/edit?usp=sharing"",""แผน!ED21"")"),10)</f>
        <v>10</v>
      </c>
      <c r="J295" s="466">
        <v>10</v>
      </c>
      <c r="K295" s="497">
        <f ca="1">IF(I295&gt;0,J295*100/I295,0)</f>
        <v>100</v>
      </c>
      <c r="L295" s="4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581">
        <f ca="1">IFERROR(__xludf.DUMMYFUNCTION("IMPORTRANGE(""https://docs.google.com/spreadsheets/d/1eHaY18a8A9IcSdp1K8H6x8fbOy06t2VsZHhMHf-1x7Y/edit?usp=sharing"",""แผน!ED21"")"),10)</f>
        <v>10</v>
      </c>
      <c r="J296" s="466">
        <v>10</v>
      </c>
      <c r="K296" s="497">
        <f ca="1">IF(I296&gt;0,J296*100/I296,0)</f>
        <v>100</v>
      </c>
      <c r="L296" s="4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571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hidden="1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571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580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57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541">
        <f ca="1">I314</f>
        <v>25</v>
      </c>
      <c r="J302" s="541">
        <f>J314</f>
        <v>25</v>
      </c>
      <c r="K302" s="540">
        <f ca="1">IF(I302&gt;0,J302*100/I302,0)</f>
        <v>100</v>
      </c>
      <c r="L302" s="539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472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471">
        <f ca="1">L304+L305</f>
        <v>0</v>
      </c>
      <c r="M303" s="470">
        <f ca="1">M304+M305</f>
        <v>0</v>
      </c>
      <c r="N303" s="470">
        <f ca="1">N304+N305</f>
        <v>0</v>
      </c>
      <c r="O303" s="470">
        <f t="shared" ref="O303:O311" ca="1" si="77">IF(L303&gt;0,N303*100/L303,0)</f>
        <v>0</v>
      </c>
      <c r="P303" s="470">
        <f t="shared" ref="P303:P311" ca="1" si="78">IF(M303&gt;0,N303*100/M303,0)</f>
        <v>0</v>
      </c>
      <c r="Q303" s="470">
        <f ca="1">Q304+Q305</f>
        <v>228095.39</v>
      </c>
      <c r="R303" s="470">
        <f ca="1">R304+R305</f>
        <v>228095</v>
      </c>
      <c r="S303" s="470">
        <f ca="1">S304+S305</f>
        <v>33675</v>
      </c>
      <c r="T303" s="470">
        <f t="shared" ref="T303:T311" ca="1" si="79">IF(Q303&gt;0,S303*100/Q303,0)</f>
        <v>14.763560105269992</v>
      </c>
      <c r="U303" s="470">
        <f t="shared" ref="U303:U311" ca="1" si="80">IF(R303&gt;0,S303*100/R303,0)</f>
        <v>14.763585348210176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469">
        <f t="shared" ref="L304:N305" si="81">L307+L310</f>
        <v>0</v>
      </c>
      <c r="M304" s="83">
        <f t="shared" si="81"/>
        <v>0</v>
      </c>
      <c r="N304" s="83">
        <f t="shared" si="81"/>
        <v>0</v>
      </c>
      <c r="O304" s="83">
        <f t="shared" si="77"/>
        <v>0</v>
      </c>
      <c r="P304" s="83">
        <f t="shared" si="78"/>
        <v>0</v>
      </c>
      <c r="Q304" s="83">
        <f t="shared" ref="Q304:S305" si="82">Q307+Q310</f>
        <v>0</v>
      </c>
      <c r="R304" s="83">
        <f t="shared" si="82"/>
        <v>0</v>
      </c>
      <c r="S304" s="83">
        <f t="shared" si="82"/>
        <v>0</v>
      </c>
      <c r="T304" s="83">
        <f t="shared" si="79"/>
        <v>0</v>
      </c>
      <c r="U304" s="83">
        <f t="shared" si="80"/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468">
        <f t="shared" ca="1" si="81"/>
        <v>0</v>
      </c>
      <c r="M305" s="224">
        <f t="shared" ca="1" si="81"/>
        <v>0</v>
      </c>
      <c r="N305" s="224">
        <f t="shared" ca="1" si="81"/>
        <v>0</v>
      </c>
      <c r="O305" s="224">
        <f t="shared" ca="1" si="77"/>
        <v>0</v>
      </c>
      <c r="P305" s="224">
        <f t="shared" ca="1" si="78"/>
        <v>0</v>
      </c>
      <c r="Q305" s="224">
        <f t="shared" ca="1" si="82"/>
        <v>228095.39</v>
      </c>
      <c r="R305" s="224">
        <f t="shared" ca="1" si="82"/>
        <v>228095</v>
      </c>
      <c r="S305" s="224">
        <f t="shared" ca="1" si="82"/>
        <v>33675</v>
      </c>
      <c r="T305" s="224">
        <f t="shared" ca="1" si="79"/>
        <v>14.763560105269992</v>
      </c>
      <c r="U305" s="224">
        <f t="shared" ca="1" si="80"/>
        <v>14.763585348210176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468">
        <f ca="1">L307+L308</f>
        <v>0</v>
      </c>
      <c r="M306" s="224">
        <f ca="1">M307+M308</f>
        <v>0</v>
      </c>
      <c r="N306" s="224">
        <f ca="1">N307+N308</f>
        <v>0</v>
      </c>
      <c r="O306" s="224">
        <f t="shared" ca="1" si="77"/>
        <v>0</v>
      </c>
      <c r="P306" s="224">
        <f t="shared" ca="1" si="78"/>
        <v>0</v>
      </c>
      <c r="Q306" s="224">
        <f ca="1">Q307+Q308</f>
        <v>228095.39</v>
      </c>
      <c r="R306" s="224">
        <f ca="1">R307+R308</f>
        <v>228095</v>
      </c>
      <c r="S306" s="224">
        <f ca="1">S307+S308</f>
        <v>33675</v>
      </c>
      <c r="T306" s="224">
        <f t="shared" ca="1" si="79"/>
        <v>14.763560105269992</v>
      </c>
      <c r="U306" s="224">
        <f t="shared" ca="1" si="80"/>
        <v>14.763585348210176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469">
        <v>0</v>
      </c>
      <c r="M307" s="83">
        <v>0</v>
      </c>
      <c r="N307" s="83">
        <v>0</v>
      </c>
      <c r="O307" s="83">
        <f t="shared" si="77"/>
        <v>0</v>
      </c>
      <c r="P307" s="83">
        <f t="shared" si="78"/>
        <v>0</v>
      </c>
      <c r="Q307" s="83">
        <v>0</v>
      </c>
      <c r="R307" s="83">
        <v>0</v>
      </c>
      <c r="S307" s="83">
        <v>0</v>
      </c>
      <c r="T307" s="83">
        <f t="shared" si="79"/>
        <v>0</v>
      </c>
      <c r="U307" s="83">
        <f t="shared" si="80"/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468">
        <f ca="1">IFERROR(__xludf.DUMMYFUNCTION("IMPORTRANGE(""https://docs.google.com/spreadsheets/d/1-uDff_7J0KD5mKrp0Vvzr7lt3OU09vwQwhkpOPPYv2Y/edit?usp=sharing"",""งบพรบ!DY21"")"),0)</f>
        <v>0</v>
      </c>
      <c r="M308" s="224">
        <f ca="1">IFERROR(__xludf.DUMMYFUNCTION("IMPORTRANGE(""https://docs.google.com/spreadsheets/d/1-uDff_7J0KD5mKrp0Vvzr7lt3OU09vwQwhkpOPPYv2Y/edit?usp=sharing"",""งบพรบ!ED21"")"),0)</f>
        <v>0</v>
      </c>
      <c r="N308" s="224">
        <f ca="1">IFERROR(__xludf.DUMMYFUNCTION("IMPORTRANGE(""https://docs.google.com/spreadsheets/d/1-uDff_7J0KD5mKrp0Vvzr7lt3OU09vwQwhkpOPPYv2Y/edit?usp=sharing"",""งบพรบ!EF21"")"),0)</f>
        <v>0</v>
      </c>
      <c r="O308" s="224">
        <f t="shared" ca="1" si="77"/>
        <v>0</v>
      </c>
      <c r="P308" s="224">
        <f t="shared" ca="1" si="78"/>
        <v>0</v>
      </c>
      <c r="Q308" s="224">
        <f ca="1">IFERROR(__xludf.DUMMYFUNCTION("IMPORTRANGE(""https://docs.google.com/spreadsheets/d/1ItG2mGa2ceCfYo0BwxsXqNm01IGEUdYcSSLTEv9YCik/edit?usp=sharing"",""เบิกจ่ายกองทุน!AP21"")"),228095.39)</f>
        <v>228095.39</v>
      </c>
      <c r="R308" s="224">
        <f ca="1">IFERROR(__xludf.DUMMYFUNCTION("IMPORTRANGE(""https://docs.google.com/spreadsheets/d/1ItG2mGa2ceCfYo0BwxsXqNm01IGEUdYcSSLTEv9YCik/edit?usp=sharing"",""เบิกจ่ายกองทุน!AQ21"")"),228095)</f>
        <v>228095</v>
      </c>
      <c r="S308" s="224">
        <f ca="1">IFERROR(__xludf.DUMMYFUNCTION("IMPORTRANGE(""https://docs.google.com/spreadsheets/d/1ItG2mGa2ceCfYo0BwxsXqNm01IGEUdYcSSLTEv9YCik/edit?usp=sharing"",""เบิกจ่ายกองทุน!AR21"")"),33675)</f>
        <v>33675</v>
      </c>
      <c r="T308" s="224">
        <f t="shared" ca="1" si="79"/>
        <v>14.763560105269992</v>
      </c>
      <c r="U308" s="224">
        <f t="shared" ca="1" si="80"/>
        <v>14.763585348210176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468">
        <f ca="1">L310+L311</f>
        <v>0</v>
      </c>
      <c r="M309" s="224">
        <f ca="1">M310+M311</f>
        <v>0</v>
      </c>
      <c r="N309" s="224">
        <f ca="1">N310+N311</f>
        <v>0</v>
      </c>
      <c r="O309" s="224">
        <f t="shared" ca="1" si="77"/>
        <v>0</v>
      </c>
      <c r="P309" s="224">
        <f t="shared" ca="1" si="78"/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 t="shared" si="79"/>
        <v>0</v>
      </c>
      <c r="U309" s="224">
        <f t="shared" si="80"/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469">
        <v>0</v>
      </c>
      <c r="M310" s="83">
        <v>0</v>
      </c>
      <c r="N310" s="83">
        <v>0</v>
      </c>
      <c r="O310" s="83">
        <f t="shared" si="77"/>
        <v>0</v>
      </c>
      <c r="P310" s="83">
        <f t="shared" si="78"/>
        <v>0</v>
      </c>
      <c r="Q310" s="83">
        <v>0</v>
      </c>
      <c r="R310" s="83">
        <v>0</v>
      </c>
      <c r="S310" s="83">
        <v>0</v>
      </c>
      <c r="T310" s="83">
        <f t="shared" si="79"/>
        <v>0</v>
      </c>
      <c r="U310" s="83">
        <f t="shared" si="80"/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468">
        <f ca="1">IFERROR(__xludf.DUMMYFUNCTION("IMPORTRANGE(""https://docs.google.com/spreadsheets/d/1-uDff_7J0KD5mKrp0Vvzr7lt3OU09vwQwhkpOPPYv2Y/edit?usp=sharing"",""งบพรบ!EB21"")"),0)</f>
        <v>0</v>
      </c>
      <c r="M311" s="224">
        <f ca="1">IFERROR(__xludf.DUMMYFUNCTION("IMPORTRANGE(""https://docs.google.com/spreadsheets/d/1-uDff_7J0KD5mKrp0Vvzr7lt3OU09vwQwhkpOPPYv2Y/edit?usp=sharing"",""งบพรบ!EE21"")"),0)</f>
        <v>0</v>
      </c>
      <c r="N311" s="224">
        <f ca="1">IFERROR(__xludf.DUMMYFUNCTION("IMPORTRANGE(""https://docs.google.com/spreadsheets/d/1-uDff_7J0KD5mKrp0Vvzr7lt3OU09vwQwhkpOPPYv2Y/edit?usp=sharing"",""งบพรบ!EG21"")"),0)</f>
        <v>0</v>
      </c>
      <c r="O311" s="224">
        <f t="shared" ca="1" si="77"/>
        <v>0</v>
      </c>
      <c r="P311" s="224">
        <f t="shared" ca="1" si="78"/>
        <v>0</v>
      </c>
      <c r="Q311" s="224">
        <v>0</v>
      </c>
      <c r="R311" s="224">
        <v>0</v>
      </c>
      <c r="S311" s="224">
        <v>0</v>
      </c>
      <c r="T311" s="224">
        <f t="shared" si="79"/>
        <v>0</v>
      </c>
      <c r="U311" s="224">
        <f t="shared" si="80"/>
        <v>0</v>
      </c>
    </row>
    <row r="312" spans="1:21" ht="19.5" x14ac:dyDescent="0.3">
      <c r="A312" s="138"/>
      <c r="B312" s="139"/>
      <c r="C312" s="129" t="s">
        <v>18</v>
      </c>
      <c r="D312" s="498" t="s">
        <v>38</v>
      </c>
      <c r="E312" s="141"/>
      <c r="F312" s="141"/>
      <c r="G312" s="142"/>
      <c r="H312" s="143"/>
      <c r="I312" s="44"/>
      <c r="J312" s="44"/>
      <c r="K312" s="45"/>
      <c r="L312" s="465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579"/>
      <c r="E313" s="18"/>
      <c r="F313" s="18"/>
      <c r="G313" s="19"/>
      <c r="H313" s="19"/>
      <c r="I313" s="20"/>
      <c r="J313" s="577"/>
      <c r="K313" s="21"/>
      <c r="L313" s="571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IFERROR(__xludf.DUMMYFUNCTION("IMPORTRANGE(""https://docs.google.com/spreadsheets/d/1eHaY18a8A9IcSdp1K8H6x8fbOy06t2VsZHhMHf-1x7Y/edit?usp=sharing"",""แผน!EF21"")"),25)</f>
        <v>25</v>
      </c>
      <c r="J314" s="466">
        <v>25</v>
      </c>
      <c r="K314" s="224">
        <f ca="1">IF(I314&gt;0,J314*100/I314,0)</f>
        <v>100</v>
      </c>
      <c r="L314" s="465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579"/>
      <c r="E315" s="18"/>
      <c r="F315" s="18"/>
      <c r="G315" s="19"/>
      <c r="H315" s="578"/>
      <c r="I315" s="577"/>
      <c r="J315" s="577"/>
      <c r="K315" s="576"/>
      <c r="L315" s="571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579"/>
      <c r="E316" s="18"/>
      <c r="F316" s="18"/>
      <c r="G316" s="19"/>
      <c r="H316" s="578"/>
      <c r="I316" s="577"/>
      <c r="J316" s="577"/>
      <c r="K316" s="576"/>
      <c r="L316" s="571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575"/>
      <c r="E317" s="18"/>
      <c r="F317" s="18"/>
      <c r="G317" s="19"/>
      <c r="H317" s="574"/>
      <c r="I317" s="573"/>
      <c r="J317" s="573"/>
      <c r="K317" s="572"/>
      <c r="L317" s="571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57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hidden="1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541">
        <f ca="1">I330</f>
        <v>0</v>
      </c>
      <c r="J319" s="541">
        <f>J330</f>
        <v>0</v>
      </c>
      <c r="K319" s="540">
        <f ca="1">IF(I319&gt;0,J319*100/I319,0)</f>
        <v>0</v>
      </c>
      <c r="L319" s="539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hidden="1" x14ac:dyDescent="0.3">
      <c r="A320" s="128"/>
      <c r="B320" s="40"/>
      <c r="C320" s="129" t="s">
        <v>18</v>
      </c>
      <c r="D320" s="472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471">
        <f ca="1">L321+L322</f>
        <v>0</v>
      </c>
      <c r="M320" s="470">
        <f ca="1">M321+M322</f>
        <v>0</v>
      </c>
      <c r="N320" s="470">
        <f ca="1">N321+N322</f>
        <v>0</v>
      </c>
      <c r="O320" s="470">
        <f t="shared" ref="O320:O328" ca="1" si="83">IF(L320&gt;0,N320*100/L320,0)</f>
        <v>0</v>
      </c>
      <c r="P320" s="470">
        <f t="shared" ref="P320:P328" ca="1" si="84">IF(M320&gt;0,N320*100/M320,0)</f>
        <v>0</v>
      </c>
      <c r="Q320" s="470">
        <f>Q321+Q322</f>
        <v>0</v>
      </c>
      <c r="R320" s="470">
        <f>R321+R322</f>
        <v>0</v>
      </c>
      <c r="S320" s="470">
        <f>S321+S322</f>
        <v>0</v>
      </c>
      <c r="T320" s="470">
        <f t="shared" ref="T320:T328" si="85">IF(Q320&gt;0,S320*100/Q320,0)</f>
        <v>0</v>
      </c>
      <c r="U320" s="470">
        <f t="shared" ref="U320:U328" si="86"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469">
        <f t="shared" ref="L321:N322" si="87">L324+L327</f>
        <v>0</v>
      </c>
      <c r="M321" s="83">
        <f t="shared" si="87"/>
        <v>0</v>
      </c>
      <c r="N321" s="83">
        <f t="shared" si="87"/>
        <v>0</v>
      </c>
      <c r="O321" s="83">
        <f t="shared" si="83"/>
        <v>0</v>
      </c>
      <c r="P321" s="83">
        <f t="shared" si="84"/>
        <v>0</v>
      </c>
      <c r="Q321" s="83">
        <f t="shared" ref="Q321:S322" si="88">Q324+Q327</f>
        <v>0</v>
      </c>
      <c r="R321" s="83">
        <f t="shared" si="88"/>
        <v>0</v>
      </c>
      <c r="S321" s="83">
        <f t="shared" si="88"/>
        <v>0</v>
      </c>
      <c r="T321" s="83">
        <f t="shared" si="85"/>
        <v>0</v>
      </c>
      <c r="U321" s="83">
        <f t="shared" si="86"/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468">
        <f t="shared" ca="1" si="87"/>
        <v>0</v>
      </c>
      <c r="M322" s="224">
        <f t="shared" ca="1" si="87"/>
        <v>0</v>
      </c>
      <c r="N322" s="224">
        <f t="shared" ca="1" si="87"/>
        <v>0</v>
      </c>
      <c r="O322" s="224">
        <f t="shared" ca="1" si="83"/>
        <v>0</v>
      </c>
      <c r="P322" s="224">
        <f t="shared" ca="1" si="84"/>
        <v>0</v>
      </c>
      <c r="Q322" s="224">
        <f t="shared" si="88"/>
        <v>0</v>
      </c>
      <c r="R322" s="224">
        <f t="shared" si="88"/>
        <v>0</v>
      </c>
      <c r="S322" s="224">
        <f t="shared" si="88"/>
        <v>0</v>
      </c>
      <c r="T322" s="224">
        <f t="shared" si="85"/>
        <v>0</v>
      </c>
      <c r="U322" s="224">
        <f t="shared" si="86"/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468">
        <f ca="1">L324+L325</f>
        <v>0</v>
      </c>
      <c r="M323" s="224">
        <f ca="1">M324+M325</f>
        <v>0</v>
      </c>
      <c r="N323" s="224">
        <f ca="1">N324+N325</f>
        <v>0</v>
      </c>
      <c r="O323" s="224">
        <f t="shared" ca="1" si="83"/>
        <v>0</v>
      </c>
      <c r="P323" s="224">
        <f t="shared" ca="1" si="84"/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 t="shared" si="85"/>
        <v>0</v>
      </c>
      <c r="U323" s="224">
        <f t="shared" si="86"/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469">
        <v>0</v>
      </c>
      <c r="M324" s="83">
        <v>0</v>
      </c>
      <c r="N324" s="83">
        <v>0</v>
      </c>
      <c r="O324" s="83">
        <f t="shared" si="83"/>
        <v>0</v>
      </c>
      <c r="P324" s="83">
        <f t="shared" si="84"/>
        <v>0</v>
      </c>
      <c r="Q324" s="83">
        <v>0</v>
      </c>
      <c r="R324" s="83">
        <v>0</v>
      </c>
      <c r="S324" s="83">
        <v>0</v>
      </c>
      <c r="T324" s="83">
        <f t="shared" si="85"/>
        <v>0</v>
      </c>
      <c r="U324" s="83">
        <f t="shared" si="86"/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468">
        <f ca="1">IFERROR(__xludf.DUMMYFUNCTION("IMPORTRANGE(""https://docs.google.com/spreadsheets/d/1-uDff_7J0KD5mKrp0Vvzr7lt3OU09vwQwhkpOPPYv2Y/edit?usp=sharing"",""งบพรบ!EI21"")"),0)</f>
        <v>0</v>
      </c>
      <c r="M325" s="224">
        <f ca="1">IFERROR(__xludf.DUMMYFUNCTION("IMPORTRANGE(""https://docs.google.com/spreadsheets/d/1-uDff_7J0KD5mKrp0Vvzr7lt3OU09vwQwhkpOPPYv2Y/edit?usp=sharing"",""งบพรบ!EN21"")"),0)</f>
        <v>0</v>
      </c>
      <c r="N325" s="224">
        <f ca="1">IFERROR(__xludf.DUMMYFUNCTION("IMPORTRANGE(""https://docs.google.com/spreadsheets/d/1-uDff_7J0KD5mKrp0Vvzr7lt3OU09vwQwhkpOPPYv2Y/edit?usp=sharing"",""งบพรบ!EP21"")"),0)</f>
        <v>0</v>
      </c>
      <c r="O325" s="224">
        <f t="shared" ca="1" si="83"/>
        <v>0</v>
      </c>
      <c r="P325" s="224">
        <f t="shared" ca="1" si="84"/>
        <v>0</v>
      </c>
      <c r="Q325" s="224">
        <v>0</v>
      </c>
      <c r="R325" s="224">
        <v>0</v>
      </c>
      <c r="S325" s="224">
        <v>0</v>
      </c>
      <c r="T325" s="224">
        <f t="shared" si="85"/>
        <v>0</v>
      </c>
      <c r="U325" s="224">
        <f t="shared" si="86"/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468">
        <f ca="1">L327+L328</f>
        <v>0</v>
      </c>
      <c r="M326" s="224">
        <f ca="1">M327+M328</f>
        <v>0</v>
      </c>
      <c r="N326" s="224">
        <f ca="1">N327+N328</f>
        <v>0</v>
      </c>
      <c r="O326" s="224">
        <f t="shared" ca="1" si="83"/>
        <v>0</v>
      </c>
      <c r="P326" s="224">
        <f t="shared" ca="1" si="84"/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 t="shared" si="85"/>
        <v>0</v>
      </c>
      <c r="U326" s="224">
        <f t="shared" si="86"/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469">
        <v>0</v>
      </c>
      <c r="M327" s="83">
        <v>0</v>
      </c>
      <c r="N327" s="83">
        <v>0</v>
      </c>
      <c r="O327" s="83">
        <f t="shared" si="83"/>
        <v>0</v>
      </c>
      <c r="P327" s="83">
        <f t="shared" si="84"/>
        <v>0</v>
      </c>
      <c r="Q327" s="83">
        <v>0</v>
      </c>
      <c r="R327" s="83">
        <v>0</v>
      </c>
      <c r="S327" s="83">
        <v>0</v>
      </c>
      <c r="T327" s="83">
        <f t="shared" si="85"/>
        <v>0</v>
      </c>
      <c r="U327" s="83">
        <f t="shared" si="86"/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468">
        <f ca="1">IFERROR(__xludf.DUMMYFUNCTION("IMPORTRANGE(""https://docs.google.com/spreadsheets/d/1-uDff_7J0KD5mKrp0Vvzr7lt3OU09vwQwhkpOPPYv2Y/edit?usp=sharing"",""งบพรบ!EL21"")"),0)</f>
        <v>0</v>
      </c>
      <c r="M328" s="224">
        <f ca="1">IFERROR(__xludf.DUMMYFUNCTION("IMPORTRANGE(""https://docs.google.com/spreadsheets/d/1-uDff_7J0KD5mKrp0Vvzr7lt3OU09vwQwhkpOPPYv2Y/edit?usp=sharing"",""งบพรบ!EO21"")"),0)</f>
        <v>0</v>
      </c>
      <c r="N328" s="224">
        <f ca="1">IFERROR(__xludf.DUMMYFUNCTION("IMPORTRANGE(""https://docs.google.com/spreadsheets/d/1-uDff_7J0KD5mKrp0Vvzr7lt3OU09vwQwhkpOPPYv2Y/edit?usp=sharing"",""งบพรบ!EQ21"")"),0)</f>
        <v>0</v>
      </c>
      <c r="O328" s="224">
        <f t="shared" ca="1" si="83"/>
        <v>0</v>
      </c>
      <c r="P328" s="224">
        <f t="shared" ca="1" si="84"/>
        <v>0</v>
      </c>
      <c r="Q328" s="224">
        <v>0</v>
      </c>
      <c r="R328" s="224">
        <v>0</v>
      </c>
      <c r="S328" s="224">
        <v>0</v>
      </c>
      <c r="T328" s="224">
        <f t="shared" si="85"/>
        <v>0</v>
      </c>
      <c r="U328" s="224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8" t="s">
        <v>38</v>
      </c>
      <c r="E329" s="141"/>
      <c r="F329" s="141"/>
      <c r="G329" s="142"/>
      <c r="H329" s="143"/>
      <c r="I329" s="135"/>
      <c r="J329" s="44"/>
      <c r="K329" s="45"/>
      <c r="L329" s="465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IFERROR(__xludf.DUMMYFUNCTION("IMPORTRANGE(""https://docs.google.com/spreadsheets/d/1eHaY18a8A9IcSdp1K8H6x8fbOy06t2VsZHhMHf-1x7Y/edit?usp=sharing"",""แผน!EJ21"")"),0)</f>
        <v>0</v>
      </c>
      <c r="J330" s="466">
        <v>0</v>
      </c>
      <c r="K330" s="224">
        <f ca="1">IF(I330&gt;0,J330*100/I330,0)</f>
        <v>0</v>
      </c>
      <c r="L330" s="465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57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569">
        <f ca="1">I344</f>
        <v>660</v>
      </c>
      <c r="J332" s="568">
        <f ca="1">J344+J347+J348+J349+J353</f>
        <v>1202</v>
      </c>
      <c r="K332" s="567">
        <f ca="1">IF(I332&gt;0,J332*100/I332,0)</f>
        <v>182.12121212121212</v>
      </c>
      <c r="L332" s="539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472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471">
        <f ca="1">L334+L335</f>
        <v>103000</v>
      </c>
      <c r="M333" s="470">
        <f ca="1">M334+M335</f>
        <v>108000</v>
      </c>
      <c r="N333" s="470">
        <f ca="1">N334+N335</f>
        <v>99666.67</v>
      </c>
      <c r="O333" s="470">
        <f t="shared" ref="O333:O341" ca="1" si="89">IF(L333&gt;0,N333*100/L333,0)</f>
        <v>96.763757281553396</v>
      </c>
      <c r="P333" s="470">
        <f t="shared" ref="P333:P341" ca="1" si="90">IF(M333&gt;0,N333*100/M333,0)</f>
        <v>92.283953703703702</v>
      </c>
      <c r="Q333" s="470">
        <f>Q334+Q335</f>
        <v>0</v>
      </c>
      <c r="R333" s="470">
        <f>R334+R335</f>
        <v>0</v>
      </c>
      <c r="S333" s="470">
        <f>S334+S335</f>
        <v>0</v>
      </c>
      <c r="T333" s="470">
        <f t="shared" ref="T333:T341" si="91">IF(Q333&gt;0,S333*100/Q333,0)</f>
        <v>0</v>
      </c>
      <c r="U333" s="470">
        <f t="shared" ref="U333:U341" si="92"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469">
        <f t="shared" ref="L334:N335" si="93">L337+L340</f>
        <v>0</v>
      </c>
      <c r="M334" s="83">
        <f t="shared" si="93"/>
        <v>0</v>
      </c>
      <c r="N334" s="83">
        <f t="shared" si="93"/>
        <v>0</v>
      </c>
      <c r="O334" s="83">
        <f t="shared" si="89"/>
        <v>0</v>
      </c>
      <c r="P334" s="83">
        <f t="shared" si="90"/>
        <v>0</v>
      </c>
      <c r="Q334" s="83">
        <f t="shared" ref="Q334:S335" si="94">Q337+Q340</f>
        <v>0</v>
      </c>
      <c r="R334" s="83">
        <f t="shared" si="94"/>
        <v>0</v>
      </c>
      <c r="S334" s="83">
        <f t="shared" si="94"/>
        <v>0</v>
      </c>
      <c r="T334" s="83">
        <f t="shared" si="91"/>
        <v>0</v>
      </c>
      <c r="U334" s="83">
        <f t="shared" si="92"/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468">
        <f t="shared" ca="1" si="93"/>
        <v>103000</v>
      </c>
      <c r="M335" s="224">
        <f t="shared" ca="1" si="93"/>
        <v>108000</v>
      </c>
      <c r="N335" s="224">
        <f t="shared" ca="1" si="93"/>
        <v>99666.67</v>
      </c>
      <c r="O335" s="224">
        <f t="shared" ca="1" si="89"/>
        <v>96.763757281553396</v>
      </c>
      <c r="P335" s="224">
        <f t="shared" ca="1" si="90"/>
        <v>92.283953703703702</v>
      </c>
      <c r="Q335" s="224">
        <f t="shared" si="94"/>
        <v>0</v>
      </c>
      <c r="R335" s="224">
        <f t="shared" si="94"/>
        <v>0</v>
      </c>
      <c r="S335" s="224">
        <f t="shared" si="94"/>
        <v>0</v>
      </c>
      <c r="T335" s="224">
        <f t="shared" si="91"/>
        <v>0</v>
      </c>
      <c r="U335" s="224">
        <f t="shared" si="92"/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468">
        <f ca="1">L337+L338</f>
        <v>103000</v>
      </c>
      <c r="M336" s="224">
        <f ca="1">M337+M338</f>
        <v>108000</v>
      </c>
      <c r="N336" s="224">
        <f ca="1">N337+N338</f>
        <v>99666.67</v>
      </c>
      <c r="O336" s="224">
        <f t="shared" ca="1" si="89"/>
        <v>96.763757281553396</v>
      </c>
      <c r="P336" s="224">
        <f t="shared" ca="1" si="90"/>
        <v>92.283953703703702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 t="shared" si="91"/>
        <v>0</v>
      </c>
      <c r="U336" s="224">
        <f t="shared" si="92"/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469">
        <v>0</v>
      </c>
      <c r="M337" s="83">
        <v>0</v>
      </c>
      <c r="N337" s="83">
        <v>0</v>
      </c>
      <c r="O337" s="83">
        <f t="shared" si="89"/>
        <v>0</v>
      </c>
      <c r="P337" s="83">
        <f t="shared" si="90"/>
        <v>0</v>
      </c>
      <c r="Q337" s="83">
        <v>0</v>
      </c>
      <c r="R337" s="83">
        <v>0</v>
      </c>
      <c r="S337" s="83">
        <v>0</v>
      </c>
      <c r="T337" s="83">
        <f t="shared" si="91"/>
        <v>0</v>
      </c>
      <c r="U337" s="83">
        <f t="shared" si="92"/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468">
        <f ca="1">IFERROR(__xludf.DUMMYFUNCTION("IMPORTRANGE(""https://docs.google.com/spreadsheets/d/1-uDff_7J0KD5mKrp0Vvzr7lt3OU09vwQwhkpOPPYv2Y/edit?usp=sharing"",""งบพรบ!ES21"")"),103000)</f>
        <v>103000</v>
      </c>
      <c r="M338" s="224">
        <f ca="1">IFERROR(__xludf.DUMMYFUNCTION("IMPORTRANGE(""https://docs.google.com/spreadsheets/d/1-uDff_7J0KD5mKrp0Vvzr7lt3OU09vwQwhkpOPPYv2Y/edit?usp=sharing"",""งบพรบ!EX21"")"),108000)</f>
        <v>108000</v>
      </c>
      <c r="N338" s="224">
        <f ca="1">IFERROR(__xludf.DUMMYFUNCTION("IMPORTRANGE(""https://docs.google.com/spreadsheets/d/1-uDff_7J0KD5mKrp0Vvzr7lt3OU09vwQwhkpOPPYv2Y/edit?usp=sharing"",""งบพรบ!EZ21"")"),99666.67)</f>
        <v>99666.67</v>
      </c>
      <c r="O338" s="224">
        <f t="shared" ca="1" si="89"/>
        <v>96.763757281553396</v>
      </c>
      <c r="P338" s="224">
        <f t="shared" ca="1" si="90"/>
        <v>92.283953703703702</v>
      </c>
      <c r="Q338" s="224">
        <v>0</v>
      </c>
      <c r="R338" s="224">
        <v>0</v>
      </c>
      <c r="S338" s="224">
        <v>0</v>
      </c>
      <c r="T338" s="224">
        <f t="shared" si="91"/>
        <v>0</v>
      </c>
      <c r="U338" s="224">
        <f t="shared" si="92"/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468">
        <f ca="1">L340+L341</f>
        <v>0</v>
      </c>
      <c r="M339" s="224">
        <f ca="1">M340+M341</f>
        <v>0</v>
      </c>
      <c r="N339" s="224">
        <f ca="1">N340+N341</f>
        <v>0</v>
      </c>
      <c r="O339" s="224">
        <f t="shared" ca="1" si="89"/>
        <v>0</v>
      </c>
      <c r="P339" s="224">
        <f t="shared" ca="1" si="90"/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 t="shared" si="91"/>
        <v>0</v>
      </c>
      <c r="U339" s="224">
        <f t="shared" si="92"/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469">
        <v>0</v>
      </c>
      <c r="M340" s="83">
        <v>0</v>
      </c>
      <c r="N340" s="83">
        <v>0</v>
      </c>
      <c r="O340" s="83">
        <f t="shared" si="89"/>
        <v>0</v>
      </c>
      <c r="P340" s="83">
        <f t="shared" si="90"/>
        <v>0</v>
      </c>
      <c r="Q340" s="83">
        <v>0</v>
      </c>
      <c r="R340" s="83">
        <v>0</v>
      </c>
      <c r="S340" s="83">
        <v>0</v>
      </c>
      <c r="T340" s="83">
        <f t="shared" si="91"/>
        <v>0</v>
      </c>
      <c r="U340" s="83">
        <f t="shared" si="92"/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468">
        <f ca="1">IFERROR(__xludf.DUMMYFUNCTION("IMPORTRANGE(""https://docs.google.com/spreadsheets/d/1-uDff_7J0KD5mKrp0Vvzr7lt3OU09vwQwhkpOPPYv2Y/edit?usp=sharing"",""งบพรบ!EV21"")"),0)</f>
        <v>0</v>
      </c>
      <c r="M341" s="224">
        <f ca="1">IFERROR(__xludf.DUMMYFUNCTION("IMPORTRANGE(""https://docs.google.com/spreadsheets/d/1-uDff_7J0KD5mKrp0Vvzr7lt3OU09vwQwhkpOPPYv2Y/edit?usp=sharing"",""งบพรบ!EY21"")"),0)</f>
        <v>0</v>
      </c>
      <c r="N341" s="224">
        <f ca="1">IFERROR(__xludf.DUMMYFUNCTION("IMPORTRANGE(""https://docs.google.com/spreadsheets/d/1-uDff_7J0KD5mKrp0Vvzr7lt3OU09vwQwhkpOPPYv2Y/edit?usp=sharing"",""งบพรบ!FA21"")"),0)</f>
        <v>0</v>
      </c>
      <c r="O341" s="224">
        <f t="shared" ca="1" si="89"/>
        <v>0</v>
      </c>
      <c r="P341" s="224">
        <f t="shared" ca="1" si="90"/>
        <v>0</v>
      </c>
      <c r="Q341" s="224">
        <v>0</v>
      </c>
      <c r="R341" s="224">
        <v>0</v>
      </c>
      <c r="S341" s="224">
        <v>0</v>
      </c>
      <c r="T341" s="224">
        <f t="shared" si="91"/>
        <v>0</v>
      </c>
      <c r="U341" s="224">
        <f t="shared" si="92"/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465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566"/>
      <c r="B343" s="563"/>
      <c r="C343" s="565"/>
      <c r="D343" s="563"/>
      <c r="E343" s="564" t="s">
        <v>137</v>
      </c>
      <c r="F343" s="563"/>
      <c r="G343" s="562"/>
      <c r="H343" s="561" t="s">
        <v>35</v>
      </c>
      <c r="I343" s="560">
        <v>0</v>
      </c>
      <c r="J343" s="560">
        <f ca="1">J344+J347+J348+J349</f>
        <v>211</v>
      </c>
      <c r="K343" s="559">
        <v>0</v>
      </c>
      <c r="L343" s="557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IFERROR(__xludf.DUMMYFUNCTION("IMPORTRANGE(""https://docs.google.com/spreadsheets/d/1eHaY18a8A9IcSdp1K8H6x8fbOy06t2VsZHhMHf-1x7Y/edit?usp=sharing"",""แผน!EK21"")"),660)</f>
        <v>660</v>
      </c>
      <c r="J344" s="184">
        <f ca="1">IFERROR(__xludf.DUMMYFUNCTION("IMPORTRANGE(""https://docs.google.com/spreadsheets/d/1awYsYK3VOup2i3Pq_Yjnu8DRu_mYwSBnCR2QPthd0rU/edit?usp=sharing"",""ศูนย์ยกเว้นโฉนด!D21"")"),209)</f>
        <v>209</v>
      </c>
      <c r="K344" s="224">
        <f ca="1">IF(I344&gt;0,J344*100/I344,0)</f>
        <v>31.666666666666668</v>
      </c>
      <c r="L344" s="465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465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IFERROR(__xludf.DUMMYFUNCTION("IMPORTRANGE(""https://docs.google.com/spreadsheets/d/1eHaY18a8A9IcSdp1K8H6x8fbOy06t2VsZHhMHf-1x7Y/edit?usp=sharing"",""แผน!EL21"")"),3)</f>
        <v>3</v>
      </c>
      <c r="J346" s="184">
        <f ca="1">IFERROR(__xludf.DUMMYFUNCTION("IMPORTRANGE(""https://docs.google.com/spreadsheets/d/1awYsYK3VOup2i3Pq_Yjnu8DRu_mYwSBnCR2QPthd0rU/edit?usp=sharing"",""ศูนย์รวม!E21"")"),6)</f>
        <v>6</v>
      </c>
      <c r="K346" s="224">
        <f ca="1">IF(I346&gt;0,J346*100/I346,0)</f>
        <v>200</v>
      </c>
      <c r="L346" s="465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IFERROR(__xludf.DUMMYFUNCTION("IMPORTRANGE(""https://docs.google.com/spreadsheets/d/1awYsYK3VOup2i3Pq_Yjnu8DRu_mYwSBnCR2QPthd0rU/edit?usp=sharing"",""ศูนย์ยกเว้นโฉนด!F21"")"),1)</f>
        <v>1</v>
      </c>
      <c r="K347" s="45"/>
      <c r="L347" s="465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IFERROR(__xludf.DUMMYFUNCTION("IMPORTRANGE(""https://docs.google.com/spreadsheets/d/1awYsYK3VOup2i3Pq_Yjnu8DRu_mYwSBnCR2QPthd0rU/edit?usp=sharing"",""ศูนย์ยกเว้นโฉนด!G21"")"),1)</f>
        <v>1</v>
      </c>
      <c r="K348" s="45"/>
      <c r="L348" s="465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IFERROR(__xludf.DUMMYFUNCTION("IMPORTRANGE(""https://docs.google.com/spreadsheets/d/1awYsYK3VOup2i3Pq_Yjnu8DRu_mYwSBnCR2QPthd0rU/edit?usp=sharing"",""ศูนย์ยกเว้นโฉนด!H21"")"),0)</f>
        <v>0</v>
      </c>
      <c r="K349" s="45"/>
      <c r="L349" s="465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0"/>
      <c r="F350" s="40"/>
      <c r="G350" s="42"/>
      <c r="H350" s="180"/>
      <c r="I350" s="44"/>
      <c r="J350" s="44"/>
      <c r="K350" s="45"/>
      <c r="L350" s="465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558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1177</v>
      </c>
      <c r="K351" s="304">
        <v>0</v>
      </c>
      <c r="L351" s="557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IFERROR(__xludf.DUMMYFUNCTION("IMPORTRANGE(""https://docs.google.com/spreadsheets/d/1awYsYK3VOup2i3Pq_Yjnu8DRu_mYwSBnCR2QPthd0rU/edit?usp=sharing"",""โฉนดM3!G21"")"),186)</f>
        <v>186</v>
      </c>
      <c r="K352" s="45"/>
      <c r="L352" s="465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IFERROR(__xludf.DUMMYFUNCTION("IMPORTRANGE(""https://docs.google.com/spreadsheets/d/1awYsYK3VOup2i3Pq_Yjnu8DRu_mYwSBnCR2QPthd0rU/edit?usp=sharing"",""โฉนดM3!H21"")"),991)</f>
        <v>991</v>
      </c>
      <c r="K353" s="45"/>
      <c r="L353" s="465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0"/>
      <c r="F354" s="40"/>
      <c r="G354" s="42"/>
      <c r="H354" s="180"/>
      <c r="I354" s="44"/>
      <c r="J354" s="44"/>
      <c r="K354" s="45"/>
      <c r="L354" s="465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539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472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471">
        <f ca="1">L357+L358</f>
        <v>450035</v>
      </c>
      <c r="M356" s="470">
        <f ca="1">M357+M358</f>
        <v>450035</v>
      </c>
      <c r="N356" s="470">
        <f ca="1">N357+N358</f>
        <v>331409.96000000002</v>
      </c>
      <c r="O356" s="470">
        <f t="shared" ref="O356:O364" ca="1" si="95">IF(L356&gt;0,N356*100/L356,0)</f>
        <v>73.640930149877235</v>
      </c>
      <c r="P356" s="470">
        <f t="shared" ref="P356:P364" ca="1" si="96">IF(M356&gt;0,N356*100/M356,0)</f>
        <v>73.640930149877235</v>
      </c>
      <c r="Q356" s="470">
        <f>Q357+Q358</f>
        <v>0</v>
      </c>
      <c r="R356" s="470">
        <f>R357+R358</f>
        <v>0</v>
      </c>
      <c r="S356" s="470">
        <f>S357+S358</f>
        <v>0</v>
      </c>
      <c r="T356" s="470">
        <f t="shared" ref="T356:T364" si="97">IF(Q356&gt;0,S356*100/Q356,0)</f>
        <v>0</v>
      </c>
      <c r="U356" s="470">
        <f t="shared" ref="U356:U364" si="98"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469">
        <f t="shared" ref="L357:N358" si="99">L360+L363</f>
        <v>0</v>
      </c>
      <c r="M357" s="83">
        <f t="shared" si="99"/>
        <v>0</v>
      </c>
      <c r="N357" s="83">
        <f t="shared" si="99"/>
        <v>0</v>
      </c>
      <c r="O357" s="83">
        <f t="shared" si="95"/>
        <v>0</v>
      </c>
      <c r="P357" s="83">
        <f t="shared" si="96"/>
        <v>0</v>
      </c>
      <c r="Q357" s="83">
        <f t="shared" ref="Q357:S358" si="100">Q360+Q363</f>
        <v>0</v>
      </c>
      <c r="R357" s="83">
        <f t="shared" si="100"/>
        <v>0</v>
      </c>
      <c r="S357" s="83">
        <f t="shared" si="100"/>
        <v>0</v>
      </c>
      <c r="T357" s="83">
        <f t="shared" si="97"/>
        <v>0</v>
      </c>
      <c r="U357" s="83">
        <f t="shared" si="98"/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468">
        <f t="shared" ca="1" si="99"/>
        <v>450035</v>
      </c>
      <c r="M358" s="224">
        <f t="shared" ca="1" si="99"/>
        <v>450035</v>
      </c>
      <c r="N358" s="224">
        <f t="shared" ca="1" si="99"/>
        <v>331409.96000000002</v>
      </c>
      <c r="O358" s="224">
        <f t="shared" ca="1" si="95"/>
        <v>73.640930149877235</v>
      </c>
      <c r="P358" s="224">
        <f t="shared" ca="1" si="96"/>
        <v>73.640930149877235</v>
      </c>
      <c r="Q358" s="224">
        <f t="shared" si="100"/>
        <v>0</v>
      </c>
      <c r="R358" s="224">
        <f t="shared" si="100"/>
        <v>0</v>
      </c>
      <c r="S358" s="224">
        <f t="shared" si="100"/>
        <v>0</v>
      </c>
      <c r="T358" s="224">
        <f t="shared" si="97"/>
        <v>0</v>
      </c>
      <c r="U358" s="224">
        <f t="shared" si="98"/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468">
        <f ca="1">L360+L361</f>
        <v>450035</v>
      </c>
      <c r="M359" s="224">
        <f ca="1">M360+M361</f>
        <v>450035</v>
      </c>
      <c r="N359" s="224">
        <f ca="1">N360+N361</f>
        <v>331409.96000000002</v>
      </c>
      <c r="O359" s="224">
        <f t="shared" ca="1" si="95"/>
        <v>73.640930149877235</v>
      </c>
      <c r="P359" s="224">
        <f t="shared" ca="1" si="96"/>
        <v>73.640930149877235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 t="shared" si="97"/>
        <v>0</v>
      </c>
      <c r="U359" s="224">
        <f t="shared" si="98"/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469">
        <v>0</v>
      </c>
      <c r="M360" s="83">
        <v>0</v>
      </c>
      <c r="N360" s="83">
        <v>0</v>
      </c>
      <c r="O360" s="83">
        <f t="shared" si="95"/>
        <v>0</v>
      </c>
      <c r="P360" s="83">
        <f t="shared" si="96"/>
        <v>0</v>
      </c>
      <c r="Q360" s="83">
        <v>0</v>
      </c>
      <c r="R360" s="83">
        <v>0</v>
      </c>
      <c r="S360" s="83">
        <v>0</v>
      </c>
      <c r="T360" s="83">
        <f t="shared" si="97"/>
        <v>0</v>
      </c>
      <c r="U360" s="83">
        <f t="shared" si="98"/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468">
        <f ca="1">IFERROR(__xludf.DUMMYFUNCTION("IMPORTRANGE(""https://docs.google.com/spreadsheets/d/1-uDff_7J0KD5mKrp0Vvzr7lt3OU09vwQwhkpOPPYv2Y/edit?usp=sharing"",""งบพรบ!FC21"")"),450035)</f>
        <v>450035</v>
      </c>
      <c r="M361" s="224">
        <f ca="1">IFERROR(__xludf.DUMMYFUNCTION("IMPORTRANGE(""https://docs.google.com/spreadsheets/d/1-uDff_7J0KD5mKrp0Vvzr7lt3OU09vwQwhkpOPPYv2Y/edit?usp=sharing"",""งบพรบ!FH21"")"),450035)</f>
        <v>450035</v>
      </c>
      <c r="N361" s="224">
        <f ca="1">IFERROR(__xludf.DUMMYFUNCTION("IMPORTRANGE(""https://docs.google.com/spreadsheets/d/1-uDff_7J0KD5mKrp0Vvzr7lt3OU09vwQwhkpOPPYv2Y/edit?usp=sharing"",""งบพรบ!FJ21"")"),331409.96)</f>
        <v>331409.96000000002</v>
      </c>
      <c r="O361" s="224">
        <f t="shared" ca="1" si="95"/>
        <v>73.640930149877235</v>
      </c>
      <c r="P361" s="224">
        <f t="shared" ca="1" si="96"/>
        <v>73.640930149877235</v>
      </c>
      <c r="Q361" s="224">
        <v>0</v>
      </c>
      <c r="R361" s="224">
        <v>0</v>
      </c>
      <c r="S361" s="224">
        <v>0</v>
      </c>
      <c r="T361" s="224">
        <f t="shared" si="97"/>
        <v>0</v>
      </c>
      <c r="U361" s="224">
        <f t="shared" si="98"/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468">
        <f ca="1">L363+L364</f>
        <v>0</v>
      </c>
      <c r="M362" s="224">
        <f ca="1">M363+M364</f>
        <v>0</v>
      </c>
      <c r="N362" s="224">
        <f ca="1">N363+N364</f>
        <v>0</v>
      </c>
      <c r="O362" s="224">
        <f t="shared" ca="1" si="95"/>
        <v>0</v>
      </c>
      <c r="P362" s="224">
        <f t="shared" ca="1" si="96"/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 t="shared" si="97"/>
        <v>0</v>
      </c>
      <c r="U362" s="224">
        <f t="shared" si="98"/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469">
        <v>0</v>
      </c>
      <c r="M363" s="83">
        <v>0</v>
      </c>
      <c r="N363" s="83">
        <v>0</v>
      </c>
      <c r="O363" s="83">
        <f t="shared" si="95"/>
        <v>0</v>
      </c>
      <c r="P363" s="83">
        <f t="shared" si="96"/>
        <v>0</v>
      </c>
      <c r="Q363" s="83">
        <v>0</v>
      </c>
      <c r="R363" s="83">
        <v>0</v>
      </c>
      <c r="S363" s="83">
        <v>0</v>
      </c>
      <c r="T363" s="83">
        <f t="shared" si="97"/>
        <v>0</v>
      </c>
      <c r="U363" s="83">
        <f t="shared" si="98"/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468">
        <f ca="1">IFERROR(__xludf.DUMMYFUNCTION("IMPORTRANGE(""https://docs.google.com/spreadsheets/d/1-uDff_7J0KD5mKrp0Vvzr7lt3OU09vwQwhkpOPPYv2Y/edit?usp=sharing"",""งบพรบ!FF21"")"),0)</f>
        <v>0</v>
      </c>
      <c r="M364" s="224">
        <f ca="1">IFERROR(__xludf.DUMMYFUNCTION("IMPORTRANGE(""https://docs.google.com/spreadsheets/d/1-uDff_7J0KD5mKrp0Vvzr7lt3OU09vwQwhkpOPPYv2Y/edit?usp=sharing"",""งบพรบ!FI21"")"),0)</f>
        <v>0</v>
      </c>
      <c r="N364" s="224">
        <f ca="1">IFERROR(__xludf.DUMMYFUNCTION("IMPORTRANGE(""https://docs.google.com/spreadsheets/d/1-uDff_7J0KD5mKrp0Vvzr7lt3OU09vwQwhkpOPPYv2Y/edit?usp=sharing"",""งบพรบ!FK21"")"),0)</f>
        <v>0</v>
      </c>
      <c r="O364" s="224">
        <f t="shared" ca="1" si="95"/>
        <v>0</v>
      </c>
      <c r="P364" s="224">
        <f t="shared" ca="1" si="96"/>
        <v>0</v>
      </c>
      <c r="Q364" s="224">
        <v>0</v>
      </c>
      <c r="R364" s="224">
        <v>0</v>
      </c>
      <c r="S364" s="224">
        <v>0</v>
      </c>
      <c r="T364" s="224">
        <f t="shared" si="97"/>
        <v>0</v>
      </c>
      <c r="U364" s="224">
        <f t="shared" si="98"/>
        <v>0</v>
      </c>
    </row>
    <row r="365" spans="1:21" ht="19.5" x14ac:dyDescent="0.3">
      <c r="A365" s="211"/>
      <c r="B365" s="212"/>
      <c r="C365" s="214"/>
      <c r="D365" s="558" t="s">
        <v>149</v>
      </c>
      <c r="E365" s="214"/>
      <c r="F365" s="214"/>
      <c r="G365" s="215"/>
      <c r="H365" s="223" t="s">
        <v>35</v>
      </c>
      <c r="I365" s="303">
        <f ca="1">I371</f>
        <v>152</v>
      </c>
      <c r="J365" s="303">
        <f ca="1">J371</f>
        <v>307</v>
      </c>
      <c r="K365" s="304">
        <f ca="1">IF(I365&gt;0,J365*100/I365,0)</f>
        <v>201.97368421052633</v>
      </c>
      <c r="L365" s="557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498" t="s">
        <v>38</v>
      </c>
      <c r="E366" s="141"/>
      <c r="F366" s="141"/>
      <c r="G366" s="142"/>
      <c r="H366" s="143"/>
      <c r="I366" s="44"/>
      <c r="J366" s="44"/>
      <c r="K366" s="45"/>
      <c r="L366" s="4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IFERROR(__xludf.DUMMYFUNCTION("IMPORTRANGE(""https://docs.google.com/spreadsheets/d/1tdoBKaGub7dwA3U6UFTqxio9LNnvDCQjHKmttSEBsFQ/edit?usp=sharing"",""จัดที่ดิน!AB21"")"),105)</f>
        <v>105</v>
      </c>
      <c r="K367" s="224">
        <f t="shared" ref="K367:K372" si="101">IF(I367&gt;0,J367*100/I367,0)</f>
        <v>0</v>
      </c>
      <c r="L367" s="4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IFERROR(__xludf.DUMMYFUNCTION("IMPORTRANGE(""https://docs.google.com/spreadsheets/d/1eHaY18a8A9IcSdp1K8H6x8fbOy06t2VsZHhMHf-1x7Y/edit?usp=sharing"",""แผน!EW21"")"),310)</f>
        <v>310</v>
      </c>
      <c r="J368" s="556">
        <f ca="1">IFERROR(__xludf.DUMMYFUNCTION("IMPORTRANGE(""https://docs.google.com/spreadsheets/d/1tdoBKaGub7dwA3U6UFTqxio9LNnvDCQjHKmttSEBsFQ/edit?usp=sharing"",""จัดที่ดิน!AC21"")"),826.97)</f>
        <v>826.97</v>
      </c>
      <c r="K368" s="224">
        <f t="shared" ca="1" si="101"/>
        <v>266.76451612903224</v>
      </c>
      <c r="L368" s="4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IFERROR(__xludf.DUMMYFUNCTION("IMPORTRANGE(""https://docs.google.com/spreadsheets/d/1eHaY18a8A9IcSdp1K8H6x8fbOy06t2VsZHhMHf-1x7Y/edit?usp=sharing"",""แผน!EX21"")"),152)</f>
        <v>152</v>
      </c>
      <c r="J369" s="184">
        <f ca="1">IFERROR(__xludf.DUMMYFUNCTION("IMPORTRANGE(""https://docs.google.com/spreadsheets/d/1tdoBKaGub7dwA3U6UFTqxio9LNnvDCQjHKmttSEBsFQ/edit?usp=sharing"",""จัดที่ดิน!AD21"")"),346)</f>
        <v>346</v>
      </c>
      <c r="K369" s="224">
        <f t="shared" ca="1" si="101"/>
        <v>227.63157894736841</v>
      </c>
      <c r="L369" s="4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556">
        <f ca="1">IFERROR(__xludf.DUMMYFUNCTION("IMPORTRANGE(""https://docs.google.com/spreadsheets/d/1tdoBKaGub7dwA3U6UFTqxio9LNnvDCQjHKmttSEBsFQ/edit?usp=sharing"",""จัดที่ดิน!AE21"")"),5304.75)</f>
        <v>5304.75</v>
      </c>
      <c r="K370" s="224">
        <f t="shared" si="101"/>
        <v>0</v>
      </c>
      <c r="L370" s="4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IFERROR(__xludf.DUMMYFUNCTION("IMPORTRANGE(""https://docs.google.com/spreadsheets/d/1eHaY18a8A9IcSdp1K8H6x8fbOy06t2VsZHhMHf-1x7Y/edit?usp=sharing"",""แผน!EY21"")"),152)</f>
        <v>152</v>
      </c>
      <c r="J371" s="184">
        <f ca="1">IFERROR(__xludf.DUMMYFUNCTION("IMPORTRANGE(""https://docs.google.com/spreadsheets/d/1tdoBKaGub7dwA3U6UFTqxio9LNnvDCQjHKmttSEBsFQ/edit?usp=sharing"",""จัดที่ดิน!AF21"")"),307)</f>
        <v>307</v>
      </c>
      <c r="K371" s="224">
        <f t="shared" ca="1" si="101"/>
        <v>201.97368421052633</v>
      </c>
      <c r="L371" s="4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556">
        <f ca="1">IFERROR(__xludf.DUMMYFUNCTION("IMPORTRANGE(""https://docs.google.com/spreadsheets/d/1tdoBKaGub7dwA3U6UFTqxio9LNnvDCQjHKmttSEBsFQ/edit?usp=sharing"",""จัดที่ดิน!AG21"")"),4988.38999999999)</f>
        <v>4988.3899999999903</v>
      </c>
      <c r="K372" s="224">
        <f t="shared" si="101"/>
        <v>0</v>
      </c>
      <c r="L372" s="4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2"/>
      <c r="H373" s="52"/>
      <c r="I373" s="54"/>
      <c r="J373" s="54"/>
      <c r="K373" s="3"/>
      <c r="L373" s="46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555"/>
      <c r="B374" s="554" t="s">
        <v>153</v>
      </c>
      <c r="C374" s="553"/>
      <c r="D374" s="552"/>
      <c r="E374" s="551"/>
      <c r="F374" s="551"/>
      <c r="G374" s="550"/>
      <c r="H374" s="549" t="s">
        <v>46</v>
      </c>
      <c r="I374" s="548">
        <f ca="1">I386+I388</f>
        <v>3000</v>
      </c>
      <c r="J374" s="548">
        <f ca="1">J386+J388</f>
        <v>0</v>
      </c>
      <c r="K374" s="547">
        <f ca="1">IF(I374&gt;0,J374*100/I374,0)</f>
        <v>0</v>
      </c>
      <c r="L374" s="539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128"/>
      <c r="B375" s="158"/>
      <c r="C375" s="161" t="s">
        <v>18</v>
      </c>
      <c r="D375" s="544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471">
        <f>L376+L377</f>
        <v>0</v>
      </c>
      <c r="M375" s="470">
        <f>M376+M377</f>
        <v>0</v>
      </c>
      <c r="N375" s="470">
        <f>N376+N377</f>
        <v>0</v>
      </c>
      <c r="O375" s="470">
        <f t="shared" ref="O375:O383" si="102">IF(L375&gt;0,N375*100/L375,0)</f>
        <v>0</v>
      </c>
      <c r="P375" s="470">
        <f t="shared" ref="P375:P383" si="103">IF(M375&gt;0,N375*100/M375,0)</f>
        <v>0</v>
      </c>
      <c r="Q375" s="470">
        <f ca="1">Q376+Q377</f>
        <v>187500</v>
      </c>
      <c r="R375" s="470">
        <f ca="1">R376+R377</f>
        <v>187500</v>
      </c>
      <c r="S375" s="470">
        <f ca="1">S376+S377</f>
        <v>0</v>
      </c>
      <c r="T375" s="470">
        <f t="shared" ref="T375:T383" ca="1" si="104">IF(Q375&gt;0,S375*100/Q375,0)</f>
        <v>0</v>
      </c>
      <c r="U375" s="470">
        <f t="shared" ref="U375:U383" ca="1" si="105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469">
        <f t="shared" ref="L376:N377" si="106">L379+L382</f>
        <v>0</v>
      </c>
      <c r="M376" s="83">
        <f t="shared" si="106"/>
        <v>0</v>
      </c>
      <c r="N376" s="83">
        <f t="shared" si="106"/>
        <v>0</v>
      </c>
      <c r="O376" s="83">
        <f t="shared" si="102"/>
        <v>0</v>
      </c>
      <c r="P376" s="83">
        <f t="shared" si="103"/>
        <v>0</v>
      </c>
      <c r="Q376" s="83">
        <f t="shared" ref="Q376:S377" si="107">Q379+Q382</f>
        <v>0</v>
      </c>
      <c r="R376" s="83">
        <f t="shared" si="107"/>
        <v>0</v>
      </c>
      <c r="S376" s="83">
        <f t="shared" si="107"/>
        <v>0</v>
      </c>
      <c r="T376" s="83">
        <f t="shared" si="104"/>
        <v>0</v>
      </c>
      <c r="U376" s="83">
        <f t="shared" si="105"/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468">
        <f t="shared" si="106"/>
        <v>0</v>
      </c>
      <c r="M377" s="224">
        <f t="shared" si="106"/>
        <v>0</v>
      </c>
      <c r="N377" s="224">
        <f t="shared" si="106"/>
        <v>0</v>
      </c>
      <c r="O377" s="224">
        <f t="shared" si="102"/>
        <v>0</v>
      </c>
      <c r="P377" s="224">
        <f t="shared" si="103"/>
        <v>0</v>
      </c>
      <c r="Q377" s="224">
        <f t="shared" ca="1" si="107"/>
        <v>187500</v>
      </c>
      <c r="R377" s="224">
        <f t="shared" ca="1" si="107"/>
        <v>187500</v>
      </c>
      <c r="S377" s="224">
        <f t="shared" ca="1" si="107"/>
        <v>0</v>
      </c>
      <c r="T377" s="224">
        <f t="shared" ca="1" si="104"/>
        <v>0</v>
      </c>
      <c r="U377" s="224">
        <f t="shared" ca="1" si="105"/>
        <v>0</v>
      </c>
    </row>
    <row r="378" spans="1:21" ht="18.75" x14ac:dyDescent="0.25">
      <c r="A378" s="128"/>
      <c r="B378" s="158"/>
      <c r="C378" s="158"/>
      <c r="D378" s="53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468">
        <f>L379+L380</f>
        <v>0</v>
      </c>
      <c r="M378" s="224">
        <f>M379+M380</f>
        <v>0</v>
      </c>
      <c r="N378" s="224">
        <f>N379+N380</f>
        <v>0</v>
      </c>
      <c r="O378" s="224">
        <f t="shared" si="102"/>
        <v>0</v>
      </c>
      <c r="P378" s="224">
        <f t="shared" si="103"/>
        <v>0</v>
      </c>
      <c r="Q378" s="224">
        <f ca="1">Q379+Q380</f>
        <v>187500</v>
      </c>
      <c r="R378" s="224">
        <f ca="1">R379+R380</f>
        <v>187500</v>
      </c>
      <c r="S378" s="224">
        <f ca="1">S379+S380</f>
        <v>0</v>
      </c>
      <c r="T378" s="224">
        <f t="shared" ca="1" si="104"/>
        <v>0</v>
      </c>
      <c r="U378" s="224">
        <f t="shared" ca="1" si="105"/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469">
        <v>0</v>
      </c>
      <c r="M379" s="83">
        <v>0</v>
      </c>
      <c r="N379" s="83">
        <v>0</v>
      </c>
      <c r="O379" s="83">
        <f t="shared" si="102"/>
        <v>0</v>
      </c>
      <c r="P379" s="83">
        <f t="shared" si="103"/>
        <v>0</v>
      </c>
      <c r="Q379" s="83">
        <v>0</v>
      </c>
      <c r="R379" s="83">
        <v>0</v>
      </c>
      <c r="S379" s="83">
        <v>0</v>
      </c>
      <c r="T379" s="83">
        <f t="shared" si="104"/>
        <v>0</v>
      </c>
      <c r="U379" s="83">
        <f t="shared" si="105"/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468">
        <v>0</v>
      </c>
      <c r="M380" s="224">
        <v>0</v>
      </c>
      <c r="N380" s="224">
        <v>0</v>
      </c>
      <c r="O380" s="224">
        <f t="shared" si="102"/>
        <v>0</v>
      </c>
      <c r="P380" s="224">
        <f t="shared" si="103"/>
        <v>0</v>
      </c>
      <c r="Q380" s="224">
        <f ca="1">IFERROR(__xludf.DUMMYFUNCTION("IMPORTRANGE(""https://docs.google.com/spreadsheets/d/1ItG2mGa2ceCfYo0BwxsXqNm01IGEUdYcSSLTEv9YCik/edit?usp=sharing"",""เบิกจ่ายกองทุน!AY21"")"),187500)</f>
        <v>187500</v>
      </c>
      <c r="R380" s="224">
        <f ca="1">IFERROR(__xludf.DUMMYFUNCTION("IMPORTRANGE(""https://docs.google.com/spreadsheets/d/1ItG2mGa2ceCfYo0BwxsXqNm01IGEUdYcSSLTEv9YCik/edit?usp=sharing"",""เบิกจ่ายกองทุน!AZ21"")"),187500)</f>
        <v>187500</v>
      </c>
      <c r="S380" s="224">
        <f ca="1">IFERROR(__xludf.DUMMYFUNCTION("IMPORTRANGE(""https://docs.google.com/spreadsheets/d/1ItG2mGa2ceCfYo0BwxsXqNm01IGEUdYcSSLTEv9YCik/edit?usp=sharing"",""เบิกจ่ายกองทุน!BA21"")"),0)</f>
        <v>0</v>
      </c>
      <c r="T380" s="224">
        <f t="shared" ca="1" si="104"/>
        <v>0</v>
      </c>
      <c r="U380" s="224">
        <f t="shared" ca="1" si="105"/>
        <v>0</v>
      </c>
    </row>
    <row r="381" spans="1:21" ht="18.75" x14ac:dyDescent="0.25">
      <c r="A381" s="128"/>
      <c r="B381" s="158"/>
      <c r="C381" s="158"/>
      <c r="D381" s="53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468">
        <f>L382+L383</f>
        <v>0</v>
      </c>
      <c r="M381" s="224">
        <f>M382+M383</f>
        <v>0</v>
      </c>
      <c r="N381" s="224">
        <f>N382+N383</f>
        <v>0</v>
      </c>
      <c r="O381" s="224">
        <f t="shared" si="102"/>
        <v>0</v>
      </c>
      <c r="P381" s="224">
        <f t="shared" si="103"/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 t="shared" si="104"/>
        <v>0</v>
      </c>
      <c r="U381" s="224">
        <f t="shared" si="105"/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469">
        <v>0</v>
      </c>
      <c r="M382" s="83">
        <v>0</v>
      </c>
      <c r="N382" s="83">
        <v>0</v>
      </c>
      <c r="O382" s="83">
        <f t="shared" si="102"/>
        <v>0</v>
      </c>
      <c r="P382" s="83">
        <f t="shared" si="103"/>
        <v>0</v>
      </c>
      <c r="Q382" s="83">
        <v>0</v>
      </c>
      <c r="R382" s="83">
        <v>0</v>
      </c>
      <c r="S382" s="83">
        <v>0</v>
      </c>
      <c r="T382" s="83">
        <f t="shared" si="104"/>
        <v>0</v>
      </c>
      <c r="U382" s="83">
        <f t="shared" si="105"/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468">
        <v>0</v>
      </c>
      <c r="M383" s="224">
        <v>0</v>
      </c>
      <c r="N383" s="224">
        <v>0</v>
      </c>
      <c r="O383" s="224">
        <f t="shared" si="102"/>
        <v>0</v>
      </c>
      <c r="P383" s="224">
        <f t="shared" si="103"/>
        <v>0</v>
      </c>
      <c r="Q383" s="224">
        <v>0</v>
      </c>
      <c r="R383" s="224">
        <v>0</v>
      </c>
      <c r="S383" s="224">
        <v>0</v>
      </c>
      <c r="T383" s="224">
        <f t="shared" si="104"/>
        <v>0</v>
      </c>
      <c r="U383" s="224">
        <f t="shared" si="105"/>
        <v>0</v>
      </c>
    </row>
    <row r="384" spans="1:21" ht="19.5" x14ac:dyDescent="0.3">
      <c r="A384" s="138"/>
      <c r="B384" s="139"/>
      <c r="C384" s="161" t="s">
        <v>18</v>
      </c>
      <c r="D384" s="491" t="s">
        <v>38</v>
      </c>
      <c r="E384" s="141"/>
      <c r="F384" s="141"/>
      <c r="G384" s="142"/>
      <c r="H384" s="178"/>
      <c r="I384" s="135"/>
      <c r="J384" s="44"/>
      <c r="K384" s="45"/>
      <c r="L384" s="465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IFERROR(__xludf.DUMMYFUNCTION("IMPORTRANGE(""https://docs.google.com/spreadsheets/d/1w5rwWK1o49a35cNtocGL0gxDwhFSTZUQu90BiH9_zqM/edit?usp=sharing"",""RTK!H21"")"),0)</f>
        <v>0</v>
      </c>
      <c r="K385" s="224">
        <f>IF(I385&gt;0,J385*100/I385,0)</f>
        <v>0</v>
      </c>
      <c r="L385" s="465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IFERROR(__xludf.DUMMYFUNCTION("IMPORTRANGE(""https://docs.google.com/spreadsheets/d/1w5rwWK1o49a35cNtocGL0gxDwhFSTZUQu90BiH9_zqM/edit?usp=sharing"",""RTK!G21"")"),3000)</f>
        <v>3000</v>
      </c>
      <c r="J386" s="184">
        <f ca="1">IFERROR(__xludf.DUMMYFUNCTION("IMPORTRANGE(""https://docs.google.com/spreadsheets/d/1w5rwWK1o49a35cNtocGL0gxDwhFSTZUQu90BiH9_zqM/edit?usp=sharing"",""RTK!I21"")"),0)</f>
        <v>0</v>
      </c>
      <c r="K386" s="224">
        <f ca="1">IF(I386&gt;0,J386*100/I386,0)</f>
        <v>0</v>
      </c>
      <c r="L386" s="465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545"/>
      <c r="B387" s="545"/>
      <c r="C387" s="545"/>
      <c r="D387" s="545"/>
      <c r="E387" s="546" t="s">
        <v>155</v>
      </c>
      <c r="F387" s="545"/>
      <c r="G387" s="488"/>
      <c r="H387" s="480" t="s">
        <v>34</v>
      </c>
      <c r="I387" s="487">
        <v>0</v>
      </c>
      <c r="J387" s="487">
        <f ca="1">IFERROR(__xludf.DUMMYFUNCTION("IMPORTRANGE(""https://docs.google.com/spreadsheets/d/1w5rwWK1o49a35cNtocGL0gxDwhFSTZUQu90BiH9_zqM/edit?usp=sharing"",""RTK!L21"")"),0)</f>
        <v>0</v>
      </c>
      <c r="K387" s="486">
        <f>IF(I387&gt;0,J387*100/I387,0)</f>
        <v>0</v>
      </c>
      <c r="L387" s="477"/>
      <c r="M387" s="476"/>
      <c r="N387" s="476"/>
      <c r="O387" s="476"/>
      <c r="P387" s="476"/>
      <c r="Q387" s="476"/>
      <c r="R387" s="476"/>
      <c r="S387" s="476"/>
      <c r="T387" s="476"/>
      <c r="U387" s="476"/>
    </row>
    <row r="388" spans="1:21" ht="18.75" x14ac:dyDescent="0.25">
      <c r="A388" s="545"/>
      <c r="B388" s="545"/>
      <c r="C388" s="545"/>
      <c r="D388" s="545"/>
      <c r="E388" s="545"/>
      <c r="F388" s="545"/>
      <c r="G388" s="488"/>
      <c r="H388" s="480" t="s">
        <v>46</v>
      </c>
      <c r="I388" s="487">
        <f ca="1">IFERROR(__xludf.DUMMYFUNCTION("IMPORTRANGE(""https://docs.google.com/spreadsheets/d/1w5rwWK1o49a35cNtocGL0gxDwhFSTZUQu90BiH9_zqM/edit?usp=sharing"",""RTK!K21"")"),0)</f>
        <v>0</v>
      </c>
      <c r="J388" s="487">
        <f ca="1">IFERROR(__xludf.DUMMYFUNCTION("IMPORTRANGE(""https://docs.google.com/spreadsheets/d/1w5rwWK1o49a35cNtocGL0gxDwhFSTZUQu90BiH9_zqM/edit?usp=sharing"",""RTK!M21"")"),0)</f>
        <v>0</v>
      </c>
      <c r="K388" s="486">
        <f ca="1">IF(I388&gt;0,J388*100/I388,0)</f>
        <v>0</v>
      </c>
      <c r="L388" s="477"/>
      <c r="M388" s="476"/>
      <c r="N388" s="476"/>
      <c r="O388" s="476"/>
      <c r="P388" s="476"/>
      <c r="Q388" s="476"/>
      <c r="R388" s="476"/>
      <c r="S388" s="476"/>
      <c r="T388" s="476"/>
      <c r="U388" s="476"/>
    </row>
    <row r="389" spans="1:21" ht="12.75" hidden="1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11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16"/>
      <c r="B390" s="316"/>
      <c r="C390" s="316"/>
      <c r="D390" s="316"/>
      <c r="E390" s="316"/>
      <c r="F390" s="316"/>
      <c r="G390" s="317"/>
      <c r="H390" s="317"/>
      <c r="I390" s="318"/>
      <c r="J390" s="318"/>
      <c r="K390" s="319"/>
      <c r="L390" s="496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hidden="1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>I402</f>
        <v>0</v>
      </c>
      <c r="J391" s="307">
        <f>J402</f>
        <v>0</v>
      </c>
      <c r="K391" s="540">
        <f>IF(I391&gt;0,J391*100/I391,0)</f>
        <v>0</v>
      </c>
      <c r="L391" s="539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hidden="1" x14ac:dyDescent="0.3">
      <c r="A392" s="128"/>
      <c r="B392" s="158"/>
      <c r="C392" s="161" t="s">
        <v>18</v>
      </c>
      <c r="D392" s="54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471">
        <f>L393+L394</f>
        <v>0</v>
      </c>
      <c r="M392" s="470">
        <f>M393+M394</f>
        <v>0</v>
      </c>
      <c r="N392" s="470">
        <f>N393+N394</f>
        <v>0</v>
      </c>
      <c r="O392" s="470">
        <f t="shared" ref="O392:O400" si="108">IF(L392&gt;0,N392*100/L392,0)</f>
        <v>0</v>
      </c>
      <c r="P392" s="470">
        <f t="shared" ref="P392:P400" si="109">IF(M392&gt;0,N392*100/M392,0)</f>
        <v>0</v>
      </c>
      <c r="Q392" s="470">
        <f>Q393+Q394</f>
        <v>0</v>
      </c>
      <c r="R392" s="470">
        <f>R393+R394</f>
        <v>0</v>
      </c>
      <c r="S392" s="470">
        <f>S393+S394</f>
        <v>0</v>
      </c>
      <c r="T392" s="470">
        <f t="shared" ref="T392:T400" si="110">IF(Q392&gt;0,S392*100/Q392,0)</f>
        <v>0</v>
      </c>
      <c r="U392" s="470">
        <f t="shared" ref="U392:U400" si="11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469">
        <f t="shared" ref="L393:N394" si="112">L396+L399</f>
        <v>0</v>
      </c>
      <c r="M393" s="83">
        <f t="shared" si="112"/>
        <v>0</v>
      </c>
      <c r="N393" s="83">
        <f t="shared" si="112"/>
        <v>0</v>
      </c>
      <c r="O393" s="83">
        <f t="shared" si="108"/>
        <v>0</v>
      </c>
      <c r="P393" s="83">
        <f t="shared" si="109"/>
        <v>0</v>
      </c>
      <c r="Q393" s="83">
        <f t="shared" ref="Q393:S394" si="113">Q396+Q399</f>
        <v>0</v>
      </c>
      <c r="R393" s="83">
        <f t="shared" si="113"/>
        <v>0</v>
      </c>
      <c r="S393" s="83">
        <f t="shared" si="113"/>
        <v>0</v>
      </c>
      <c r="T393" s="83">
        <f t="shared" si="110"/>
        <v>0</v>
      </c>
      <c r="U393" s="83">
        <f t="shared" si="111"/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468">
        <f t="shared" si="112"/>
        <v>0</v>
      </c>
      <c r="M394" s="224">
        <f t="shared" si="112"/>
        <v>0</v>
      </c>
      <c r="N394" s="224">
        <f t="shared" si="112"/>
        <v>0</v>
      </c>
      <c r="O394" s="224">
        <f t="shared" si="108"/>
        <v>0</v>
      </c>
      <c r="P394" s="224">
        <f t="shared" si="109"/>
        <v>0</v>
      </c>
      <c r="Q394" s="224">
        <f t="shared" si="113"/>
        <v>0</v>
      </c>
      <c r="R394" s="224">
        <f t="shared" si="113"/>
        <v>0</v>
      </c>
      <c r="S394" s="224">
        <f t="shared" si="113"/>
        <v>0</v>
      </c>
      <c r="T394" s="224">
        <f t="shared" si="110"/>
        <v>0</v>
      </c>
      <c r="U394" s="224">
        <f t="shared" si="111"/>
        <v>0</v>
      </c>
    </row>
    <row r="395" spans="1:21" ht="18.75" hidden="1" x14ac:dyDescent="0.25">
      <c r="A395" s="128"/>
      <c r="B395" s="158"/>
      <c r="C395" s="158"/>
      <c r="D395" s="53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468">
        <f>L396+L397</f>
        <v>0</v>
      </c>
      <c r="M395" s="224">
        <f>M396+M397</f>
        <v>0</v>
      </c>
      <c r="N395" s="224">
        <f>N396+N397</f>
        <v>0</v>
      </c>
      <c r="O395" s="224">
        <f t="shared" si="108"/>
        <v>0</v>
      </c>
      <c r="P395" s="224">
        <f t="shared" si="109"/>
        <v>0</v>
      </c>
      <c r="Q395" s="224">
        <f>Q396+Q397</f>
        <v>0</v>
      </c>
      <c r="R395" s="224">
        <f>R396+R397</f>
        <v>0</v>
      </c>
      <c r="S395" s="224">
        <f>S396+S397</f>
        <v>0</v>
      </c>
      <c r="T395" s="224">
        <f t="shared" si="110"/>
        <v>0</v>
      </c>
      <c r="U395" s="224">
        <f t="shared" si="111"/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469">
        <v>0</v>
      </c>
      <c r="M396" s="83">
        <v>0</v>
      </c>
      <c r="N396" s="83">
        <v>0</v>
      </c>
      <c r="O396" s="83">
        <f t="shared" si="108"/>
        <v>0</v>
      </c>
      <c r="P396" s="83">
        <f t="shared" si="109"/>
        <v>0</v>
      </c>
      <c r="Q396" s="83">
        <v>0</v>
      </c>
      <c r="R396" s="83">
        <v>0</v>
      </c>
      <c r="S396" s="83">
        <v>0</v>
      </c>
      <c r="T396" s="83">
        <f t="shared" si="110"/>
        <v>0</v>
      </c>
      <c r="U396" s="83">
        <f t="shared" si="111"/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468">
        <v>0</v>
      </c>
      <c r="M397" s="224">
        <v>0</v>
      </c>
      <c r="N397" s="224">
        <v>0</v>
      </c>
      <c r="O397" s="224">
        <f t="shared" si="108"/>
        <v>0</v>
      </c>
      <c r="P397" s="224">
        <f t="shared" si="109"/>
        <v>0</v>
      </c>
      <c r="Q397" s="224">
        <v>0</v>
      </c>
      <c r="R397" s="224">
        <v>0</v>
      </c>
      <c r="S397" s="224">
        <v>0</v>
      </c>
      <c r="T397" s="224">
        <f t="shared" si="110"/>
        <v>0</v>
      </c>
      <c r="U397" s="224">
        <f t="shared" si="111"/>
        <v>0</v>
      </c>
    </row>
    <row r="398" spans="1:21" ht="18.75" hidden="1" x14ac:dyDescent="0.25">
      <c r="A398" s="128"/>
      <c r="B398" s="158"/>
      <c r="C398" s="158"/>
      <c r="D398" s="53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468">
        <f>L399+L400</f>
        <v>0</v>
      </c>
      <c r="M398" s="224">
        <f>M399+M400</f>
        <v>0</v>
      </c>
      <c r="N398" s="224">
        <f>N399+N400</f>
        <v>0</v>
      </c>
      <c r="O398" s="224">
        <f t="shared" si="108"/>
        <v>0</v>
      </c>
      <c r="P398" s="224">
        <f t="shared" si="109"/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 t="shared" si="110"/>
        <v>0</v>
      </c>
      <c r="U398" s="224">
        <f t="shared" si="111"/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469">
        <v>0</v>
      </c>
      <c r="M399" s="83">
        <v>0</v>
      </c>
      <c r="N399" s="83">
        <v>0</v>
      </c>
      <c r="O399" s="83">
        <f t="shared" si="108"/>
        <v>0</v>
      </c>
      <c r="P399" s="83">
        <f t="shared" si="109"/>
        <v>0</v>
      </c>
      <c r="Q399" s="83">
        <v>0</v>
      </c>
      <c r="R399" s="83">
        <v>0</v>
      </c>
      <c r="S399" s="83">
        <v>0</v>
      </c>
      <c r="T399" s="83">
        <f t="shared" si="110"/>
        <v>0</v>
      </c>
      <c r="U399" s="83">
        <f t="shared" si="111"/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468">
        <v>0</v>
      </c>
      <c r="M400" s="224">
        <v>0</v>
      </c>
      <c r="N400" s="224">
        <v>0</v>
      </c>
      <c r="O400" s="224">
        <f t="shared" si="108"/>
        <v>0</v>
      </c>
      <c r="P400" s="224">
        <f t="shared" si="109"/>
        <v>0</v>
      </c>
      <c r="Q400" s="224">
        <v>0</v>
      </c>
      <c r="R400" s="224">
        <v>0</v>
      </c>
      <c r="S400" s="224">
        <v>0</v>
      </c>
      <c r="T400" s="224">
        <f t="shared" si="110"/>
        <v>0</v>
      </c>
      <c r="U400" s="224">
        <f t="shared" si="111"/>
        <v>0</v>
      </c>
    </row>
    <row r="401" spans="1:21" ht="19.5" hidden="1" x14ac:dyDescent="0.3">
      <c r="A401" s="138"/>
      <c r="B401" s="139"/>
      <c r="C401" s="161" t="s">
        <v>18</v>
      </c>
      <c r="D401" s="491" t="s">
        <v>38</v>
      </c>
      <c r="E401" s="141"/>
      <c r="F401" s="141"/>
      <c r="G401" s="142"/>
      <c r="H401" s="178"/>
      <c r="I401" s="135"/>
      <c r="J401" s="44"/>
      <c r="K401" s="45"/>
      <c r="L401" s="465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11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11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11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11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11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11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11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11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11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496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hidden="1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541">
        <f ca="1">I423</f>
        <v>0</v>
      </c>
      <c r="J412" s="541">
        <f>J423</f>
        <v>0</v>
      </c>
      <c r="K412" s="540">
        <f ca="1">IF(I412&gt;0,J412*100/I412,0)</f>
        <v>0</v>
      </c>
      <c r="L412" s="539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hidden="1" x14ac:dyDescent="0.3">
      <c r="A413" s="128"/>
      <c r="B413" s="158"/>
      <c r="C413" s="322" t="s">
        <v>18</v>
      </c>
      <c r="D413" s="819" t="s">
        <v>19</v>
      </c>
      <c r="E413" s="800"/>
      <c r="F413" s="800"/>
      <c r="G413" s="801"/>
      <c r="H413" s="323" t="s">
        <v>14</v>
      </c>
      <c r="I413" s="44"/>
      <c r="J413" s="44"/>
      <c r="K413" s="45"/>
      <c r="L413" s="471">
        <f>L414+L415</f>
        <v>0</v>
      </c>
      <c r="M413" s="470">
        <f>M414+M415</f>
        <v>0</v>
      </c>
      <c r="N413" s="470">
        <f>N414+N415</f>
        <v>0</v>
      </c>
      <c r="O413" s="470">
        <f t="shared" ref="O413:O421" si="114">IF(L413&gt;0,N413*100/L413,0)</f>
        <v>0</v>
      </c>
      <c r="P413" s="470">
        <f t="shared" ref="P413:P421" si="115">IF(M413&gt;0,N413*100/M413,0)</f>
        <v>0</v>
      </c>
      <c r="Q413" s="470">
        <f ca="1">Q414+Q415</f>
        <v>0</v>
      </c>
      <c r="R413" s="470">
        <f ca="1">R414+R415</f>
        <v>0</v>
      </c>
      <c r="S413" s="470">
        <f ca="1">S414+S415</f>
        <v>0</v>
      </c>
      <c r="T413" s="470">
        <f t="shared" ref="T413:T421" ca="1" si="116">IF(Q413&gt;0,S413*100/Q413,0)</f>
        <v>0</v>
      </c>
      <c r="U413" s="470">
        <f t="shared" ref="U413:U421" ca="1" si="117">IF(R413&gt;0,S413*100/R413,0)</f>
        <v>0</v>
      </c>
    </row>
    <row r="414" spans="1:21" ht="18.75" hidden="1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469">
        <f t="shared" ref="L414:N415" si="118">L417+L420</f>
        <v>0</v>
      </c>
      <c r="M414" s="83">
        <f t="shared" si="118"/>
        <v>0</v>
      </c>
      <c r="N414" s="83">
        <f t="shared" si="118"/>
        <v>0</v>
      </c>
      <c r="O414" s="83">
        <f t="shared" si="114"/>
        <v>0</v>
      </c>
      <c r="P414" s="83">
        <f t="shared" si="115"/>
        <v>0</v>
      </c>
      <c r="Q414" s="83">
        <f t="shared" ref="Q414:S415" si="119">Q417+Q420</f>
        <v>0</v>
      </c>
      <c r="R414" s="83">
        <f t="shared" si="119"/>
        <v>0</v>
      </c>
      <c r="S414" s="83">
        <f t="shared" si="119"/>
        <v>0</v>
      </c>
      <c r="T414" s="83">
        <f t="shared" si="116"/>
        <v>0</v>
      </c>
      <c r="U414" s="83">
        <f t="shared" si="117"/>
        <v>0</v>
      </c>
    </row>
    <row r="415" spans="1:21" ht="18.75" hidden="1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468">
        <f t="shared" si="118"/>
        <v>0</v>
      </c>
      <c r="M415" s="224">
        <f t="shared" si="118"/>
        <v>0</v>
      </c>
      <c r="N415" s="224">
        <f t="shared" si="118"/>
        <v>0</v>
      </c>
      <c r="O415" s="224">
        <f t="shared" si="114"/>
        <v>0</v>
      </c>
      <c r="P415" s="224">
        <f t="shared" si="115"/>
        <v>0</v>
      </c>
      <c r="Q415" s="224">
        <f t="shared" ca="1" si="119"/>
        <v>0</v>
      </c>
      <c r="R415" s="224">
        <f t="shared" ca="1" si="119"/>
        <v>0</v>
      </c>
      <c r="S415" s="224">
        <f t="shared" ca="1" si="119"/>
        <v>0</v>
      </c>
      <c r="T415" s="224">
        <f t="shared" ca="1" si="116"/>
        <v>0</v>
      </c>
      <c r="U415" s="224">
        <f t="shared" ca="1" si="117"/>
        <v>0</v>
      </c>
    </row>
    <row r="416" spans="1:21" ht="19.5" hidden="1" x14ac:dyDescent="0.3">
      <c r="A416" s="128"/>
      <c r="B416" s="158"/>
      <c r="C416" s="158"/>
      <c r="D416" s="54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468">
        <f>L417+L418</f>
        <v>0</v>
      </c>
      <c r="M416" s="224">
        <f>M417+M418</f>
        <v>0</v>
      </c>
      <c r="N416" s="224">
        <f>N417+N418</f>
        <v>0</v>
      </c>
      <c r="O416" s="224">
        <f t="shared" si="114"/>
        <v>0</v>
      </c>
      <c r="P416" s="224">
        <f t="shared" si="115"/>
        <v>0</v>
      </c>
      <c r="Q416" s="224">
        <f ca="1">Q417+Q418</f>
        <v>0</v>
      </c>
      <c r="R416" s="224">
        <f ca="1">R417+R418</f>
        <v>0</v>
      </c>
      <c r="S416" s="224">
        <f ca="1">S417+S418</f>
        <v>0</v>
      </c>
      <c r="T416" s="224">
        <f t="shared" ca="1" si="116"/>
        <v>0</v>
      </c>
      <c r="U416" s="224">
        <f t="shared" ca="1" si="117"/>
        <v>0</v>
      </c>
    </row>
    <row r="417" spans="1:21" ht="18.75" hidden="1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469">
        <v>0</v>
      </c>
      <c r="M417" s="83">
        <v>0</v>
      </c>
      <c r="N417" s="83">
        <v>0</v>
      </c>
      <c r="O417" s="83">
        <f t="shared" si="114"/>
        <v>0</v>
      </c>
      <c r="P417" s="83">
        <f t="shared" si="115"/>
        <v>0</v>
      </c>
      <c r="Q417" s="83">
        <v>0</v>
      </c>
      <c r="R417" s="83">
        <v>0</v>
      </c>
      <c r="S417" s="83">
        <v>0</v>
      </c>
      <c r="T417" s="83">
        <f t="shared" si="116"/>
        <v>0</v>
      </c>
      <c r="U417" s="83">
        <f t="shared" si="117"/>
        <v>0</v>
      </c>
    </row>
    <row r="418" spans="1:21" ht="18.75" hidden="1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468">
        <v>0</v>
      </c>
      <c r="M418" s="224">
        <v>0</v>
      </c>
      <c r="N418" s="224">
        <v>0</v>
      </c>
      <c r="O418" s="224">
        <f t="shared" si="114"/>
        <v>0</v>
      </c>
      <c r="P418" s="224">
        <f t="shared" si="115"/>
        <v>0</v>
      </c>
      <c r="Q418" s="224">
        <f ca="1">IFERROR(__xludf.DUMMYFUNCTION("IMPORTRANGE(""https://docs.google.com/spreadsheets/d/1ItG2mGa2ceCfYo0BwxsXqNm01IGEUdYcSSLTEv9YCik/edit?usp=sharing"",""เบิกจ่ายกองทุน!BH21"")"),0)</f>
        <v>0</v>
      </c>
      <c r="R418" s="224">
        <f ca="1">IFERROR(__xludf.DUMMYFUNCTION("IMPORTRANGE(""https://docs.google.com/spreadsheets/d/1ItG2mGa2ceCfYo0BwxsXqNm01IGEUdYcSSLTEv9YCik/edit?usp=sharing"",""เบิกจ่ายกองทุน!BI21"")"),0)</f>
        <v>0</v>
      </c>
      <c r="S418" s="224">
        <f ca="1">IFERROR(__xludf.DUMMYFUNCTION("IMPORTRANGE(""https://docs.google.com/spreadsheets/d/1ItG2mGa2ceCfYo0BwxsXqNm01IGEUdYcSSLTEv9YCik/edit?usp=sharing"",""เบิกจ่ายกองทุน!BJ21"")"),0)</f>
        <v>0</v>
      </c>
      <c r="T418" s="224">
        <f t="shared" ca="1" si="116"/>
        <v>0</v>
      </c>
      <c r="U418" s="224">
        <f t="shared" ca="1" si="117"/>
        <v>0</v>
      </c>
    </row>
    <row r="419" spans="1:21" ht="19.5" hidden="1" x14ac:dyDescent="0.3">
      <c r="A419" s="128"/>
      <c r="B419" s="158"/>
      <c r="C419" s="158"/>
      <c r="D419" s="54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468">
        <f>L420+L421</f>
        <v>0</v>
      </c>
      <c r="M419" s="224">
        <f>M420+M421</f>
        <v>0</v>
      </c>
      <c r="N419" s="224">
        <f>N420+N421</f>
        <v>0</v>
      </c>
      <c r="O419" s="224">
        <f t="shared" si="114"/>
        <v>0</v>
      </c>
      <c r="P419" s="224">
        <f t="shared" si="115"/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 t="shared" si="116"/>
        <v>0</v>
      </c>
      <c r="U419" s="224">
        <f t="shared" si="117"/>
        <v>0</v>
      </c>
    </row>
    <row r="420" spans="1:21" ht="18.75" hidden="1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469">
        <v>0</v>
      </c>
      <c r="M420" s="83">
        <v>0</v>
      </c>
      <c r="N420" s="83">
        <v>0</v>
      </c>
      <c r="O420" s="83">
        <f t="shared" si="114"/>
        <v>0</v>
      </c>
      <c r="P420" s="83">
        <f t="shared" si="115"/>
        <v>0</v>
      </c>
      <c r="Q420" s="83">
        <v>0</v>
      </c>
      <c r="R420" s="83">
        <v>0</v>
      </c>
      <c r="S420" s="83">
        <v>0</v>
      </c>
      <c r="T420" s="83">
        <f t="shared" si="116"/>
        <v>0</v>
      </c>
      <c r="U420" s="83">
        <f t="shared" si="117"/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468">
        <v>0</v>
      </c>
      <c r="M421" s="224">
        <v>0</v>
      </c>
      <c r="N421" s="224">
        <v>0</v>
      </c>
      <c r="O421" s="224">
        <f t="shared" si="114"/>
        <v>0</v>
      </c>
      <c r="P421" s="224">
        <f t="shared" si="115"/>
        <v>0</v>
      </c>
      <c r="Q421" s="224">
        <v>0</v>
      </c>
      <c r="R421" s="224">
        <v>0</v>
      </c>
      <c r="S421" s="224">
        <v>0</v>
      </c>
      <c r="T421" s="224">
        <f t="shared" si="116"/>
        <v>0</v>
      </c>
      <c r="U421" s="224">
        <f t="shared" si="117"/>
        <v>0</v>
      </c>
    </row>
    <row r="422" spans="1:21" ht="19.5" hidden="1" x14ac:dyDescent="0.3">
      <c r="A422" s="208"/>
      <c r="B422" s="158"/>
      <c r="C422" s="322" t="s">
        <v>18</v>
      </c>
      <c r="D422" s="543" t="s">
        <v>38</v>
      </c>
      <c r="E422" s="158"/>
      <c r="F422" s="158"/>
      <c r="G422" s="180"/>
      <c r="H422" s="180"/>
      <c r="I422" s="44"/>
      <c r="J422" s="44"/>
      <c r="K422" s="45"/>
      <c r="L422" s="465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ca="1">I440</f>
        <v>0</v>
      </c>
      <c r="J423" s="328">
        <f>J440</f>
        <v>0</v>
      </c>
      <c r="K423" s="470">
        <f ca="1">IF(I423&gt;0,J423*100/I423,0)</f>
        <v>0</v>
      </c>
      <c r="L423" s="465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IFERROR(__xludf.DUMMYFUNCTION("IMPORTRANGE(""https://docs.google.com/spreadsheets/d/1eHaY18a8A9IcSdp1K8H6x8fbOy06t2VsZHhMHf-1x7Y/edit?usp=sharing"",""แผน!HJ21"")"),0)</f>
        <v>0</v>
      </c>
      <c r="J424" s="328">
        <f>J426+J428+J430</f>
        <v>0</v>
      </c>
      <c r="K424" s="470">
        <f ca="1">IF(I424&gt;0,J424*100/I424,0)</f>
        <v>0</v>
      </c>
      <c r="L424" s="465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IFERROR(__xludf.DUMMYFUNCTION("IMPORTRANGE(""https://docs.google.com/spreadsheets/d/1eHaY18a8A9IcSdp1K8H6x8fbOy06t2VsZHhMHf-1x7Y/edit?usp=sharing"",""แผน!HK21"")"),0)</f>
        <v>0</v>
      </c>
      <c r="J425" s="328">
        <f>J427+J429+J431</f>
        <v>0</v>
      </c>
      <c r="K425" s="470">
        <f ca="1">IF(I425&gt;0,J425*100/I425,0)</f>
        <v>0</v>
      </c>
      <c r="L425" s="465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465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465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465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465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465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465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IFERROR(__xludf.DUMMYFUNCTION("IMPORTRANGE(""https://docs.google.com/spreadsheets/d/1eHaY18a8A9IcSdp1K8H6x8fbOy06t2VsZHhMHf-1x7Y/edit?usp=sharing"",""แผน!HJ21"")"),0)</f>
        <v>0</v>
      </c>
      <c r="J432" s="328">
        <f>J434+J436+J438</f>
        <v>0</v>
      </c>
      <c r="K432" s="470">
        <f ca="1">IF(I432&gt;0,J432*100/I432,0)</f>
        <v>0</v>
      </c>
      <c r="L432" s="465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IFERROR(__xludf.DUMMYFUNCTION("IMPORTRANGE(""https://docs.google.com/spreadsheets/d/1eHaY18a8A9IcSdp1K8H6x8fbOy06t2VsZHhMHf-1x7Y/edit?usp=sharing"",""แผน!HK21"")"),0)</f>
        <v>0</v>
      </c>
      <c r="J433" s="328">
        <f>J435+J437+J439</f>
        <v>0</v>
      </c>
      <c r="K433" s="470">
        <f ca="1">IF(I433&gt;0,J433*100/I433,0)</f>
        <v>0</v>
      </c>
      <c r="L433" s="465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465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465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465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465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465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465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IFERROR(__xludf.DUMMYFUNCTION("IMPORTRANGE(""https://docs.google.com/spreadsheets/d/1eHaY18a8A9IcSdp1K8H6x8fbOy06t2VsZHhMHf-1x7Y/edit?usp=sharing"",""แผน!HJ21"")"),0)</f>
        <v>0</v>
      </c>
      <c r="J440" s="328">
        <f>J442+J444+J446+J452+J454</f>
        <v>0</v>
      </c>
      <c r="K440" s="470">
        <f ca="1">IF(I440&gt;0,J440*100/I440,0)</f>
        <v>0</v>
      </c>
      <c r="L440" s="465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IFERROR(__xludf.DUMMYFUNCTION("IMPORTRANGE(""https://docs.google.com/spreadsheets/d/1eHaY18a8A9IcSdp1K8H6x8fbOy06t2VsZHhMHf-1x7Y/edit?usp=sharing"",""แผน!HK21"")"),0)</f>
        <v>0</v>
      </c>
      <c r="J441" s="328">
        <f>J443+J445+J447+J453+J455</f>
        <v>0</v>
      </c>
      <c r="K441" s="470">
        <f ca="1">IF(I441&gt;0,J441*100/I441,0)</f>
        <v>0</v>
      </c>
      <c r="L441" s="465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465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465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465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465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>J448+J450</f>
        <v>0</v>
      </c>
      <c r="K446" s="45"/>
      <c r="L446" s="465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>J449+J451</f>
        <v>0</v>
      </c>
      <c r="K447" s="45"/>
      <c r="L447" s="465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465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465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465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465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465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465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542"/>
      <c r="K454" s="45"/>
      <c r="L454" s="465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465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hidden="1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ca="1">I457</f>
        <v>0</v>
      </c>
      <c r="J456" s="328">
        <f>J457</f>
        <v>0</v>
      </c>
      <c r="K456" s="470">
        <f ca="1">IF(I456&gt;0,J456*100/I456,0)</f>
        <v>0</v>
      </c>
      <c r="L456" s="465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IFERROR(__xludf.DUMMYFUNCTION("IMPORTRANGE(""https://docs.google.com/spreadsheets/d/1eHaY18a8A9IcSdp1K8H6x8fbOy06t2VsZHhMHf-1x7Y/edit?usp=sharing"",""แผน!HL21"")"),0)</f>
        <v>0</v>
      </c>
      <c r="J457" s="328">
        <f>J459+J467+J473</f>
        <v>0</v>
      </c>
      <c r="K457" s="470">
        <f ca="1">IF(I457&gt;0,J457*100/I457,0)</f>
        <v>0</v>
      </c>
      <c r="L457" s="465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IFERROR(__xludf.DUMMYFUNCTION("IMPORTRANGE(""https://docs.google.com/spreadsheets/d/1eHaY18a8A9IcSdp1K8H6x8fbOy06t2VsZHhMHf-1x7Y/edit?usp=sharing"",""แผน!HM21"")"),0)</f>
        <v>0</v>
      </c>
      <c r="J458" s="328">
        <f>J460+J468+J474</f>
        <v>0</v>
      </c>
      <c r="K458" s="470">
        <f ca="1">IF(I458&gt;0,J458*100/I458,0)</f>
        <v>0</v>
      </c>
      <c r="L458" s="465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hidden="1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>J461+J463</f>
        <v>0</v>
      </c>
      <c r="K459" s="45"/>
      <c r="L459" s="465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>J462+J464</f>
        <v>0</v>
      </c>
      <c r="K460" s="45"/>
      <c r="L460" s="465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465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465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465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465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465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465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>J469+J471</f>
        <v>0</v>
      </c>
      <c r="K467" s="45"/>
      <c r="L467" s="465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>J470+J472</f>
        <v>0</v>
      </c>
      <c r="K468" s="45"/>
      <c r="L468" s="465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465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465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465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465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465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465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470">
        <f>IF(I475&gt;0,J475*100/I475,0)</f>
        <v>0</v>
      </c>
      <c r="L475" s="465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>J478+J480</f>
        <v>0</v>
      </c>
      <c r="K476" s="470">
        <f>IF(I476&gt;0,J476*100/I476,0)</f>
        <v>0</v>
      </c>
      <c r="L476" s="465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>J479+J481</f>
        <v>0</v>
      </c>
      <c r="K477" s="470">
        <f>IF(I477&gt;0,J477*100/I477,0)</f>
        <v>0</v>
      </c>
      <c r="L477" s="465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hidden="1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465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465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465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465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IFERROR(__xludf.DUMMYFUNCTION("IMPORTRANGE(""https://docs.google.com/spreadsheets/d/1eHaY18a8A9IcSdp1K8H6x8fbOy06t2VsZHhMHf-1x7Y/edit?usp=sharing"",""แผน!HN21"")"),0)</f>
        <v>0</v>
      </c>
      <c r="K482" s="45"/>
      <c r="L482" s="465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IFERROR(__xludf.DUMMYFUNCTION("IMPORTRANGE(""https://docs.google.com/spreadsheets/d/1eHaY18a8A9IcSdp1K8H6x8fbOy06t2VsZHhMHf-1x7Y/edit?usp=sharing"",""แผน!HO21"")"),0)</f>
        <v>0</v>
      </c>
      <c r="K483" s="45"/>
      <c r="L483" s="465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>J480</f>
        <v>0</v>
      </c>
      <c r="J484" s="328">
        <f>J486+J488+J490</f>
        <v>0</v>
      </c>
      <c r="K484" s="470">
        <f>IF(I484&gt;0,J484*100/I484,0)</f>
        <v>0</v>
      </c>
      <c r="L484" s="465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>J481</f>
        <v>0</v>
      </c>
      <c r="J485" s="328">
        <f>J487+J489+J491</f>
        <v>0</v>
      </c>
      <c r="K485" s="470">
        <f>IF(I485&gt;0,J485*100/I485,0)</f>
        <v>0</v>
      </c>
      <c r="L485" s="465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hidden="1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465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465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465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465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465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46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541">
        <f ca="1">I503</f>
        <v>0</v>
      </c>
      <c r="J492" s="541">
        <f ca="1">J503</f>
        <v>0</v>
      </c>
      <c r="K492" s="540">
        <f ca="1">IF(I492&gt;0,J492*100/I492,0)</f>
        <v>0</v>
      </c>
      <c r="L492" s="539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hidden="1" x14ac:dyDescent="0.3">
      <c r="A493" s="128"/>
      <c r="B493" s="158"/>
      <c r="C493" s="177" t="s">
        <v>18</v>
      </c>
      <c r="D493" s="819" t="s">
        <v>19</v>
      </c>
      <c r="E493" s="800"/>
      <c r="F493" s="800"/>
      <c r="G493" s="42"/>
      <c r="H493" s="221" t="s">
        <v>14</v>
      </c>
      <c r="I493" s="44"/>
      <c r="J493" s="44"/>
      <c r="K493" s="45"/>
      <c r="L493" s="471">
        <f>L494+L495</f>
        <v>0</v>
      </c>
      <c r="M493" s="470">
        <f>M494+M495</f>
        <v>0</v>
      </c>
      <c r="N493" s="470">
        <f>N494+N495</f>
        <v>0</v>
      </c>
      <c r="O493" s="470">
        <f t="shared" ref="O493:O501" si="120">IF(L493&gt;0,N493*100/L493,0)</f>
        <v>0</v>
      </c>
      <c r="P493" s="470">
        <f t="shared" ref="P493:P501" si="121">IF(M493&gt;0,N493*100/M493,0)</f>
        <v>0</v>
      </c>
      <c r="Q493" s="470">
        <f ca="1">Q494+Q495</f>
        <v>0</v>
      </c>
      <c r="R493" s="470">
        <f ca="1">R494+R495</f>
        <v>0</v>
      </c>
      <c r="S493" s="470">
        <f ca="1">S494+S495</f>
        <v>0</v>
      </c>
      <c r="T493" s="470">
        <f t="shared" ref="T493:T501" ca="1" si="122">IF(Q493&gt;0,S493*100/Q493,0)</f>
        <v>0</v>
      </c>
      <c r="U493" s="470">
        <f t="shared" ref="U493:U501" ca="1" si="123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469">
        <f t="shared" ref="L494:N495" si="124">L497+L500</f>
        <v>0</v>
      </c>
      <c r="M494" s="83">
        <f t="shared" si="124"/>
        <v>0</v>
      </c>
      <c r="N494" s="83">
        <f t="shared" si="124"/>
        <v>0</v>
      </c>
      <c r="O494" s="83">
        <f t="shared" si="120"/>
        <v>0</v>
      </c>
      <c r="P494" s="83">
        <f t="shared" si="121"/>
        <v>0</v>
      </c>
      <c r="Q494" s="83">
        <f t="shared" ref="Q494:S495" si="125">Q497+Q500</f>
        <v>0</v>
      </c>
      <c r="R494" s="83">
        <f t="shared" si="125"/>
        <v>0</v>
      </c>
      <c r="S494" s="83">
        <f t="shared" si="125"/>
        <v>0</v>
      </c>
      <c r="T494" s="83">
        <f t="shared" si="122"/>
        <v>0</v>
      </c>
      <c r="U494" s="83">
        <f t="shared" si="123"/>
        <v>0</v>
      </c>
    </row>
    <row r="495" spans="1:21" ht="18.75" hidden="1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468">
        <f t="shared" si="124"/>
        <v>0</v>
      </c>
      <c r="M495" s="224">
        <f t="shared" si="124"/>
        <v>0</v>
      </c>
      <c r="N495" s="224">
        <f t="shared" si="124"/>
        <v>0</v>
      </c>
      <c r="O495" s="224">
        <f t="shared" si="120"/>
        <v>0</v>
      </c>
      <c r="P495" s="224">
        <f t="shared" si="121"/>
        <v>0</v>
      </c>
      <c r="Q495" s="224">
        <f t="shared" ca="1" si="125"/>
        <v>0</v>
      </c>
      <c r="R495" s="224">
        <f t="shared" ca="1" si="125"/>
        <v>0</v>
      </c>
      <c r="S495" s="224">
        <f t="shared" ca="1" si="125"/>
        <v>0</v>
      </c>
      <c r="T495" s="224">
        <f t="shared" ca="1" si="122"/>
        <v>0</v>
      </c>
      <c r="U495" s="224">
        <f t="shared" ca="1" si="123"/>
        <v>0</v>
      </c>
    </row>
    <row r="496" spans="1:21" ht="18.75" hidden="1" x14ac:dyDescent="0.25">
      <c r="A496" s="128"/>
      <c r="B496" s="158"/>
      <c r="C496" s="158"/>
      <c r="D496" s="53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468">
        <f>L497+L498</f>
        <v>0</v>
      </c>
      <c r="M496" s="224">
        <f>M497+M498</f>
        <v>0</v>
      </c>
      <c r="N496" s="224">
        <f>N497+N498</f>
        <v>0</v>
      </c>
      <c r="O496" s="224">
        <f t="shared" si="120"/>
        <v>0</v>
      </c>
      <c r="P496" s="224">
        <f t="shared" si="121"/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t="shared" ca="1" si="122"/>
        <v>0</v>
      </c>
      <c r="U496" s="224">
        <f t="shared" ca="1" si="123"/>
        <v>0</v>
      </c>
    </row>
    <row r="497" spans="1:21" ht="18.75" hidden="1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469">
        <v>0</v>
      </c>
      <c r="M497" s="83">
        <v>0</v>
      </c>
      <c r="N497" s="83">
        <v>0</v>
      </c>
      <c r="O497" s="83">
        <f t="shared" si="120"/>
        <v>0</v>
      </c>
      <c r="P497" s="83">
        <f t="shared" si="121"/>
        <v>0</v>
      </c>
      <c r="Q497" s="83">
        <v>0</v>
      </c>
      <c r="R497" s="83">
        <v>0</v>
      </c>
      <c r="S497" s="83">
        <v>0</v>
      </c>
      <c r="T497" s="83">
        <f t="shared" si="122"/>
        <v>0</v>
      </c>
      <c r="U497" s="83">
        <f t="shared" si="123"/>
        <v>0</v>
      </c>
    </row>
    <row r="498" spans="1:21" ht="18.75" hidden="1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468">
        <v>0</v>
      </c>
      <c r="M498" s="224">
        <v>0</v>
      </c>
      <c r="N498" s="224">
        <v>0</v>
      </c>
      <c r="O498" s="224">
        <f t="shared" si="120"/>
        <v>0</v>
      </c>
      <c r="P498" s="224">
        <f t="shared" si="121"/>
        <v>0</v>
      </c>
      <c r="Q498" s="224">
        <f ca="1">IFERROR(__xludf.DUMMYFUNCTION("IMPORTRANGE(""https://docs.google.com/spreadsheets/d/1ItG2mGa2ceCfYo0BwxsXqNm01IGEUdYcSSLTEv9YCik/edit?usp=sharing"",""เบิกจ่ายกองทุน!X21"")"),0)</f>
        <v>0</v>
      </c>
      <c r="R498" s="224">
        <f ca="1">IFERROR(__xludf.DUMMYFUNCTION("IMPORTRANGE(""https://docs.google.com/spreadsheets/d/1ItG2mGa2ceCfYo0BwxsXqNm01IGEUdYcSSLTEv9YCik/edit?usp=sharing"",""เบิกจ่ายกองทุน!Y21"")"),0)</f>
        <v>0</v>
      </c>
      <c r="S498" s="224">
        <f ca="1">IFERROR(__xludf.DUMMYFUNCTION("IMPORTRANGE(""https://docs.google.com/spreadsheets/d/1ItG2mGa2ceCfYo0BwxsXqNm01IGEUdYcSSLTEv9YCik/edit?usp=sharing"",""เบิกจ่ายกองทุน!Z21"")"),0)</f>
        <v>0</v>
      </c>
      <c r="T498" s="224">
        <f t="shared" ca="1" si="122"/>
        <v>0</v>
      </c>
      <c r="U498" s="224">
        <f t="shared" ca="1" si="123"/>
        <v>0</v>
      </c>
    </row>
    <row r="499" spans="1:21" ht="18.75" hidden="1" x14ac:dyDescent="0.25">
      <c r="A499" s="128"/>
      <c r="B499" s="158"/>
      <c r="C499" s="158"/>
      <c r="D499" s="53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468">
        <f>L500+L501</f>
        <v>0</v>
      </c>
      <c r="M499" s="224">
        <f>M500+M501</f>
        <v>0</v>
      </c>
      <c r="N499" s="224">
        <f>N500+N501</f>
        <v>0</v>
      </c>
      <c r="O499" s="224">
        <f t="shared" si="120"/>
        <v>0</v>
      </c>
      <c r="P499" s="224">
        <f t="shared" si="121"/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 t="shared" si="122"/>
        <v>0</v>
      </c>
      <c r="U499" s="224">
        <f t="shared" si="123"/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469">
        <v>0</v>
      </c>
      <c r="M500" s="83">
        <v>0</v>
      </c>
      <c r="N500" s="83">
        <v>0</v>
      </c>
      <c r="O500" s="83">
        <f t="shared" si="120"/>
        <v>0</v>
      </c>
      <c r="P500" s="83">
        <f t="shared" si="121"/>
        <v>0</v>
      </c>
      <c r="Q500" s="83">
        <v>0</v>
      </c>
      <c r="R500" s="83">
        <v>0</v>
      </c>
      <c r="S500" s="83">
        <v>0</v>
      </c>
      <c r="T500" s="83">
        <f t="shared" si="122"/>
        <v>0</v>
      </c>
      <c r="U500" s="83">
        <f t="shared" si="123"/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468">
        <v>0</v>
      </c>
      <c r="M501" s="224">
        <v>0</v>
      </c>
      <c r="N501" s="224">
        <v>0</v>
      </c>
      <c r="O501" s="224">
        <f t="shared" si="120"/>
        <v>0</v>
      </c>
      <c r="P501" s="224">
        <f t="shared" si="121"/>
        <v>0</v>
      </c>
      <c r="Q501" s="224">
        <v>0</v>
      </c>
      <c r="R501" s="224">
        <v>0</v>
      </c>
      <c r="S501" s="224">
        <v>0</v>
      </c>
      <c r="T501" s="224">
        <f t="shared" si="122"/>
        <v>0</v>
      </c>
      <c r="U501" s="224">
        <f t="shared" si="123"/>
        <v>0</v>
      </c>
    </row>
    <row r="502" spans="1:21" ht="19.5" hidden="1" x14ac:dyDescent="0.3">
      <c r="A502" s="138"/>
      <c r="B502" s="139"/>
      <c r="C502" s="177" t="s">
        <v>18</v>
      </c>
      <c r="D502" s="491" t="s">
        <v>38</v>
      </c>
      <c r="E502" s="141"/>
      <c r="F502" s="141"/>
      <c r="G502" s="142"/>
      <c r="H502" s="178"/>
      <c r="I502" s="135"/>
      <c r="J502" s="135"/>
      <c r="K502" s="136"/>
      <c r="L502" s="4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IFERROR(__xludf.DUMMYFUNCTION("IMPORTRANGE(""https://docs.google.com/spreadsheets/d/1eHaY18a8A9IcSdp1K8H6x8fbOy06t2VsZHhMHf-1x7Y/edit?usp=sharing"",""แผน!GX21"")"),0)</f>
        <v>0</v>
      </c>
      <c r="J503" s="328">
        <f ca="1">IF(AND(J504=I504,J505=I505,J506=I506,J507=I507),I503,0)</f>
        <v>0</v>
      </c>
      <c r="K503" s="470">
        <f t="shared" ref="K503:K509" ca="1" si="126">IF(I503&gt;0,J503*100/I503,0)</f>
        <v>0</v>
      </c>
      <c r="L503" s="465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IFERROR(__xludf.DUMMYFUNCTION("IMPORTRANGE(""https://docs.google.com/spreadsheets/d/1eHaY18a8A9IcSdp1K8H6x8fbOy06t2VsZHhMHf-1x7Y/edit?usp=sharing"",""แผน!GY21"")"),0)</f>
        <v>0</v>
      </c>
      <c r="J504" s="466">
        <v>0</v>
      </c>
      <c r="K504" s="224">
        <f t="shared" ca="1" si="126"/>
        <v>0</v>
      </c>
      <c r="L504" s="465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IFERROR(__xludf.DUMMYFUNCTION("IMPORTRANGE(""https://docs.google.com/spreadsheets/d/1eHaY18a8A9IcSdp1K8H6x8fbOy06t2VsZHhMHf-1x7Y/edit?usp=sharing"",""แผน!GZ21"")"),0)</f>
        <v>0</v>
      </c>
      <c r="J505" s="466">
        <v>0</v>
      </c>
      <c r="K505" s="224">
        <f t="shared" ca="1" si="126"/>
        <v>0</v>
      </c>
      <c r="L505" s="465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IFERROR(__xludf.DUMMYFUNCTION("IMPORTRANGE(""https://docs.google.com/spreadsheets/d/1eHaY18a8A9IcSdp1K8H6x8fbOy06t2VsZHhMHf-1x7Y/edit?usp=sharing"",""แผน!HA21"")"),0)</f>
        <v>0</v>
      </c>
      <c r="J506" s="466">
        <v>0</v>
      </c>
      <c r="K506" s="224">
        <f t="shared" ca="1" si="126"/>
        <v>0</v>
      </c>
      <c r="L506" s="465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IFERROR(__xludf.DUMMYFUNCTION("IMPORTRANGE(""https://docs.google.com/spreadsheets/d/1eHaY18a8A9IcSdp1K8H6x8fbOy06t2VsZHhMHf-1x7Y/edit?usp=sharing"",""แผน!HB21"")"),0)</f>
        <v>0</v>
      </c>
      <c r="J507" s="466">
        <v>0</v>
      </c>
      <c r="K507" s="224">
        <f t="shared" ca="1" si="126"/>
        <v>0</v>
      </c>
      <c r="L507" s="465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 t="shared" si="126"/>
        <v>0</v>
      </c>
      <c r="L508" s="465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IFERROR(__xludf.DUMMYFUNCTION("IMPORTRANGE(""https://docs.google.com/spreadsheets/d/1eHaY18a8A9IcSdp1K8H6x8fbOy06t2VsZHhMHf-1x7Y/edit?usp=sharing"",""แผน!HC21"")"),0)</f>
        <v>0</v>
      </c>
      <c r="J509" s="464">
        <v>0</v>
      </c>
      <c r="K509" s="455">
        <f t="shared" ca="1" si="126"/>
        <v>0</v>
      </c>
      <c r="L509" s="46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537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536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hidden="1" x14ac:dyDescent="0.3">
      <c r="A511" s="535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534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hidden="1" x14ac:dyDescent="0.3">
      <c r="A512" s="349"/>
      <c r="B512" s="533" t="s">
        <v>207</v>
      </c>
      <c r="C512" s="351"/>
      <c r="D512" s="352"/>
      <c r="E512" s="352"/>
      <c r="F512" s="352"/>
      <c r="G512" s="353"/>
      <c r="H512" s="532" t="s">
        <v>61</v>
      </c>
      <c r="I512" s="531">
        <f>I524</f>
        <v>0</v>
      </c>
      <c r="J512" s="531">
        <f>J524</f>
        <v>0</v>
      </c>
      <c r="K512" s="530">
        <f>IF(I512&gt;0,J512*100/I512,0)</f>
        <v>0</v>
      </c>
      <c r="L512" s="512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hidden="1" x14ac:dyDescent="0.3">
      <c r="A513" s="128"/>
      <c r="B513" s="40"/>
      <c r="C513" s="527" t="s">
        <v>18</v>
      </c>
      <c r="D513" s="494" t="s">
        <v>19</v>
      </c>
      <c r="E513" s="40"/>
      <c r="F513" s="40"/>
      <c r="G513" s="42"/>
      <c r="H513" s="529" t="s">
        <v>14</v>
      </c>
      <c r="I513" s="44"/>
      <c r="J513" s="44"/>
      <c r="K513" s="45"/>
      <c r="L513" s="471">
        <f ca="1">L514+L515</f>
        <v>0</v>
      </c>
      <c r="M513" s="470">
        <f ca="1">M514+M515</f>
        <v>0</v>
      </c>
      <c r="N513" s="470">
        <f ca="1">N514+N515</f>
        <v>0</v>
      </c>
      <c r="O513" s="470">
        <f t="shared" ref="O513:O521" ca="1" si="127">IF(L513&gt;0,N513*100/L513,0)</f>
        <v>0</v>
      </c>
      <c r="P513" s="470">
        <f t="shared" ref="P513:P521" ca="1" si="128">IF(M513&gt;0,N513*100/M513,0)</f>
        <v>0</v>
      </c>
      <c r="Q513" s="470">
        <f>Q514+Q515</f>
        <v>0</v>
      </c>
      <c r="R513" s="470">
        <f>R514+R515</f>
        <v>0</v>
      </c>
      <c r="S513" s="470">
        <f>S514+S515</f>
        <v>0</v>
      </c>
      <c r="T513" s="470">
        <f t="shared" ref="T513:T521" si="129">IF(Q513&gt;0,S513*100/Q513,0)</f>
        <v>0</v>
      </c>
      <c r="U513" s="470">
        <f t="shared" ref="U513:U521" si="130"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469">
        <f t="shared" ref="L514:N515" si="131">L517+L520</f>
        <v>0</v>
      </c>
      <c r="M514" s="83">
        <f t="shared" si="131"/>
        <v>0</v>
      </c>
      <c r="N514" s="83">
        <f t="shared" si="131"/>
        <v>0</v>
      </c>
      <c r="O514" s="83">
        <f t="shared" si="127"/>
        <v>0</v>
      </c>
      <c r="P514" s="83">
        <f t="shared" si="128"/>
        <v>0</v>
      </c>
      <c r="Q514" s="83">
        <f t="shared" ref="Q514:S515" si="132">Q517+Q520</f>
        <v>0</v>
      </c>
      <c r="R514" s="83">
        <f t="shared" si="132"/>
        <v>0</v>
      </c>
      <c r="S514" s="83">
        <f t="shared" si="132"/>
        <v>0</v>
      </c>
      <c r="T514" s="83">
        <f t="shared" si="129"/>
        <v>0</v>
      </c>
      <c r="U514" s="83">
        <f t="shared" si="130"/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468">
        <f t="shared" ca="1" si="131"/>
        <v>0</v>
      </c>
      <c r="M515" s="224">
        <f t="shared" ca="1" si="131"/>
        <v>0</v>
      </c>
      <c r="N515" s="224">
        <f t="shared" ca="1" si="131"/>
        <v>0</v>
      </c>
      <c r="O515" s="224">
        <f t="shared" ca="1" si="127"/>
        <v>0</v>
      </c>
      <c r="P515" s="224">
        <f t="shared" ca="1" si="128"/>
        <v>0</v>
      </c>
      <c r="Q515" s="224">
        <f t="shared" si="132"/>
        <v>0</v>
      </c>
      <c r="R515" s="224">
        <f t="shared" si="132"/>
        <v>0</v>
      </c>
      <c r="S515" s="224">
        <f t="shared" si="132"/>
        <v>0</v>
      </c>
      <c r="T515" s="224">
        <f t="shared" si="129"/>
        <v>0</v>
      </c>
      <c r="U515" s="224">
        <f t="shared" si="130"/>
        <v>0</v>
      </c>
    </row>
    <row r="516" spans="1:21" ht="18.75" hidden="1" x14ac:dyDescent="0.25">
      <c r="A516" s="128"/>
      <c r="B516" s="40"/>
      <c r="C516" s="40"/>
      <c r="D516" s="52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468">
        <f ca="1">L517+L518</f>
        <v>0</v>
      </c>
      <c r="M516" s="224">
        <f ca="1">M517+M518</f>
        <v>0</v>
      </c>
      <c r="N516" s="224">
        <f ca="1">N517+N518</f>
        <v>0</v>
      </c>
      <c r="O516" s="224">
        <f t="shared" ca="1" si="127"/>
        <v>0</v>
      </c>
      <c r="P516" s="224">
        <f t="shared" ca="1" si="128"/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 t="shared" si="129"/>
        <v>0</v>
      </c>
      <c r="U516" s="224">
        <f t="shared" si="130"/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469">
        <v>0</v>
      </c>
      <c r="M517" s="83">
        <v>0</v>
      </c>
      <c r="N517" s="83">
        <v>0</v>
      </c>
      <c r="O517" s="83">
        <f t="shared" si="127"/>
        <v>0</v>
      </c>
      <c r="P517" s="83">
        <f t="shared" si="128"/>
        <v>0</v>
      </c>
      <c r="Q517" s="83">
        <v>0</v>
      </c>
      <c r="R517" s="83">
        <v>0</v>
      </c>
      <c r="S517" s="83">
        <v>0</v>
      </c>
      <c r="T517" s="83">
        <f t="shared" si="129"/>
        <v>0</v>
      </c>
      <c r="U517" s="83">
        <f t="shared" si="130"/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468">
        <f ca="1">IFERROR(__xludf.DUMMYFUNCTION("IMPORTRANGE(""https://docs.google.com/spreadsheets/d/1-uDff_7J0KD5mKrp0Vvzr7lt3OU09vwQwhkpOPPYv2Y/edit?usp=sharing"",""งบพรบ!FM21"")"),0)</f>
        <v>0</v>
      </c>
      <c r="M518" s="224">
        <f ca="1">IFERROR(__xludf.DUMMYFUNCTION("IMPORTRANGE(""https://docs.google.com/spreadsheets/d/1-uDff_7J0KD5mKrp0Vvzr7lt3OU09vwQwhkpOPPYv2Y/edit?usp=sharing"",""งบพรบ!FR21"")"),0)</f>
        <v>0</v>
      </c>
      <c r="N518" s="224">
        <f ca="1">IFERROR(__xludf.DUMMYFUNCTION("IMPORTRANGE(""https://docs.google.com/spreadsheets/d/1-uDff_7J0KD5mKrp0Vvzr7lt3OU09vwQwhkpOPPYv2Y/edit?usp=sharing"",""งบพรบ!FT21"")"),0)</f>
        <v>0</v>
      </c>
      <c r="O518" s="224">
        <f t="shared" ca="1" si="127"/>
        <v>0</v>
      </c>
      <c r="P518" s="224">
        <f t="shared" ca="1" si="128"/>
        <v>0</v>
      </c>
      <c r="Q518" s="224">
        <v>0</v>
      </c>
      <c r="R518" s="224">
        <v>0</v>
      </c>
      <c r="S518" s="224">
        <v>0</v>
      </c>
      <c r="T518" s="224">
        <f t="shared" si="129"/>
        <v>0</v>
      </c>
      <c r="U518" s="224">
        <f t="shared" si="130"/>
        <v>0</v>
      </c>
    </row>
    <row r="519" spans="1:21" ht="18.75" hidden="1" x14ac:dyDescent="0.25">
      <c r="A519" s="128"/>
      <c r="B519" s="40"/>
      <c r="C519" s="40"/>
      <c r="D519" s="528" t="s">
        <v>23</v>
      </c>
      <c r="E519" s="40"/>
      <c r="F519" s="40"/>
      <c r="G519" s="42"/>
      <c r="H519" s="375" t="s">
        <v>14</v>
      </c>
      <c r="I519" s="135"/>
      <c r="J519" s="135"/>
      <c r="K519" s="136"/>
      <c r="L519" s="468">
        <f ca="1">L520+L521</f>
        <v>0</v>
      </c>
      <c r="M519" s="224">
        <f ca="1">M520+M521</f>
        <v>0</v>
      </c>
      <c r="N519" s="224">
        <f ca="1">N520+N521</f>
        <v>0</v>
      </c>
      <c r="O519" s="224">
        <f t="shared" ca="1" si="127"/>
        <v>0</v>
      </c>
      <c r="P519" s="224">
        <f t="shared" ca="1" si="128"/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 t="shared" si="129"/>
        <v>0</v>
      </c>
      <c r="U519" s="224">
        <f t="shared" si="130"/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469">
        <v>0</v>
      </c>
      <c r="M520" s="83">
        <v>0</v>
      </c>
      <c r="N520" s="83">
        <v>0</v>
      </c>
      <c r="O520" s="83">
        <f t="shared" si="127"/>
        <v>0</v>
      </c>
      <c r="P520" s="83">
        <f t="shared" si="128"/>
        <v>0</v>
      </c>
      <c r="Q520" s="83">
        <v>0</v>
      </c>
      <c r="R520" s="83">
        <v>0</v>
      </c>
      <c r="S520" s="83">
        <v>0</v>
      </c>
      <c r="T520" s="83">
        <f t="shared" si="129"/>
        <v>0</v>
      </c>
      <c r="U520" s="83">
        <f t="shared" si="130"/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375" t="s">
        <v>14</v>
      </c>
      <c r="I521" s="135"/>
      <c r="J521" s="135"/>
      <c r="K521" s="136"/>
      <c r="L521" s="468">
        <f ca="1">IFERROR(__xludf.DUMMYFUNCTION("IMPORTRANGE(""https://docs.google.com/spreadsheets/d/1-uDff_7J0KD5mKrp0Vvzr7lt3OU09vwQwhkpOPPYv2Y/edit?usp=sharing"",""งบพรบ!FP21"")"),0)</f>
        <v>0</v>
      </c>
      <c r="M521" s="224">
        <f ca="1">IFERROR(__xludf.DUMMYFUNCTION("IMPORTRANGE(""https://docs.google.com/spreadsheets/d/1-uDff_7J0KD5mKrp0Vvzr7lt3OU09vwQwhkpOPPYv2Y/edit?usp=sharing"",""งบพรบ!FS21"")"),0)</f>
        <v>0</v>
      </c>
      <c r="N521" s="224">
        <f ca="1">IFERROR(__xludf.DUMMYFUNCTION("IMPORTRANGE(""https://docs.google.com/spreadsheets/d/1-uDff_7J0KD5mKrp0Vvzr7lt3OU09vwQwhkpOPPYv2Y/edit?usp=sharing"",""งบพรบ!FU21"")"),0)</f>
        <v>0</v>
      </c>
      <c r="O521" s="224">
        <f t="shared" ca="1" si="127"/>
        <v>0</v>
      </c>
      <c r="P521" s="224">
        <f t="shared" ca="1" si="128"/>
        <v>0</v>
      </c>
      <c r="Q521" s="224">
        <v>0</v>
      </c>
      <c r="R521" s="224">
        <v>0</v>
      </c>
      <c r="S521" s="224">
        <v>0</v>
      </c>
      <c r="T521" s="224">
        <f t="shared" si="129"/>
        <v>0</v>
      </c>
      <c r="U521" s="224">
        <f t="shared" si="130"/>
        <v>0</v>
      </c>
    </row>
    <row r="522" spans="1:21" ht="19.5" hidden="1" x14ac:dyDescent="0.3">
      <c r="A522" s="138"/>
      <c r="B522" s="139"/>
      <c r="C522" s="527" t="s">
        <v>18</v>
      </c>
      <c r="D522" s="509" t="s">
        <v>38</v>
      </c>
      <c r="E522" s="141"/>
      <c r="F522" s="141"/>
      <c r="G522" s="142"/>
      <c r="H522" s="143"/>
      <c r="I522" s="135"/>
      <c r="J522" s="44"/>
      <c r="K522" s="45"/>
      <c r="L522" s="465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208</v>
      </c>
      <c r="E523" s="139"/>
      <c r="F523" s="40"/>
      <c r="G523" s="42"/>
      <c r="H523" s="526" t="s">
        <v>11</v>
      </c>
      <c r="I523" s="430">
        <v>0</v>
      </c>
      <c r="J523" s="525">
        <v>0</v>
      </c>
      <c r="K523" s="83">
        <f>IF(I523&gt;0,J523*100/I523,0)</f>
        <v>0</v>
      </c>
      <c r="L523" s="465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29"/>
      <c r="B524" s="1"/>
      <c r="C524" s="2"/>
      <c r="D524" s="524" t="s">
        <v>209</v>
      </c>
      <c r="E524" s="250"/>
      <c r="F524" s="1"/>
      <c r="G524" s="52"/>
      <c r="H524" s="523" t="s">
        <v>61</v>
      </c>
      <c r="I524" s="433">
        <v>0</v>
      </c>
      <c r="J524" s="522">
        <v>0</v>
      </c>
      <c r="K524" s="521">
        <f>IF(I524&gt;0,J524*100/I524,0)</f>
        <v>0</v>
      </c>
      <c r="L524" s="465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520"/>
      <c r="B525" s="519"/>
      <c r="C525" s="519"/>
      <c r="D525" s="518"/>
      <c r="E525" s="518"/>
      <c r="F525" s="518"/>
      <c r="G525" s="517"/>
      <c r="H525" s="516"/>
      <c r="I525" s="515"/>
      <c r="J525" s="515"/>
      <c r="K525" s="514"/>
      <c r="L525" s="511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11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11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11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11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11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11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496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hidden="1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64">
        <f>I545</f>
        <v>0</v>
      </c>
      <c r="J533" s="364">
        <f>J545</f>
        <v>0</v>
      </c>
      <c r="K533" s="513">
        <f>IF(I533&gt;0,J533*100/I533,0)</f>
        <v>0</v>
      </c>
      <c r="L533" s="512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hidden="1" x14ac:dyDescent="0.3">
      <c r="A534" s="128"/>
      <c r="B534" s="40"/>
      <c r="C534" s="129" t="s">
        <v>18</v>
      </c>
      <c r="D534" s="472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471">
        <f>L535+L536</f>
        <v>0</v>
      </c>
      <c r="M534" s="470">
        <f>M535+M536</f>
        <v>0</v>
      </c>
      <c r="N534" s="470">
        <f>N535+N536</f>
        <v>0</v>
      </c>
      <c r="O534" s="470">
        <f t="shared" ref="O534:O542" si="133">IF(L534&gt;0,N534*100/L534,0)</f>
        <v>0</v>
      </c>
      <c r="P534" s="470">
        <f t="shared" ref="P534:P542" si="134">IF(M534&gt;0,N534*100/M534,0)</f>
        <v>0</v>
      </c>
      <c r="Q534" s="470">
        <f>Q535+Q536</f>
        <v>0</v>
      </c>
      <c r="R534" s="470">
        <f>R535+R536</f>
        <v>0</v>
      </c>
      <c r="S534" s="470">
        <f>S535+S536</f>
        <v>0</v>
      </c>
      <c r="T534" s="470">
        <f t="shared" ref="T534:T542" si="135">IF(Q534&gt;0,S534*100/Q534,0)</f>
        <v>0</v>
      </c>
      <c r="U534" s="470">
        <f t="shared" ref="U534:U542" si="136"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469">
        <f t="shared" ref="L535:N536" si="137">L538+L541</f>
        <v>0</v>
      </c>
      <c r="M535" s="83">
        <f t="shared" si="137"/>
        <v>0</v>
      </c>
      <c r="N535" s="83">
        <f t="shared" si="137"/>
        <v>0</v>
      </c>
      <c r="O535" s="83">
        <f t="shared" si="133"/>
        <v>0</v>
      </c>
      <c r="P535" s="83">
        <f t="shared" si="134"/>
        <v>0</v>
      </c>
      <c r="Q535" s="83">
        <f t="shared" ref="Q535:S536" si="138">Q538+Q541</f>
        <v>0</v>
      </c>
      <c r="R535" s="83">
        <f t="shared" si="138"/>
        <v>0</v>
      </c>
      <c r="S535" s="83">
        <f t="shared" si="138"/>
        <v>0</v>
      </c>
      <c r="T535" s="83">
        <f t="shared" si="135"/>
        <v>0</v>
      </c>
      <c r="U535" s="83">
        <f t="shared" si="136"/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468">
        <f t="shared" si="137"/>
        <v>0</v>
      </c>
      <c r="M536" s="224">
        <f t="shared" si="137"/>
        <v>0</v>
      </c>
      <c r="N536" s="224">
        <f t="shared" si="137"/>
        <v>0</v>
      </c>
      <c r="O536" s="224">
        <f t="shared" si="133"/>
        <v>0</v>
      </c>
      <c r="P536" s="224">
        <f t="shared" si="134"/>
        <v>0</v>
      </c>
      <c r="Q536" s="224">
        <f t="shared" si="138"/>
        <v>0</v>
      </c>
      <c r="R536" s="224">
        <f t="shared" si="138"/>
        <v>0</v>
      </c>
      <c r="S536" s="224">
        <f t="shared" si="138"/>
        <v>0</v>
      </c>
      <c r="T536" s="224">
        <f t="shared" si="135"/>
        <v>0</v>
      </c>
      <c r="U536" s="224">
        <f t="shared" si="136"/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468">
        <f>L538+L539</f>
        <v>0</v>
      </c>
      <c r="M537" s="224">
        <f>M538+M539</f>
        <v>0</v>
      </c>
      <c r="N537" s="224">
        <f>N538+N539</f>
        <v>0</v>
      </c>
      <c r="O537" s="224">
        <f t="shared" si="133"/>
        <v>0</v>
      </c>
      <c r="P537" s="224">
        <f t="shared" si="134"/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 t="shared" si="135"/>
        <v>0</v>
      </c>
      <c r="U537" s="224">
        <f t="shared" si="136"/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469">
        <v>0</v>
      </c>
      <c r="M538" s="83">
        <v>0</v>
      </c>
      <c r="N538" s="83">
        <v>0</v>
      </c>
      <c r="O538" s="83">
        <f t="shared" si="133"/>
        <v>0</v>
      </c>
      <c r="P538" s="83">
        <f t="shared" si="134"/>
        <v>0</v>
      </c>
      <c r="Q538" s="83">
        <v>0</v>
      </c>
      <c r="R538" s="83">
        <v>0</v>
      </c>
      <c r="S538" s="83">
        <v>0</v>
      </c>
      <c r="T538" s="83">
        <f t="shared" si="135"/>
        <v>0</v>
      </c>
      <c r="U538" s="83">
        <f t="shared" si="136"/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468">
        <v>0</v>
      </c>
      <c r="M539" s="224">
        <v>0</v>
      </c>
      <c r="N539" s="224">
        <v>0</v>
      </c>
      <c r="O539" s="224">
        <f t="shared" si="133"/>
        <v>0</v>
      </c>
      <c r="P539" s="224">
        <f t="shared" si="134"/>
        <v>0</v>
      </c>
      <c r="Q539" s="224">
        <v>0</v>
      </c>
      <c r="R539" s="224">
        <v>0</v>
      </c>
      <c r="S539" s="224">
        <v>0</v>
      </c>
      <c r="T539" s="224">
        <f t="shared" si="135"/>
        <v>0</v>
      </c>
      <c r="U539" s="224">
        <f t="shared" si="136"/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468">
        <f>L541+L542</f>
        <v>0</v>
      </c>
      <c r="M540" s="224">
        <f>M541+M542</f>
        <v>0</v>
      </c>
      <c r="N540" s="224">
        <f>N541+N542</f>
        <v>0</v>
      </c>
      <c r="O540" s="224">
        <f t="shared" si="133"/>
        <v>0</v>
      </c>
      <c r="P540" s="224">
        <f t="shared" si="134"/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 t="shared" si="135"/>
        <v>0</v>
      </c>
      <c r="U540" s="224">
        <f t="shared" si="136"/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469">
        <v>0</v>
      </c>
      <c r="M541" s="83">
        <v>0</v>
      </c>
      <c r="N541" s="83">
        <v>0</v>
      </c>
      <c r="O541" s="83">
        <f t="shared" si="133"/>
        <v>0</v>
      </c>
      <c r="P541" s="83">
        <f t="shared" si="134"/>
        <v>0</v>
      </c>
      <c r="Q541" s="83">
        <v>0</v>
      </c>
      <c r="R541" s="83">
        <v>0</v>
      </c>
      <c r="S541" s="83">
        <v>0</v>
      </c>
      <c r="T541" s="83">
        <f t="shared" si="135"/>
        <v>0</v>
      </c>
      <c r="U541" s="83">
        <f t="shared" si="136"/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468">
        <v>0</v>
      </c>
      <c r="M542" s="224">
        <v>0</v>
      </c>
      <c r="N542" s="224">
        <v>0</v>
      </c>
      <c r="O542" s="224">
        <f t="shared" si="133"/>
        <v>0</v>
      </c>
      <c r="P542" s="224">
        <f t="shared" si="134"/>
        <v>0</v>
      </c>
      <c r="Q542" s="224">
        <v>0</v>
      </c>
      <c r="R542" s="224">
        <v>0</v>
      </c>
      <c r="S542" s="224">
        <v>0</v>
      </c>
      <c r="T542" s="224">
        <f t="shared" si="135"/>
        <v>0</v>
      </c>
      <c r="U542" s="224">
        <f t="shared" si="136"/>
        <v>0</v>
      </c>
    </row>
    <row r="543" spans="1:21" ht="19.5" hidden="1" x14ac:dyDescent="0.3">
      <c r="A543" s="138"/>
      <c r="B543" s="139"/>
      <c r="C543" s="365" t="s">
        <v>18</v>
      </c>
      <c r="D543" s="498" t="s">
        <v>38</v>
      </c>
      <c r="E543" s="141"/>
      <c r="F543" s="141"/>
      <c r="G543" s="142"/>
      <c r="H543" s="143"/>
      <c r="I543" s="135"/>
      <c r="J543" s="44"/>
      <c r="K543" s="45"/>
      <c r="L543" s="465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11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11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11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11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11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11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11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11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11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496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hidden="1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64">
        <f>I566</f>
        <v>0</v>
      </c>
      <c r="J554" s="364">
        <f>J566</f>
        <v>0</v>
      </c>
      <c r="K554" s="513">
        <f>IF(I554&gt;0,J554*100/I554,0)</f>
        <v>0</v>
      </c>
      <c r="L554" s="512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hidden="1" x14ac:dyDescent="0.3">
      <c r="A555" s="128"/>
      <c r="B555" s="40"/>
      <c r="C555" s="129" t="s">
        <v>18</v>
      </c>
      <c r="D555" s="472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471">
        <f>L556+L557</f>
        <v>0</v>
      </c>
      <c r="M555" s="470">
        <f>M556+M557</f>
        <v>0</v>
      </c>
      <c r="N555" s="470">
        <f>N556+N557</f>
        <v>0</v>
      </c>
      <c r="O555" s="470">
        <f t="shared" ref="O555:O563" si="139">IF(L555&gt;0,N555*100/L555,0)</f>
        <v>0</v>
      </c>
      <c r="P555" s="470">
        <f t="shared" ref="P555:P563" si="140">IF(M555&gt;0,N555*100/M555,0)</f>
        <v>0</v>
      </c>
      <c r="Q555" s="470">
        <f>Q556+Q557</f>
        <v>0</v>
      </c>
      <c r="R555" s="470">
        <f>R556+R557</f>
        <v>0</v>
      </c>
      <c r="S555" s="470">
        <f>S556+S557</f>
        <v>0</v>
      </c>
      <c r="T555" s="470">
        <f t="shared" ref="T555:T563" si="141">IF(Q555&gt;0,S555*100/Q555,0)</f>
        <v>0</v>
      </c>
      <c r="U555" s="470">
        <f t="shared" ref="U555:U563" si="142"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469">
        <f t="shared" ref="L556:N557" si="143">L559+L562</f>
        <v>0</v>
      </c>
      <c r="M556" s="83">
        <f t="shared" si="143"/>
        <v>0</v>
      </c>
      <c r="N556" s="83">
        <f t="shared" si="143"/>
        <v>0</v>
      </c>
      <c r="O556" s="83">
        <f t="shared" si="139"/>
        <v>0</v>
      </c>
      <c r="P556" s="83">
        <f t="shared" si="140"/>
        <v>0</v>
      </c>
      <c r="Q556" s="83">
        <f t="shared" ref="Q556:S557" si="144">Q559+Q562</f>
        <v>0</v>
      </c>
      <c r="R556" s="83">
        <f t="shared" si="144"/>
        <v>0</v>
      </c>
      <c r="S556" s="83">
        <f t="shared" si="144"/>
        <v>0</v>
      </c>
      <c r="T556" s="83">
        <f t="shared" si="141"/>
        <v>0</v>
      </c>
      <c r="U556" s="83">
        <f t="shared" si="142"/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468">
        <f t="shared" si="143"/>
        <v>0</v>
      </c>
      <c r="M557" s="224">
        <f t="shared" si="143"/>
        <v>0</v>
      </c>
      <c r="N557" s="224">
        <f t="shared" si="143"/>
        <v>0</v>
      </c>
      <c r="O557" s="224">
        <f t="shared" si="139"/>
        <v>0</v>
      </c>
      <c r="P557" s="224">
        <f t="shared" si="140"/>
        <v>0</v>
      </c>
      <c r="Q557" s="224">
        <f t="shared" si="144"/>
        <v>0</v>
      </c>
      <c r="R557" s="224">
        <f t="shared" si="144"/>
        <v>0</v>
      </c>
      <c r="S557" s="224">
        <f t="shared" si="144"/>
        <v>0</v>
      </c>
      <c r="T557" s="224">
        <f t="shared" si="141"/>
        <v>0</v>
      </c>
      <c r="U557" s="224">
        <f t="shared" si="142"/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468">
        <f>L559+L560</f>
        <v>0</v>
      </c>
      <c r="M558" s="224">
        <f>M559+M560</f>
        <v>0</v>
      </c>
      <c r="N558" s="224">
        <f>N559+N560</f>
        <v>0</v>
      </c>
      <c r="O558" s="224">
        <f t="shared" si="139"/>
        <v>0</v>
      </c>
      <c r="P558" s="224">
        <f t="shared" si="140"/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 t="shared" si="141"/>
        <v>0</v>
      </c>
      <c r="U558" s="224">
        <f t="shared" si="142"/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469">
        <v>0</v>
      </c>
      <c r="M559" s="83">
        <v>0</v>
      </c>
      <c r="N559" s="83">
        <v>0</v>
      </c>
      <c r="O559" s="83">
        <f t="shared" si="139"/>
        <v>0</v>
      </c>
      <c r="P559" s="83">
        <f t="shared" si="140"/>
        <v>0</v>
      </c>
      <c r="Q559" s="83">
        <v>0</v>
      </c>
      <c r="R559" s="83">
        <v>0</v>
      </c>
      <c r="S559" s="83">
        <v>0</v>
      </c>
      <c r="T559" s="83">
        <f t="shared" si="141"/>
        <v>0</v>
      </c>
      <c r="U559" s="83">
        <f t="shared" si="142"/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468">
        <v>0</v>
      </c>
      <c r="M560" s="224">
        <v>0</v>
      </c>
      <c r="N560" s="224">
        <v>0</v>
      </c>
      <c r="O560" s="224">
        <f t="shared" si="139"/>
        <v>0</v>
      </c>
      <c r="P560" s="224">
        <f t="shared" si="140"/>
        <v>0</v>
      </c>
      <c r="Q560" s="224">
        <v>0</v>
      </c>
      <c r="R560" s="224">
        <v>0</v>
      </c>
      <c r="S560" s="224">
        <v>0</v>
      </c>
      <c r="T560" s="224">
        <f t="shared" si="141"/>
        <v>0</v>
      </c>
      <c r="U560" s="224">
        <f t="shared" si="142"/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468">
        <f>L562+L563</f>
        <v>0</v>
      </c>
      <c r="M561" s="224">
        <f>M562+M563</f>
        <v>0</v>
      </c>
      <c r="N561" s="224">
        <f>N562+N563</f>
        <v>0</v>
      </c>
      <c r="O561" s="224">
        <f t="shared" si="139"/>
        <v>0</v>
      </c>
      <c r="P561" s="224">
        <f t="shared" si="140"/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 t="shared" si="141"/>
        <v>0</v>
      </c>
      <c r="U561" s="224">
        <f t="shared" si="142"/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469">
        <v>0</v>
      </c>
      <c r="M562" s="83">
        <v>0</v>
      </c>
      <c r="N562" s="83">
        <v>0</v>
      </c>
      <c r="O562" s="83">
        <f t="shared" si="139"/>
        <v>0</v>
      </c>
      <c r="P562" s="83">
        <f t="shared" si="140"/>
        <v>0</v>
      </c>
      <c r="Q562" s="83">
        <v>0</v>
      </c>
      <c r="R562" s="83">
        <v>0</v>
      </c>
      <c r="S562" s="83">
        <v>0</v>
      </c>
      <c r="T562" s="83">
        <f t="shared" si="141"/>
        <v>0</v>
      </c>
      <c r="U562" s="83">
        <f t="shared" si="142"/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468">
        <v>0</v>
      </c>
      <c r="M563" s="224">
        <v>0</v>
      </c>
      <c r="N563" s="224">
        <v>0</v>
      </c>
      <c r="O563" s="224">
        <f t="shared" si="139"/>
        <v>0</v>
      </c>
      <c r="P563" s="224">
        <f t="shared" si="140"/>
        <v>0</v>
      </c>
      <c r="Q563" s="224">
        <v>0</v>
      </c>
      <c r="R563" s="224">
        <v>0</v>
      </c>
      <c r="S563" s="224">
        <v>0</v>
      </c>
      <c r="T563" s="224">
        <f t="shared" si="141"/>
        <v>0</v>
      </c>
      <c r="U563" s="224">
        <f t="shared" si="142"/>
        <v>0</v>
      </c>
    </row>
    <row r="564" spans="1:21" ht="19.5" hidden="1" x14ac:dyDescent="0.3">
      <c r="A564" s="138"/>
      <c r="B564" s="139"/>
      <c r="C564" s="365" t="s">
        <v>18</v>
      </c>
      <c r="D564" s="498" t="s">
        <v>38</v>
      </c>
      <c r="E564" s="141"/>
      <c r="F564" s="141"/>
      <c r="G564" s="142"/>
      <c r="H564" s="143"/>
      <c r="I564" s="135"/>
      <c r="J564" s="44"/>
      <c r="K564" s="45"/>
      <c r="L564" s="465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11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11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11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11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11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11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11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11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11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496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hidden="1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64">
        <f>I587</f>
        <v>0</v>
      </c>
      <c r="J575" s="364">
        <f>J587</f>
        <v>0</v>
      </c>
      <c r="K575" s="513">
        <f>IF(I575&gt;0,J575*100/I575,0)</f>
        <v>0</v>
      </c>
      <c r="L575" s="512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hidden="1" x14ac:dyDescent="0.3">
      <c r="A576" s="128"/>
      <c r="B576" s="40"/>
      <c r="C576" s="129" t="s">
        <v>18</v>
      </c>
      <c r="D576" s="472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471">
        <f>L577+L578</f>
        <v>0</v>
      </c>
      <c r="M576" s="470">
        <f>M577+M578</f>
        <v>0</v>
      </c>
      <c r="N576" s="470">
        <f>N577+N578</f>
        <v>0</v>
      </c>
      <c r="O576" s="470">
        <f t="shared" ref="O576:O584" si="145">IF(L576&gt;0,N576*100/L576,0)</f>
        <v>0</v>
      </c>
      <c r="P576" s="470">
        <f t="shared" ref="P576:P584" si="146">IF(M576&gt;0,N576*100/M576,0)</f>
        <v>0</v>
      </c>
      <c r="Q576" s="470">
        <f>Q577+Q578</f>
        <v>0</v>
      </c>
      <c r="R576" s="470">
        <f>R577+R578</f>
        <v>0</v>
      </c>
      <c r="S576" s="470">
        <f>S577+S578</f>
        <v>0</v>
      </c>
      <c r="T576" s="470">
        <f t="shared" ref="T576:T584" si="147">IF(Q576&gt;0,S576*100/Q576,0)</f>
        <v>0</v>
      </c>
      <c r="U576" s="470">
        <f t="shared" ref="U576:U584" si="148"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469">
        <f t="shared" ref="L577:N578" si="149">L580+L583</f>
        <v>0</v>
      </c>
      <c r="M577" s="83">
        <f t="shared" si="149"/>
        <v>0</v>
      </c>
      <c r="N577" s="83">
        <f t="shared" si="149"/>
        <v>0</v>
      </c>
      <c r="O577" s="83">
        <f t="shared" si="145"/>
        <v>0</v>
      </c>
      <c r="P577" s="83">
        <f t="shared" si="146"/>
        <v>0</v>
      </c>
      <c r="Q577" s="83">
        <f t="shared" ref="Q577:S578" si="150">Q580+Q583</f>
        <v>0</v>
      </c>
      <c r="R577" s="83">
        <f t="shared" si="150"/>
        <v>0</v>
      </c>
      <c r="S577" s="83">
        <f t="shared" si="150"/>
        <v>0</v>
      </c>
      <c r="T577" s="83">
        <f t="shared" si="147"/>
        <v>0</v>
      </c>
      <c r="U577" s="83">
        <f t="shared" si="148"/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468">
        <f t="shared" si="149"/>
        <v>0</v>
      </c>
      <c r="M578" s="224">
        <f t="shared" si="149"/>
        <v>0</v>
      </c>
      <c r="N578" s="224">
        <f t="shared" si="149"/>
        <v>0</v>
      </c>
      <c r="O578" s="224">
        <f t="shared" si="145"/>
        <v>0</v>
      </c>
      <c r="P578" s="224">
        <f t="shared" si="146"/>
        <v>0</v>
      </c>
      <c r="Q578" s="224">
        <f t="shared" si="150"/>
        <v>0</v>
      </c>
      <c r="R578" s="224">
        <f t="shared" si="150"/>
        <v>0</v>
      </c>
      <c r="S578" s="224">
        <f t="shared" si="150"/>
        <v>0</v>
      </c>
      <c r="T578" s="224">
        <f t="shared" si="147"/>
        <v>0</v>
      </c>
      <c r="U578" s="224">
        <f t="shared" si="148"/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468">
        <f>L580+L581</f>
        <v>0</v>
      </c>
      <c r="M579" s="224">
        <f>M580+M581</f>
        <v>0</v>
      </c>
      <c r="N579" s="224">
        <f>N580+N581</f>
        <v>0</v>
      </c>
      <c r="O579" s="224">
        <f t="shared" si="145"/>
        <v>0</v>
      </c>
      <c r="P579" s="224">
        <f t="shared" si="146"/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 t="shared" si="147"/>
        <v>0</v>
      </c>
      <c r="U579" s="224">
        <f t="shared" si="148"/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469">
        <v>0</v>
      </c>
      <c r="M580" s="83">
        <v>0</v>
      </c>
      <c r="N580" s="83">
        <v>0</v>
      </c>
      <c r="O580" s="83">
        <f t="shared" si="145"/>
        <v>0</v>
      </c>
      <c r="P580" s="83">
        <f t="shared" si="146"/>
        <v>0</v>
      </c>
      <c r="Q580" s="83">
        <v>0</v>
      </c>
      <c r="R580" s="83">
        <v>0</v>
      </c>
      <c r="S580" s="83">
        <v>0</v>
      </c>
      <c r="T580" s="83">
        <f t="shared" si="147"/>
        <v>0</v>
      </c>
      <c r="U580" s="83">
        <f t="shared" si="148"/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468">
        <v>0</v>
      </c>
      <c r="M581" s="224">
        <v>0</v>
      </c>
      <c r="N581" s="224">
        <v>0</v>
      </c>
      <c r="O581" s="224">
        <f t="shared" si="145"/>
        <v>0</v>
      </c>
      <c r="P581" s="224">
        <f t="shared" si="146"/>
        <v>0</v>
      </c>
      <c r="Q581" s="224">
        <v>0</v>
      </c>
      <c r="R581" s="224">
        <v>0</v>
      </c>
      <c r="S581" s="224">
        <v>0</v>
      </c>
      <c r="T581" s="224">
        <f t="shared" si="147"/>
        <v>0</v>
      </c>
      <c r="U581" s="224">
        <f t="shared" si="148"/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468">
        <f>L583+L584</f>
        <v>0</v>
      </c>
      <c r="M582" s="224">
        <f>M583+M584</f>
        <v>0</v>
      </c>
      <c r="N582" s="224">
        <f>N583+N584</f>
        <v>0</v>
      </c>
      <c r="O582" s="224">
        <f t="shared" si="145"/>
        <v>0</v>
      </c>
      <c r="P582" s="224">
        <f t="shared" si="146"/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 t="shared" si="147"/>
        <v>0</v>
      </c>
      <c r="U582" s="224">
        <f t="shared" si="148"/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469">
        <v>0</v>
      </c>
      <c r="M583" s="83">
        <v>0</v>
      </c>
      <c r="N583" s="83">
        <v>0</v>
      </c>
      <c r="O583" s="83">
        <f t="shared" si="145"/>
        <v>0</v>
      </c>
      <c r="P583" s="83">
        <f t="shared" si="146"/>
        <v>0</v>
      </c>
      <c r="Q583" s="83">
        <v>0</v>
      </c>
      <c r="R583" s="83">
        <v>0</v>
      </c>
      <c r="S583" s="83">
        <v>0</v>
      </c>
      <c r="T583" s="83">
        <f t="shared" si="147"/>
        <v>0</v>
      </c>
      <c r="U583" s="83">
        <f t="shared" si="148"/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468">
        <v>0</v>
      </c>
      <c r="M584" s="224">
        <v>0</v>
      </c>
      <c r="N584" s="224">
        <v>0</v>
      </c>
      <c r="O584" s="224">
        <f t="shared" si="145"/>
        <v>0</v>
      </c>
      <c r="P584" s="224">
        <f t="shared" si="146"/>
        <v>0</v>
      </c>
      <c r="Q584" s="224">
        <v>0</v>
      </c>
      <c r="R584" s="224">
        <v>0</v>
      </c>
      <c r="S584" s="224">
        <v>0</v>
      </c>
      <c r="T584" s="224">
        <f t="shared" si="147"/>
        <v>0</v>
      </c>
      <c r="U584" s="224">
        <f t="shared" si="148"/>
        <v>0</v>
      </c>
    </row>
    <row r="585" spans="1:21" ht="19.5" hidden="1" x14ac:dyDescent="0.3">
      <c r="A585" s="138"/>
      <c r="B585" s="139"/>
      <c r="C585" s="365" t="s">
        <v>18</v>
      </c>
      <c r="D585" s="498" t="s">
        <v>38</v>
      </c>
      <c r="E585" s="141"/>
      <c r="F585" s="141"/>
      <c r="G585" s="142"/>
      <c r="H585" s="143"/>
      <c r="I585" s="135"/>
      <c r="J585" s="44"/>
      <c r="K585" s="45"/>
      <c r="L585" s="465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11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11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11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11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11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11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11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11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11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496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hidden="1" x14ac:dyDescent="0.3">
      <c r="A596" s="366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67" t="s">
        <v>214</v>
      </c>
      <c r="C597" s="172"/>
      <c r="D597" s="125"/>
      <c r="E597" s="27"/>
      <c r="F597" s="27"/>
      <c r="G597" s="27"/>
      <c r="H597" s="368" t="s">
        <v>99</v>
      </c>
      <c r="I597" s="182"/>
      <c r="J597" s="32"/>
      <c r="K597" s="33"/>
      <c r="L597" s="510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369"/>
      <c r="B598" s="370" t="s">
        <v>215</v>
      </c>
      <c r="C598" s="125"/>
      <c r="D598" s="27"/>
      <c r="E598" s="27"/>
      <c r="F598" s="27"/>
      <c r="G598" s="30"/>
      <c r="H598" s="371" t="s">
        <v>35</v>
      </c>
      <c r="I598" s="32"/>
      <c r="J598" s="32"/>
      <c r="K598" s="33"/>
      <c r="L598" s="510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820" t="s">
        <v>19</v>
      </c>
      <c r="E599" s="793"/>
      <c r="F599" s="793"/>
      <c r="G599" s="794"/>
      <c r="H599" s="372" t="s">
        <v>14</v>
      </c>
      <c r="I599" s="44"/>
      <c r="J599" s="44"/>
      <c r="K599" s="45"/>
      <c r="L599" s="471">
        <f>L600+L601</f>
        <v>0</v>
      </c>
      <c r="M599" s="470">
        <f>M600+M601</f>
        <v>0</v>
      </c>
      <c r="N599" s="470">
        <f>N600+N601</f>
        <v>0</v>
      </c>
      <c r="O599" s="470">
        <f t="shared" ref="O599:O607" si="151">IF(L599&gt;0,N599*100/L599,0)</f>
        <v>0</v>
      </c>
      <c r="P599" s="470">
        <f t="shared" ref="P599:P607" si="152">IF(M599&gt;0,N599*100/M599,0)</f>
        <v>0</v>
      </c>
      <c r="Q599" s="470">
        <f>Q600+Q601</f>
        <v>0</v>
      </c>
      <c r="R599" s="470">
        <f>R600+R601</f>
        <v>0</v>
      </c>
      <c r="S599" s="470">
        <f>S600+S601</f>
        <v>0</v>
      </c>
      <c r="T599" s="470">
        <f t="shared" ref="T599:T607" si="153">IF(Q599&gt;0,S599*100/Q599,0)</f>
        <v>0</v>
      </c>
      <c r="U599" s="470">
        <f t="shared" ref="U599:U607" si="154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469">
        <f t="shared" ref="L600:N601" si="155">L603+L606</f>
        <v>0</v>
      </c>
      <c r="M600" s="83">
        <f t="shared" si="155"/>
        <v>0</v>
      </c>
      <c r="N600" s="83">
        <f t="shared" si="155"/>
        <v>0</v>
      </c>
      <c r="O600" s="83">
        <f t="shared" si="151"/>
        <v>0</v>
      </c>
      <c r="P600" s="83">
        <f t="shared" si="152"/>
        <v>0</v>
      </c>
      <c r="Q600" s="83">
        <f t="shared" ref="Q600:S601" si="156">Q603+Q606</f>
        <v>0</v>
      </c>
      <c r="R600" s="83">
        <f t="shared" si="156"/>
        <v>0</v>
      </c>
      <c r="S600" s="83">
        <f t="shared" si="156"/>
        <v>0</v>
      </c>
      <c r="T600" s="83">
        <f t="shared" si="153"/>
        <v>0</v>
      </c>
      <c r="U600" s="83">
        <f t="shared" si="154"/>
        <v>0</v>
      </c>
    </row>
    <row r="601" spans="1:21" ht="18.75" hidden="1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468">
        <f t="shared" si="155"/>
        <v>0</v>
      </c>
      <c r="M601" s="224">
        <f t="shared" si="155"/>
        <v>0</v>
      </c>
      <c r="N601" s="224">
        <f t="shared" si="155"/>
        <v>0</v>
      </c>
      <c r="O601" s="224">
        <f t="shared" si="151"/>
        <v>0</v>
      </c>
      <c r="P601" s="224">
        <f t="shared" si="152"/>
        <v>0</v>
      </c>
      <c r="Q601" s="224">
        <f t="shared" si="156"/>
        <v>0</v>
      </c>
      <c r="R601" s="224">
        <f t="shared" si="156"/>
        <v>0</v>
      </c>
      <c r="S601" s="224">
        <f t="shared" si="156"/>
        <v>0</v>
      </c>
      <c r="T601" s="224">
        <f t="shared" si="153"/>
        <v>0</v>
      </c>
      <c r="U601" s="224">
        <f t="shared" si="154"/>
        <v>0</v>
      </c>
    </row>
    <row r="602" spans="1:21" ht="19.5" hidden="1" x14ac:dyDescent="0.3">
      <c r="A602" s="128"/>
      <c r="B602" s="158"/>
      <c r="C602" s="158"/>
      <c r="D602" s="494" t="s">
        <v>22</v>
      </c>
      <c r="E602" s="40"/>
      <c r="F602" s="40"/>
      <c r="G602" s="42"/>
      <c r="H602" s="372" t="s">
        <v>14</v>
      </c>
      <c r="I602" s="135"/>
      <c r="J602" s="135"/>
      <c r="K602" s="136"/>
      <c r="L602" s="468">
        <f>L603+L604</f>
        <v>0</v>
      </c>
      <c r="M602" s="224">
        <f>M603+M604</f>
        <v>0</v>
      </c>
      <c r="N602" s="224">
        <f>N603+N604</f>
        <v>0</v>
      </c>
      <c r="O602" s="224">
        <f t="shared" si="151"/>
        <v>0</v>
      </c>
      <c r="P602" s="224">
        <f t="shared" si="152"/>
        <v>0</v>
      </c>
      <c r="Q602" s="224">
        <f>Q603+Q604</f>
        <v>0</v>
      </c>
      <c r="R602" s="224">
        <f>R603+R604</f>
        <v>0</v>
      </c>
      <c r="S602" s="224">
        <f>S603+S604</f>
        <v>0</v>
      </c>
      <c r="T602" s="224">
        <f t="shared" si="153"/>
        <v>0</v>
      </c>
      <c r="U602" s="224">
        <f t="shared" si="154"/>
        <v>0</v>
      </c>
    </row>
    <row r="603" spans="1:21" ht="18.75" hidden="1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469">
        <v>0</v>
      </c>
      <c r="M603" s="83">
        <v>0</v>
      </c>
      <c r="N603" s="83">
        <v>0</v>
      </c>
      <c r="O603" s="83">
        <f t="shared" si="151"/>
        <v>0</v>
      </c>
      <c r="P603" s="83">
        <f t="shared" si="152"/>
        <v>0</v>
      </c>
      <c r="Q603" s="83">
        <v>0</v>
      </c>
      <c r="R603" s="83">
        <v>0</v>
      </c>
      <c r="S603" s="83">
        <v>0</v>
      </c>
      <c r="T603" s="83">
        <f t="shared" si="153"/>
        <v>0</v>
      </c>
      <c r="U603" s="83">
        <f t="shared" si="154"/>
        <v>0</v>
      </c>
    </row>
    <row r="604" spans="1:21" ht="18.75" hidden="1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468">
        <v>0</v>
      </c>
      <c r="M604" s="224">
        <v>0</v>
      </c>
      <c r="N604" s="224">
        <v>0</v>
      </c>
      <c r="O604" s="224">
        <f t="shared" si="151"/>
        <v>0</v>
      </c>
      <c r="P604" s="224">
        <f t="shared" si="152"/>
        <v>0</v>
      </c>
      <c r="Q604" s="224">
        <v>0</v>
      </c>
      <c r="R604" s="224">
        <v>0</v>
      </c>
      <c r="S604" s="224">
        <v>0</v>
      </c>
      <c r="T604" s="224">
        <f t="shared" si="153"/>
        <v>0</v>
      </c>
      <c r="U604" s="224">
        <f t="shared" si="154"/>
        <v>0</v>
      </c>
    </row>
    <row r="605" spans="1:21" ht="19.5" hidden="1" x14ac:dyDescent="0.3">
      <c r="A605" s="128"/>
      <c r="B605" s="158"/>
      <c r="C605" s="158"/>
      <c r="D605" s="494" t="s">
        <v>23</v>
      </c>
      <c r="E605" s="158"/>
      <c r="F605" s="40"/>
      <c r="G605" s="42"/>
      <c r="H605" s="374" t="s">
        <v>14</v>
      </c>
      <c r="I605" s="135"/>
      <c r="J605" s="135"/>
      <c r="K605" s="136"/>
      <c r="L605" s="468">
        <f>L606+L607</f>
        <v>0</v>
      </c>
      <c r="M605" s="224">
        <f>M606+M607</f>
        <v>0</v>
      </c>
      <c r="N605" s="224">
        <f>N606+N607</f>
        <v>0</v>
      </c>
      <c r="O605" s="224">
        <f t="shared" si="151"/>
        <v>0</v>
      </c>
      <c r="P605" s="224">
        <f t="shared" si="152"/>
        <v>0</v>
      </c>
      <c r="Q605" s="224">
        <f>Q606+Q607</f>
        <v>0</v>
      </c>
      <c r="R605" s="224">
        <f>R606+R607</f>
        <v>0</v>
      </c>
      <c r="S605" s="224">
        <f>S606+S607</f>
        <v>0</v>
      </c>
      <c r="T605" s="224">
        <f t="shared" si="153"/>
        <v>0</v>
      </c>
      <c r="U605" s="224">
        <f t="shared" si="154"/>
        <v>0</v>
      </c>
    </row>
    <row r="606" spans="1:21" ht="18.75" hidden="1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469">
        <v>0</v>
      </c>
      <c r="M606" s="83">
        <v>0</v>
      </c>
      <c r="N606" s="83">
        <v>0</v>
      </c>
      <c r="O606" s="83">
        <f t="shared" si="151"/>
        <v>0</v>
      </c>
      <c r="P606" s="83">
        <f t="shared" si="152"/>
        <v>0</v>
      </c>
      <c r="Q606" s="83">
        <v>0</v>
      </c>
      <c r="R606" s="83">
        <v>0</v>
      </c>
      <c r="S606" s="83">
        <v>0</v>
      </c>
      <c r="T606" s="83">
        <f t="shared" si="153"/>
        <v>0</v>
      </c>
      <c r="U606" s="83">
        <f t="shared" si="154"/>
        <v>0</v>
      </c>
    </row>
    <row r="607" spans="1:21" ht="18.75" hidden="1" x14ac:dyDescent="0.25">
      <c r="A607" s="128"/>
      <c r="B607" s="158"/>
      <c r="C607" s="158"/>
      <c r="D607" s="40"/>
      <c r="E607" s="314" t="s">
        <v>21</v>
      </c>
      <c r="F607" s="40"/>
      <c r="G607" s="42"/>
      <c r="H607" s="375" t="s">
        <v>14</v>
      </c>
      <c r="I607" s="135"/>
      <c r="J607" s="135"/>
      <c r="K607" s="136"/>
      <c r="L607" s="468">
        <v>0</v>
      </c>
      <c r="M607" s="224">
        <v>0</v>
      </c>
      <c r="N607" s="224">
        <v>0</v>
      </c>
      <c r="O607" s="224">
        <f t="shared" si="151"/>
        <v>0</v>
      </c>
      <c r="P607" s="224">
        <f t="shared" si="152"/>
        <v>0</v>
      </c>
      <c r="Q607" s="224">
        <v>0</v>
      </c>
      <c r="R607" s="224">
        <v>0</v>
      </c>
      <c r="S607" s="224">
        <v>0</v>
      </c>
      <c r="T607" s="224">
        <f t="shared" si="153"/>
        <v>0</v>
      </c>
      <c r="U607" s="224">
        <f t="shared" si="154"/>
        <v>0</v>
      </c>
    </row>
    <row r="608" spans="1:21" ht="19.5" hidden="1" x14ac:dyDescent="0.3">
      <c r="A608" s="138"/>
      <c r="B608" s="139"/>
      <c r="C608" s="177" t="s">
        <v>18</v>
      </c>
      <c r="D608" s="509" t="s">
        <v>38</v>
      </c>
      <c r="E608" s="141"/>
      <c r="F608" s="141"/>
      <c r="G608" s="142"/>
      <c r="H608" s="178"/>
      <c r="I608" s="135"/>
      <c r="J608" s="135"/>
      <c r="K608" s="136"/>
      <c r="L608" s="465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377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465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377" t="s">
        <v>217</v>
      </c>
      <c r="E610" s="145"/>
      <c r="F610" s="145"/>
      <c r="G610" s="143"/>
      <c r="H610" s="372" t="s">
        <v>35</v>
      </c>
      <c r="I610" s="44"/>
      <c r="J610" s="44"/>
      <c r="K610" s="136"/>
      <c r="L610" s="465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377" t="s">
        <v>218</v>
      </c>
      <c r="F611" s="145"/>
      <c r="G611" s="143"/>
      <c r="H611" s="375" t="s">
        <v>35</v>
      </c>
      <c r="I611" s="44"/>
      <c r="J611" s="44"/>
      <c r="K611" s="136"/>
      <c r="L611" s="465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378"/>
      <c r="B612" s="379"/>
      <c r="C612" s="379"/>
      <c r="D612" s="379"/>
      <c r="E612" s="380" t="s">
        <v>219</v>
      </c>
      <c r="F612" s="381"/>
      <c r="G612" s="382"/>
      <c r="H612" s="383" t="s">
        <v>35</v>
      </c>
      <c r="I612" s="384"/>
      <c r="J612" s="384"/>
      <c r="K612" s="385"/>
      <c r="L612" s="508"/>
      <c r="M612" s="386"/>
      <c r="N612" s="386"/>
      <c r="O612" s="386"/>
      <c r="P612" s="386"/>
      <c r="Q612" s="386"/>
      <c r="R612" s="386"/>
      <c r="S612" s="386"/>
      <c r="T612" s="386"/>
      <c r="U612" s="386"/>
    </row>
    <row r="613" spans="1:21" ht="19.5" hidden="1" x14ac:dyDescent="0.3">
      <c r="A613" s="387" t="s">
        <v>220</v>
      </c>
      <c r="B613" s="388"/>
      <c r="C613" s="388"/>
      <c r="D613" s="389"/>
      <c r="E613" s="389"/>
      <c r="F613" s="389"/>
      <c r="G613" s="390"/>
      <c r="H613" s="391"/>
      <c r="I613" s="392"/>
      <c r="J613" s="392"/>
      <c r="K613" s="393"/>
      <c r="L613" s="507"/>
      <c r="M613" s="393"/>
      <c r="N613" s="393"/>
      <c r="O613" s="393"/>
      <c r="P613" s="393"/>
      <c r="Q613" s="393"/>
      <c r="R613" s="393"/>
      <c r="S613" s="393"/>
      <c r="T613" s="393"/>
      <c r="U613" s="393"/>
    </row>
    <row r="614" spans="1:21" ht="19.5" x14ac:dyDescent="0.3">
      <c r="A614" s="394"/>
      <c r="B614" s="395" t="s">
        <v>221</v>
      </c>
      <c r="C614" s="394"/>
      <c r="D614" s="396"/>
      <c r="E614" s="396"/>
      <c r="F614" s="396"/>
      <c r="G614" s="397"/>
      <c r="H614" s="398"/>
      <c r="I614" s="399"/>
      <c r="J614" s="399"/>
      <c r="K614" s="400"/>
      <c r="L614" s="473"/>
      <c r="M614" s="400"/>
      <c r="N614" s="400"/>
      <c r="O614" s="400"/>
      <c r="P614" s="400"/>
      <c r="Q614" s="400"/>
      <c r="R614" s="400"/>
      <c r="S614" s="400"/>
      <c r="T614" s="400"/>
      <c r="U614" s="400"/>
    </row>
    <row r="615" spans="1:21" ht="19.5" x14ac:dyDescent="0.3">
      <c r="A615" s="401"/>
      <c r="B615" s="402" t="s">
        <v>222</v>
      </c>
      <c r="C615" s="401"/>
      <c r="D615" s="403"/>
      <c r="E615" s="403"/>
      <c r="F615" s="403"/>
      <c r="G615" s="404"/>
      <c r="H615" s="405" t="s">
        <v>46</v>
      </c>
      <c r="I615" s="506">
        <f ca="1">I626</f>
        <v>0</v>
      </c>
      <c r="J615" s="506">
        <f>J626</f>
        <v>0</v>
      </c>
      <c r="K615" s="505">
        <f ca="1">IF(I615&gt;0,J615*100/I615,0)</f>
        <v>0</v>
      </c>
      <c r="L615" s="504"/>
      <c r="M615" s="408"/>
      <c r="N615" s="408"/>
      <c r="O615" s="408"/>
      <c r="P615" s="408"/>
      <c r="Q615" s="408"/>
      <c r="R615" s="408"/>
      <c r="S615" s="408"/>
      <c r="T615" s="408"/>
      <c r="U615" s="408"/>
    </row>
    <row r="616" spans="1:21" ht="19.5" x14ac:dyDescent="0.3">
      <c r="A616" s="128"/>
      <c r="B616" s="158"/>
      <c r="C616" s="177" t="s">
        <v>18</v>
      </c>
      <c r="D616" s="821" t="s">
        <v>19</v>
      </c>
      <c r="E616" s="793"/>
      <c r="F616" s="793"/>
      <c r="G616" s="794"/>
      <c r="H616" s="221" t="s">
        <v>14</v>
      </c>
      <c r="I616" s="44"/>
      <c r="J616" s="44"/>
      <c r="K616" s="45"/>
      <c r="L616" s="471">
        <f>L617+L618</f>
        <v>0</v>
      </c>
      <c r="M616" s="470">
        <f>M617+M618</f>
        <v>0</v>
      </c>
      <c r="N616" s="470">
        <f>N617+N618</f>
        <v>0</v>
      </c>
      <c r="O616" s="470">
        <f t="shared" ref="O616:O624" si="157">IF(L616&gt;0,N616*100/L616,0)</f>
        <v>0</v>
      </c>
      <c r="P616" s="470">
        <f t="shared" ref="P616:P624" si="158">IF(M616&gt;0,N616*100/M616,0)</f>
        <v>0</v>
      </c>
      <c r="Q616" s="470">
        <f ca="1">Q617+Q618</f>
        <v>1300</v>
      </c>
      <c r="R616" s="470">
        <f ca="1">R617+R618</f>
        <v>1300</v>
      </c>
      <c r="S616" s="470">
        <f ca="1">S617+S618</f>
        <v>0</v>
      </c>
      <c r="T616" s="470">
        <f t="shared" ref="T616:T624" ca="1" si="159">IF(Q616&gt;0,S616*100/Q616,0)</f>
        <v>0</v>
      </c>
      <c r="U616" s="470">
        <f t="shared" ref="U616:U624" ca="1" si="160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469">
        <f t="shared" ref="L617:N618" si="161">L620+L623</f>
        <v>0</v>
      </c>
      <c r="M617" s="83">
        <f t="shared" si="161"/>
        <v>0</v>
      </c>
      <c r="N617" s="83">
        <f t="shared" si="161"/>
        <v>0</v>
      </c>
      <c r="O617" s="83">
        <f t="shared" si="157"/>
        <v>0</v>
      </c>
      <c r="P617" s="83">
        <f t="shared" si="158"/>
        <v>0</v>
      </c>
      <c r="Q617" s="83">
        <f t="shared" ref="Q617:S618" si="162">Q620+Q623</f>
        <v>0</v>
      </c>
      <c r="R617" s="83">
        <f t="shared" si="162"/>
        <v>0</v>
      </c>
      <c r="S617" s="83">
        <f t="shared" si="162"/>
        <v>0</v>
      </c>
      <c r="T617" s="83">
        <f t="shared" si="159"/>
        <v>0</v>
      </c>
      <c r="U617" s="83">
        <f t="shared" si="160"/>
        <v>0</v>
      </c>
    </row>
    <row r="618" spans="1:21" ht="18.75" hidden="1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468">
        <f t="shared" si="161"/>
        <v>0</v>
      </c>
      <c r="M618" s="224">
        <f t="shared" si="161"/>
        <v>0</v>
      </c>
      <c r="N618" s="224">
        <f t="shared" si="161"/>
        <v>0</v>
      </c>
      <c r="O618" s="224">
        <f t="shared" si="157"/>
        <v>0</v>
      </c>
      <c r="P618" s="224">
        <f t="shared" si="158"/>
        <v>0</v>
      </c>
      <c r="Q618" s="224">
        <f t="shared" ca="1" si="162"/>
        <v>1300</v>
      </c>
      <c r="R618" s="224">
        <f t="shared" ca="1" si="162"/>
        <v>1300</v>
      </c>
      <c r="S618" s="224">
        <f t="shared" ca="1" si="162"/>
        <v>0</v>
      </c>
      <c r="T618" s="224">
        <f t="shared" ca="1" si="159"/>
        <v>0</v>
      </c>
      <c r="U618" s="224">
        <f t="shared" ca="1" si="160"/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468">
        <f>L620+L621</f>
        <v>0</v>
      </c>
      <c r="M619" s="224">
        <f>M620+M621</f>
        <v>0</v>
      </c>
      <c r="N619" s="224">
        <f>N620+N621</f>
        <v>0</v>
      </c>
      <c r="O619" s="224">
        <f t="shared" si="157"/>
        <v>0</v>
      </c>
      <c r="P619" s="224">
        <f t="shared" si="158"/>
        <v>0</v>
      </c>
      <c r="Q619" s="224">
        <f ca="1">Q620+Q621</f>
        <v>1300</v>
      </c>
      <c r="R619" s="224">
        <f ca="1">R620+R621</f>
        <v>1300</v>
      </c>
      <c r="S619" s="224">
        <f ca="1">S620+S621</f>
        <v>0</v>
      </c>
      <c r="T619" s="224">
        <f t="shared" ca="1" si="159"/>
        <v>0</v>
      </c>
      <c r="U619" s="224">
        <f t="shared" ca="1" si="160"/>
        <v>0</v>
      </c>
    </row>
    <row r="620" spans="1:21" ht="18.75" hidden="1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469">
        <v>0</v>
      </c>
      <c r="M620" s="83">
        <v>0</v>
      </c>
      <c r="N620" s="83">
        <v>0</v>
      </c>
      <c r="O620" s="83">
        <f t="shared" si="157"/>
        <v>0</v>
      </c>
      <c r="P620" s="83">
        <f t="shared" si="158"/>
        <v>0</v>
      </c>
      <c r="Q620" s="83">
        <v>0</v>
      </c>
      <c r="R620" s="83">
        <v>0</v>
      </c>
      <c r="S620" s="83">
        <v>0</v>
      </c>
      <c r="T620" s="83">
        <f t="shared" si="159"/>
        <v>0</v>
      </c>
      <c r="U620" s="83">
        <f t="shared" si="160"/>
        <v>0</v>
      </c>
    </row>
    <row r="621" spans="1:21" ht="18.75" hidden="1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468">
        <v>0</v>
      </c>
      <c r="M621" s="224">
        <v>0</v>
      </c>
      <c r="N621" s="224">
        <v>0</v>
      </c>
      <c r="O621" s="224">
        <f t="shared" si="157"/>
        <v>0</v>
      </c>
      <c r="P621" s="224">
        <f t="shared" si="158"/>
        <v>0</v>
      </c>
      <c r="Q621" s="224">
        <f ca="1">IFERROR(__xludf.DUMMYFUNCTION("IMPORTRANGE(""https://docs.google.com/spreadsheets/d/1ItG2mGa2ceCfYo0BwxsXqNm01IGEUdYcSSLTEv9YCik/edit?usp=sharing"",""เบิกจ่ายกองทุน!F21"")"),1300)</f>
        <v>1300</v>
      </c>
      <c r="R621" s="224">
        <f ca="1">IFERROR(__xludf.DUMMYFUNCTION("IMPORTRANGE(""https://docs.google.com/spreadsheets/d/1ItG2mGa2ceCfYo0BwxsXqNm01IGEUdYcSSLTEv9YCik/edit?usp=sharing"",""เบิกจ่ายกองทุน!G21"")"),1300)</f>
        <v>1300</v>
      </c>
      <c r="S621" s="224">
        <f ca="1">IFERROR(__xludf.DUMMYFUNCTION("IMPORTRANGE(""https://docs.google.com/spreadsheets/d/1ItG2mGa2ceCfYo0BwxsXqNm01IGEUdYcSSLTEv9YCik/edit?usp=sharing"",""เบิกจ่ายกองทุน!H21"")"),0)</f>
        <v>0</v>
      </c>
      <c r="T621" s="224">
        <f t="shared" ca="1" si="159"/>
        <v>0</v>
      </c>
      <c r="U621" s="224">
        <f t="shared" ca="1" si="160"/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468">
        <f>L623+L624</f>
        <v>0</v>
      </c>
      <c r="M622" s="224">
        <f>M623+M624</f>
        <v>0</v>
      </c>
      <c r="N622" s="224">
        <f>N623+N624</f>
        <v>0</v>
      </c>
      <c r="O622" s="224">
        <f t="shared" si="157"/>
        <v>0</v>
      </c>
      <c r="P622" s="224">
        <f t="shared" si="158"/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 t="shared" si="159"/>
        <v>0</v>
      </c>
      <c r="U622" s="224">
        <f t="shared" si="160"/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469">
        <v>0</v>
      </c>
      <c r="M623" s="83">
        <v>0</v>
      </c>
      <c r="N623" s="83">
        <v>0</v>
      </c>
      <c r="O623" s="83">
        <f t="shared" si="157"/>
        <v>0</v>
      </c>
      <c r="P623" s="83">
        <f t="shared" si="158"/>
        <v>0</v>
      </c>
      <c r="Q623" s="83">
        <v>0</v>
      </c>
      <c r="R623" s="83">
        <v>0</v>
      </c>
      <c r="S623" s="83">
        <v>0</v>
      </c>
      <c r="T623" s="83">
        <f t="shared" si="159"/>
        <v>0</v>
      </c>
      <c r="U623" s="83">
        <f t="shared" si="160"/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468">
        <v>0</v>
      </c>
      <c r="M624" s="224">
        <v>0</v>
      </c>
      <c r="N624" s="224">
        <v>0</v>
      </c>
      <c r="O624" s="224">
        <f t="shared" si="157"/>
        <v>0</v>
      </c>
      <c r="P624" s="224">
        <f t="shared" si="158"/>
        <v>0</v>
      </c>
      <c r="Q624" s="224">
        <v>0</v>
      </c>
      <c r="R624" s="224">
        <v>0</v>
      </c>
      <c r="S624" s="224">
        <v>0</v>
      </c>
      <c r="T624" s="224">
        <f t="shared" si="159"/>
        <v>0</v>
      </c>
      <c r="U624" s="224">
        <f t="shared" si="160"/>
        <v>0</v>
      </c>
    </row>
    <row r="625" spans="1:21" ht="19.5" x14ac:dyDescent="0.3">
      <c r="A625" s="138"/>
      <c r="B625" s="139"/>
      <c r="C625" s="177" t="s">
        <v>18</v>
      </c>
      <c r="D625" s="467" t="s">
        <v>38</v>
      </c>
      <c r="E625" s="141"/>
      <c r="F625" s="141"/>
      <c r="G625" s="142"/>
      <c r="H625" s="178"/>
      <c r="I625" s="135"/>
      <c r="J625" s="135"/>
      <c r="K625" s="136"/>
      <c r="L625" s="4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10" t="s">
        <v>223</v>
      </c>
      <c r="E626" s="145"/>
      <c r="F626" s="145"/>
      <c r="G626" s="143"/>
      <c r="H626" s="411" t="s">
        <v>46</v>
      </c>
      <c r="I626" s="328">
        <f ca="1">IFERROR(__xludf.DUMMYFUNCTION("IMPORTRANGE(""https://docs.google.com/spreadsheets/d/1eHaY18a8A9IcSdp1K8H6x8fbOy06t2VsZHhMHf-1x7Y/edit?usp=sharing"",""แผน!ID21"")"),0)</f>
        <v>0</v>
      </c>
      <c r="J626" s="328">
        <f>J632</f>
        <v>0</v>
      </c>
      <c r="K626" s="470">
        <f ca="1">IF(I626&gt;0,J626*100/I626,0)</f>
        <v>0</v>
      </c>
      <c r="L626" s="4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IFERROR(__xludf.DUMMYFUNCTION("IMPORTRANGE(""https://docs.google.com/spreadsheets/d/1eHaY18a8A9IcSdp1K8H6x8fbOy06t2VsZHhMHf-1x7Y/edit?usp=sharing"",""แผน!IC21"")"),0)</f>
        <v>0</v>
      </c>
      <c r="J627" s="466">
        <v>0</v>
      </c>
      <c r="K627" s="224">
        <f ca="1">IF(I627&gt;0,(J627*100)/I627,0)</f>
        <v>0</v>
      </c>
      <c r="L627" s="4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IFERROR(__xludf.DUMMYFUNCTION("IMPORTRANGE(""https://docs.google.com/spreadsheets/d/1eHaY18a8A9IcSdp1K8H6x8fbOy06t2VsZHhMHf-1x7Y/edit?usp=sharing"",""แผน!IC21"")"),0)</f>
        <v>0</v>
      </c>
      <c r="J628" s="466">
        <v>0</v>
      </c>
      <c r="K628" s="224">
        <f ca="1">IF(I628&gt;0,(J628*100)/I628,0)</f>
        <v>0</v>
      </c>
      <c r="L628" s="4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466">
        <v>0</v>
      </c>
      <c r="K629" s="224">
        <f ca="1">IF(I$626&gt;0,J629*100/I$626,0)</f>
        <v>0</v>
      </c>
      <c r="L629" s="4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466">
        <v>0</v>
      </c>
      <c r="K630" s="224">
        <f ca="1">IF(I$626&gt;0,J630*100/I$626,0)</f>
        <v>0</v>
      </c>
      <c r="L630" s="4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466">
        <v>0</v>
      </c>
      <c r="K631" s="224">
        <f ca="1">IF(I$626&gt;0,J631*100/I$626,0)</f>
        <v>0</v>
      </c>
      <c r="L631" s="4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470">
        <f ca="1">IF(I626&gt;0,J632*100/I626,0)</f>
        <v>0</v>
      </c>
      <c r="L632" s="4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466">
        <v>0</v>
      </c>
      <c r="K633" s="45"/>
      <c r="L633" s="4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466">
        <v>0</v>
      </c>
      <c r="K634" s="45"/>
      <c r="L634" s="4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10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IFERROR(__xludf.DUMMYFUNCTION("IMPORTRANGE(""https://docs.google.com/spreadsheets/d/1eHaY18a8A9IcSdp1K8H6x8fbOy06t2VsZHhMHf-1x7Y/edit?usp=sharing"",""แผน!IE21"")"),0)</f>
        <v>0</v>
      </c>
      <c r="J635" s="328">
        <f>J636</f>
        <v>0</v>
      </c>
      <c r="K635" s="470">
        <f ca="1">IF(I635&gt;0,J635*100/I635,0)</f>
        <v>0</v>
      </c>
      <c r="L635" s="4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4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466">
        <v>0</v>
      </c>
      <c r="K637" s="45"/>
      <c r="L637" s="4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466">
        <v>0</v>
      </c>
      <c r="K638" s="45"/>
      <c r="L638" s="4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466">
        <v>0</v>
      </c>
      <c r="K639" s="45"/>
      <c r="L639" s="4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466">
        <v>0</v>
      </c>
      <c r="K640" s="45"/>
      <c r="L640" s="4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01"/>
      <c r="B641" s="402" t="s">
        <v>236</v>
      </c>
      <c r="C641" s="401"/>
      <c r="D641" s="403"/>
      <c r="E641" s="403"/>
      <c r="F641" s="403"/>
      <c r="G641" s="404"/>
      <c r="H641" s="412"/>
      <c r="I641" s="413"/>
      <c r="J641" s="413"/>
      <c r="K641" s="408"/>
      <c r="L641" s="504"/>
      <c r="M641" s="408"/>
      <c r="N641" s="408"/>
      <c r="O641" s="408"/>
      <c r="P641" s="408"/>
      <c r="Q641" s="408"/>
      <c r="R641" s="408"/>
      <c r="S641" s="408"/>
      <c r="T641" s="408"/>
      <c r="U641" s="408"/>
    </row>
    <row r="642" spans="1:21" ht="19.5" x14ac:dyDescent="0.3">
      <c r="A642" s="128"/>
      <c r="B642" s="158"/>
      <c r="C642" s="209" t="s">
        <v>18</v>
      </c>
      <c r="D642" s="821" t="s">
        <v>19</v>
      </c>
      <c r="E642" s="793"/>
      <c r="F642" s="793"/>
      <c r="G642" s="794"/>
      <c r="H642" s="221" t="s">
        <v>14</v>
      </c>
      <c r="I642" s="44"/>
      <c r="J642" s="44"/>
      <c r="K642" s="45"/>
      <c r="L642" s="471">
        <f>L643+L644</f>
        <v>0</v>
      </c>
      <c r="M642" s="470">
        <f>M643+M644</f>
        <v>0</v>
      </c>
      <c r="N642" s="470">
        <f>N643+N644</f>
        <v>0</v>
      </c>
      <c r="O642" s="470">
        <f t="shared" ref="O642:O650" si="163">IF(L642&gt;0,N642*100/L642,0)</f>
        <v>0</v>
      </c>
      <c r="P642" s="470">
        <f t="shared" ref="P642:P650" si="164">IF(M642&gt;0,N642*100/M642,0)</f>
        <v>0</v>
      </c>
      <c r="Q642" s="470">
        <f ca="1">Q643+Q644</f>
        <v>8760</v>
      </c>
      <c r="R642" s="470">
        <f ca="1">R643+R644</f>
        <v>8760</v>
      </c>
      <c r="S642" s="470">
        <f ca="1">S643+S644</f>
        <v>3355</v>
      </c>
      <c r="T642" s="470">
        <f t="shared" ref="T642:T650" ca="1" si="165">IF(Q642&gt;0,S642*100/Q642,0)</f>
        <v>38.299086757990871</v>
      </c>
      <c r="U642" s="470">
        <f t="shared" ref="U642:U650" ca="1" si="166">IF(R642&gt;0,S642*100/R642,0)</f>
        <v>38.299086757990871</v>
      </c>
    </row>
    <row r="643" spans="1:21" ht="18.75" hidden="1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469">
        <f t="shared" ref="L643:N644" si="167">L646+L649</f>
        <v>0</v>
      </c>
      <c r="M643" s="83">
        <f t="shared" si="167"/>
        <v>0</v>
      </c>
      <c r="N643" s="83">
        <f t="shared" si="167"/>
        <v>0</v>
      </c>
      <c r="O643" s="83">
        <f t="shared" si="163"/>
        <v>0</v>
      </c>
      <c r="P643" s="83">
        <f t="shared" si="164"/>
        <v>0</v>
      </c>
      <c r="Q643" s="83">
        <f t="shared" ref="Q643:S644" si="168">Q646+Q649</f>
        <v>0</v>
      </c>
      <c r="R643" s="83">
        <f t="shared" si="168"/>
        <v>0</v>
      </c>
      <c r="S643" s="83">
        <f t="shared" si="168"/>
        <v>0</v>
      </c>
      <c r="T643" s="83">
        <f t="shared" si="165"/>
        <v>0</v>
      </c>
      <c r="U643" s="83">
        <f t="shared" si="166"/>
        <v>0</v>
      </c>
    </row>
    <row r="644" spans="1:21" ht="18.75" hidden="1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468">
        <f t="shared" si="167"/>
        <v>0</v>
      </c>
      <c r="M644" s="224">
        <f t="shared" si="167"/>
        <v>0</v>
      </c>
      <c r="N644" s="224">
        <f t="shared" si="167"/>
        <v>0</v>
      </c>
      <c r="O644" s="224">
        <f t="shared" si="163"/>
        <v>0</v>
      </c>
      <c r="P644" s="224">
        <f t="shared" si="164"/>
        <v>0</v>
      </c>
      <c r="Q644" s="224">
        <f t="shared" ca="1" si="168"/>
        <v>8760</v>
      </c>
      <c r="R644" s="224">
        <f t="shared" ca="1" si="168"/>
        <v>8760</v>
      </c>
      <c r="S644" s="224">
        <f t="shared" ca="1" si="168"/>
        <v>3355</v>
      </c>
      <c r="T644" s="224">
        <f t="shared" ca="1" si="165"/>
        <v>38.299086757990871</v>
      </c>
      <c r="U644" s="224">
        <f t="shared" ca="1" si="166"/>
        <v>38.299086757990871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468">
        <f>L646+L647</f>
        <v>0</v>
      </c>
      <c r="M645" s="224">
        <f>M646+M647</f>
        <v>0</v>
      </c>
      <c r="N645" s="224">
        <f>N646+N647</f>
        <v>0</v>
      </c>
      <c r="O645" s="224">
        <f t="shared" si="163"/>
        <v>0</v>
      </c>
      <c r="P645" s="224">
        <f t="shared" si="164"/>
        <v>0</v>
      </c>
      <c r="Q645" s="224">
        <f ca="1">Q646+Q647</f>
        <v>8760</v>
      </c>
      <c r="R645" s="224">
        <f ca="1">R646+R647</f>
        <v>8760</v>
      </c>
      <c r="S645" s="224">
        <f ca="1">S646+S647</f>
        <v>3355</v>
      </c>
      <c r="T645" s="224">
        <f t="shared" ca="1" si="165"/>
        <v>38.299086757990871</v>
      </c>
      <c r="U645" s="224">
        <f t="shared" ca="1" si="166"/>
        <v>38.299086757990871</v>
      </c>
    </row>
    <row r="646" spans="1:21" ht="18.75" hidden="1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469">
        <v>0</v>
      </c>
      <c r="M646" s="83">
        <v>0</v>
      </c>
      <c r="N646" s="83">
        <v>0</v>
      </c>
      <c r="O646" s="83">
        <f t="shared" si="163"/>
        <v>0</v>
      </c>
      <c r="P646" s="83">
        <f t="shared" si="164"/>
        <v>0</v>
      </c>
      <c r="Q646" s="83">
        <v>0</v>
      </c>
      <c r="R646" s="83">
        <v>0</v>
      </c>
      <c r="S646" s="83">
        <v>0</v>
      </c>
      <c r="T646" s="83">
        <f t="shared" si="165"/>
        <v>0</v>
      </c>
      <c r="U646" s="83">
        <f t="shared" si="166"/>
        <v>0</v>
      </c>
    </row>
    <row r="647" spans="1:21" ht="18.75" hidden="1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468">
        <v>0</v>
      </c>
      <c r="M647" s="224">
        <v>0</v>
      </c>
      <c r="N647" s="224">
        <v>0</v>
      </c>
      <c r="O647" s="224">
        <f t="shared" si="163"/>
        <v>0</v>
      </c>
      <c r="P647" s="224">
        <f t="shared" si="164"/>
        <v>0</v>
      </c>
      <c r="Q647" s="224">
        <f ca="1">IFERROR(__xludf.DUMMYFUNCTION("IMPORTRANGE(""https://docs.google.com/spreadsheets/d/1ItG2mGa2ceCfYo0BwxsXqNm01IGEUdYcSSLTEv9YCik/edit?usp=sharing"",""เบิกจ่ายกองทุน!I21"")"),8760)</f>
        <v>8760</v>
      </c>
      <c r="R647" s="224">
        <f ca="1">IFERROR(__xludf.DUMMYFUNCTION("IMPORTRANGE(""https://docs.google.com/spreadsheets/d/1ItG2mGa2ceCfYo0BwxsXqNm01IGEUdYcSSLTEv9YCik/edit?usp=sharing"",""เบิกจ่ายกองทุน!J21"")"),8760)</f>
        <v>8760</v>
      </c>
      <c r="S647" s="224">
        <f ca="1">IFERROR(__xludf.DUMMYFUNCTION("IMPORTRANGE(""https://docs.google.com/spreadsheets/d/1ItG2mGa2ceCfYo0BwxsXqNm01IGEUdYcSSLTEv9YCik/edit?usp=sharing"",""เบิกจ่ายกองทุน!K21"")"),3355)</f>
        <v>3355</v>
      </c>
      <c r="T647" s="224">
        <f t="shared" ca="1" si="165"/>
        <v>38.299086757990871</v>
      </c>
      <c r="U647" s="224">
        <f t="shared" ca="1" si="166"/>
        <v>38.299086757990871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468">
        <f>L649+L650</f>
        <v>0</v>
      </c>
      <c r="M648" s="224">
        <f>M649+M650</f>
        <v>0</v>
      </c>
      <c r="N648" s="224">
        <f>N649+N650</f>
        <v>0</v>
      </c>
      <c r="O648" s="224">
        <f t="shared" si="163"/>
        <v>0</v>
      </c>
      <c r="P648" s="224">
        <f t="shared" si="164"/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 t="shared" si="165"/>
        <v>0</v>
      </c>
      <c r="U648" s="224">
        <f t="shared" si="166"/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469">
        <v>0</v>
      </c>
      <c r="M649" s="83">
        <v>0</v>
      </c>
      <c r="N649" s="83">
        <v>0</v>
      </c>
      <c r="O649" s="83">
        <f t="shared" si="163"/>
        <v>0</v>
      </c>
      <c r="P649" s="83">
        <f t="shared" si="164"/>
        <v>0</v>
      </c>
      <c r="Q649" s="83">
        <v>0</v>
      </c>
      <c r="R649" s="83">
        <v>0</v>
      </c>
      <c r="S649" s="83">
        <v>0</v>
      </c>
      <c r="T649" s="83">
        <f t="shared" si="165"/>
        <v>0</v>
      </c>
      <c r="U649" s="83">
        <f t="shared" si="166"/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468">
        <v>0</v>
      </c>
      <c r="M650" s="224">
        <v>0</v>
      </c>
      <c r="N650" s="224">
        <v>0</v>
      </c>
      <c r="O650" s="224">
        <f t="shared" si="163"/>
        <v>0</v>
      </c>
      <c r="P650" s="224">
        <f t="shared" si="164"/>
        <v>0</v>
      </c>
      <c r="Q650" s="224">
        <v>0</v>
      </c>
      <c r="R650" s="224">
        <v>0</v>
      </c>
      <c r="S650" s="224">
        <v>0</v>
      </c>
      <c r="T650" s="224">
        <f t="shared" si="165"/>
        <v>0</v>
      </c>
      <c r="U650" s="224">
        <f t="shared" si="166"/>
        <v>0</v>
      </c>
    </row>
    <row r="651" spans="1:21" ht="19.5" x14ac:dyDescent="0.3">
      <c r="A651" s="138"/>
      <c r="B651" s="139"/>
      <c r="C651" s="209" t="s">
        <v>18</v>
      </c>
      <c r="D651" s="503" t="s">
        <v>38</v>
      </c>
      <c r="E651" s="141"/>
      <c r="F651" s="141"/>
      <c r="G651" s="142"/>
      <c r="H651" s="178"/>
      <c r="I651" s="135"/>
      <c r="J651" s="135"/>
      <c r="K651" s="136"/>
      <c r="L651" s="4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502">
        <f ca="1">IFERROR(__xludf.DUMMYFUNCTION("IMPORTRANGE(""https://docs.google.com/spreadsheets/d/1eHaY18a8A9IcSdp1K8H6x8fbOy06t2VsZHhMHf-1x7Y/edit?usp=sharing"",""แผน!IF21"")"),0)</f>
        <v>0</v>
      </c>
      <c r="J652" s="184">
        <f ca="1">IFERROR(__xludf.DUMMYFUNCTION("IMPORTRANGE(""https://docs.google.com/spreadsheets/d/1tdoBKaGub7dwA3U6UFTqxio9LNnvDCQjHKmttSEBsFQ/edit?usp=sharing"",""จัดที่ดิน!AU21"")"),0)</f>
        <v>0</v>
      </c>
      <c r="K652" s="224">
        <f ca="1">IF(I652&gt;0,J652*100/I652,0)</f>
        <v>0</v>
      </c>
      <c r="L652" s="465"/>
      <c r="M652" s="45"/>
      <c r="N652" s="416"/>
      <c r="O652" s="45"/>
      <c r="P652" s="45"/>
      <c r="Q652" s="45"/>
      <c r="R652" s="45"/>
      <c r="S652" s="416"/>
      <c r="T652" s="45"/>
      <c r="U652" s="45"/>
    </row>
    <row r="653" spans="1:21" ht="18.75" hidden="1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502">
        <f ca="1">IFERROR(__xludf.DUMMYFUNCTION("IMPORTRANGE(""https://docs.google.com/spreadsheets/d/1eHaY18a8A9IcSdp1K8H6x8fbOy06t2VsZHhMHf-1x7Y/edit?usp=sharing"",""แผน!IG21"")"),0)</f>
        <v>0</v>
      </c>
      <c r="J653" s="184">
        <f ca="1">IFERROR(__xludf.DUMMYFUNCTION("IMPORTRANGE(""https://docs.google.com/spreadsheets/d/1tdoBKaGub7dwA3U6UFTqxio9LNnvDCQjHKmttSEBsFQ/edit?usp=sharing"",""จัดที่ดิน!AW21"")"),0)</f>
        <v>0</v>
      </c>
      <c r="K653" s="224">
        <f ca="1">IF(I653&gt;0,J653*100/I653,0)</f>
        <v>0</v>
      </c>
      <c r="L653" s="465"/>
      <c r="M653" s="45"/>
      <c r="N653" s="416"/>
      <c r="O653" s="45"/>
      <c r="P653" s="45"/>
      <c r="Q653" s="45"/>
      <c r="R653" s="45"/>
      <c r="S653" s="416"/>
      <c r="T653" s="45"/>
      <c r="U653" s="45"/>
    </row>
    <row r="654" spans="1:21" ht="19.5" x14ac:dyDescent="0.3">
      <c r="A654" s="208"/>
      <c r="B654" s="158"/>
      <c r="C654" s="158"/>
      <c r="D654" s="47" t="s">
        <v>239</v>
      </c>
      <c r="E654" s="40"/>
      <c r="F654" s="40"/>
      <c r="G654" s="42"/>
      <c r="H654" s="411" t="s">
        <v>46</v>
      </c>
      <c r="I654" s="501">
        <f ca="1">IFERROR(__xludf.DUMMYFUNCTION("IMPORTRANGE(""https://docs.google.com/spreadsheets/d/1eHaY18a8A9IcSdp1K8H6x8fbOy06t2VsZHhMHf-1x7Y/edit?usp=sharing"",""แผน!IH21"")"),30)</f>
        <v>30</v>
      </c>
      <c r="J654" s="328">
        <f>J657+J660</f>
        <v>55.77</v>
      </c>
      <c r="K654" s="470">
        <f ca="1">IF(I654&gt;0,J654*100/I654,0)</f>
        <v>185.9</v>
      </c>
      <c r="L654" s="465"/>
      <c r="M654" s="45"/>
      <c r="N654" s="416"/>
      <c r="O654" s="45"/>
      <c r="P654" s="45"/>
      <c r="Q654" s="45"/>
      <c r="R654" s="45"/>
      <c r="S654" s="416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466">
        <v>0</v>
      </c>
      <c r="K655" s="45"/>
      <c r="L655" s="465"/>
      <c r="M655" s="45"/>
      <c r="N655" s="416"/>
      <c r="O655" s="45"/>
      <c r="P655" s="45"/>
      <c r="Q655" s="45"/>
      <c r="R655" s="45"/>
      <c r="S655" s="416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466">
        <v>0</v>
      </c>
      <c r="K656" s="45"/>
      <c r="L656" s="465"/>
      <c r="M656" s="45"/>
      <c r="N656" s="416"/>
      <c r="O656" s="45"/>
      <c r="P656" s="45"/>
      <c r="Q656" s="45"/>
      <c r="R656" s="45"/>
      <c r="S656" s="416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02">
        <f ca="1">IFERROR(__xludf.DUMMYFUNCTION("IMPORTRANGE(""https://docs.google.com/spreadsheets/d/1eHaY18a8A9IcSdp1K8H6x8fbOy06t2VsZHhMHf-1x7Y/edit?usp=sharing"",""แผน!II21"")"),10)</f>
        <v>10</v>
      </c>
      <c r="J657" s="466">
        <v>0</v>
      </c>
      <c r="K657" s="45"/>
      <c r="L657" s="465"/>
      <c r="M657" s="45"/>
      <c r="N657" s="416"/>
      <c r="O657" s="45"/>
      <c r="P657" s="45"/>
      <c r="Q657" s="45"/>
      <c r="R657" s="45"/>
      <c r="S657" s="416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466">
        <v>3</v>
      </c>
      <c r="K658" s="45"/>
      <c r="L658" s="465"/>
      <c r="M658" s="45"/>
      <c r="N658" s="416"/>
      <c r="O658" s="45"/>
      <c r="P658" s="45"/>
      <c r="Q658" s="45"/>
      <c r="R658" s="45"/>
      <c r="S658" s="416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466">
        <v>3</v>
      </c>
      <c r="K659" s="45"/>
      <c r="L659" s="465"/>
      <c r="M659" s="45"/>
      <c r="N659" s="416"/>
      <c r="O659" s="45"/>
      <c r="P659" s="45"/>
      <c r="Q659" s="45"/>
      <c r="R659" s="45"/>
      <c r="S659" s="416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02">
        <f ca="1">IFERROR(__xludf.DUMMYFUNCTION("IMPORTRANGE(""https://docs.google.com/spreadsheets/d/1eHaY18a8A9IcSdp1K8H6x8fbOy06t2VsZHhMHf-1x7Y/edit?usp=sharing"",""แผน!IJ21"")"),20)</f>
        <v>20</v>
      </c>
      <c r="J660" s="790">
        <v>55.77</v>
      </c>
      <c r="K660" s="45"/>
      <c r="L660" s="465"/>
      <c r="M660" s="45"/>
      <c r="N660" s="416"/>
      <c r="O660" s="45"/>
      <c r="P660" s="45"/>
      <c r="Q660" s="45"/>
      <c r="R660" s="45"/>
      <c r="S660" s="416"/>
      <c r="T660" s="45"/>
      <c r="U660" s="45"/>
    </row>
    <row r="661" spans="1:21" ht="19.5" x14ac:dyDescent="0.3">
      <c r="A661" s="208"/>
      <c r="B661" s="158"/>
      <c r="C661" s="158"/>
      <c r="D661" s="332" t="s">
        <v>242</v>
      </c>
      <c r="E661" s="40"/>
      <c r="F661" s="40"/>
      <c r="G661" s="42"/>
      <c r="H661" s="411" t="s">
        <v>46</v>
      </c>
      <c r="I661" s="501">
        <f ca="1">IFERROR(__xludf.DUMMYFUNCTION("IMPORTRANGE(""https://docs.google.com/spreadsheets/d/1eHaY18a8A9IcSdp1K8H6x8fbOy06t2VsZHhMHf-1x7Y/edit?usp=sharing"",""แผน!IK21"")"),19)</f>
        <v>19</v>
      </c>
      <c r="J661" s="328">
        <f>J667+J670</f>
        <v>0</v>
      </c>
      <c r="K661" s="470">
        <f ca="1">IF(I661&gt;0,J661*100/I661,0)</f>
        <v>0</v>
      </c>
      <c r="L661" s="465"/>
      <c r="M661" s="45"/>
      <c r="N661" s="416"/>
      <c r="O661" s="45"/>
      <c r="P661" s="45"/>
      <c r="Q661" s="45"/>
      <c r="R661" s="45"/>
      <c r="S661" s="416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466">
        <v>0</v>
      </c>
      <c r="K662" s="45"/>
      <c r="L662" s="500"/>
      <c r="M662" s="45"/>
      <c r="N662" s="416"/>
      <c r="O662" s="45"/>
      <c r="P662" s="45"/>
      <c r="Q662" s="416"/>
      <c r="R662" s="45"/>
      <c r="S662" s="416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466">
        <v>0</v>
      </c>
      <c r="K663" s="45"/>
      <c r="L663" s="500"/>
      <c r="M663" s="45"/>
      <c r="N663" s="416"/>
      <c r="O663" s="45"/>
      <c r="P663" s="45"/>
      <c r="Q663" s="416"/>
      <c r="R663" s="45"/>
      <c r="S663" s="416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500"/>
      <c r="M664" s="45"/>
      <c r="N664" s="416"/>
      <c r="O664" s="45"/>
      <c r="P664" s="45"/>
      <c r="Q664" s="416"/>
      <c r="R664" s="45"/>
      <c r="S664" s="416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466">
        <v>0</v>
      </c>
      <c r="K665" s="45"/>
      <c r="L665" s="500"/>
      <c r="M665" s="45"/>
      <c r="N665" s="416"/>
      <c r="O665" s="45"/>
      <c r="P665" s="45"/>
      <c r="Q665" s="416"/>
      <c r="R665" s="45"/>
      <c r="S665" s="416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466">
        <v>0</v>
      </c>
      <c r="K666" s="45"/>
      <c r="L666" s="500"/>
      <c r="M666" s="45"/>
      <c r="N666" s="416"/>
      <c r="O666" s="45"/>
      <c r="P666" s="45"/>
      <c r="Q666" s="416"/>
      <c r="R666" s="45"/>
      <c r="S666" s="416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466">
        <v>0</v>
      </c>
      <c r="K667" s="45"/>
      <c r="L667" s="500"/>
      <c r="M667" s="45"/>
      <c r="N667" s="416"/>
      <c r="O667" s="45"/>
      <c r="P667" s="45"/>
      <c r="Q667" s="416"/>
      <c r="R667" s="45"/>
      <c r="S667" s="416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466">
        <v>0</v>
      </c>
      <c r="K668" s="45"/>
      <c r="L668" s="500"/>
      <c r="M668" s="45"/>
      <c r="N668" s="416"/>
      <c r="O668" s="45"/>
      <c r="P668" s="45"/>
      <c r="Q668" s="416"/>
      <c r="R668" s="45"/>
      <c r="S668" s="416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466">
        <v>0</v>
      </c>
      <c r="K669" s="45"/>
      <c r="L669" s="500"/>
      <c r="M669" s="45"/>
      <c r="N669" s="416"/>
      <c r="O669" s="45"/>
      <c r="P669" s="45"/>
      <c r="Q669" s="416"/>
      <c r="R669" s="45"/>
      <c r="S669" s="416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466">
        <v>0</v>
      </c>
      <c r="K670" s="45"/>
      <c r="L670" s="500"/>
      <c r="M670" s="45"/>
      <c r="N670" s="416"/>
      <c r="O670" s="45"/>
      <c r="P670" s="45"/>
      <c r="Q670" s="416"/>
      <c r="R670" s="45"/>
      <c r="S670" s="416"/>
      <c r="T670" s="45"/>
      <c r="U670" s="45"/>
    </row>
    <row r="671" spans="1:21" ht="18.75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IFERROR(__xludf.DUMMYFUNCTION("IMPORTRANGE(""https://docs.google.com/spreadsheets/d/1tdoBKaGub7dwA3U6UFTqxio9LNnvDCQjHKmttSEBsFQ/edit?usp=sharing"",""จัดที่ดิน!AY21"")"),0)</f>
        <v>0</v>
      </c>
      <c r="K671" s="45"/>
      <c r="L671" s="465"/>
      <c r="M671" s="45"/>
      <c r="N671" s="416"/>
      <c r="O671" s="45"/>
      <c r="P671" s="45"/>
      <c r="Q671" s="45"/>
      <c r="R671" s="45"/>
      <c r="S671" s="416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IFERROR(__xludf.DUMMYFUNCTION("IMPORTRANGE(""https://docs.google.com/spreadsheets/d/1tdoBKaGub7dwA3U6UFTqxio9LNnvDCQjHKmttSEBsFQ/edit?usp=sharing"",""จัดที่ดิน!AZ21"")"),0)</f>
        <v>0</v>
      </c>
      <c r="K672" s="45"/>
      <c r="L672" s="500"/>
      <c r="M672" s="45"/>
      <c r="N672" s="416"/>
      <c r="O672" s="45"/>
      <c r="P672" s="45"/>
      <c r="Q672" s="416"/>
      <c r="R672" s="45"/>
      <c r="S672" s="416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02">
        <f ca="1">IFERROR(__xludf.DUMMYFUNCTION("IMPORTRANGE(""https://docs.google.com/spreadsheets/d/1eHaY18a8A9IcSdp1K8H6x8fbOy06t2VsZHhMHf-1x7Y/edit?usp=sharing"",""แผน!IL21"")"),20)</f>
        <v>20</v>
      </c>
      <c r="J673" s="184">
        <f ca="1">IFERROR(__xludf.DUMMYFUNCTION("IMPORTRANGE(""https://docs.google.com/spreadsheets/d/1tdoBKaGub7dwA3U6UFTqxio9LNnvDCQjHKmttSEBsFQ/edit?usp=sharing"",""จัดที่ดิน!BA21"")"),0)</f>
        <v>0</v>
      </c>
      <c r="K673" s="224">
        <f ca="1">IF(I673&gt;0,J673*100/I673,0)</f>
        <v>0</v>
      </c>
      <c r="L673" s="500"/>
      <c r="M673" s="45"/>
      <c r="N673" s="416"/>
      <c r="O673" s="45"/>
      <c r="P673" s="45"/>
      <c r="Q673" s="416"/>
      <c r="R673" s="45"/>
      <c r="S673" s="416"/>
      <c r="T673" s="45"/>
      <c r="U673" s="45"/>
    </row>
    <row r="674" spans="1:21" ht="19.5" x14ac:dyDescent="0.3">
      <c r="A674" s="208"/>
      <c r="B674" s="158"/>
      <c r="C674" s="158"/>
      <c r="D674" s="47" t="s">
        <v>248</v>
      </c>
      <c r="E674" s="40"/>
      <c r="F674" s="40"/>
      <c r="G674" s="42"/>
      <c r="H674" s="411" t="s">
        <v>35</v>
      </c>
      <c r="I674" s="501">
        <f ca="1">IFERROR(__xludf.DUMMYFUNCTION("IMPORTRANGE(""https://docs.google.com/spreadsheets/d/1eHaY18a8A9IcSdp1K8H6x8fbOy06t2VsZHhMHf-1x7Y/edit?usp=sharing"",""แผน!IM21"")"),10)</f>
        <v>10</v>
      </c>
      <c r="J674" s="328">
        <f ca="1">J676+J679</f>
        <v>5</v>
      </c>
      <c r="K674" s="470">
        <f ca="1">IF(I674&gt;0,J674*100/I674,0)</f>
        <v>50</v>
      </c>
      <c r="L674" s="500"/>
      <c r="M674" s="45"/>
      <c r="N674" s="416"/>
      <c r="O674" s="45"/>
      <c r="P674" s="45"/>
      <c r="Q674" s="416"/>
      <c r="R674" s="45"/>
      <c r="S674" s="416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11" t="s">
        <v>46</v>
      </c>
      <c r="I675" s="501">
        <f ca="1">IFERROR(__xludf.DUMMYFUNCTION("IMPORTRANGE(""https://docs.google.com/spreadsheets/d/1eHaY18a8A9IcSdp1K8H6x8fbOy06t2VsZHhMHf-1x7Y/edit?usp=sharing"",""แผน!IN21"")"),100)</f>
        <v>100</v>
      </c>
      <c r="J675" s="328">
        <f ca="1">J678+J681</f>
        <v>116.54</v>
      </c>
      <c r="K675" s="470">
        <f ca="1">IF(I675&gt;0,J675*100/I675,0)</f>
        <v>116.54</v>
      </c>
      <c r="L675" s="465"/>
      <c r="M675" s="45"/>
      <c r="N675" s="416"/>
      <c r="O675" s="45"/>
      <c r="P675" s="45"/>
      <c r="Q675" s="45"/>
      <c r="R675" s="45"/>
      <c r="S675" s="416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502">
        <f ca="1">IFERROR(__xludf.DUMMYFUNCTION("IMPORTRANGE(""https://docs.google.com/spreadsheets/d/1eHaY18a8A9IcSdp1K8H6x8fbOy06t2VsZHhMHf-1x7Y/edit?usp=sharing"",""แผน!IO21"")"),6)</f>
        <v>6</v>
      </c>
      <c r="J676" s="184">
        <f ca="1">IFERROR(__xludf.DUMMYFUNCTION("IMPORTRANGE(""https://docs.google.com/spreadsheets/d/1tdoBKaGub7dwA3U6UFTqxio9LNnvDCQjHKmttSEBsFQ/edit?usp=sharing"",""จัดที่ดิน!BF21"")"),5)</f>
        <v>5</v>
      </c>
      <c r="K676" s="224">
        <f ca="1">IF(I676&gt;0,J676*100/I676,0)</f>
        <v>83.333333333333329</v>
      </c>
      <c r="L676" s="465"/>
      <c r="M676" s="45"/>
      <c r="N676" s="416"/>
      <c r="O676" s="45"/>
      <c r="P676" s="45"/>
      <c r="Q676" s="45"/>
      <c r="R676" s="45"/>
      <c r="S676" s="416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IFERROR(__xludf.DUMMYFUNCTION("IMPORTRANGE(""https://docs.google.com/spreadsheets/d/1tdoBKaGub7dwA3U6UFTqxio9LNnvDCQjHKmttSEBsFQ/edit?usp=sharing"",""จัดที่ดิน!BG21"")"),6)</f>
        <v>6</v>
      </c>
      <c r="K677" s="45"/>
      <c r="L677" s="500"/>
      <c r="M677" s="45"/>
      <c r="N677" s="416"/>
      <c r="O677" s="45"/>
      <c r="P677" s="45"/>
      <c r="Q677" s="416"/>
      <c r="R677" s="45"/>
      <c r="S677" s="416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02">
        <f ca="1">IFERROR(__xludf.DUMMYFUNCTION("IMPORTRANGE(""https://docs.google.com/spreadsheets/d/1eHaY18a8A9IcSdp1K8H6x8fbOy06t2VsZHhMHf-1x7Y/edit?usp=sharing"",""แผน!IP21"")"),60)</f>
        <v>60</v>
      </c>
      <c r="J678" s="184">
        <f ca="1">IFERROR(__xludf.DUMMYFUNCTION("IMPORTRANGE(""https://docs.google.com/spreadsheets/d/1tdoBKaGub7dwA3U6UFTqxio9LNnvDCQjHKmttSEBsFQ/edit?usp=sharing"",""จัดที่ดิน!BH21"")"),116.54)</f>
        <v>116.54</v>
      </c>
      <c r="K678" s="224">
        <f ca="1">IF(I678&gt;0,J678*100/I678,0)</f>
        <v>194.23333333333332</v>
      </c>
      <c r="L678" s="500"/>
      <c r="M678" s="45"/>
      <c r="N678" s="416"/>
      <c r="O678" s="45"/>
      <c r="P678" s="45"/>
      <c r="Q678" s="416"/>
      <c r="R678" s="45"/>
      <c r="S678" s="416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502">
        <f ca="1">IFERROR(__xludf.DUMMYFUNCTION("IMPORTRANGE(""https://docs.google.com/spreadsheets/d/1eHaY18a8A9IcSdp1K8H6x8fbOy06t2VsZHhMHf-1x7Y/edit?usp=sharing"",""แผน!IQ21"")"),4)</f>
        <v>4</v>
      </c>
      <c r="J679" s="184">
        <f ca="1">IFERROR(__xludf.DUMMYFUNCTION("IMPORTRANGE(""https://docs.google.com/spreadsheets/d/1tdoBKaGub7dwA3U6UFTqxio9LNnvDCQjHKmttSEBsFQ/edit?usp=sharing"",""จัดที่ดิน!BK21"")"),0)</f>
        <v>0</v>
      </c>
      <c r="K679" s="224">
        <f ca="1">IF(I679&gt;0,J679*100/I679,0)</f>
        <v>0</v>
      </c>
      <c r="L679" s="465"/>
      <c r="M679" s="45"/>
      <c r="N679" s="416"/>
      <c r="O679" s="45"/>
      <c r="P679" s="45"/>
      <c r="Q679" s="45"/>
      <c r="R679" s="45"/>
      <c r="S679" s="416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IFERROR(__xludf.DUMMYFUNCTION("IMPORTRANGE(""https://docs.google.com/spreadsheets/d/1tdoBKaGub7dwA3U6UFTqxio9LNnvDCQjHKmttSEBsFQ/edit?usp=sharing"",""จัดที่ดิน!BL21"")"),0)</f>
        <v>0</v>
      </c>
      <c r="K680" s="45"/>
      <c r="L680" s="500"/>
      <c r="M680" s="45"/>
      <c r="N680" s="416"/>
      <c r="O680" s="45"/>
      <c r="P680" s="45"/>
      <c r="Q680" s="416"/>
      <c r="R680" s="45"/>
      <c r="S680" s="416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02">
        <f ca="1">IFERROR(__xludf.DUMMYFUNCTION("IMPORTRANGE(""https://docs.google.com/spreadsheets/d/1eHaY18a8A9IcSdp1K8H6x8fbOy06t2VsZHhMHf-1x7Y/edit?usp=sharing"",""แผน!IR21"")"),40)</f>
        <v>40</v>
      </c>
      <c r="J681" s="184">
        <f ca="1">IFERROR(__xludf.DUMMYFUNCTION("IMPORTRANGE(""https://docs.google.com/spreadsheets/d/1tdoBKaGub7dwA3U6UFTqxio9LNnvDCQjHKmttSEBsFQ/edit?usp=sharing"",""จัดที่ดิน!BM21"")"),0)</f>
        <v>0</v>
      </c>
      <c r="K681" s="224">
        <f ca="1">IF(I681&gt;0,J681*100/I681,0)</f>
        <v>0</v>
      </c>
      <c r="L681" s="500"/>
      <c r="M681" s="45"/>
      <c r="N681" s="416"/>
      <c r="O681" s="45"/>
      <c r="P681" s="45"/>
      <c r="Q681" s="416"/>
      <c r="R681" s="45"/>
      <c r="S681" s="416"/>
      <c r="T681" s="45"/>
      <c r="U681" s="45"/>
    </row>
    <row r="682" spans="1:21" ht="19.5" hidden="1" x14ac:dyDescent="0.3">
      <c r="A682" s="208"/>
      <c r="B682" s="158"/>
      <c r="C682" s="158"/>
      <c r="D682" s="47" t="s">
        <v>251</v>
      </c>
      <c r="E682" s="40"/>
      <c r="F682" s="40"/>
      <c r="G682" s="42"/>
      <c r="H682" s="411" t="s">
        <v>46</v>
      </c>
      <c r="I682" s="501">
        <f ca="1">IFERROR(__xludf.DUMMYFUNCTION("IMPORTRANGE(""https://docs.google.com/spreadsheets/d/1eHaY18a8A9IcSdp1K8H6x8fbOy06t2VsZHhMHf-1x7Y/edit?usp=sharing"",""แผน!IS21"")"),0)</f>
        <v>0</v>
      </c>
      <c r="J682" s="328">
        <f>J685+J688</f>
        <v>0</v>
      </c>
      <c r="K682" s="470">
        <f ca="1">IF(I682&gt;0,J682*100/I682,0)</f>
        <v>0</v>
      </c>
      <c r="L682" s="465"/>
      <c r="M682" s="45"/>
      <c r="N682" s="416"/>
      <c r="O682" s="45"/>
      <c r="P682" s="45"/>
      <c r="Q682" s="45"/>
      <c r="R682" s="45"/>
      <c r="S682" s="416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466">
        <v>0</v>
      </c>
      <c r="K683" s="45"/>
      <c r="L683" s="500"/>
      <c r="M683" s="45"/>
      <c r="N683" s="416"/>
      <c r="O683" s="45"/>
      <c r="P683" s="45"/>
      <c r="Q683" s="416"/>
      <c r="R683" s="45"/>
      <c r="S683" s="416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466">
        <v>0</v>
      </c>
      <c r="K684" s="45"/>
      <c r="L684" s="500"/>
      <c r="M684" s="45"/>
      <c r="N684" s="416"/>
      <c r="O684" s="45"/>
      <c r="P684" s="45"/>
      <c r="Q684" s="416"/>
      <c r="R684" s="45"/>
      <c r="S684" s="416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466">
        <v>0</v>
      </c>
      <c r="K685" s="45"/>
      <c r="L685" s="500"/>
      <c r="M685" s="45"/>
      <c r="N685" s="416"/>
      <c r="O685" s="45"/>
      <c r="P685" s="45"/>
      <c r="Q685" s="416"/>
      <c r="R685" s="45"/>
      <c r="S685" s="416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466">
        <v>0</v>
      </c>
      <c r="K686" s="45"/>
      <c r="L686" s="500"/>
      <c r="M686" s="45"/>
      <c r="N686" s="416"/>
      <c r="O686" s="45"/>
      <c r="P686" s="45"/>
      <c r="Q686" s="416"/>
      <c r="R686" s="45"/>
      <c r="S686" s="416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466">
        <v>0</v>
      </c>
      <c r="K687" s="45"/>
      <c r="L687" s="500"/>
      <c r="M687" s="45"/>
      <c r="N687" s="416"/>
      <c r="O687" s="45"/>
      <c r="P687" s="45"/>
      <c r="Q687" s="416"/>
      <c r="R687" s="45"/>
      <c r="S687" s="416"/>
      <c r="T687" s="45"/>
      <c r="U687" s="45"/>
    </row>
    <row r="688" spans="1:21" ht="19.5" hidden="1" x14ac:dyDescent="0.3">
      <c r="A688" s="249"/>
      <c r="B688" s="419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464">
        <v>0</v>
      </c>
      <c r="K688" s="3"/>
      <c r="L688" s="499"/>
      <c r="M688" s="3"/>
      <c r="N688" s="420"/>
      <c r="O688" s="3"/>
      <c r="P688" s="3"/>
      <c r="Q688" s="420"/>
      <c r="R688" s="3"/>
      <c r="S688" s="420"/>
      <c r="T688" s="3"/>
      <c r="U688" s="3"/>
    </row>
    <row r="689" spans="1:21" ht="19.5" x14ac:dyDescent="0.3">
      <c r="A689" s="394"/>
      <c r="B689" s="395" t="s">
        <v>255</v>
      </c>
      <c r="C689" s="394"/>
      <c r="D689" s="396"/>
      <c r="E689" s="396"/>
      <c r="F689" s="396"/>
      <c r="G689" s="397"/>
      <c r="H689" s="434" t="s">
        <v>35</v>
      </c>
      <c r="I689" s="475">
        <f ca="1">I707</f>
        <v>90</v>
      </c>
      <c r="J689" s="475">
        <f ca="1">J707</f>
        <v>49</v>
      </c>
      <c r="K689" s="474">
        <f ca="1">IF(I689&gt;0,J689*100/I689,0)</f>
        <v>54.444444444444443</v>
      </c>
      <c r="L689" s="473"/>
      <c r="M689" s="400"/>
      <c r="N689" s="400"/>
      <c r="O689" s="400"/>
      <c r="P689" s="400"/>
      <c r="Q689" s="400"/>
      <c r="R689" s="400"/>
      <c r="S689" s="400"/>
      <c r="T689" s="400"/>
      <c r="U689" s="400"/>
    </row>
    <row r="690" spans="1:21" ht="19.5" x14ac:dyDescent="0.3">
      <c r="A690" s="128"/>
      <c r="B690" s="158"/>
      <c r="C690" s="177" t="s">
        <v>18</v>
      </c>
      <c r="D690" s="821" t="s">
        <v>19</v>
      </c>
      <c r="E690" s="793"/>
      <c r="F690" s="793"/>
      <c r="G690" s="794"/>
      <c r="H690" s="221" t="s">
        <v>14</v>
      </c>
      <c r="I690" s="44"/>
      <c r="J690" s="44"/>
      <c r="K690" s="45"/>
      <c r="L690" s="471">
        <f>L691+L692</f>
        <v>0</v>
      </c>
      <c r="M690" s="470">
        <f>M691+M692</f>
        <v>0</v>
      </c>
      <c r="N690" s="470">
        <f>N691+N692</f>
        <v>0</v>
      </c>
      <c r="O690" s="470">
        <f t="shared" ref="O690:O698" si="169">IF(L690&gt;0,N690*100/L690,0)</f>
        <v>0</v>
      </c>
      <c r="P690" s="470">
        <f t="shared" ref="P690:P698" si="170">IF(M690&gt;0,N690*100/M690,0)</f>
        <v>0</v>
      </c>
      <c r="Q690" s="470">
        <f ca="1">Q691+Q692</f>
        <v>198670</v>
      </c>
      <c r="R690" s="470">
        <f ca="1">R691+R692</f>
        <v>198670</v>
      </c>
      <c r="S690" s="470">
        <f ca="1">S691+S692</f>
        <v>62648</v>
      </c>
      <c r="T690" s="470">
        <f t="shared" ref="T690:T698" ca="1" si="171">IF(Q690&gt;0,S690*100/Q690,0)</f>
        <v>31.533699099008405</v>
      </c>
      <c r="U690" s="470">
        <f t="shared" ref="U690:U698" ca="1" si="172">IF(R690&gt;0,S690*100/R690,0)</f>
        <v>31.533699099008405</v>
      </c>
    </row>
    <row r="691" spans="1:21" ht="18.75" hidden="1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469">
        <f t="shared" ref="L691:N692" si="173">L694+L697</f>
        <v>0</v>
      </c>
      <c r="M691" s="83">
        <f t="shared" si="173"/>
        <v>0</v>
      </c>
      <c r="N691" s="83">
        <f t="shared" si="173"/>
        <v>0</v>
      </c>
      <c r="O691" s="83">
        <f t="shared" si="169"/>
        <v>0</v>
      </c>
      <c r="P691" s="83">
        <f t="shared" si="170"/>
        <v>0</v>
      </c>
      <c r="Q691" s="83">
        <f t="shared" ref="Q691:S692" si="174">Q694+Q697</f>
        <v>0</v>
      </c>
      <c r="R691" s="83">
        <f t="shared" si="174"/>
        <v>0</v>
      </c>
      <c r="S691" s="83">
        <f t="shared" si="174"/>
        <v>0</v>
      </c>
      <c r="T691" s="83">
        <f t="shared" si="171"/>
        <v>0</v>
      </c>
      <c r="U691" s="83">
        <f t="shared" si="172"/>
        <v>0</v>
      </c>
    </row>
    <row r="692" spans="1:21" ht="18.75" hidden="1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468">
        <f t="shared" si="173"/>
        <v>0</v>
      </c>
      <c r="M692" s="224">
        <f t="shared" si="173"/>
        <v>0</v>
      </c>
      <c r="N692" s="224">
        <f t="shared" si="173"/>
        <v>0</v>
      </c>
      <c r="O692" s="224">
        <f t="shared" si="169"/>
        <v>0</v>
      </c>
      <c r="P692" s="224">
        <f t="shared" si="170"/>
        <v>0</v>
      </c>
      <c r="Q692" s="224">
        <f t="shared" ca="1" si="174"/>
        <v>198670</v>
      </c>
      <c r="R692" s="224">
        <f t="shared" ca="1" si="174"/>
        <v>198670</v>
      </c>
      <c r="S692" s="224">
        <f t="shared" ca="1" si="174"/>
        <v>62648</v>
      </c>
      <c r="T692" s="224">
        <f t="shared" ca="1" si="171"/>
        <v>31.533699099008405</v>
      </c>
      <c r="U692" s="224">
        <f t="shared" ca="1" si="172"/>
        <v>31.533699099008405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468">
        <f>L694+L695</f>
        <v>0</v>
      </c>
      <c r="M693" s="224">
        <f>M694+M695</f>
        <v>0</v>
      </c>
      <c r="N693" s="224">
        <f>N694+N695</f>
        <v>0</v>
      </c>
      <c r="O693" s="224">
        <f t="shared" si="169"/>
        <v>0</v>
      </c>
      <c r="P693" s="224">
        <f t="shared" si="170"/>
        <v>0</v>
      </c>
      <c r="Q693" s="224">
        <f ca="1">Q694+Q695</f>
        <v>198670</v>
      </c>
      <c r="R693" s="224">
        <f ca="1">R694+R695</f>
        <v>198670</v>
      </c>
      <c r="S693" s="224">
        <f ca="1">S694+S695</f>
        <v>62648</v>
      </c>
      <c r="T693" s="224">
        <f t="shared" ca="1" si="171"/>
        <v>31.533699099008405</v>
      </c>
      <c r="U693" s="224">
        <f t="shared" ca="1" si="172"/>
        <v>31.533699099008405</v>
      </c>
    </row>
    <row r="694" spans="1:21" ht="18.75" hidden="1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469">
        <v>0</v>
      </c>
      <c r="M694" s="83">
        <v>0</v>
      </c>
      <c r="N694" s="83">
        <v>0</v>
      </c>
      <c r="O694" s="83">
        <f t="shared" si="169"/>
        <v>0</v>
      </c>
      <c r="P694" s="83">
        <f t="shared" si="170"/>
        <v>0</v>
      </c>
      <c r="Q694" s="83">
        <v>0</v>
      </c>
      <c r="R694" s="83">
        <v>0</v>
      </c>
      <c r="S694" s="83">
        <v>0</v>
      </c>
      <c r="T694" s="83">
        <f t="shared" si="171"/>
        <v>0</v>
      </c>
      <c r="U694" s="83">
        <f t="shared" si="172"/>
        <v>0</v>
      </c>
    </row>
    <row r="695" spans="1:21" ht="18.75" hidden="1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468">
        <v>0</v>
      </c>
      <c r="M695" s="224">
        <v>0</v>
      </c>
      <c r="N695" s="224">
        <v>0</v>
      </c>
      <c r="O695" s="224">
        <f t="shared" si="169"/>
        <v>0</v>
      </c>
      <c r="P695" s="224">
        <f t="shared" si="170"/>
        <v>0</v>
      </c>
      <c r="Q695" s="224">
        <f ca="1">IFERROR(__xludf.DUMMYFUNCTION("IMPORTRANGE(""https://docs.google.com/spreadsheets/d/1ItG2mGa2ceCfYo0BwxsXqNm01IGEUdYcSSLTEv9YCik/edit?usp=sharing"",""เบิกจ่ายกองทุน!L21"")"),198670)</f>
        <v>198670</v>
      </c>
      <c r="R695" s="224">
        <f ca="1">IFERROR(__xludf.DUMMYFUNCTION("IMPORTRANGE(""https://docs.google.com/spreadsheets/d/1ItG2mGa2ceCfYo0BwxsXqNm01IGEUdYcSSLTEv9YCik/edit?usp=sharing"",""เบิกจ่ายกองทุน!M21"")"),198670)</f>
        <v>198670</v>
      </c>
      <c r="S695" s="224">
        <f ca="1">IFERROR(__xludf.DUMMYFUNCTION("IMPORTRANGE(""https://docs.google.com/spreadsheets/d/1ItG2mGa2ceCfYo0BwxsXqNm01IGEUdYcSSLTEv9YCik/edit?usp=sharing"",""เบิกจ่ายกองทุน!N21"")"),62648)</f>
        <v>62648</v>
      </c>
      <c r="T695" s="224">
        <f t="shared" ca="1" si="171"/>
        <v>31.533699099008405</v>
      </c>
      <c r="U695" s="224">
        <f t="shared" ca="1" si="172"/>
        <v>31.533699099008405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468">
        <f>L697+L698</f>
        <v>0</v>
      </c>
      <c r="M696" s="224">
        <f>M697+M698</f>
        <v>0</v>
      </c>
      <c r="N696" s="224">
        <f>N697+N698</f>
        <v>0</v>
      </c>
      <c r="O696" s="224">
        <f t="shared" si="169"/>
        <v>0</v>
      </c>
      <c r="P696" s="224">
        <f t="shared" si="170"/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 t="shared" si="171"/>
        <v>0</v>
      </c>
      <c r="U696" s="224">
        <f t="shared" si="172"/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469">
        <v>0</v>
      </c>
      <c r="M697" s="83">
        <v>0</v>
      </c>
      <c r="N697" s="83">
        <v>0</v>
      </c>
      <c r="O697" s="83">
        <f t="shared" si="169"/>
        <v>0</v>
      </c>
      <c r="P697" s="83">
        <f t="shared" si="170"/>
        <v>0</v>
      </c>
      <c r="Q697" s="83">
        <v>0</v>
      </c>
      <c r="R697" s="83">
        <v>0</v>
      </c>
      <c r="S697" s="83">
        <v>0</v>
      </c>
      <c r="T697" s="83">
        <f t="shared" si="171"/>
        <v>0</v>
      </c>
      <c r="U697" s="83">
        <f t="shared" si="172"/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468">
        <v>0</v>
      </c>
      <c r="M698" s="224">
        <v>0</v>
      </c>
      <c r="N698" s="224">
        <v>0</v>
      </c>
      <c r="O698" s="224">
        <f t="shared" si="169"/>
        <v>0</v>
      </c>
      <c r="P698" s="224">
        <f t="shared" si="170"/>
        <v>0</v>
      </c>
      <c r="Q698" s="224">
        <v>0</v>
      </c>
      <c r="R698" s="224">
        <v>0</v>
      </c>
      <c r="S698" s="224">
        <v>0</v>
      </c>
      <c r="T698" s="224">
        <f t="shared" si="171"/>
        <v>0</v>
      </c>
      <c r="U698" s="224">
        <f t="shared" si="172"/>
        <v>0</v>
      </c>
    </row>
    <row r="699" spans="1:21" ht="19.5" x14ac:dyDescent="0.3">
      <c r="A699" s="138"/>
      <c r="B699" s="139"/>
      <c r="C699" s="177" t="s">
        <v>18</v>
      </c>
      <c r="D699" s="498" t="s">
        <v>38</v>
      </c>
      <c r="E699" s="141"/>
      <c r="F699" s="141"/>
      <c r="G699" s="141"/>
      <c r="H699" s="178"/>
      <c r="I699" s="135"/>
      <c r="J699" s="135"/>
      <c r="K699" s="136"/>
      <c r="L699" s="465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IFERROR(__xludf.DUMMYFUNCTION("IMPORTRANGE(""https://docs.google.com/spreadsheets/d/1eHaY18a8A9IcSdp1K8H6x8fbOy06t2VsZHhMHf-1x7Y/edit?usp=sharing"",""แผน!LC21"")"),0)</f>
        <v>0</v>
      </c>
      <c r="J700" s="466">
        <v>0</v>
      </c>
      <c r="K700" s="497">
        <f t="shared" ref="K700:K710" ca="1" si="175">IF(I700&gt;0,J700*100/I700,0)</f>
        <v>0</v>
      </c>
      <c r="L700" s="4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24" t="s">
        <v>258</v>
      </c>
      <c r="F701" s="145"/>
      <c r="G701" s="143"/>
      <c r="H701" s="131" t="s">
        <v>35</v>
      </c>
      <c r="I701" s="328">
        <f ca="1">I703+I705</f>
        <v>94</v>
      </c>
      <c r="J701" s="328">
        <f ca="1">J703+J705</f>
        <v>57</v>
      </c>
      <c r="K701" s="470">
        <f t="shared" ca="1" si="175"/>
        <v>60.638297872340424</v>
      </c>
      <c r="L701" s="4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40.299999999999997</v>
      </c>
      <c r="K702" s="470">
        <f t="shared" si="175"/>
        <v>0</v>
      </c>
      <c r="L702" s="4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IFERROR(__xludf.DUMMYFUNCTION("IMPORTRANGE(""https://docs.google.com/spreadsheets/d/1eHaY18a8A9IcSdp1K8H6x8fbOy06t2VsZHhMHf-1x7Y/edit?usp=sharing"",""แผน!LJ21"")"),90)</f>
        <v>90</v>
      </c>
      <c r="J703" s="184">
        <f ca="1">IFERROR(__xludf.DUMMYFUNCTION("IMPORTRANGE(""https://docs.google.com/spreadsheets/d/1tdoBKaGub7dwA3U6UFTqxio9LNnvDCQjHKmttSEBsFQ/edit?usp=sharing"",""จัดที่ดิน!AP21"")"),57)</f>
        <v>57</v>
      </c>
      <c r="K703" s="224">
        <f t="shared" ca="1" si="175"/>
        <v>63.333333333333336</v>
      </c>
      <c r="L703" s="4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IFERROR(__xludf.DUMMYFUNCTION("IMPORTRANGE(""https://docs.google.com/spreadsheets/d/1tdoBKaGub7dwA3U6UFTqxio9LNnvDCQjHKmttSEBsFQ/edit?usp=sharing"",""จัดที่ดิน!AQ21"")"),40.3)</f>
        <v>40.299999999999997</v>
      </c>
      <c r="K704" s="224">
        <f t="shared" si="175"/>
        <v>0</v>
      </c>
      <c r="L704" s="4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IFERROR(__xludf.DUMMYFUNCTION("IMPORTRANGE(""https://docs.google.com/spreadsheets/d/1eHaY18a8A9IcSdp1K8H6x8fbOy06t2VsZHhMHf-1x7Y/edit?usp=sharing"",""แผน!LK21"")"),4)</f>
        <v>4</v>
      </c>
      <c r="J705" s="184">
        <f ca="1">IFERROR(__xludf.DUMMYFUNCTION("IMPORTRANGE(""https://docs.google.com/spreadsheets/d/1tdoBKaGub7dwA3U6UFTqxio9LNnvDCQjHKmttSEBsFQ/edit?usp=sharing"",""จัดที่ดิน!AR21"")"),0)</f>
        <v>0</v>
      </c>
      <c r="K705" s="497">
        <f t="shared" ca="1" si="175"/>
        <v>0</v>
      </c>
      <c r="L705" s="4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IFERROR(__xludf.DUMMYFUNCTION("IMPORTRANGE(""https://docs.google.com/spreadsheets/d/1tdoBKaGub7dwA3U6UFTqxio9LNnvDCQjHKmttSEBsFQ/edit?usp=sharing"",""จัดที่ดิน!AS21"")"),0)</f>
        <v>0</v>
      </c>
      <c r="K706" s="224">
        <f t="shared" si="175"/>
        <v>0</v>
      </c>
      <c r="L706" s="4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IFERROR(__xludf.DUMMYFUNCTION("IMPORTRANGE(""https://docs.google.com/spreadsheets/d/1eHaY18a8A9IcSdp1K8H6x8fbOy06t2VsZHhMHf-1x7Y/edit?usp=sharing"",""แผน!LJ21"")"),90)</f>
        <v>90</v>
      </c>
      <c r="J707" s="184">
        <f ca="1">IFERROR(__xludf.DUMMYFUNCTION("IMPORTRANGE(""https://docs.google.com/spreadsheets/d/1tdoBKaGub7dwA3U6UFTqxio9LNnvDCQjHKmttSEBsFQ/edit?usp=sharing"",""จัดที่ดิน!BN21"")"),49)</f>
        <v>49</v>
      </c>
      <c r="K707" s="224">
        <f t="shared" ca="1" si="175"/>
        <v>54.444444444444443</v>
      </c>
      <c r="L707" s="4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25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IFERROR(__xludf.DUMMYFUNCTION("IMPORTRANGE(""https://docs.google.com/spreadsheets/d/1tdoBKaGub7dwA3U6UFTqxio9LNnvDCQjHKmttSEBsFQ/edit?usp=sharing"",""จัดที่ดิน!BO21"")"),35)</f>
        <v>35</v>
      </c>
      <c r="K708" s="224">
        <f t="shared" si="175"/>
        <v>0</v>
      </c>
      <c r="L708" s="4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IFERROR(__xludf.DUMMYFUNCTION("IMPORTRANGE(""https://docs.google.com/spreadsheets/d/1eHaY18a8A9IcSdp1K8H6x8fbOy06t2VsZHhMHf-1x7Y/edit?usp=sharing"",""แผน!LK21"")"),4)</f>
        <v>4</v>
      </c>
      <c r="J709" s="184">
        <f ca="1">IFERROR(__xludf.DUMMYFUNCTION("IMPORTRANGE(""https://docs.google.com/spreadsheets/d/1tdoBKaGub7dwA3U6UFTqxio9LNnvDCQjHKmttSEBsFQ/edit?usp=sharing"",""จัดที่ดิน!BP21"")"),0)</f>
        <v>0</v>
      </c>
      <c r="K709" s="224">
        <f t="shared" ca="1" si="175"/>
        <v>0</v>
      </c>
      <c r="L709" s="465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25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IFERROR(__xludf.DUMMYFUNCTION("IMPORTRANGE(""https://docs.google.com/spreadsheets/d/1tdoBKaGub7dwA3U6UFTqxio9LNnvDCQjHKmttSEBsFQ/edit?usp=sharing"",""จัดที่ดิน!BQ21"")"),0)</f>
        <v>0</v>
      </c>
      <c r="K710" s="224">
        <f t="shared" si="175"/>
        <v>0</v>
      </c>
      <c r="L710" s="465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496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hidden="1" x14ac:dyDescent="0.3">
      <c r="A712" s="394"/>
      <c r="B712" s="426" t="s">
        <v>265</v>
      </c>
      <c r="C712" s="394"/>
      <c r="D712" s="396"/>
      <c r="E712" s="396"/>
      <c r="F712" s="396"/>
      <c r="G712" s="397"/>
      <c r="H712" s="427" t="s">
        <v>46</v>
      </c>
      <c r="I712" s="399"/>
      <c r="J712" s="399">
        <f>J724</f>
        <v>0</v>
      </c>
      <c r="K712" s="495">
        <f>IF(I712&gt;0,J712*100/I712,0)</f>
        <v>0</v>
      </c>
      <c r="L712" s="473"/>
      <c r="M712" s="400"/>
      <c r="N712" s="400"/>
      <c r="O712" s="400"/>
      <c r="P712" s="400"/>
      <c r="Q712" s="400"/>
      <c r="R712" s="400"/>
      <c r="S712" s="400"/>
      <c r="T712" s="400"/>
      <c r="U712" s="400"/>
    </row>
    <row r="713" spans="1:21" ht="19.5" hidden="1" x14ac:dyDescent="0.3">
      <c r="A713" s="394"/>
      <c r="B713" s="426" t="s">
        <v>266</v>
      </c>
      <c r="C713" s="394"/>
      <c r="D713" s="396"/>
      <c r="E713" s="396"/>
      <c r="F713" s="396"/>
      <c r="G713" s="397"/>
      <c r="H713" s="398"/>
      <c r="I713" s="399"/>
      <c r="J713" s="399"/>
      <c r="K713" s="400"/>
      <c r="L713" s="47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128"/>
      <c r="B714" s="158"/>
      <c r="C714" s="314" t="s">
        <v>18</v>
      </c>
      <c r="D714" s="820" t="s">
        <v>19</v>
      </c>
      <c r="E714" s="793"/>
      <c r="F714" s="793"/>
      <c r="G714" s="794"/>
      <c r="H714" s="372" t="s">
        <v>14</v>
      </c>
      <c r="I714" s="44"/>
      <c r="J714" s="44"/>
      <c r="K714" s="45"/>
      <c r="L714" s="471">
        <f>L715+L716</f>
        <v>0</v>
      </c>
      <c r="M714" s="470">
        <f>M715+M716</f>
        <v>0</v>
      </c>
      <c r="N714" s="470">
        <f>N715+N716</f>
        <v>0</v>
      </c>
      <c r="O714" s="470">
        <f t="shared" ref="O714:O722" si="176">IF(L714&gt;0,N714*100/L714,0)</f>
        <v>0</v>
      </c>
      <c r="P714" s="470">
        <f t="shared" ref="P714:P722" si="177">IF(M714&gt;0,N714*100/M714,0)</f>
        <v>0</v>
      </c>
      <c r="Q714" s="470">
        <f>Q715+Q716</f>
        <v>0</v>
      </c>
      <c r="R714" s="470">
        <f>R715+R716</f>
        <v>0</v>
      </c>
      <c r="S714" s="470">
        <f>S715+S716</f>
        <v>0</v>
      </c>
      <c r="T714" s="470">
        <f t="shared" ref="T714:T722" si="178">IF(Q714&gt;0,S714*100/Q714,0)</f>
        <v>0</v>
      </c>
      <c r="U714" s="470">
        <f t="shared" ref="U714:U722" si="179"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469">
        <f t="shared" ref="L715:N716" si="180">L718+L721</f>
        <v>0</v>
      </c>
      <c r="M715" s="83">
        <f t="shared" si="180"/>
        <v>0</v>
      </c>
      <c r="N715" s="83">
        <f t="shared" si="180"/>
        <v>0</v>
      </c>
      <c r="O715" s="83">
        <f t="shared" si="176"/>
        <v>0</v>
      </c>
      <c r="P715" s="83">
        <f t="shared" si="177"/>
        <v>0</v>
      </c>
      <c r="Q715" s="83">
        <f t="shared" ref="Q715:S716" si="181">Q718+Q721</f>
        <v>0</v>
      </c>
      <c r="R715" s="83">
        <f t="shared" si="181"/>
        <v>0</v>
      </c>
      <c r="S715" s="83">
        <f t="shared" si="181"/>
        <v>0</v>
      </c>
      <c r="T715" s="83">
        <f t="shared" si="178"/>
        <v>0</v>
      </c>
      <c r="U715" s="83">
        <f t="shared" si="179"/>
        <v>0</v>
      </c>
    </row>
    <row r="716" spans="1:21" ht="18.75" hidden="1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468">
        <f t="shared" si="180"/>
        <v>0</v>
      </c>
      <c r="M716" s="224">
        <f t="shared" si="180"/>
        <v>0</v>
      </c>
      <c r="N716" s="224">
        <f t="shared" si="180"/>
        <v>0</v>
      </c>
      <c r="O716" s="224">
        <f t="shared" si="176"/>
        <v>0</v>
      </c>
      <c r="P716" s="224">
        <f t="shared" si="177"/>
        <v>0</v>
      </c>
      <c r="Q716" s="224">
        <f t="shared" si="181"/>
        <v>0</v>
      </c>
      <c r="R716" s="224">
        <f t="shared" si="181"/>
        <v>0</v>
      </c>
      <c r="S716" s="224">
        <f t="shared" si="181"/>
        <v>0</v>
      </c>
      <c r="T716" s="224">
        <f t="shared" si="178"/>
        <v>0</v>
      </c>
      <c r="U716" s="224">
        <f t="shared" si="179"/>
        <v>0</v>
      </c>
    </row>
    <row r="717" spans="1:21" ht="19.5" hidden="1" x14ac:dyDescent="0.3">
      <c r="A717" s="128"/>
      <c r="B717" s="158"/>
      <c r="C717" s="158"/>
      <c r="D717" s="494" t="s">
        <v>22</v>
      </c>
      <c r="E717" s="40"/>
      <c r="F717" s="40"/>
      <c r="G717" s="42"/>
      <c r="H717" s="372" t="s">
        <v>14</v>
      </c>
      <c r="I717" s="135"/>
      <c r="J717" s="135"/>
      <c r="K717" s="136"/>
      <c r="L717" s="468">
        <f>L718+L719</f>
        <v>0</v>
      </c>
      <c r="M717" s="224">
        <f>M718+M719</f>
        <v>0</v>
      </c>
      <c r="N717" s="224">
        <f>N718+N719</f>
        <v>0</v>
      </c>
      <c r="O717" s="224">
        <f t="shared" si="176"/>
        <v>0</v>
      </c>
      <c r="P717" s="224">
        <f t="shared" si="177"/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 t="shared" si="178"/>
        <v>0</v>
      </c>
      <c r="U717" s="224">
        <f t="shared" si="179"/>
        <v>0</v>
      </c>
    </row>
    <row r="718" spans="1:21" ht="18.75" hidden="1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469">
        <v>0</v>
      </c>
      <c r="M718" s="83">
        <v>0</v>
      </c>
      <c r="N718" s="83">
        <v>0</v>
      </c>
      <c r="O718" s="83">
        <f t="shared" si="176"/>
        <v>0</v>
      </c>
      <c r="P718" s="83">
        <f t="shared" si="177"/>
        <v>0</v>
      </c>
      <c r="Q718" s="83">
        <v>0</v>
      </c>
      <c r="R718" s="83">
        <v>0</v>
      </c>
      <c r="S718" s="83">
        <v>0</v>
      </c>
      <c r="T718" s="83">
        <f t="shared" si="178"/>
        <v>0</v>
      </c>
      <c r="U718" s="83">
        <f t="shared" si="179"/>
        <v>0</v>
      </c>
    </row>
    <row r="719" spans="1:21" ht="18.75" hidden="1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468">
        <v>0</v>
      </c>
      <c r="M719" s="224">
        <v>0</v>
      </c>
      <c r="N719" s="224">
        <v>0</v>
      </c>
      <c r="O719" s="224">
        <f t="shared" si="176"/>
        <v>0</v>
      </c>
      <c r="P719" s="224">
        <f t="shared" si="177"/>
        <v>0</v>
      </c>
      <c r="Q719" s="224">
        <v>0</v>
      </c>
      <c r="R719" s="224">
        <v>0</v>
      </c>
      <c r="S719" s="224">
        <v>0</v>
      </c>
      <c r="T719" s="224">
        <f t="shared" si="178"/>
        <v>0</v>
      </c>
      <c r="U719" s="224">
        <f t="shared" si="179"/>
        <v>0</v>
      </c>
    </row>
    <row r="720" spans="1:21" ht="19.5" hidden="1" x14ac:dyDescent="0.3">
      <c r="A720" s="128"/>
      <c r="B720" s="158"/>
      <c r="C720" s="158"/>
      <c r="D720" s="494" t="s">
        <v>23</v>
      </c>
      <c r="E720" s="40"/>
      <c r="F720" s="40"/>
      <c r="G720" s="42"/>
      <c r="H720" s="374" t="s">
        <v>14</v>
      </c>
      <c r="I720" s="135"/>
      <c r="J720" s="135"/>
      <c r="K720" s="136"/>
      <c r="L720" s="468">
        <f>L721+L722</f>
        <v>0</v>
      </c>
      <c r="M720" s="224">
        <f>M721+M722</f>
        <v>0</v>
      </c>
      <c r="N720" s="224">
        <f>N721+N722</f>
        <v>0</v>
      </c>
      <c r="O720" s="224">
        <f t="shared" si="176"/>
        <v>0</v>
      </c>
      <c r="P720" s="224">
        <f t="shared" si="177"/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 t="shared" si="178"/>
        <v>0</v>
      </c>
      <c r="U720" s="224">
        <f t="shared" si="179"/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469">
        <v>0</v>
      </c>
      <c r="M721" s="83">
        <v>0</v>
      </c>
      <c r="N721" s="83">
        <v>0</v>
      </c>
      <c r="O721" s="83">
        <f t="shared" si="176"/>
        <v>0</v>
      </c>
      <c r="P721" s="83">
        <f t="shared" si="177"/>
        <v>0</v>
      </c>
      <c r="Q721" s="83">
        <v>0</v>
      </c>
      <c r="R721" s="83">
        <v>0</v>
      </c>
      <c r="S721" s="83">
        <v>0</v>
      </c>
      <c r="T721" s="83">
        <f t="shared" si="178"/>
        <v>0</v>
      </c>
      <c r="U721" s="83">
        <f t="shared" si="179"/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375" t="s">
        <v>14</v>
      </c>
      <c r="I722" s="135"/>
      <c r="J722" s="135"/>
      <c r="K722" s="136"/>
      <c r="L722" s="468">
        <v>0</v>
      </c>
      <c r="M722" s="224">
        <v>0</v>
      </c>
      <c r="N722" s="224">
        <v>0</v>
      </c>
      <c r="O722" s="224">
        <f t="shared" si="176"/>
        <v>0</v>
      </c>
      <c r="P722" s="224">
        <f t="shared" si="177"/>
        <v>0</v>
      </c>
      <c r="Q722" s="224">
        <v>0</v>
      </c>
      <c r="R722" s="224">
        <v>0</v>
      </c>
      <c r="S722" s="224">
        <v>0</v>
      </c>
      <c r="T722" s="224">
        <f t="shared" si="178"/>
        <v>0</v>
      </c>
      <c r="U722" s="224">
        <f t="shared" si="179"/>
        <v>0</v>
      </c>
    </row>
    <row r="723" spans="1:21" ht="19.5" hidden="1" x14ac:dyDescent="0.3">
      <c r="A723" s="138"/>
      <c r="B723" s="139"/>
      <c r="C723" s="314" t="s">
        <v>18</v>
      </c>
      <c r="D723" s="493" t="s">
        <v>38</v>
      </c>
      <c r="E723" s="141"/>
      <c r="F723" s="141"/>
      <c r="G723" s="142"/>
      <c r="H723" s="178"/>
      <c r="I723" s="135"/>
      <c r="J723" s="135"/>
      <c r="K723" s="136"/>
      <c r="L723" s="4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30">
        <v>0</v>
      </c>
      <c r="J724" s="44"/>
      <c r="K724" s="45"/>
      <c r="L724" s="465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29"/>
      <c r="B725" s="2"/>
      <c r="C725" s="2"/>
      <c r="D725" s="1"/>
      <c r="E725" s="431" t="s">
        <v>268</v>
      </c>
      <c r="F725" s="1"/>
      <c r="G725" s="52"/>
      <c r="H725" s="432" t="s">
        <v>46</v>
      </c>
      <c r="I725" s="433">
        <v>0</v>
      </c>
      <c r="J725" s="54"/>
      <c r="K725" s="3"/>
      <c r="L725" s="46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94"/>
      <c r="B726" s="395" t="s">
        <v>269</v>
      </c>
      <c r="C726" s="394"/>
      <c r="D726" s="396"/>
      <c r="E726" s="396"/>
      <c r="F726" s="396"/>
      <c r="G726" s="397"/>
      <c r="H726" s="434" t="s">
        <v>35</v>
      </c>
      <c r="I726" s="475">
        <f ca="1">IFERROR(__xludf.DUMMYFUNCTION("IMPORTRANGE(""https://docs.google.com/spreadsheets/d/1eHaY18a8A9IcSdp1K8H6x8fbOy06t2VsZHhMHf-1x7Y/edit?usp=sharing"",""แผน!GA21"")"),31)</f>
        <v>31</v>
      </c>
      <c r="J726" s="475">
        <f>J742+J746+J749</f>
        <v>0</v>
      </c>
      <c r="K726" s="474">
        <f ca="1">IF(I726&gt;0,J726*100/I726,0)</f>
        <v>0</v>
      </c>
      <c r="L726" s="473"/>
      <c r="M726" s="400"/>
      <c r="N726" s="400"/>
      <c r="O726" s="400"/>
      <c r="P726" s="400"/>
      <c r="Q726" s="400"/>
      <c r="R726" s="400"/>
      <c r="S726" s="400"/>
      <c r="T726" s="400"/>
      <c r="U726" s="400"/>
    </row>
    <row r="727" spans="1:21" ht="19.5" x14ac:dyDescent="0.3">
      <c r="A727" s="436"/>
      <c r="B727" s="394"/>
      <c r="C727" s="394"/>
      <c r="D727" s="396"/>
      <c r="E727" s="396"/>
      <c r="F727" s="396"/>
      <c r="G727" s="397"/>
      <c r="H727" s="434" t="s">
        <v>46</v>
      </c>
      <c r="I727" s="475">
        <f ca="1">IFERROR(__xludf.DUMMYFUNCTION("IMPORTRANGE(""https://docs.google.com/spreadsheets/d/1eHaY18a8A9IcSdp1K8H6x8fbOy06t2VsZHhMHf-1x7Y/edit?usp=sharing"",""แผน!FZ21"")"),300)</f>
        <v>300</v>
      </c>
      <c r="J727" s="475">
        <f>J752+J755</f>
        <v>0</v>
      </c>
      <c r="K727" s="474">
        <f ca="1">IF(I727&gt;0,J727*100/I727,0)</f>
        <v>0</v>
      </c>
      <c r="L727" s="47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128"/>
      <c r="B728" s="158"/>
      <c r="C728" s="177" t="s">
        <v>18</v>
      </c>
      <c r="D728" s="821" t="s">
        <v>19</v>
      </c>
      <c r="E728" s="793"/>
      <c r="F728" s="793"/>
      <c r="G728" s="794"/>
      <c r="H728" s="221" t="s">
        <v>14</v>
      </c>
      <c r="I728" s="44"/>
      <c r="J728" s="44"/>
      <c r="K728" s="45"/>
      <c r="L728" s="471">
        <f>L729+L730</f>
        <v>0</v>
      </c>
      <c r="M728" s="470">
        <f>M729+M730</f>
        <v>0</v>
      </c>
      <c r="N728" s="470">
        <f>N729+N730</f>
        <v>0</v>
      </c>
      <c r="O728" s="470">
        <f t="shared" ref="O728:O736" si="182">IF(L728&gt;0,N728*100/L728,0)</f>
        <v>0</v>
      </c>
      <c r="P728" s="470">
        <f t="shared" ref="P728:P736" si="183">IF(M728&gt;0,N728*100/M728,0)</f>
        <v>0</v>
      </c>
      <c r="Q728" s="470">
        <f ca="1">Q729+Q730</f>
        <v>242546</v>
      </c>
      <c r="R728" s="470">
        <f ca="1">R729+R730</f>
        <v>242546</v>
      </c>
      <c r="S728" s="470">
        <f ca="1">S729+S730</f>
        <v>38920</v>
      </c>
      <c r="T728" s="470">
        <f t="shared" ref="T728:T736" ca="1" si="184">IF(Q728&gt;0,S728*100/Q728,0)</f>
        <v>16.046440675170896</v>
      </c>
      <c r="U728" s="470">
        <f t="shared" ref="U728:U736" ca="1" si="185">IF(R728&gt;0,S728*100/R728,0)</f>
        <v>16.046440675170896</v>
      </c>
    </row>
    <row r="729" spans="1:21" ht="18.75" hidden="1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469">
        <f t="shared" ref="L729:N730" si="186">L732+L735</f>
        <v>0</v>
      </c>
      <c r="M729" s="83">
        <f t="shared" si="186"/>
        <v>0</v>
      </c>
      <c r="N729" s="83">
        <f t="shared" si="186"/>
        <v>0</v>
      </c>
      <c r="O729" s="83">
        <f t="shared" si="182"/>
        <v>0</v>
      </c>
      <c r="P729" s="83">
        <f t="shared" si="183"/>
        <v>0</v>
      </c>
      <c r="Q729" s="83">
        <f t="shared" ref="Q729:S730" si="187">Q732+Q735</f>
        <v>0</v>
      </c>
      <c r="R729" s="83">
        <f t="shared" si="187"/>
        <v>0</v>
      </c>
      <c r="S729" s="83">
        <f t="shared" si="187"/>
        <v>0</v>
      </c>
      <c r="T729" s="83">
        <f t="shared" si="184"/>
        <v>0</v>
      </c>
      <c r="U729" s="83">
        <f t="shared" si="185"/>
        <v>0</v>
      </c>
    </row>
    <row r="730" spans="1:21" ht="31.5" hidden="1" customHeight="1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468">
        <f t="shared" si="186"/>
        <v>0</v>
      </c>
      <c r="M730" s="224">
        <f t="shared" si="186"/>
        <v>0</v>
      </c>
      <c r="N730" s="224">
        <f t="shared" si="186"/>
        <v>0</v>
      </c>
      <c r="O730" s="224">
        <f t="shared" si="182"/>
        <v>0</v>
      </c>
      <c r="P730" s="224">
        <f t="shared" si="183"/>
        <v>0</v>
      </c>
      <c r="Q730" s="224">
        <f t="shared" ca="1" si="187"/>
        <v>242546</v>
      </c>
      <c r="R730" s="224">
        <f t="shared" ca="1" si="187"/>
        <v>242546</v>
      </c>
      <c r="S730" s="224">
        <f t="shared" ca="1" si="187"/>
        <v>38920</v>
      </c>
      <c r="T730" s="224">
        <f t="shared" ca="1" si="184"/>
        <v>16.046440675170896</v>
      </c>
      <c r="U730" s="224">
        <f t="shared" ca="1" si="185"/>
        <v>16.046440675170896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468">
        <f>L732+L733</f>
        <v>0</v>
      </c>
      <c r="M731" s="224">
        <f>M732+M733</f>
        <v>0</v>
      </c>
      <c r="N731" s="224">
        <f>N732+N733</f>
        <v>0</v>
      </c>
      <c r="O731" s="224">
        <f t="shared" si="182"/>
        <v>0</v>
      </c>
      <c r="P731" s="224">
        <f t="shared" si="183"/>
        <v>0</v>
      </c>
      <c r="Q731" s="224">
        <f ca="1">Q732+Q733</f>
        <v>242546</v>
      </c>
      <c r="R731" s="224">
        <f ca="1">R732+R733</f>
        <v>242546</v>
      </c>
      <c r="S731" s="224">
        <f ca="1">S732+S733</f>
        <v>38920</v>
      </c>
      <c r="T731" s="224">
        <f t="shared" ca="1" si="184"/>
        <v>16.046440675170896</v>
      </c>
      <c r="U731" s="224">
        <f t="shared" ca="1" si="185"/>
        <v>16.046440675170896</v>
      </c>
    </row>
    <row r="732" spans="1:21" ht="18.75" hidden="1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469">
        <v>0</v>
      </c>
      <c r="M732" s="83">
        <v>0</v>
      </c>
      <c r="N732" s="83">
        <v>0</v>
      </c>
      <c r="O732" s="83">
        <f t="shared" si="182"/>
        <v>0</v>
      </c>
      <c r="P732" s="83">
        <f t="shared" si="183"/>
        <v>0</v>
      </c>
      <c r="Q732" s="83">
        <v>0</v>
      </c>
      <c r="R732" s="83">
        <v>0</v>
      </c>
      <c r="S732" s="83">
        <v>0</v>
      </c>
      <c r="T732" s="83">
        <f t="shared" si="184"/>
        <v>0</v>
      </c>
      <c r="U732" s="83">
        <f t="shared" si="185"/>
        <v>0</v>
      </c>
    </row>
    <row r="733" spans="1:21" ht="18.75" hidden="1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468">
        <v>0</v>
      </c>
      <c r="M733" s="224">
        <v>0</v>
      </c>
      <c r="N733" s="224">
        <v>0</v>
      </c>
      <c r="O733" s="224">
        <f t="shared" si="182"/>
        <v>0</v>
      </c>
      <c r="P733" s="224">
        <f t="shared" si="183"/>
        <v>0</v>
      </c>
      <c r="Q733" s="224">
        <f ca="1">IFERROR(__xludf.DUMMYFUNCTION("IMPORTRANGE(""https://docs.google.com/spreadsheets/d/1ItG2mGa2ceCfYo0BwxsXqNm01IGEUdYcSSLTEv9YCik/edit?usp=sharing"",""เบิกจ่ายกองทุน!O21"")"),242546)</f>
        <v>242546</v>
      </c>
      <c r="R733" s="224">
        <f ca="1">IFERROR(__xludf.DUMMYFUNCTION("IMPORTRANGE(""https://docs.google.com/spreadsheets/d/1ItG2mGa2ceCfYo0BwxsXqNm01IGEUdYcSSLTEv9YCik/edit?usp=sharing"",""เบิกจ่ายกองทุน!P21"")"),242546)</f>
        <v>242546</v>
      </c>
      <c r="S733" s="224">
        <f ca="1">IFERROR(__xludf.DUMMYFUNCTION("IMPORTRANGE(""https://docs.google.com/spreadsheets/d/1ItG2mGa2ceCfYo0BwxsXqNm01IGEUdYcSSLTEv9YCik/edit?usp=sharing"",""เบิกจ่ายกองทุน!Q21"")"),38920)</f>
        <v>38920</v>
      </c>
      <c r="T733" s="224">
        <f t="shared" ca="1" si="184"/>
        <v>16.046440675170896</v>
      </c>
      <c r="U733" s="224">
        <f t="shared" ca="1" si="185"/>
        <v>16.046440675170896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468">
        <f>L735+L736</f>
        <v>0</v>
      </c>
      <c r="M734" s="224">
        <f>M735+M736</f>
        <v>0</v>
      </c>
      <c r="N734" s="224">
        <f>N735+N736</f>
        <v>0</v>
      </c>
      <c r="O734" s="224">
        <f t="shared" si="182"/>
        <v>0</v>
      </c>
      <c r="P734" s="224">
        <f t="shared" si="183"/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 t="shared" si="184"/>
        <v>0</v>
      </c>
      <c r="U734" s="224">
        <f t="shared" si="185"/>
        <v>0</v>
      </c>
    </row>
    <row r="735" spans="1:21" ht="18.75" hidden="1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469">
        <v>0</v>
      </c>
      <c r="M735" s="83">
        <v>0</v>
      </c>
      <c r="N735" s="83">
        <v>0</v>
      </c>
      <c r="O735" s="83">
        <f t="shared" si="182"/>
        <v>0</v>
      </c>
      <c r="P735" s="83">
        <f t="shared" si="183"/>
        <v>0</v>
      </c>
      <c r="Q735" s="83">
        <v>0</v>
      </c>
      <c r="R735" s="83">
        <v>0</v>
      </c>
      <c r="S735" s="83">
        <v>0</v>
      </c>
      <c r="T735" s="83">
        <f t="shared" si="184"/>
        <v>0</v>
      </c>
      <c r="U735" s="83">
        <f t="shared" si="185"/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468">
        <v>0</v>
      </c>
      <c r="M736" s="224">
        <v>0</v>
      </c>
      <c r="N736" s="224">
        <v>0</v>
      </c>
      <c r="O736" s="224">
        <f t="shared" si="182"/>
        <v>0</v>
      </c>
      <c r="P736" s="224">
        <f t="shared" si="183"/>
        <v>0</v>
      </c>
      <c r="Q736" s="224">
        <v>0</v>
      </c>
      <c r="R736" s="224">
        <v>0</v>
      </c>
      <c r="S736" s="224">
        <v>0</v>
      </c>
      <c r="T736" s="224">
        <f t="shared" si="184"/>
        <v>0</v>
      </c>
      <c r="U736" s="224">
        <f t="shared" si="185"/>
        <v>0</v>
      </c>
    </row>
    <row r="737" spans="1:21" ht="19.5" x14ac:dyDescent="0.3">
      <c r="A737" s="138"/>
      <c r="B737" s="139"/>
      <c r="C737" s="177" t="s">
        <v>18</v>
      </c>
      <c r="D737" s="491" t="s">
        <v>38</v>
      </c>
      <c r="E737" s="203"/>
      <c r="F737" s="141"/>
      <c r="G737" s="142"/>
      <c r="H737" s="178"/>
      <c r="I737" s="44"/>
      <c r="J737" s="44"/>
      <c r="K737" s="45"/>
      <c r="L737" s="465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7" t="s">
        <v>121</v>
      </c>
      <c r="E738" s="139"/>
      <c r="F738" s="139"/>
      <c r="G738" s="143"/>
      <c r="H738" s="180"/>
      <c r="I738" s="44"/>
      <c r="J738" s="44"/>
      <c r="K738" s="45"/>
      <c r="L738" s="465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10" t="s">
        <v>270</v>
      </c>
      <c r="F739" s="139"/>
      <c r="G739" s="143"/>
      <c r="H739" s="180"/>
      <c r="I739" s="44"/>
      <c r="J739" s="44"/>
      <c r="K739" s="45"/>
      <c r="L739" s="465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485"/>
      <c r="B740" s="484"/>
      <c r="C740" s="484"/>
      <c r="D740" s="484"/>
      <c r="E740" s="484"/>
      <c r="F740" s="489" t="s">
        <v>271</v>
      </c>
      <c r="G740" s="481"/>
      <c r="H740" s="480" t="s">
        <v>46</v>
      </c>
      <c r="I740" s="487">
        <f ca="1">IFERROR(__xludf.DUMMYFUNCTION("IMPORTRANGE(""https://docs.google.com/spreadsheets/d/1eHaY18a8A9IcSdp1K8H6x8fbOy06t2VsZHhMHf-1x7Y/edit?usp=sharing"",""แผน!GB21"")"),240)</f>
        <v>240</v>
      </c>
      <c r="J740" s="478">
        <v>0</v>
      </c>
      <c r="K740" s="486">
        <f ca="1">IF(I740&gt;0,J740*100/I740,0)</f>
        <v>0</v>
      </c>
      <c r="L740" s="477"/>
      <c r="M740" s="476"/>
      <c r="N740" s="476"/>
      <c r="O740" s="476"/>
      <c r="P740" s="476"/>
      <c r="Q740" s="476"/>
      <c r="R740" s="476"/>
      <c r="S740" s="476"/>
      <c r="T740" s="476"/>
      <c r="U740" s="476"/>
    </row>
    <row r="741" spans="1:21" ht="18.75" x14ac:dyDescent="0.25">
      <c r="A741" s="485"/>
      <c r="B741" s="484"/>
      <c r="C741" s="484"/>
      <c r="D741" s="484"/>
      <c r="E741" s="484"/>
      <c r="F741" s="489" t="s">
        <v>306</v>
      </c>
      <c r="G741" s="481"/>
      <c r="H741" s="480" t="s">
        <v>35</v>
      </c>
      <c r="I741" s="479"/>
      <c r="J741" s="478">
        <v>0</v>
      </c>
      <c r="K741" s="476"/>
      <c r="L741" s="477"/>
      <c r="M741" s="476"/>
      <c r="N741" s="476"/>
      <c r="O741" s="476"/>
      <c r="P741" s="476"/>
      <c r="Q741" s="476"/>
      <c r="R741" s="476"/>
      <c r="S741" s="476"/>
      <c r="T741" s="476"/>
      <c r="U741" s="476"/>
    </row>
    <row r="742" spans="1:21" ht="18.75" x14ac:dyDescent="0.25">
      <c r="A742" s="485"/>
      <c r="B742" s="484"/>
      <c r="C742" s="484"/>
      <c r="D742" s="484"/>
      <c r="E742" s="484"/>
      <c r="F742" s="489" t="s">
        <v>305</v>
      </c>
      <c r="G742" s="481"/>
      <c r="H742" s="480" t="s">
        <v>35</v>
      </c>
      <c r="I742" s="487">
        <f ca="1">IFERROR(__xludf.DUMMYFUNCTION("IMPORTRANGE(""https://docs.google.com/spreadsheets/d/1eHaY18a8A9IcSdp1K8H6x8fbOy06t2VsZHhMHf-1x7Y/edit?usp=sharing"",""แผน!GC21"")"),24)</f>
        <v>24</v>
      </c>
      <c r="J742" s="478">
        <v>0</v>
      </c>
      <c r="K742" s="486">
        <f ca="1">IF(I742&gt;0,J742*100/I742,0)</f>
        <v>0</v>
      </c>
      <c r="L742" s="477"/>
      <c r="M742" s="476"/>
      <c r="N742" s="476"/>
      <c r="O742" s="476"/>
      <c r="P742" s="476"/>
      <c r="Q742" s="476"/>
      <c r="R742" s="476"/>
      <c r="S742" s="476"/>
      <c r="T742" s="476"/>
      <c r="U742" s="476"/>
    </row>
    <row r="743" spans="1:21" ht="18.75" x14ac:dyDescent="0.25">
      <c r="A743" s="485"/>
      <c r="B743" s="484"/>
      <c r="C743" s="484"/>
      <c r="D743" s="484"/>
      <c r="E743" s="489" t="s">
        <v>274</v>
      </c>
      <c r="F743" s="484"/>
      <c r="G743" s="481"/>
      <c r="H743" s="488"/>
      <c r="I743" s="479"/>
      <c r="J743" s="479"/>
      <c r="K743" s="476"/>
      <c r="L743" s="477"/>
      <c r="M743" s="476"/>
      <c r="N743" s="476"/>
      <c r="O743" s="476"/>
      <c r="P743" s="476"/>
      <c r="Q743" s="476"/>
      <c r="R743" s="476"/>
      <c r="S743" s="476"/>
      <c r="T743" s="476"/>
      <c r="U743" s="476"/>
    </row>
    <row r="744" spans="1:21" ht="18.75" x14ac:dyDescent="0.25">
      <c r="A744" s="485"/>
      <c r="B744" s="484"/>
      <c r="C744" s="484"/>
      <c r="D744" s="484"/>
      <c r="E744" s="484"/>
      <c r="F744" s="489" t="s">
        <v>271</v>
      </c>
      <c r="G744" s="481"/>
      <c r="H744" s="480" t="s">
        <v>46</v>
      </c>
      <c r="I744" s="487">
        <f ca="1">IFERROR(__xludf.DUMMYFUNCTION("IMPORTRANGE(""https://docs.google.com/spreadsheets/d/1eHaY18a8A9IcSdp1K8H6x8fbOy06t2VsZHhMHf-1x7Y/edit?usp=sharing"",""แผน!GD21"")"),60)</f>
        <v>60</v>
      </c>
      <c r="J744" s="478">
        <v>0</v>
      </c>
      <c r="K744" s="486">
        <f ca="1">IF(I744&gt;0,J744*100/I744,0)</f>
        <v>0</v>
      </c>
      <c r="L744" s="477"/>
      <c r="M744" s="476"/>
      <c r="N744" s="476"/>
      <c r="O744" s="476"/>
      <c r="P744" s="476"/>
      <c r="Q744" s="476"/>
      <c r="R744" s="476"/>
      <c r="S744" s="476"/>
      <c r="T744" s="476"/>
      <c r="U744" s="476"/>
    </row>
    <row r="745" spans="1:21" ht="18.75" x14ac:dyDescent="0.25">
      <c r="A745" s="485"/>
      <c r="B745" s="484"/>
      <c r="C745" s="484"/>
      <c r="D745" s="484"/>
      <c r="E745" s="484"/>
      <c r="F745" s="489" t="s">
        <v>304</v>
      </c>
      <c r="G745" s="481"/>
      <c r="H745" s="480" t="s">
        <v>35</v>
      </c>
      <c r="I745" s="479"/>
      <c r="J745" s="478">
        <v>0</v>
      </c>
      <c r="K745" s="476"/>
      <c r="L745" s="477"/>
      <c r="M745" s="476"/>
      <c r="N745" s="476"/>
      <c r="O745" s="476"/>
      <c r="P745" s="476"/>
      <c r="Q745" s="476"/>
      <c r="R745" s="476"/>
      <c r="S745" s="476"/>
      <c r="T745" s="476"/>
      <c r="U745" s="476"/>
    </row>
    <row r="746" spans="1:21" ht="18.75" x14ac:dyDescent="0.25">
      <c r="A746" s="485"/>
      <c r="B746" s="484"/>
      <c r="C746" s="484"/>
      <c r="D746" s="484"/>
      <c r="E746" s="484"/>
      <c r="F746" s="489" t="s">
        <v>303</v>
      </c>
      <c r="G746" s="481"/>
      <c r="H746" s="480" t="s">
        <v>35</v>
      </c>
      <c r="I746" s="487">
        <f ca="1">IFERROR(__xludf.DUMMYFUNCTION("IMPORTRANGE(""https://docs.google.com/spreadsheets/d/1eHaY18a8A9IcSdp1K8H6x8fbOy06t2VsZHhMHf-1x7Y/edit?usp=sharing"",""แผน!GE21"")"),6)</f>
        <v>6</v>
      </c>
      <c r="J746" s="478">
        <v>0</v>
      </c>
      <c r="K746" s="486">
        <f ca="1">IF(I746&gt;0,J746*100/I746,0)</f>
        <v>0</v>
      </c>
      <c r="L746" s="477"/>
      <c r="M746" s="476"/>
      <c r="N746" s="476"/>
      <c r="O746" s="476"/>
      <c r="P746" s="476"/>
      <c r="Q746" s="476"/>
      <c r="R746" s="476"/>
      <c r="S746" s="476"/>
      <c r="T746" s="476"/>
      <c r="U746" s="476"/>
    </row>
    <row r="747" spans="1:21" ht="18.75" x14ac:dyDescent="0.25">
      <c r="A747" s="485"/>
      <c r="B747" s="484"/>
      <c r="C747" s="484"/>
      <c r="D747" s="484"/>
      <c r="E747" s="489" t="s">
        <v>277</v>
      </c>
      <c r="F747" s="483"/>
      <c r="G747" s="481"/>
      <c r="H747" s="488"/>
      <c r="I747" s="479"/>
      <c r="J747" s="479"/>
      <c r="K747" s="476"/>
      <c r="L747" s="477"/>
      <c r="M747" s="476"/>
      <c r="N747" s="476"/>
      <c r="O747" s="476"/>
      <c r="P747" s="476"/>
      <c r="Q747" s="476"/>
      <c r="R747" s="476"/>
      <c r="S747" s="476"/>
      <c r="T747" s="476"/>
      <c r="U747" s="476"/>
    </row>
    <row r="748" spans="1:21" ht="18.75" x14ac:dyDescent="0.25">
      <c r="A748" s="485"/>
      <c r="B748" s="484"/>
      <c r="C748" s="484"/>
      <c r="D748" s="484"/>
      <c r="E748" s="484"/>
      <c r="F748" s="489" t="s">
        <v>302</v>
      </c>
      <c r="G748" s="481"/>
      <c r="H748" s="480" t="s">
        <v>35</v>
      </c>
      <c r="I748" s="479"/>
      <c r="J748" s="478">
        <v>0</v>
      </c>
      <c r="K748" s="476"/>
      <c r="L748" s="477"/>
      <c r="M748" s="476"/>
      <c r="N748" s="476"/>
      <c r="O748" s="476"/>
      <c r="P748" s="476"/>
      <c r="Q748" s="476"/>
      <c r="R748" s="476"/>
      <c r="S748" s="476"/>
      <c r="T748" s="476"/>
      <c r="U748" s="476"/>
    </row>
    <row r="749" spans="1:21" ht="18.75" x14ac:dyDescent="0.25">
      <c r="A749" s="485"/>
      <c r="B749" s="484"/>
      <c r="C749" s="484"/>
      <c r="D749" s="484"/>
      <c r="E749" s="484"/>
      <c r="F749" s="489" t="s">
        <v>301</v>
      </c>
      <c r="G749" s="481"/>
      <c r="H749" s="480" t="s">
        <v>35</v>
      </c>
      <c r="I749" s="487">
        <f ca="1">IFERROR(__xludf.DUMMYFUNCTION("IMPORTRANGE(""https://docs.google.com/spreadsheets/d/1eHaY18a8A9IcSdp1K8H6x8fbOy06t2VsZHhMHf-1x7Y/edit?usp=sharing"",""แผน!GF21"")"),1)</f>
        <v>1</v>
      </c>
      <c r="J749" s="478">
        <v>0</v>
      </c>
      <c r="K749" s="486">
        <f ca="1">IF(I749&gt;0,J749*100/I749,0)</f>
        <v>0</v>
      </c>
      <c r="L749" s="477"/>
      <c r="M749" s="476"/>
      <c r="N749" s="476"/>
      <c r="O749" s="476"/>
      <c r="P749" s="476"/>
      <c r="Q749" s="476"/>
      <c r="R749" s="476"/>
      <c r="S749" s="476"/>
      <c r="T749" s="476"/>
      <c r="U749" s="476"/>
    </row>
    <row r="750" spans="1:21" ht="19.5" x14ac:dyDescent="0.3">
      <c r="A750" s="485"/>
      <c r="B750" s="484"/>
      <c r="C750" s="484"/>
      <c r="D750" s="490" t="s">
        <v>50</v>
      </c>
      <c r="E750" s="484"/>
      <c r="F750" s="483"/>
      <c r="G750" s="481"/>
      <c r="H750" s="488"/>
      <c r="I750" s="479"/>
      <c r="J750" s="479"/>
      <c r="K750" s="476"/>
      <c r="L750" s="477"/>
      <c r="M750" s="476"/>
      <c r="N750" s="476"/>
      <c r="O750" s="476"/>
      <c r="P750" s="476"/>
      <c r="Q750" s="476"/>
      <c r="R750" s="476"/>
      <c r="S750" s="476"/>
      <c r="T750" s="476"/>
      <c r="U750" s="476"/>
    </row>
    <row r="751" spans="1:21" ht="18.75" x14ac:dyDescent="0.25">
      <c r="A751" s="485"/>
      <c r="B751" s="484"/>
      <c r="C751" s="484"/>
      <c r="D751" s="484"/>
      <c r="E751" s="489" t="s">
        <v>270</v>
      </c>
      <c r="F751" s="483"/>
      <c r="G751" s="481"/>
      <c r="H751" s="488"/>
      <c r="I751" s="479"/>
      <c r="J751" s="479"/>
      <c r="K751" s="476"/>
      <c r="L751" s="477"/>
      <c r="M751" s="476"/>
      <c r="N751" s="476"/>
      <c r="O751" s="476"/>
      <c r="P751" s="476"/>
      <c r="Q751" s="476"/>
      <c r="R751" s="476"/>
      <c r="S751" s="476"/>
      <c r="T751" s="476"/>
      <c r="U751" s="476"/>
    </row>
    <row r="752" spans="1:21" ht="18.75" x14ac:dyDescent="0.25">
      <c r="A752" s="485"/>
      <c r="B752" s="484"/>
      <c r="C752" s="484"/>
      <c r="D752" s="484"/>
      <c r="E752" s="484"/>
      <c r="F752" s="482" t="s">
        <v>300</v>
      </c>
      <c r="G752" s="481"/>
      <c r="H752" s="480" t="s">
        <v>46</v>
      </c>
      <c r="I752" s="487">
        <f ca="1">IFERROR(__xludf.DUMMYFUNCTION("IMPORTRANGE(""https://docs.google.com/spreadsheets/d/1eHaY18a8A9IcSdp1K8H6x8fbOy06t2VsZHhMHf-1x7Y/edit?usp=sharing"",""แผน!GB21"")"),240)</f>
        <v>240</v>
      </c>
      <c r="J752" s="478">
        <v>0</v>
      </c>
      <c r="K752" s="486">
        <f ca="1">IF(I752&gt;0,J752*100/I752,0)</f>
        <v>0</v>
      </c>
      <c r="L752" s="477"/>
      <c r="M752" s="476"/>
      <c r="N752" s="476"/>
      <c r="O752" s="476"/>
      <c r="P752" s="476"/>
      <c r="Q752" s="476"/>
      <c r="R752" s="476"/>
      <c r="S752" s="476"/>
      <c r="T752" s="476"/>
      <c r="U752" s="476"/>
    </row>
    <row r="753" spans="1:21" ht="18.75" x14ac:dyDescent="0.25">
      <c r="A753" s="485"/>
      <c r="B753" s="484"/>
      <c r="C753" s="484"/>
      <c r="D753" s="484"/>
      <c r="E753" s="484"/>
      <c r="F753" s="482" t="s">
        <v>299</v>
      </c>
      <c r="G753" s="481"/>
      <c r="H753" s="480" t="s">
        <v>46</v>
      </c>
      <c r="I753" s="479"/>
      <c r="J753" s="478">
        <v>0</v>
      </c>
      <c r="K753" s="476"/>
      <c r="L753" s="477"/>
      <c r="M753" s="476"/>
      <c r="N753" s="476"/>
      <c r="O753" s="476"/>
      <c r="P753" s="476"/>
      <c r="Q753" s="476"/>
      <c r="R753" s="476"/>
      <c r="S753" s="476"/>
      <c r="T753" s="476"/>
      <c r="U753" s="476"/>
    </row>
    <row r="754" spans="1:21" ht="18.75" x14ac:dyDescent="0.25">
      <c r="A754" s="485"/>
      <c r="B754" s="484"/>
      <c r="C754" s="484"/>
      <c r="D754" s="484"/>
      <c r="E754" s="489" t="s">
        <v>274</v>
      </c>
      <c r="F754" s="483"/>
      <c r="G754" s="481"/>
      <c r="H754" s="488"/>
      <c r="I754" s="479"/>
      <c r="J754" s="479"/>
      <c r="K754" s="476"/>
      <c r="L754" s="477"/>
      <c r="M754" s="476"/>
      <c r="N754" s="476"/>
      <c r="O754" s="476"/>
      <c r="P754" s="476"/>
      <c r="Q754" s="476"/>
      <c r="R754" s="476"/>
      <c r="S754" s="476"/>
      <c r="T754" s="476"/>
      <c r="U754" s="476"/>
    </row>
    <row r="755" spans="1:21" ht="18.75" x14ac:dyDescent="0.25">
      <c r="A755" s="485"/>
      <c r="B755" s="484"/>
      <c r="C755" s="484"/>
      <c r="D755" s="484"/>
      <c r="E755" s="483"/>
      <c r="F755" s="482" t="s">
        <v>298</v>
      </c>
      <c r="G755" s="481"/>
      <c r="H755" s="480" t="s">
        <v>46</v>
      </c>
      <c r="I755" s="487">
        <f ca="1">IFERROR(__xludf.DUMMYFUNCTION("IMPORTRANGE(""https://docs.google.com/spreadsheets/d/1eHaY18a8A9IcSdp1K8H6x8fbOy06t2VsZHhMHf-1x7Y/edit?usp=sharing"",""แผน!GD21"")"),60)</f>
        <v>60</v>
      </c>
      <c r="J755" s="478">
        <v>0</v>
      </c>
      <c r="K755" s="486">
        <f ca="1">IF(I755&gt;0,J755*100/I755,0)</f>
        <v>0</v>
      </c>
      <c r="L755" s="477"/>
      <c r="M755" s="476"/>
      <c r="N755" s="476"/>
      <c r="O755" s="476"/>
      <c r="P755" s="476"/>
      <c r="Q755" s="476"/>
      <c r="R755" s="476"/>
      <c r="S755" s="476"/>
      <c r="T755" s="476"/>
      <c r="U755" s="476"/>
    </row>
    <row r="756" spans="1:21" ht="18.75" x14ac:dyDescent="0.25">
      <c r="A756" s="485"/>
      <c r="B756" s="484"/>
      <c r="C756" s="484"/>
      <c r="D756" s="484"/>
      <c r="E756" s="483"/>
      <c r="F756" s="482" t="s">
        <v>297</v>
      </c>
      <c r="G756" s="481"/>
      <c r="H756" s="480" t="s">
        <v>46</v>
      </c>
      <c r="I756" s="479"/>
      <c r="J756" s="478">
        <v>0</v>
      </c>
      <c r="K756" s="476"/>
      <c r="L756" s="477"/>
      <c r="M756" s="476"/>
      <c r="N756" s="476"/>
      <c r="O756" s="476"/>
      <c r="P756" s="476"/>
      <c r="Q756" s="476"/>
      <c r="R756" s="476"/>
      <c r="S756" s="476"/>
      <c r="T756" s="476"/>
      <c r="U756" s="476"/>
    </row>
    <row r="757" spans="1:21" ht="18.75" x14ac:dyDescent="0.25">
      <c r="A757" s="438"/>
      <c r="B757" s="438"/>
      <c r="C757" s="438"/>
      <c r="D757" s="438"/>
      <c r="E757" s="439" t="s">
        <v>284</v>
      </c>
      <c r="F757" s="440"/>
      <c r="G757" s="441"/>
      <c r="H757" s="442" t="s">
        <v>35</v>
      </c>
      <c r="I757" s="443"/>
      <c r="J757" s="444">
        <v>0</v>
      </c>
      <c r="K757" s="445"/>
      <c r="L757" s="445"/>
      <c r="M757" s="445"/>
      <c r="N757" s="445"/>
      <c r="O757" s="445"/>
      <c r="P757" s="445"/>
      <c r="Q757" s="445"/>
      <c r="R757" s="445"/>
      <c r="S757" s="445"/>
      <c r="T757" s="445"/>
      <c r="U757" s="445"/>
    </row>
    <row r="758" spans="1:21" ht="19.5" x14ac:dyDescent="0.3">
      <c r="A758" s="394"/>
      <c r="B758" s="395" t="s">
        <v>285</v>
      </c>
      <c r="C758" s="394"/>
      <c r="D758" s="396"/>
      <c r="E758" s="396"/>
      <c r="F758" s="396"/>
      <c r="G758" s="397"/>
      <c r="H758" s="434" t="s">
        <v>35</v>
      </c>
      <c r="I758" s="475">
        <f ca="1">I772</f>
        <v>55</v>
      </c>
      <c r="J758" s="475">
        <f>J772</f>
        <v>0</v>
      </c>
      <c r="K758" s="474">
        <f ca="1">IF(I758&gt;0,J758*100/I758,0)</f>
        <v>0</v>
      </c>
      <c r="L758" s="47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6"/>
      <c r="B759" s="394"/>
      <c r="C759" s="394"/>
      <c r="D759" s="396"/>
      <c r="E759" s="396"/>
      <c r="F759" s="396"/>
      <c r="G759" s="397"/>
      <c r="H759" s="434" t="s">
        <v>46</v>
      </c>
      <c r="I759" s="475">
        <f ca="1">I774</f>
        <v>110</v>
      </c>
      <c r="J759" s="475">
        <f>J774</f>
        <v>0</v>
      </c>
      <c r="K759" s="474">
        <f ca="1">IF(I759&gt;0,J759*100/I759,0)</f>
        <v>0</v>
      </c>
      <c r="L759" s="47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8"/>
      <c r="C760" s="177" t="s">
        <v>18</v>
      </c>
      <c r="D760" s="821" t="s">
        <v>19</v>
      </c>
      <c r="E760" s="793"/>
      <c r="F760" s="793"/>
      <c r="G760" s="794"/>
      <c r="H760" s="221" t="s">
        <v>14</v>
      </c>
      <c r="I760" s="44"/>
      <c r="J760" s="44"/>
      <c r="K760" s="45"/>
      <c r="L760" s="471">
        <f>L761+L762</f>
        <v>0</v>
      </c>
      <c r="M760" s="470">
        <f>M761+M762</f>
        <v>0</v>
      </c>
      <c r="N760" s="470">
        <f>N761+N762</f>
        <v>0</v>
      </c>
      <c r="O760" s="470">
        <f t="shared" ref="O760:O768" si="188">IF(L760&gt;0,N760*100/L760,0)</f>
        <v>0</v>
      </c>
      <c r="P760" s="470">
        <f t="shared" ref="P760:P768" si="189">IF(M760&gt;0,N760*100/M760,0)</f>
        <v>0</v>
      </c>
      <c r="Q760" s="470">
        <f ca="1">Q761+Q762</f>
        <v>400950</v>
      </c>
      <c r="R760" s="470">
        <f ca="1">R761+R762</f>
        <v>400950</v>
      </c>
      <c r="S760" s="470">
        <f ca="1">S761+S762</f>
        <v>26620</v>
      </c>
      <c r="T760" s="470">
        <f t="shared" ref="T760:T768" ca="1" si="190">IF(Q760&gt;0,S760*100/Q760,0)</f>
        <v>6.6392318244170099</v>
      </c>
      <c r="U760" s="470">
        <f t="shared" ref="U760:U768" ca="1" si="191">IF(R760&gt;0,S760*100/R760,0)</f>
        <v>6.6392318244170099</v>
      </c>
    </row>
    <row r="761" spans="1:21" ht="18.75" hidden="1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469">
        <f t="shared" ref="L761:N762" si="192">L764+L767</f>
        <v>0</v>
      </c>
      <c r="M761" s="83">
        <f t="shared" si="192"/>
        <v>0</v>
      </c>
      <c r="N761" s="83">
        <f t="shared" si="192"/>
        <v>0</v>
      </c>
      <c r="O761" s="83">
        <f t="shared" si="188"/>
        <v>0</v>
      </c>
      <c r="P761" s="83">
        <f t="shared" si="189"/>
        <v>0</v>
      </c>
      <c r="Q761" s="83">
        <f t="shared" ref="Q761:S762" si="193">Q764+Q767</f>
        <v>0</v>
      </c>
      <c r="R761" s="83">
        <f t="shared" si="193"/>
        <v>0</v>
      </c>
      <c r="S761" s="83">
        <f t="shared" si="193"/>
        <v>0</v>
      </c>
      <c r="T761" s="83">
        <f t="shared" si="190"/>
        <v>0</v>
      </c>
      <c r="U761" s="83">
        <f t="shared" si="191"/>
        <v>0</v>
      </c>
    </row>
    <row r="762" spans="1:21" ht="18.75" hidden="1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468">
        <f t="shared" si="192"/>
        <v>0</v>
      </c>
      <c r="M762" s="224">
        <f t="shared" si="192"/>
        <v>0</v>
      </c>
      <c r="N762" s="224">
        <f t="shared" si="192"/>
        <v>0</v>
      </c>
      <c r="O762" s="224">
        <f t="shared" si="188"/>
        <v>0</v>
      </c>
      <c r="P762" s="224">
        <f t="shared" si="189"/>
        <v>0</v>
      </c>
      <c r="Q762" s="224">
        <f t="shared" ca="1" si="193"/>
        <v>400950</v>
      </c>
      <c r="R762" s="224">
        <f t="shared" ca="1" si="193"/>
        <v>400950</v>
      </c>
      <c r="S762" s="224">
        <f t="shared" ca="1" si="193"/>
        <v>26620</v>
      </c>
      <c r="T762" s="224">
        <f t="shared" ca="1" si="190"/>
        <v>6.6392318244170099</v>
      </c>
      <c r="U762" s="224">
        <f t="shared" ca="1" si="191"/>
        <v>6.6392318244170099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468">
        <f>L764+L765</f>
        <v>0</v>
      </c>
      <c r="M763" s="224">
        <f>M764+M765</f>
        <v>0</v>
      </c>
      <c r="N763" s="224">
        <f>N764+N765</f>
        <v>0</v>
      </c>
      <c r="O763" s="224">
        <f t="shared" si="188"/>
        <v>0</v>
      </c>
      <c r="P763" s="224">
        <f t="shared" si="189"/>
        <v>0</v>
      </c>
      <c r="Q763" s="224">
        <f ca="1">Q764+Q765</f>
        <v>400950</v>
      </c>
      <c r="R763" s="224">
        <f ca="1">R764+R765</f>
        <v>400950</v>
      </c>
      <c r="S763" s="224">
        <f ca="1">S764+S765</f>
        <v>26620</v>
      </c>
      <c r="T763" s="224">
        <f t="shared" ca="1" si="190"/>
        <v>6.6392318244170099</v>
      </c>
      <c r="U763" s="224">
        <f t="shared" ca="1" si="191"/>
        <v>6.6392318244170099</v>
      </c>
    </row>
    <row r="764" spans="1:21" ht="18.75" hidden="1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469">
        <v>0</v>
      </c>
      <c r="M764" s="83">
        <v>0</v>
      </c>
      <c r="N764" s="83">
        <v>0</v>
      </c>
      <c r="O764" s="83">
        <f t="shared" si="188"/>
        <v>0</v>
      </c>
      <c r="P764" s="83">
        <f t="shared" si="189"/>
        <v>0</v>
      </c>
      <c r="Q764" s="83">
        <v>0</v>
      </c>
      <c r="R764" s="83">
        <v>0</v>
      </c>
      <c r="S764" s="83">
        <v>0</v>
      </c>
      <c r="T764" s="83">
        <f t="shared" si="190"/>
        <v>0</v>
      </c>
      <c r="U764" s="83">
        <f t="shared" si="191"/>
        <v>0</v>
      </c>
    </row>
    <row r="765" spans="1:21" ht="18.75" hidden="1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468">
        <v>0</v>
      </c>
      <c r="M765" s="224">
        <v>0</v>
      </c>
      <c r="N765" s="224">
        <v>0</v>
      </c>
      <c r="O765" s="224">
        <f t="shared" si="188"/>
        <v>0</v>
      </c>
      <c r="P765" s="224">
        <f t="shared" si="189"/>
        <v>0</v>
      </c>
      <c r="Q765" s="224">
        <f ca="1">IFERROR(__xludf.DUMMYFUNCTION("IMPORTRANGE(""https://docs.google.com/spreadsheets/d/1ItG2mGa2ceCfYo0BwxsXqNm01IGEUdYcSSLTEv9YCik/edit?usp=sharing"",""เบิกจ่ายกองทุน!U21"")"),400950)</f>
        <v>400950</v>
      </c>
      <c r="R765" s="224">
        <f ca="1">IFERROR(__xludf.DUMMYFUNCTION("IMPORTRANGE(""https://docs.google.com/spreadsheets/d/1ItG2mGa2ceCfYo0BwxsXqNm01IGEUdYcSSLTEv9YCik/edit?usp=sharing"",""เบิกจ่ายกองทุน!V21"")"),400950)</f>
        <v>400950</v>
      </c>
      <c r="S765" s="224">
        <f ca="1">IFERROR(__xludf.DUMMYFUNCTION("IMPORTRANGE(""https://docs.google.com/spreadsheets/d/1ItG2mGa2ceCfYo0BwxsXqNm01IGEUdYcSSLTEv9YCik/edit?usp=sharing"",""เบิกจ่ายกองทุน!W21"")"),26620)</f>
        <v>26620</v>
      </c>
      <c r="T765" s="224">
        <f t="shared" ca="1" si="190"/>
        <v>6.6392318244170099</v>
      </c>
      <c r="U765" s="224">
        <f t="shared" ca="1" si="191"/>
        <v>6.6392318244170099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468">
        <f>L767+L768</f>
        <v>0</v>
      </c>
      <c r="M766" s="224">
        <f>M767+M768</f>
        <v>0</v>
      </c>
      <c r="N766" s="224">
        <f>N767+N768</f>
        <v>0</v>
      </c>
      <c r="O766" s="224">
        <f t="shared" si="188"/>
        <v>0</v>
      </c>
      <c r="P766" s="224">
        <f t="shared" si="189"/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 t="shared" si="190"/>
        <v>0</v>
      </c>
      <c r="U766" s="224">
        <f t="shared" si="191"/>
        <v>0</v>
      </c>
    </row>
    <row r="767" spans="1:21" ht="18.75" hidden="1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469">
        <v>0</v>
      </c>
      <c r="M767" s="83">
        <v>0</v>
      </c>
      <c r="N767" s="83">
        <v>0</v>
      </c>
      <c r="O767" s="83">
        <f t="shared" si="188"/>
        <v>0</v>
      </c>
      <c r="P767" s="83">
        <f t="shared" si="189"/>
        <v>0</v>
      </c>
      <c r="Q767" s="83">
        <v>0</v>
      </c>
      <c r="R767" s="83">
        <v>0</v>
      </c>
      <c r="S767" s="83">
        <v>0</v>
      </c>
      <c r="T767" s="83">
        <f t="shared" si="190"/>
        <v>0</v>
      </c>
      <c r="U767" s="83">
        <f t="shared" si="191"/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468">
        <v>0</v>
      </c>
      <c r="M768" s="224">
        <v>0</v>
      </c>
      <c r="N768" s="224">
        <v>0</v>
      </c>
      <c r="O768" s="224">
        <f t="shared" si="188"/>
        <v>0</v>
      </c>
      <c r="P768" s="224">
        <f t="shared" si="189"/>
        <v>0</v>
      </c>
      <c r="Q768" s="224">
        <v>0</v>
      </c>
      <c r="R768" s="224">
        <v>0</v>
      </c>
      <c r="S768" s="224">
        <v>0</v>
      </c>
      <c r="T768" s="224">
        <f t="shared" si="190"/>
        <v>0</v>
      </c>
      <c r="U768" s="224">
        <f t="shared" si="191"/>
        <v>0</v>
      </c>
    </row>
    <row r="769" spans="1:21" ht="19.5" x14ac:dyDescent="0.3">
      <c r="A769" s="138"/>
      <c r="B769" s="139"/>
      <c r="C769" s="446" t="s">
        <v>18</v>
      </c>
      <c r="D769" s="467" t="s">
        <v>38</v>
      </c>
      <c r="E769" s="203"/>
      <c r="F769" s="141"/>
      <c r="G769" s="142"/>
      <c r="H769" s="178"/>
      <c r="I769" s="44"/>
      <c r="J769" s="44"/>
      <c r="K769" s="45"/>
      <c r="L769" s="465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377" t="s">
        <v>286</v>
      </c>
      <c r="E770" s="139"/>
      <c r="F770" s="145"/>
      <c r="G770" s="143"/>
      <c r="H770" s="375" t="s">
        <v>35</v>
      </c>
      <c r="I770" s="430">
        <f ca="1">IFERROR(__xludf.DUMMYFUNCTION("IMPORTRANGE(""https://docs.google.com/spreadsheets/d/1eHaY18a8A9IcSdp1K8H6x8fbOy06t2VsZHhMHf-1x7Y/edit?usp=sharing"",""แผน!FI21"")"),0)</f>
        <v>0</v>
      </c>
      <c r="J770" s="430">
        <v>0</v>
      </c>
      <c r="K770" s="83">
        <f ca="1">IF(I770&gt;0,J770*100/I770,0)</f>
        <v>0</v>
      </c>
      <c r="L770" s="465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377" t="s">
        <v>287</v>
      </c>
      <c r="E771" s="139"/>
      <c r="F771" s="145"/>
      <c r="G771" s="143"/>
      <c r="H771" s="178"/>
      <c r="I771" s="44"/>
      <c r="J771" s="44"/>
      <c r="K771" s="45"/>
      <c r="L771" s="465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10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IFERROR(__xludf.DUMMYFUNCTION("IMPORTRANGE(""https://docs.google.com/spreadsheets/d/1eHaY18a8A9IcSdp1K8H6x8fbOy06t2VsZHhMHf-1x7Y/edit?usp=sharing"",""แผน!FQ21"")"),55)</f>
        <v>55</v>
      </c>
      <c r="J772" s="466">
        <v>0</v>
      </c>
      <c r="K772" s="224">
        <f ca="1">IF(I772&gt;0,J772*100/I772,0)</f>
        <v>0</v>
      </c>
      <c r="L772" s="465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10" t="s">
        <v>289</v>
      </c>
      <c r="E773" s="139"/>
      <c r="F773" s="145"/>
      <c r="G773" s="143"/>
      <c r="H773" s="178"/>
      <c r="I773" s="44"/>
      <c r="J773" s="44"/>
      <c r="K773" s="45"/>
      <c r="L773" s="465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10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IFERROR(__xludf.DUMMYFUNCTION("IMPORTRANGE(""https://docs.google.com/spreadsheets/d/1eHaY18a8A9IcSdp1K8H6x8fbOy06t2VsZHhMHf-1x7Y/edit?usp=sharing"",""แผน!FR21"")"),110)</f>
        <v>110</v>
      </c>
      <c r="J774" s="466">
        <v>0</v>
      </c>
      <c r="K774" s="224">
        <f ca="1">IF(I774&gt;0,J774*100/I774,0)</f>
        <v>0</v>
      </c>
      <c r="L774" s="465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10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IFERROR(__xludf.DUMMYFUNCTION("IMPORTRANGE(""https://docs.google.com/spreadsheets/d/1eHaY18a8A9IcSdp1K8H6x8fbOy06t2VsZHhMHf-1x7Y/edit?usp=sharing"",""แผน!FS21"")"),110)</f>
        <v>110</v>
      </c>
      <c r="J775" s="466">
        <v>0</v>
      </c>
      <c r="K775" s="45"/>
      <c r="L775" s="465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IFERROR(__xludf.DUMMYFUNCTION("IMPORTRANGE(""https://docs.google.com/spreadsheets/d/1eHaY18a8A9IcSdp1K8H6x8fbOy06t2VsZHhMHf-1x7Y/edit?usp=sharing"",""แผน!FT21"")"),55)</f>
        <v>55</v>
      </c>
      <c r="J776" s="464">
        <v>0</v>
      </c>
      <c r="K776" s="3"/>
      <c r="L776" s="46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462" t="s">
        <v>291</v>
      </c>
      <c r="B777" s="449"/>
      <c r="C777" s="449"/>
      <c r="D777" s="448"/>
      <c r="E777" s="449"/>
      <c r="F777" s="449"/>
      <c r="G777" s="450"/>
      <c r="H777" s="461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2"/>
      <c r="J777" s="453"/>
      <c r="K777" s="454"/>
      <c r="L777" s="454"/>
      <c r="M777" s="454"/>
      <c r="N777" s="454"/>
      <c r="O777" s="454"/>
      <c r="P777" s="454"/>
      <c r="Q777" s="454"/>
      <c r="R777" s="454"/>
      <c r="S777" s="454"/>
      <c r="T777" s="454"/>
      <c r="U777" s="454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IFERROR(__xludf.DUMMYFUNCTION("IMPORTRANGE(""https://docs.google.com/spreadsheets/d/10OvvATaaLtwErnr3qtWFcTmtbfpFEt5Bsqel9sXx0uE/edit?usp=sharing"",""งานกองทุน!D21"")"),2630000)</f>
        <v>2630000</v>
      </c>
      <c r="J778" s="184">
        <f ca="1">IFERROR(__xludf.DUMMYFUNCTION("IMPORTRANGE(""https://docs.google.com/spreadsheets/d/10OvvATaaLtwErnr3qtWFcTmtbfpFEt5Bsqel9sXx0uE/edit?usp=sharing"",""งานกองทุน!F21"")"),1398709.18)</f>
        <v>1398709.18</v>
      </c>
      <c r="K778" s="224">
        <f t="shared" ref="K778:K785" ca="1" si="194">IF(I778&gt;0,J778*100/I778,0)</f>
        <v>53.18285855513308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IFERROR(__xludf.DUMMYFUNCTION("IMPORTRANGE(""https://docs.google.com/spreadsheets/d/10OvvATaaLtwErnr3qtWFcTmtbfpFEt5Bsqel9sXx0uE/edit?usp=sharing"",""งานกองทุน!C21"")"),102)</f>
        <v>102</v>
      </c>
      <c r="J779" s="184">
        <f ca="1">IFERROR(__xludf.DUMMYFUNCTION("IMPORTRANGE(""https://docs.google.com/spreadsheets/d/10OvvATaaLtwErnr3qtWFcTmtbfpFEt5Bsqel9sXx0uE/edit?usp=sharing"",""งานกองทุน!E21"")"),60)</f>
        <v>60</v>
      </c>
      <c r="K779" s="224">
        <f t="shared" ca="1" si="194"/>
        <v>58.823529411764703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IFERROR(__xludf.DUMMYFUNCTION("IMPORTRANGE(""https://docs.google.com/spreadsheets/d/10OvvATaaLtwErnr3qtWFcTmtbfpFEt5Bsqel9sXx0uE/edit?usp=sharing"",""งานกองทุน!I21"")"),327133.2)</f>
        <v>327133.2</v>
      </c>
      <c r="J780" s="184">
        <f ca="1">IFERROR(__xludf.DUMMYFUNCTION("IMPORTRANGE(""https://docs.google.com/spreadsheets/d/10OvvATaaLtwErnr3qtWFcTmtbfpFEt5Bsqel9sXx0uE/edit?usp=sharing"",""งานกองทุน!K21"")"),252958.25)</f>
        <v>252958.25</v>
      </c>
      <c r="K780" s="224">
        <f t="shared" ca="1" si="194"/>
        <v>77.325765162325311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IFERROR(__xludf.DUMMYFUNCTION("IMPORTRANGE(""https://docs.google.com/spreadsheets/d/10OvvATaaLtwErnr3qtWFcTmtbfpFEt5Bsqel9sXx0uE/edit?usp=sharing"",""งานกองทุน!H21"")"),17)</f>
        <v>17</v>
      </c>
      <c r="J781" s="184">
        <f ca="1">IFERROR(__xludf.DUMMYFUNCTION("IMPORTRANGE(""https://docs.google.com/spreadsheets/d/10OvvATaaLtwErnr3qtWFcTmtbfpFEt5Bsqel9sXx0uE/edit?usp=sharing"",""งานกองทุน!J21"")"),16)</f>
        <v>16</v>
      </c>
      <c r="K781" s="224">
        <f t="shared" ca="1" si="194"/>
        <v>94.117647058823536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IFERROR(__xludf.DUMMYFUNCTION("IMPORTRANGE(""https://docs.google.com/spreadsheets/d/10OvvATaaLtwErnr3qtWFcTmtbfpFEt5Bsqel9sXx0uE/edit?usp=sharing"",""งานกองทุน!N21"")"),3891338.12)</f>
        <v>3891338.12</v>
      </c>
      <c r="J782" s="184">
        <f ca="1">IFERROR(__xludf.DUMMYFUNCTION("IMPORTRANGE(""https://docs.google.com/spreadsheets/d/10OvvATaaLtwErnr3qtWFcTmtbfpFEt5Bsqel9sXx0uE/edit?usp=sharing"",""งานกองทุน!P21"")"),2014750.4)</f>
        <v>2014750.4</v>
      </c>
      <c r="K782" s="224">
        <f t="shared" ca="1" si="194"/>
        <v>51.775259251951098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IFERROR(__xludf.DUMMYFUNCTION("IMPORTRANGE(""https://docs.google.com/spreadsheets/d/10OvvATaaLtwErnr3qtWFcTmtbfpFEt5Bsqel9sXx0uE/edit?usp=sharing"",""งานกองทุน!M21"")"),412)</f>
        <v>412</v>
      </c>
      <c r="J783" s="184">
        <f ca="1">IFERROR(__xludf.DUMMYFUNCTION("IMPORTRANGE(""https://docs.google.com/spreadsheets/d/10OvvATaaLtwErnr3qtWFcTmtbfpFEt5Bsqel9sXx0uE/edit?usp=sharing"",""งานกองทุน!O21"")"),349)</f>
        <v>349</v>
      </c>
      <c r="K783" s="224">
        <f t="shared" ca="1" si="194"/>
        <v>84.708737864077676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IFERROR(__xludf.DUMMYFUNCTION("IMPORTRANGE(""https://docs.google.com/spreadsheets/d/10OvvATaaLtwErnr3qtWFcTmtbfpFEt5Bsqel9sXx0uE/edit?usp=sharing"",""งานกองทุน!S21"")"),3220000)</f>
        <v>3220000</v>
      </c>
      <c r="J784" s="184">
        <f ca="1">IFERROR(__xludf.DUMMYFUNCTION("IMPORTRANGE(""https://docs.google.com/spreadsheets/d/10OvvATaaLtwErnr3qtWFcTmtbfpFEt5Bsqel9sXx0uE/edit?usp=sharing"",""งานกองทุน!U21"")"),1300000)</f>
        <v>1300000</v>
      </c>
      <c r="K784" s="224">
        <f t="shared" ca="1" si="194"/>
        <v>40.372670807453417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IFERROR(__xludf.DUMMYFUNCTION("IMPORTRANGE(""https://docs.google.com/spreadsheets/d/10OvvATaaLtwErnr3qtWFcTmtbfpFEt5Bsqel9sXx0uE/edit?usp=sharing"",""งานกองทุน!R21"")"),115)</f>
        <v>115</v>
      </c>
      <c r="J785" s="188">
        <f ca="1">IFERROR(__xludf.DUMMYFUNCTION("IMPORTRANGE(""https://docs.google.com/spreadsheets/d/10OvvATaaLtwErnr3qtWFcTmtbfpFEt5Bsqel9sXx0uE/edit?usp=sharing"",""งานกองทุน!T21"")"),47)</f>
        <v>47</v>
      </c>
      <c r="K785" s="455">
        <f t="shared" ca="1" si="194"/>
        <v>40.869565217391305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460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4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4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horizontalDpi="4294967293" verticalDpi="4294967293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Alro</cp:lastModifiedBy>
  <cp:lastPrinted>2024-05-02T03:35:53Z</cp:lastPrinted>
  <dcterms:modified xsi:type="dcterms:W3CDTF">2024-05-02T03:40:00Z</dcterms:modified>
</cp:coreProperties>
</file>